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3600" windowHeight="21000" tabRatio="596"/>
  </bookViews>
  <sheets>
    <sheet name="2023" sheetId="3" r:id="rId1"/>
    <sheet name="Проект 2024" sheetId="4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4" l="1"/>
  <c r="E51" i="4"/>
  <c r="E50" i="4"/>
  <c r="D51" i="4"/>
  <c r="D50" i="4"/>
  <c r="C11" i="3" l="1"/>
  <c r="C12" i="3"/>
  <c r="G4" i="3"/>
  <c r="H87" i="3"/>
  <c r="G29" i="3" l="1"/>
  <c r="C105" i="3" l="1"/>
  <c r="D55" i="4"/>
  <c r="E55" i="4" s="1"/>
  <c r="D56" i="4"/>
  <c r="E56" i="4" s="1"/>
  <c r="D57" i="4"/>
  <c r="E57" i="4" s="1"/>
  <c r="H30" i="3"/>
  <c r="H34" i="3"/>
  <c r="H38" i="3"/>
  <c r="H31" i="3"/>
  <c r="H32" i="3"/>
  <c r="H45" i="3"/>
  <c r="H43" i="3"/>
  <c r="H44" i="3"/>
  <c r="H40" i="3"/>
  <c r="H41" i="3"/>
  <c r="H36" i="3"/>
  <c r="H22" i="3"/>
  <c r="D67" i="4" l="1"/>
  <c r="D5" i="4" s="1"/>
  <c r="C66" i="4"/>
  <c r="D66" i="4" s="1"/>
  <c r="E66" i="4" s="1"/>
  <c r="D65" i="4"/>
  <c r="E65" i="4" s="1"/>
  <c r="D64" i="4"/>
  <c r="E64" i="4" s="1"/>
  <c r="D63" i="4"/>
  <c r="E63" i="4" s="1"/>
  <c r="D62" i="4"/>
  <c r="E62" i="4" s="1"/>
  <c r="D61" i="4"/>
  <c r="E61" i="4" s="1"/>
  <c r="C60" i="4"/>
  <c r="C59" i="4" s="1"/>
  <c r="D54" i="4"/>
  <c r="E54" i="4" s="1"/>
  <c r="D53" i="4"/>
  <c r="E53" i="4" s="1"/>
  <c r="C52" i="4"/>
  <c r="D52" i="4" s="1"/>
  <c r="E52" i="4" s="1"/>
  <c r="C51" i="4"/>
  <c r="D49" i="4"/>
  <c r="E49" i="4" s="1"/>
  <c r="E48" i="4"/>
  <c r="D47" i="4"/>
  <c r="E47" i="4" s="1"/>
  <c r="D46" i="4"/>
  <c r="E46" i="4" s="1"/>
  <c r="D45" i="4"/>
  <c r="E45" i="4" s="1"/>
  <c r="C44" i="4"/>
  <c r="D44" i="4" s="1"/>
  <c r="E44" i="4" s="1"/>
  <c r="D43" i="4"/>
  <c r="E43" i="4" s="1"/>
  <c r="D42" i="4"/>
  <c r="E42" i="4" s="1"/>
  <c r="D41" i="4"/>
  <c r="E41" i="4" s="1"/>
  <c r="C40" i="4"/>
  <c r="D40" i="4" s="1"/>
  <c r="E40" i="4" s="1"/>
  <c r="D39" i="4"/>
  <c r="E39" i="4" s="1"/>
  <c r="D38" i="4"/>
  <c r="E38" i="4" s="1"/>
  <c r="C37" i="4"/>
  <c r="D37" i="4" s="1"/>
  <c r="E37" i="4" s="1"/>
  <c r="D36" i="4"/>
  <c r="E36" i="4" s="1"/>
  <c r="C35" i="4"/>
  <c r="C33" i="4" s="1"/>
  <c r="D33" i="4" s="1"/>
  <c r="E33" i="4" s="1"/>
  <c r="D34" i="4"/>
  <c r="E34" i="4" s="1"/>
  <c r="D32" i="4"/>
  <c r="E32" i="4" s="1"/>
  <c r="C31" i="4"/>
  <c r="D31" i="4" s="1"/>
  <c r="E31" i="4" s="1"/>
  <c r="D30" i="4"/>
  <c r="E30" i="4" s="1"/>
  <c r="D29" i="4"/>
  <c r="E29" i="4" s="1"/>
  <c r="D27" i="4"/>
  <c r="E27" i="4" s="1"/>
  <c r="C25" i="4"/>
  <c r="D25" i="4" s="1"/>
  <c r="E25" i="4" s="1"/>
  <c r="C24" i="4"/>
  <c r="D24" i="4" s="1"/>
  <c r="E24" i="4" s="1"/>
  <c r="C23" i="4"/>
  <c r="D23" i="4" s="1"/>
  <c r="E23" i="4" s="1"/>
  <c r="D21" i="4"/>
  <c r="E21" i="4" s="1"/>
  <c r="D20" i="4"/>
  <c r="E20" i="4" s="1"/>
  <c r="C20" i="4"/>
  <c r="C18" i="4"/>
  <c r="D18" i="4" s="1"/>
  <c r="E18" i="4" s="1"/>
  <c r="C17" i="4"/>
  <c r="D17" i="4" s="1"/>
  <c r="E17" i="4" s="1"/>
  <c r="D16" i="4"/>
  <c r="E16" i="4" s="1"/>
  <c r="D15" i="4"/>
  <c r="E15" i="4" s="1"/>
  <c r="C14" i="4"/>
  <c r="D14" i="4" s="1"/>
  <c r="E14" i="4" s="1"/>
  <c r="D13" i="4"/>
  <c r="E13" i="4" s="1"/>
  <c r="C12" i="4"/>
  <c r="D12" i="4" l="1"/>
  <c r="E12" i="4" s="1"/>
  <c r="C11" i="4"/>
  <c r="C68" i="4"/>
  <c r="D68" i="4" s="1"/>
  <c r="E68" i="4" s="1"/>
  <c r="C26" i="4"/>
  <c r="D26" i="4" s="1"/>
  <c r="E26" i="4" s="1"/>
  <c r="D60" i="4"/>
  <c r="E60" i="4" s="1"/>
  <c r="E67" i="4"/>
  <c r="C28" i="4"/>
  <c r="D28" i="4" s="1"/>
  <c r="E28" i="4" s="1"/>
  <c r="D35" i="4"/>
  <c r="E35" i="4" s="1"/>
  <c r="D59" i="4"/>
  <c r="C42" i="3"/>
  <c r="H42" i="3" s="1"/>
  <c r="C82" i="3"/>
  <c r="D95" i="3"/>
  <c r="E95" i="3" s="1"/>
  <c r="C75" i="3"/>
  <c r="C74" i="3"/>
  <c r="D68" i="3"/>
  <c r="E68" i="3" s="1"/>
  <c r="D89" i="3"/>
  <c r="E89" i="3" s="1"/>
  <c r="C39" i="3"/>
  <c r="H39" i="3" s="1"/>
  <c r="C21" i="3"/>
  <c r="D104" i="3"/>
  <c r="E104" i="3" s="1"/>
  <c r="C80" i="3"/>
  <c r="C79" i="3" s="1"/>
  <c r="C22" i="4" l="1"/>
  <c r="D22" i="4" s="1"/>
  <c r="E22" i="4" s="1"/>
  <c r="D4" i="4"/>
  <c r="E59" i="4"/>
  <c r="D77" i="3"/>
  <c r="D81" i="3"/>
  <c r="D82" i="3"/>
  <c r="D83" i="3"/>
  <c r="D84" i="3"/>
  <c r="D85" i="3"/>
  <c r="D86" i="3"/>
  <c r="D87" i="3"/>
  <c r="E87" i="3" s="1"/>
  <c r="D88" i="3"/>
  <c r="D91" i="3"/>
  <c r="D92" i="3"/>
  <c r="D93" i="3"/>
  <c r="D99" i="3"/>
  <c r="D100" i="3"/>
  <c r="D102" i="3"/>
  <c r="D106" i="3"/>
  <c r="D107" i="3"/>
  <c r="D108" i="3"/>
  <c r="D109" i="3"/>
  <c r="D111" i="3"/>
  <c r="D112" i="3"/>
  <c r="D114" i="3"/>
  <c r="D13" i="3"/>
  <c r="D15" i="3"/>
  <c r="D16" i="3"/>
  <c r="D19" i="3"/>
  <c r="D22" i="3"/>
  <c r="D28" i="3"/>
  <c r="D30" i="3"/>
  <c r="D31" i="3"/>
  <c r="D32" i="3"/>
  <c r="D34" i="3"/>
  <c r="D36" i="3"/>
  <c r="D38" i="3"/>
  <c r="D40" i="3"/>
  <c r="E40" i="3" s="1"/>
  <c r="D41" i="3"/>
  <c r="D43" i="3"/>
  <c r="D44" i="3"/>
  <c r="D45" i="3"/>
  <c r="D47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70" i="3"/>
  <c r="C98" i="3" l="1"/>
  <c r="C46" i="3"/>
  <c r="D46" i="3" s="1"/>
  <c r="E46" i="3" s="1"/>
  <c r="D42" i="3"/>
  <c r="E42" i="3" s="1"/>
  <c r="D39" i="3"/>
  <c r="E39" i="3" s="1"/>
  <c r="D21" i="3"/>
  <c r="E21" i="3" s="1"/>
  <c r="C113" i="3"/>
  <c r="D113" i="3" s="1"/>
  <c r="C110" i="3"/>
  <c r="D110" i="3" s="1"/>
  <c r="E110" i="3" s="1"/>
  <c r="D105" i="3"/>
  <c r="E105" i="3" s="1"/>
  <c r="E88" i="3"/>
  <c r="C37" i="3"/>
  <c r="C50" i="3"/>
  <c r="C49" i="3" s="1"/>
  <c r="E112" i="3"/>
  <c r="E83" i="3"/>
  <c r="E82" i="3"/>
  <c r="E81" i="3"/>
  <c r="E70" i="3"/>
  <c r="E111" i="3"/>
  <c r="E77" i="3"/>
  <c r="D78" i="3"/>
  <c r="E78" i="3" s="1"/>
  <c r="C72" i="3"/>
  <c r="D72" i="3" s="1"/>
  <c r="E72" i="3" s="1"/>
  <c r="D74" i="3"/>
  <c r="E74" i="3" s="1"/>
  <c r="C71" i="3"/>
  <c r="E106" i="3"/>
  <c r="E107" i="3"/>
  <c r="E108" i="3"/>
  <c r="E109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114" i="3"/>
  <c r="C103" i="3"/>
  <c r="C101" i="3" s="1"/>
  <c r="E15" i="3"/>
  <c r="E16" i="3"/>
  <c r="C94" i="3"/>
  <c r="C90" i="3" s="1"/>
  <c r="C33" i="3"/>
  <c r="E19" i="3"/>
  <c r="E102" i="3"/>
  <c r="E86" i="3"/>
  <c r="E100" i="3"/>
  <c r="C25" i="3"/>
  <c r="C24" i="3"/>
  <c r="D24" i="3" s="1"/>
  <c r="E24" i="3" s="1"/>
  <c r="C18" i="3"/>
  <c r="C17" i="3"/>
  <c r="D17" i="3" s="1"/>
  <c r="E17" i="3" s="1"/>
  <c r="C14" i="3"/>
  <c r="D14" i="3" s="1"/>
  <c r="E14" i="3" s="1"/>
  <c r="C26" i="3"/>
  <c r="D26" i="3" s="1"/>
  <c r="E26" i="3" s="1"/>
  <c r="E36" i="3"/>
  <c r="E13" i="3"/>
  <c r="E45" i="3"/>
  <c r="E92" i="3"/>
  <c r="E84" i="3"/>
  <c r="E38" i="3"/>
  <c r="E99" i="3"/>
  <c r="E47" i="3"/>
  <c r="E44" i="3"/>
  <c r="E91" i="3"/>
  <c r="E41" i="3"/>
  <c r="E93" i="3"/>
  <c r="E30" i="3"/>
  <c r="E31" i="3"/>
  <c r="E32" i="3"/>
  <c r="E28" i="3"/>
  <c r="E34" i="3"/>
  <c r="E43" i="3"/>
  <c r="E85" i="3"/>
  <c r="E22" i="3"/>
  <c r="D37" i="3" l="1"/>
  <c r="E37" i="3" s="1"/>
  <c r="H37" i="3"/>
  <c r="C35" i="3"/>
  <c r="H35" i="3" s="1"/>
  <c r="H49" i="3"/>
  <c r="D12" i="3"/>
  <c r="E12" i="3" s="1"/>
  <c r="C69" i="3"/>
  <c r="C48" i="3" s="1"/>
  <c r="H33" i="3"/>
  <c r="C29" i="3"/>
  <c r="H29" i="3" s="1"/>
  <c r="C97" i="3"/>
  <c r="D97" i="3" s="1"/>
  <c r="D4" i="3" s="1"/>
  <c r="H4" i="3" s="1"/>
  <c r="C27" i="3"/>
  <c r="D71" i="3"/>
  <c r="E71" i="3" s="1"/>
  <c r="D98" i="3"/>
  <c r="E98" i="3" s="1"/>
  <c r="C20" i="3"/>
  <c r="D25" i="3"/>
  <c r="E25" i="3" s="1"/>
  <c r="D94" i="3"/>
  <c r="E94" i="3" s="1"/>
  <c r="D76" i="3"/>
  <c r="E76" i="3" s="1"/>
  <c r="D18" i="3"/>
  <c r="E18" i="3" s="1"/>
  <c r="D33" i="3"/>
  <c r="E33" i="3" s="1"/>
  <c r="D103" i="3"/>
  <c r="E103" i="3" s="1"/>
  <c r="D75" i="3"/>
  <c r="E75" i="3" s="1"/>
  <c r="D50" i="3"/>
  <c r="E50" i="3" s="1"/>
  <c r="D80" i="3"/>
  <c r="E80" i="3" s="1"/>
  <c r="E113" i="3"/>
  <c r="D5" i="3"/>
  <c r="D20" i="3" l="1"/>
  <c r="E20" i="3" s="1"/>
  <c r="H20" i="3"/>
  <c r="H11" i="3"/>
  <c r="D35" i="3"/>
  <c r="E35" i="3" s="1"/>
  <c r="D27" i="3"/>
  <c r="E27" i="3" s="1"/>
  <c r="C23" i="3"/>
  <c r="D49" i="3"/>
  <c r="E49" i="3" s="1"/>
  <c r="D101" i="3"/>
  <c r="E101" i="3" s="1"/>
  <c r="D90" i="3"/>
  <c r="E90" i="3" s="1"/>
  <c r="D79" i="3"/>
  <c r="E79" i="3" s="1"/>
  <c r="D29" i="3"/>
  <c r="E29" i="3" s="1"/>
  <c r="D69" i="3"/>
  <c r="E69" i="3" s="1"/>
  <c r="E97" i="3"/>
  <c r="C115" i="3"/>
  <c r="D115" i="3" s="1"/>
  <c r="D23" i="3" l="1"/>
  <c r="E23" i="3" s="1"/>
  <c r="H23" i="3"/>
  <c r="D11" i="3"/>
  <c r="E11" i="3" s="1"/>
  <c r="C96" i="3"/>
  <c r="D96" i="3" s="1"/>
  <c r="D48" i="3"/>
  <c r="E48" i="3" s="1"/>
  <c r="E115" i="3"/>
  <c r="D8" i="3" l="1"/>
  <c r="E8" i="3" s="1"/>
  <c r="E96" i="3"/>
  <c r="E3" i="3" l="1"/>
  <c r="D3" i="3" l="1"/>
  <c r="H3" i="3"/>
  <c r="D6" i="3"/>
  <c r="D11" i="4"/>
  <c r="E11" i="4" s="1"/>
  <c r="C58" i="4"/>
  <c r="D8" i="4" s="1"/>
  <c r="E8" i="4" s="1"/>
  <c r="D58" i="4" l="1"/>
  <c r="E58" i="4" s="1"/>
  <c r="E3" i="4" s="1"/>
  <c r="D3" i="4" l="1"/>
  <c r="D6" i="4"/>
  <c r="C19" i="4"/>
  <c r="D19" i="4"/>
  <c r="E19" i="4"/>
</calcChain>
</file>

<file path=xl/sharedStrings.xml><?xml version="1.0" encoding="utf-8"?>
<sst xmlns="http://schemas.openxmlformats.org/spreadsheetml/2006/main" count="379" uniqueCount="250">
  <si>
    <t>I.</t>
  </si>
  <si>
    <t>ДОХОД</t>
  </si>
  <si>
    <t>год</t>
  </si>
  <si>
    <t>месяц</t>
  </si>
  <si>
    <t>1</t>
  </si>
  <si>
    <t>2</t>
  </si>
  <si>
    <t>II.</t>
  </si>
  <si>
    <t>РАСХОД</t>
  </si>
  <si>
    <t>1.</t>
  </si>
  <si>
    <t>ЧЛЕНСКИЙ ВЗНОС</t>
  </si>
  <si>
    <t>1.1.</t>
  </si>
  <si>
    <t>ЦЕЛЕВОЙ ВЗНОС</t>
  </si>
  <si>
    <t>1.2</t>
  </si>
  <si>
    <t>общая сумма</t>
  </si>
  <si>
    <t>с участка в год</t>
  </si>
  <si>
    <t>с участка в месяц</t>
  </si>
  <si>
    <t xml:space="preserve">Услуги банка </t>
  </si>
  <si>
    <t>Информационный центр - годовая поддержка электронной подписи</t>
  </si>
  <si>
    <t xml:space="preserve">Вывоз ТБО 12 мес. </t>
  </si>
  <si>
    <t>Размер взносов за год с одного участка (800 кв.м)</t>
  </si>
  <si>
    <t>Ежегодный взнос на основании сметы (целевой) с участка (800 кв.м)</t>
  </si>
  <si>
    <t>Ежемесячный взнос на основании сметы (членский) с участка (800 кв.м)</t>
  </si>
  <si>
    <t>1.5</t>
  </si>
  <si>
    <t>1.6</t>
  </si>
  <si>
    <t>Аренда "1С:Бухгалтерия.СНТ" - 1 рабочее место</t>
  </si>
  <si>
    <t>Ежеквартальные отчеты по воде Геодин</t>
  </si>
  <si>
    <t>Санитарно-эпидемиологическая экспертиза объектов зоны санитарной охраны</t>
  </si>
  <si>
    <t>Налоги в ФСС, ПФ  ( 30,2% )</t>
  </si>
  <si>
    <t>Возмещение:</t>
  </si>
  <si>
    <t>Оплата труда, налоги в том числе:</t>
  </si>
  <si>
    <t>Оплата Мобильной связи, сайта в том числе:</t>
  </si>
  <si>
    <t>Возмещение за служебные поездки</t>
  </si>
  <si>
    <t>Хозяйственные расходы, инвентарь:</t>
  </si>
  <si>
    <t>Услуги поставщиков и других организаций:</t>
  </si>
  <si>
    <t>1.1.1</t>
  </si>
  <si>
    <t>1.1.2</t>
  </si>
  <si>
    <t>1.1.3</t>
  </si>
  <si>
    <t>1.1.5</t>
  </si>
  <si>
    <t>Транспортный налог (трактор)</t>
  </si>
  <si>
    <t>Ведение бухгалтерии, почтовые и  канцелярские расходы:</t>
  </si>
  <si>
    <t>1.7</t>
  </si>
  <si>
    <t>1.8</t>
  </si>
  <si>
    <t>Отчёты и иные работы по отчётности:</t>
  </si>
  <si>
    <t>Работы:</t>
  </si>
  <si>
    <t>Чистка накопительного резервуара</t>
  </si>
  <si>
    <t>Непредвиденные  аварийные ситуации</t>
  </si>
  <si>
    <t>Председатель Товарищества 51 800.00р. х12 мес.</t>
  </si>
  <si>
    <t>Бухгалтеру (400.00р.х12 мес.)</t>
  </si>
  <si>
    <t>Договор на обслуживание высокой линии электропередач с компанией МИК на год</t>
  </si>
  <si>
    <t>1.5.1</t>
  </si>
  <si>
    <t>1.3.1</t>
  </si>
  <si>
    <t>1.7.1</t>
  </si>
  <si>
    <t>1.4.1</t>
  </si>
  <si>
    <t>1.3.2</t>
  </si>
  <si>
    <t>1.3.3</t>
  </si>
  <si>
    <t>1.3.4</t>
  </si>
  <si>
    <t>1.3.5</t>
  </si>
  <si>
    <t>1.4.2</t>
  </si>
  <si>
    <t>1.4.3</t>
  </si>
  <si>
    <t>1.5.2</t>
  </si>
  <si>
    <t>1.6.1</t>
  </si>
  <si>
    <t>1.6.2</t>
  </si>
  <si>
    <t>1.7.2</t>
  </si>
  <si>
    <t>1.7.3</t>
  </si>
  <si>
    <t>Возмещение потребленной электроэнергии и технологических потерь по объектам общего пользования (КПП, правление, уличное освещение, насосная, домик рабочего)</t>
  </si>
  <si>
    <t>Юридические услуги</t>
  </si>
  <si>
    <t>Сторож, 4 человека, смена-2 300.00р.х 365д.+отпускные (4х18 400.00р.)</t>
  </si>
  <si>
    <t>Председателю (400.00р.х 12 мес.)</t>
  </si>
  <si>
    <t>1.1.7</t>
  </si>
  <si>
    <t>Канцелярские товары: Тонер 6 шт.х 450.00р., бумага, канцелярские принадлежности и пр.</t>
  </si>
  <si>
    <t>Приходно - расходная смета на 2023 год</t>
  </si>
  <si>
    <t>2.5</t>
  </si>
  <si>
    <t>Главный бухгалтер +кадровик (0,5 ставки) 35 000.00р. х12 мес.</t>
  </si>
  <si>
    <t>Тракторист-подсобный рабочий 74 713,00р.х 6 мес.</t>
  </si>
  <si>
    <t>НАЛОГИ (другие):</t>
  </si>
  <si>
    <t>Разнорабочему, МТС - тариф 600.00р. в мес.</t>
  </si>
  <si>
    <t>Телефон в сторожке МТС - тариф 600.00р. в мес.</t>
  </si>
  <si>
    <t>1.2.</t>
  </si>
  <si>
    <t>1.3.</t>
  </si>
  <si>
    <t>1.4.</t>
  </si>
  <si>
    <t>1.4.4</t>
  </si>
  <si>
    <t>1.5.3</t>
  </si>
  <si>
    <t>Закупка дизтоплива (трактор)</t>
  </si>
  <si>
    <t>Непредвиденные аварийные стуации</t>
  </si>
  <si>
    <t>1.9</t>
  </si>
  <si>
    <t xml:space="preserve">Анализ воды в скважинах  </t>
  </si>
  <si>
    <t>Ремонт шлагбаума, ТО</t>
  </si>
  <si>
    <t>Пескоразбрасыватель</t>
  </si>
  <si>
    <t>ИП Поселягин, монтаж/демонтаж глубинного насоса, покупка нового насоса</t>
  </si>
  <si>
    <t xml:space="preserve">Калинина НД ИП, насос, рабочее колесо, набивка сальниковая </t>
  </si>
  <si>
    <t>Автоматы для насосной станции</t>
  </si>
  <si>
    <t>Нож отвал для трактора</t>
  </si>
  <si>
    <t>1.1.4</t>
  </si>
  <si>
    <t>1.1.6</t>
  </si>
  <si>
    <t>1.4.5</t>
  </si>
  <si>
    <t>1.9.2</t>
  </si>
  <si>
    <t>1.9.3</t>
  </si>
  <si>
    <t>1.9.4</t>
  </si>
  <si>
    <t>1.9.5</t>
  </si>
  <si>
    <t>1.9.6</t>
  </si>
  <si>
    <t>1.10</t>
  </si>
  <si>
    <t>1.10.1</t>
  </si>
  <si>
    <t>1.10.2</t>
  </si>
  <si>
    <t>1.10.3</t>
  </si>
  <si>
    <t>1.10.4</t>
  </si>
  <si>
    <t>1.10.5</t>
  </si>
  <si>
    <t>Компенсация за неиспользованный отпуск председателю СНТ (2019-2023гг)</t>
  </si>
  <si>
    <t>1.1.8</t>
  </si>
  <si>
    <t>1.1.9</t>
  </si>
  <si>
    <t>Электронная сдача отчетности, лицензия на 2 года</t>
  </si>
  <si>
    <t>Электрик 50 000.00р. х 6 мес.</t>
  </si>
  <si>
    <t>Разнорабочий 36 000.00 х 6 мес.</t>
  </si>
  <si>
    <t>Тракторист 10 000.00 х 6 мес.</t>
  </si>
  <si>
    <t>Оплата  сайта: 400,00 р. Х 12 мес.,оплата доменного имени 850р.</t>
  </si>
  <si>
    <t>Шкаф для документов в правление (железный)</t>
  </si>
  <si>
    <t xml:space="preserve">Работы, заказанные у компании МИК </t>
  </si>
  <si>
    <t>1.9.8</t>
  </si>
  <si>
    <t>Покупка Дров</t>
  </si>
  <si>
    <t>1.9.1.1</t>
  </si>
  <si>
    <t>1.9.1.2</t>
  </si>
  <si>
    <t>1.9.1.3</t>
  </si>
  <si>
    <t>1.9.1.4</t>
  </si>
  <si>
    <t>1.9.1.5</t>
  </si>
  <si>
    <t>1.9.1.6</t>
  </si>
  <si>
    <t>1.9.1.7</t>
  </si>
  <si>
    <t>1.9.1.8</t>
  </si>
  <si>
    <t>ТРАКТОР</t>
  </si>
  <si>
    <t>Фильтр топливный</t>
  </si>
  <si>
    <t>Ремкоплект гидрораспределителя</t>
  </si>
  <si>
    <t xml:space="preserve">Комплект патрубков радиатора </t>
  </si>
  <si>
    <t>Масло для двигателя М10Г2К 20 л.</t>
  </si>
  <si>
    <t xml:space="preserve">Тосол 25 л. </t>
  </si>
  <si>
    <t>Тормозные механизмы: 2 полных комплекта (на 2 колеса) - колодки, диски</t>
  </si>
  <si>
    <t>Сальники КФЛ 50-7-10 двубортные  8 шт.</t>
  </si>
  <si>
    <t xml:space="preserve">Предпусковой подогреватель </t>
  </si>
  <si>
    <t xml:space="preserve">Фильтр масляный </t>
  </si>
  <si>
    <t xml:space="preserve">Задняя поперечина (навеска) </t>
  </si>
  <si>
    <t>«Пальцы»  6 шт.</t>
  </si>
  <si>
    <t xml:space="preserve">Техпалстины отвала ковша (резиновые накладки) </t>
  </si>
  <si>
    <t xml:space="preserve">Масло для гидравлики 25 л. </t>
  </si>
  <si>
    <t xml:space="preserve">Рулевые наконечники 2 шт </t>
  </si>
  <si>
    <t xml:space="preserve">Ремкоплект механизма блокировки дифференциала </t>
  </si>
  <si>
    <t xml:space="preserve">Редуктор пескоразбрасывателя </t>
  </si>
  <si>
    <t>GPS трекер</t>
  </si>
  <si>
    <t>1.9.1.9</t>
  </si>
  <si>
    <t>1.9.1.10</t>
  </si>
  <si>
    <t>1.9.1.11</t>
  </si>
  <si>
    <t>1.9.1.12</t>
  </si>
  <si>
    <t>1.9.1.13</t>
  </si>
  <si>
    <t>1.9.1.14</t>
  </si>
  <si>
    <t>1.9.1.15</t>
  </si>
  <si>
    <t>1.9.1.16</t>
  </si>
  <si>
    <t>1.9.1.17</t>
  </si>
  <si>
    <t>1.9.1.18</t>
  </si>
  <si>
    <t>1.9.1.</t>
  </si>
  <si>
    <t>ПРАВЛЕНИЕ, СТОРОЖА, ВЪЕЗД/ВЫЕЗД</t>
  </si>
  <si>
    <t xml:space="preserve">Телефонный аппарат для сторожей (кнопочный) </t>
  </si>
  <si>
    <t>Светодиодные фонари по 130 ват на столб на освещение зоны вьезда/выезда, 2шт.</t>
  </si>
  <si>
    <t>Светодиодные прожекторы для камер считывания номеров, 2шт</t>
  </si>
  <si>
    <t>ЭЛЕКТРИЧЕСТВО</t>
  </si>
  <si>
    <t>Контрольные счетчики, 5 комплектов:</t>
  </si>
  <si>
    <t>1.9.3.4</t>
  </si>
  <si>
    <t>1.9.3.5</t>
  </si>
  <si>
    <t>Светодиодные фонари по 130 ват на столбы для освещения центральных улиц, 8 шт.</t>
  </si>
  <si>
    <t>Система определения неучтенного потребления ЭЭ (поиск воров)</t>
  </si>
  <si>
    <t>Автоматические выключатели на 1А для установки должникам</t>
  </si>
  <si>
    <t xml:space="preserve">Автоматические выключатели для установки после счетчиков, ограничительные 3-х фазные </t>
  </si>
  <si>
    <t>Счетчик 3-х фазный электронный</t>
  </si>
  <si>
    <t xml:space="preserve">Щит учета металлический, влагозащищенный (шкаф для счетчика) </t>
  </si>
  <si>
    <t>Трансформаторы тока</t>
  </si>
  <si>
    <t>Кабели, монтажные принадлежности, инструменты</t>
  </si>
  <si>
    <t>Лампы для фонарей на столбах</t>
  </si>
  <si>
    <t>1.9.3.6</t>
  </si>
  <si>
    <t>Дорога</t>
  </si>
  <si>
    <t>Трактор</t>
  </si>
  <si>
    <t>2.1.</t>
  </si>
  <si>
    <t>2.1.1</t>
  </si>
  <si>
    <t>2.1.2</t>
  </si>
  <si>
    <t>2.2.</t>
  </si>
  <si>
    <t>2.2.1</t>
  </si>
  <si>
    <t>2.2.2</t>
  </si>
  <si>
    <t>2.4.1</t>
  </si>
  <si>
    <t xml:space="preserve">ЗОП </t>
  </si>
  <si>
    <t>3</t>
  </si>
  <si>
    <t xml:space="preserve">Кадастровые работы </t>
  </si>
  <si>
    <t>3.1</t>
  </si>
  <si>
    <t xml:space="preserve">Электричество </t>
  </si>
  <si>
    <t xml:space="preserve">Датчики для шлагбаума </t>
  </si>
  <si>
    <t>1.9.2.1</t>
  </si>
  <si>
    <t>1.9.2.2</t>
  </si>
  <si>
    <t>1.9.2.3</t>
  </si>
  <si>
    <t>1.9.2.4</t>
  </si>
  <si>
    <t>1.9.2.5</t>
  </si>
  <si>
    <t>1.9.2.6</t>
  </si>
  <si>
    <t>1.9.3.1</t>
  </si>
  <si>
    <t>1.9.3.2</t>
  </si>
  <si>
    <t xml:space="preserve">Реконструкиця системы питания, управления и защиты глубинных насосов+ работа </t>
  </si>
  <si>
    <t>2.3.</t>
  </si>
  <si>
    <t>2.3.1</t>
  </si>
  <si>
    <t>2.3.2</t>
  </si>
  <si>
    <t>2.3.3</t>
  </si>
  <si>
    <t>2.3.4</t>
  </si>
  <si>
    <t>2.4.</t>
  </si>
  <si>
    <t>Ежегодный взнос на основании сметы (целевой) с участка (800 кв.м) Кадастровые работы</t>
  </si>
  <si>
    <t xml:space="preserve">ИТОГО с учетом Кадастровых работ </t>
  </si>
  <si>
    <t>Приобретение расходных и хозяйственных материалов: перчаток, мешков для сбора мусора, лопат, краски, лески, замки, диски т.д.</t>
  </si>
  <si>
    <t>Количество участков в СТН</t>
  </si>
  <si>
    <t>ИТОГО запланированный доход с 441 участков на 2023 год</t>
  </si>
  <si>
    <t>4</t>
  </si>
  <si>
    <t>5</t>
  </si>
  <si>
    <t>Приобретение расходных и хозяйственных материалов: перчаток, мешков для сбора мусора, лопат, краски и т.д.</t>
  </si>
  <si>
    <t xml:space="preserve">Леска, замки, диски и тд. </t>
  </si>
  <si>
    <t>Ремонт здания Правления: ремонт отмостки вокруг здания Правления и сторожки; замена потолков, светильников; электрика</t>
  </si>
  <si>
    <t>ИБП для компьютера в правлении</t>
  </si>
  <si>
    <t>Генератор бензиновый</t>
  </si>
  <si>
    <t>Реверсивный рубильник, щит распределительный, автоматы, кабели, кабель-каналы, гофра и др. монтажные принадлежности</t>
  </si>
  <si>
    <t xml:space="preserve">Бензиновый высоторез для веток и деревьев </t>
  </si>
  <si>
    <t>2.1.3</t>
  </si>
  <si>
    <t>2.2</t>
  </si>
  <si>
    <t>2.3</t>
  </si>
  <si>
    <t>2.2.3</t>
  </si>
  <si>
    <t>1.9.2.4.1</t>
  </si>
  <si>
    <t>1.9.2.4.2</t>
  </si>
  <si>
    <t>1.9.2.4.3</t>
  </si>
  <si>
    <t xml:space="preserve">Фитинги, краны, соединители и т.п. для плановых и аварийных ремонтов/замен колодцев (крестовин) </t>
  </si>
  <si>
    <t>Система точного мониторинга воды в емкости с передачей показаний в реальном времени в телеграм бот, на сам, по смс и т.п.</t>
  </si>
  <si>
    <t>Утепление насосной и скважин (пенополистирол, клей, пена монтажная и др.)</t>
  </si>
  <si>
    <t>Песок</t>
  </si>
  <si>
    <t xml:space="preserve">Ремонт трактора </t>
  </si>
  <si>
    <t>1.9.1.19</t>
  </si>
  <si>
    <t xml:space="preserve">Литол </t>
  </si>
  <si>
    <t xml:space="preserve">оплачено </t>
  </si>
  <si>
    <t>оплачено</t>
  </si>
  <si>
    <t>оплачено 10 260</t>
  </si>
  <si>
    <t>1.9.1</t>
  </si>
  <si>
    <t>факт 2022</t>
  </si>
  <si>
    <t>НАСОСНАЯ СТАНЦИЯ</t>
  </si>
  <si>
    <t>1.9.7</t>
  </si>
  <si>
    <t>Поселягин ИП, демонтаж/монтаж глубинного насоса с заменой на резервный (приобретённый в 2022г.)</t>
  </si>
  <si>
    <t>Итого:</t>
  </si>
  <si>
    <t>Насосная станция</t>
  </si>
  <si>
    <t>ПРАВЛЕНИЕ, СТОРОЖА, КПП</t>
  </si>
  <si>
    <t>Обогреватель масляный для помещения правления</t>
  </si>
  <si>
    <t>Устройство дорожного покрытия из асфальта</t>
  </si>
  <si>
    <t>Приходно - расходная смета на 2024 год</t>
  </si>
  <si>
    <t>Тракторист, подсобный рабочий 74 713,00р.х 6 мес.</t>
  </si>
  <si>
    <t>Единый налог и взносы НСПП в СФР и ФСС ( 30,2% )</t>
  </si>
  <si>
    <t>Количество участков в СНТ</t>
  </si>
  <si>
    <t>част. оплачено</t>
  </si>
  <si>
    <t>Частотный преобразователь на 11 кВт (2 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</si>
</sst>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0"/>
    <numFmt numFmtId="166" formatCode="_-* #,##0.00\ _₽_-;\-* #,##0.00\ _₽_-;_-* &quot;-&quot;??\ _₽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4" borderId="0" xfId="0" applyFont="1" applyFill="1"/>
    <xf numFmtId="4" fontId="11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/>
    </xf>
    <xf numFmtId="4" fontId="8" fillId="1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Border="1"/>
    <xf numFmtId="49" fontId="14" fillId="8" borderId="1" xfId="0" applyNumberFormat="1" applyFont="1" applyFill="1" applyBorder="1" applyAlignment="1">
      <alignment vertical="center" wrapText="1"/>
    </xf>
    <xf numFmtId="49" fontId="16" fillId="8" borderId="1" xfId="0" applyNumberFormat="1" applyFont="1" applyFill="1" applyBorder="1" applyAlignment="1">
      <alignment vertical="center" wrapText="1"/>
    </xf>
    <xf numFmtId="49" fontId="17" fillId="4" borderId="1" xfId="0" applyNumberFormat="1" applyFont="1" applyFill="1" applyBorder="1" applyAlignment="1">
      <alignment horizontal="left" vertical="center" wrapText="1"/>
    </xf>
    <xf numFmtId="0" fontId="3" fillId="0" borderId="0" xfId="0" applyFont="1"/>
    <xf numFmtId="0" fontId="19" fillId="7" borderId="1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vertical="center" wrapText="1"/>
    </xf>
    <xf numFmtId="0" fontId="23" fillId="6" borderId="1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vertical="center" wrapText="1"/>
    </xf>
    <xf numFmtId="0" fontId="21" fillId="8" borderId="1" xfId="0" applyFont="1" applyFill="1" applyBorder="1" applyAlignment="1">
      <alignment vertical="center" wrapText="1"/>
    </xf>
    <xf numFmtId="0" fontId="23" fillId="13" borderId="1" xfId="0" applyFont="1" applyFill="1" applyBorder="1" applyAlignment="1">
      <alignment vertical="center" wrapText="1"/>
    </xf>
    <xf numFmtId="0" fontId="23" fillId="12" borderId="1" xfId="0" applyFont="1" applyFill="1" applyBorder="1" applyAlignment="1">
      <alignment vertical="center" wrapText="1"/>
    </xf>
    <xf numFmtId="0" fontId="24" fillId="12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24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vertical="center" wrapText="1"/>
    </xf>
    <xf numFmtId="0" fontId="21" fillId="7" borderId="1" xfId="0" applyFont="1" applyFill="1" applyBorder="1" applyAlignment="1">
      <alignment horizontal="left" vertical="center" wrapText="1"/>
    </xf>
    <xf numFmtId="0" fontId="15" fillId="0" borderId="0" xfId="0" applyFont="1"/>
    <xf numFmtId="4" fontId="23" fillId="5" borderId="1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4" fontId="13" fillId="8" borderId="1" xfId="0" applyNumberFormat="1" applyFont="1" applyFill="1" applyBorder="1" applyAlignment="1">
      <alignment horizontal="center" vertical="center" wrapText="1"/>
    </xf>
    <xf numFmtId="4" fontId="9" fillId="13" borderId="1" xfId="0" applyNumberFormat="1" applyFont="1" applyFill="1" applyBorder="1" applyAlignment="1">
      <alignment horizontal="center" vertical="center" wrapText="1"/>
    </xf>
    <xf numFmtId="4" fontId="9" fillId="12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9" borderId="1" xfId="1" applyNumberFormat="1" applyFont="1" applyFill="1" applyBorder="1" applyAlignment="1">
      <alignment horizontal="center" vertical="center" wrapText="1"/>
    </xf>
    <xf numFmtId="4" fontId="12" fillId="9" borderId="1" xfId="0" applyNumberFormat="1" applyFont="1" applyFill="1" applyBorder="1" applyAlignment="1">
      <alignment horizontal="center" vertical="center" wrapText="1"/>
    </xf>
    <xf numFmtId="4" fontId="12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4" fontId="10" fillId="6" borderId="1" xfId="0" applyNumberFormat="1" applyFont="1" applyFill="1" applyBorder="1" applyAlignment="1">
      <alignment horizontal="center" vertical="center" wrapText="1"/>
    </xf>
    <xf numFmtId="4" fontId="11" fillId="8" borderId="1" xfId="0" applyNumberFormat="1" applyFont="1" applyFill="1" applyBorder="1" applyAlignment="1">
      <alignment horizontal="center" vertical="center" wrapText="1"/>
    </xf>
    <xf numFmtId="4" fontId="10" fillId="13" borderId="1" xfId="0" applyNumberFormat="1" applyFont="1" applyFill="1" applyBorder="1" applyAlignment="1">
      <alignment horizontal="center" vertical="center" wrapText="1"/>
    </xf>
    <xf numFmtId="4" fontId="10" fillId="1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left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4" fontId="11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65" fontId="2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20" fillId="7" borderId="1" xfId="0" applyNumberFormat="1" applyFont="1" applyFill="1" applyBorder="1" applyAlignment="1">
      <alignment horizontal="left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8" fillId="7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4" fontId="13" fillId="15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/>
    </xf>
    <xf numFmtId="49" fontId="17" fillId="0" borderId="1" xfId="0" applyNumberFormat="1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left" vertical="center"/>
    </xf>
    <xf numFmtId="49" fontId="16" fillId="10" borderId="1" xfId="0" applyNumberFormat="1" applyFont="1" applyFill="1" applyBorder="1" applyAlignment="1">
      <alignment horizontal="left" vertical="center"/>
    </xf>
    <xf numFmtId="49" fontId="17" fillId="6" borderId="1" xfId="0" applyNumberFormat="1" applyFont="1" applyFill="1" applyBorder="1" applyAlignment="1">
      <alignment horizontal="left" vertical="center" wrapText="1"/>
    </xf>
    <xf numFmtId="49" fontId="16" fillId="8" borderId="1" xfId="0" applyNumberFormat="1" applyFont="1" applyFill="1" applyBorder="1" applyAlignment="1">
      <alignment horizontal="left" vertical="center" wrapText="1"/>
    </xf>
    <xf numFmtId="49" fontId="17" fillId="13" borderId="1" xfId="0" applyNumberFormat="1" applyFont="1" applyFill="1" applyBorder="1" applyAlignment="1">
      <alignment horizontal="left" vertical="center" wrapText="1"/>
    </xf>
    <xf numFmtId="49" fontId="17" fillId="0" borderId="0" xfId="0" applyNumberFormat="1" applyFont="1" applyAlignment="1">
      <alignment horizontal="left"/>
    </xf>
    <xf numFmtId="0" fontId="4" fillId="10" borderId="1" xfId="0" applyFont="1" applyFill="1" applyBorder="1" applyAlignment="1">
      <alignment vertical="center" wrapText="1"/>
    </xf>
    <xf numFmtId="49" fontId="16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9" fontId="3" fillId="10" borderId="1" xfId="0" applyNumberFormat="1" applyFont="1" applyFill="1" applyBorder="1" applyAlignment="1">
      <alignment horizontal="left" wrapText="1"/>
    </xf>
    <xf numFmtId="4" fontId="5" fillId="10" borderId="1" xfId="0" applyNumberFormat="1" applyFont="1" applyFill="1" applyBorder="1" applyAlignment="1">
      <alignment horizontal="center" vertical="center" wrapText="1"/>
    </xf>
    <xf numFmtId="4" fontId="26" fillId="10" borderId="1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4" fontId="8" fillId="8" borderId="1" xfId="0" applyNumberFormat="1" applyFont="1" applyFill="1" applyBorder="1" applyAlignment="1">
      <alignment horizontal="center" vertical="center" wrapText="1"/>
    </xf>
    <xf numFmtId="49" fontId="15" fillId="16" borderId="1" xfId="0" applyNumberFormat="1" applyFont="1" applyFill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left" vertical="center" wrapText="1"/>
    </xf>
    <xf numFmtId="49" fontId="17" fillId="5" borderId="1" xfId="0" applyNumberFormat="1" applyFont="1" applyFill="1" applyBorder="1" applyAlignment="1">
      <alignment horizontal="left" vertical="center" wrapText="1"/>
    </xf>
    <xf numFmtId="0" fontId="22" fillId="8" borderId="1" xfId="0" applyFont="1" applyFill="1" applyBorder="1" applyAlignment="1">
      <alignment vertical="center" wrapText="1"/>
    </xf>
    <xf numFmtId="0" fontId="19" fillId="13" borderId="1" xfId="0" applyFont="1" applyFill="1" applyBorder="1" applyAlignment="1">
      <alignment vertical="center" wrapText="1"/>
    </xf>
    <xf numFmtId="49" fontId="17" fillId="12" borderId="1" xfId="0" applyNumberFormat="1" applyFont="1" applyFill="1" applyBorder="1" applyAlignment="1">
      <alignment horizontal="left" vertical="center" wrapText="1"/>
    </xf>
    <xf numFmtId="0" fontId="23" fillId="14" borderId="1" xfId="0" applyFont="1" applyFill="1" applyBorder="1" applyAlignment="1">
      <alignment vertical="center" wrapText="1"/>
    </xf>
    <xf numFmtId="49" fontId="17" fillId="11" borderId="1" xfId="0" applyNumberFormat="1" applyFont="1" applyFill="1" applyBorder="1" applyAlignment="1">
      <alignment horizontal="left" vertical="center" wrapText="1"/>
    </xf>
    <xf numFmtId="0" fontId="19" fillId="11" borderId="1" xfId="0" applyFont="1" applyFill="1" applyBorder="1" applyAlignment="1">
      <alignment horizontal="left" vertical="center" wrapText="1"/>
    </xf>
    <xf numFmtId="4" fontId="9" fillId="11" borderId="1" xfId="0" applyNumberFormat="1" applyFont="1" applyFill="1" applyBorder="1" applyAlignment="1">
      <alignment horizontal="center" vertical="center" wrapText="1"/>
    </xf>
    <xf numFmtId="4" fontId="10" fillId="11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49" fontId="21" fillId="7" borderId="1" xfId="0" applyNumberFormat="1" applyFont="1" applyFill="1" applyBorder="1" applyAlignment="1">
      <alignment horizontal="left" vertical="center" wrapText="1"/>
    </xf>
    <xf numFmtId="0" fontId="15" fillId="4" borderId="0" xfId="0" applyFont="1" applyFill="1"/>
    <xf numFmtId="0" fontId="3" fillId="4" borderId="0" xfId="0" applyFont="1" applyFill="1"/>
    <xf numFmtId="164" fontId="2" fillId="4" borderId="0" xfId="1" applyFont="1" applyFill="1"/>
    <xf numFmtId="166" fontId="2" fillId="4" borderId="0" xfId="0" applyNumberFormat="1" applyFont="1" applyFill="1"/>
    <xf numFmtId="49" fontId="17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wrapText="1"/>
    </xf>
    <xf numFmtId="4" fontId="10" fillId="4" borderId="0" xfId="0" applyNumberFormat="1" applyFont="1" applyFill="1" applyAlignment="1">
      <alignment horizontal="center" wrapText="1"/>
    </xf>
    <xf numFmtId="0" fontId="23" fillId="0" borderId="1" xfId="0" applyFont="1" applyBorder="1" applyAlignment="1">
      <alignment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4" fontId="23" fillId="4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164" fontId="11" fillId="0" borderId="1" xfId="1" applyFont="1" applyBorder="1" applyAlignment="1">
      <alignment horizontal="center" vertical="center" wrapText="1"/>
    </xf>
    <xf numFmtId="164" fontId="12" fillId="2" borderId="1" xfId="1" applyFont="1" applyFill="1" applyBorder="1" applyAlignment="1">
      <alignment horizontal="center" vertical="center" wrapText="1"/>
    </xf>
    <xf numFmtId="164" fontId="12" fillId="9" borderId="1" xfId="1" applyFont="1" applyFill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/>
    </xf>
    <xf numFmtId="164" fontId="5" fillId="0" borderId="1" xfId="1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 wrapText="1"/>
    </xf>
    <xf numFmtId="164" fontId="8" fillId="10" borderId="1" xfId="1" applyFont="1" applyFill="1" applyBorder="1" applyAlignment="1">
      <alignment horizontal="center" vertical="center" wrapText="1"/>
    </xf>
    <xf numFmtId="164" fontId="8" fillId="8" borderId="1" xfId="1" applyFont="1" applyFill="1" applyBorder="1" applyAlignment="1">
      <alignment horizontal="center" vertical="center" wrapText="1"/>
    </xf>
    <xf numFmtId="164" fontId="23" fillId="5" borderId="1" xfId="1" applyFont="1" applyFill="1" applyBorder="1" applyAlignment="1">
      <alignment horizontal="center" vertical="center" wrapText="1"/>
    </xf>
    <xf numFmtId="164" fontId="15" fillId="5" borderId="1" xfId="1" applyFont="1" applyFill="1" applyBorder="1" applyAlignment="1">
      <alignment horizontal="center" vertical="center" wrapText="1"/>
    </xf>
    <xf numFmtId="164" fontId="13" fillId="8" borderId="1" xfId="1" applyFont="1" applyFill="1" applyBorder="1" applyAlignment="1">
      <alignment horizontal="center" vertical="center" wrapText="1"/>
    </xf>
    <xf numFmtId="164" fontId="9" fillId="5" borderId="1" xfId="1" applyFont="1" applyFill="1" applyBorder="1" applyAlignment="1">
      <alignment horizontal="center" vertical="center" wrapText="1"/>
    </xf>
    <xf numFmtId="164" fontId="10" fillId="5" borderId="1" xfId="1" applyFont="1" applyFill="1" applyBorder="1" applyAlignment="1">
      <alignment horizontal="center" vertical="center" wrapText="1"/>
    </xf>
    <xf numFmtId="164" fontId="9" fillId="6" borderId="1" xfId="1" applyFont="1" applyFill="1" applyBorder="1" applyAlignment="1">
      <alignment horizontal="center" vertical="center" wrapText="1"/>
    </xf>
    <xf numFmtId="164" fontId="10" fillId="6" borderId="1" xfId="1" applyFont="1" applyFill="1" applyBorder="1" applyAlignment="1">
      <alignment horizontal="center" vertical="center" wrapText="1"/>
    </xf>
    <xf numFmtId="164" fontId="11" fillId="8" borderId="1" xfId="1" applyFont="1" applyFill="1" applyBorder="1" applyAlignment="1">
      <alignment horizontal="center" vertical="center" wrapText="1"/>
    </xf>
    <xf numFmtId="164" fontId="9" fillId="13" borderId="1" xfId="1" applyFont="1" applyFill="1" applyBorder="1" applyAlignment="1">
      <alignment horizontal="center" vertical="center" wrapText="1"/>
    </xf>
    <xf numFmtId="164" fontId="10" fillId="13" borderId="1" xfId="1" applyFont="1" applyFill="1" applyBorder="1" applyAlignment="1">
      <alignment horizontal="center" vertical="center" wrapText="1"/>
    </xf>
    <xf numFmtId="164" fontId="9" fillId="12" borderId="1" xfId="1" applyFont="1" applyFill="1" applyBorder="1" applyAlignment="1">
      <alignment horizontal="center" vertical="center" wrapText="1"/>
    </xf>
    <xf numFmtId="164" fontId="10" fillId="12" borderId="1" xfId="1" applyFont="1" applyFill="1" applyBorder="1" applyAlignment="1">
      <alignment horizontal="center" vertical="center" wrapText="1"/>
    </xf>
    <xf numFmtId="164" fontId="9" fillId="11" borderId="1" xfId="1" applyFont="1" applyFill="1" applyBorder="1" applyAlignment="1">
      <alignment horizontal="center" vertical="center" wrapText="1"/>
    </xf>
    <xf numFmtId="164" fontId="10" fillId="11" borderId="1" xfId="1" applyFont="1" applyFill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center" vertical="center" wrapText="1"/>
    </xf>
    <xf numFmtId="164" fontId="10" fillId="0" borderId="1" xfId="1" applyFont="1" applyFill="1" applyBorder="1" applyAlignment="1">
      <alignment horizontal="center" vertical="center" wrapText="1"/>
    </xf>
    <xf numFmtId="164" fontId="9" fillId="4" borderId="1" xfId="1" applyFont="1" applyFill="1" applyBorder="1" applyAlignment="1">
      <alignment horizontal="center" vertical="center" wrapText="1"/>
    </xf>
    <xf numFmtId="164" fontId="10" fillId="4" borderId="1" xfId="1" applyFont="1" applyFill="1" applyBorder="1" applyAlignment="1">
      <alignment horizontal="center" vertical="center" wrapText="1"/>
    </xf>
    <xf numFmtId="164" fontId="8" fillId="7" borderId="1" xfId="1" applyFont="1" applyFill="1" applyBorder="1" applyAlignment="1">
      <alignment horizontal="center" vertical="center" wrapText="1"/>
    </xf>
    <xf numFmtId="164" fontId="11" fillId="7" borderId="1" xfId="1" applyFont="1" applyFill="1" applyBorder="1" applyAlignment="1">
      <alignment horizontal="center" vertical="center" wrapText="1"/>
    </xf>
    <xf numFmtId="164" fontId="9" fillId="7" borderId="1" xfId="1" applyFont="1" applyFill="1" applyBorder="1" applyAlignment="1">
      <alignment horizontal="center" vertical="center" wrapText="1"/>
    </xf>
    <xf numFmtId="164" fontId="10" fillId="7" borderId="1" xfId="1" applyFont="1" applyFill="1" applyBorder="1" applyAlignment="1">
      <alignment horizontal="center" vertical="center" wrapText="1"/>
    </xf>
    <xf numFmtId="164" fontId="23" fillId="7" borderId="1" xfId="1" applyFont="1" applyFill="1" applyBorder="1" applyAlignment="1">
      <alignment horizontal="center" vertical="center" wrapText="1"/>
    </xf>
    <xf numFmtId="164" fontId="15" fillId="7" borderId="1" xfId="1" applyFont="1" applyFill="1" applyBorder="1" applyAlignment="1">
      <alignment horizontal="center" vertical="center" wrapText="1"/>
    </xf>
    <xf numFmtId="164" fontId="22" fillId="7" borderId="1" xfId="1" applyFont="1" applyFill="1" applyBorder="1" applyAlignment="1">
      <alignment horizontal="center" vertical="center" wrapText="1"/>
    </xf>
    <xf numFmtId="164" fontId="14" fillId="7" borderId="1" xfId="1" applyFont="1" applyFill="1" applyBorder="1" applyAlignment="1">
      <alignment horizontal="center" vertical="center" wrapText="1"/>
    </xf>
    <xf numFmtId="164" fontId="23" fillId="4" borderId="1" xfId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center" vertical="center" wrapText="1"/>
    </xf>
    <xf numFmtId="164" fontId="23" fillId="0" borderId="1" xfId="1" applyFont="1" applyBorder="1" applyAlignment="1">
      <alignment horizontal="center" vertical="center" wrapText="1"/>
    </xf>
    <xf numFmtId="164" fontId="13" fillId="3" borderId="1" xfId="1" applyFont="1" applyFill="1" applyBorder="1" applyAlignment="1">
      <alignment horizontal="center" vertical="center" wrapText="1"/>
    </xf>
    <xf numFmtId="164" fontId="12" fillId="3" borderId="1" xfId="1" applyFont="1" applyFill="1" applyBorder="1" applyAlignment="1">
      <alignment horizontal="center" vertical="center" wrapText="1"/>
    </xf>
    <xf numFmtId="164" fontId="5" fillId="10" borderId="1" xfId="1" applyFont="1" applyFill="1" applyBorder="1" applyAlignment="1">
      <alignment horizontal="center" vertical="center" wrapText="1"/>
    </xf>
    <xf numFmtId="164" fontId="13" fillId="0" borderId="1" xfId="1" applyFont="1" applyFill="1" applyBorder="1" applyAlignment="1">
      <alignment horizontal="center" vertical="center" wrapText="1"/>
    </xf>
    <xf numFmtId="164" fontId="25" fillId="0" borderId="1" xfId="1" applyFont="1" applyFill="1" applyBorder="1" applyAlignment="1">
      <alignment horizontal="center" vertical="center" wrapText="1"/>
    </xf>
    <xf numFmtId="164" fontId="13" fillId="4" borderId="1" xfId="1" applyFont="1" applyFill="1" applyBorder="1" applyAlignment="1">
      <alignment horizontal="center" vertical="center" wrapText="1"/>
    </xf>
    <xf numFmtId="164" fontId="11" fillId="4" borderId="1" xfId="1" applyFont="1" applyFill="1" applyBorder="1" applyAlignment="1">
      <alignment horizontal="center" vertical="center" wrapText="1"/>
    </xf>
    <xf numFmtId="164" fontId="23" fillId="0" borderId="1" xfId="1" applyFont="1" applyFill="1" applyBorder="1" applyAlignment="1">
      <alignment horizontal="center" vertical="center" wrapText="1"/>
    </xf>
    <xf numFmtId="164" fontId="22" fillId="0" borderId="1" xfId="1" applyFont="1" applyFill="1" applyBorder="1" applyAlignment="1">
      <alignment horizontal="center" vertical="center" wrapText="1"/>
    </xf>
    <xf numFmtId="164" fontId="26" fillId="10" borderId="1" xfId="1" applyFont="1" applyFill="1" applyBorder="1" applyAlignment="1">
      <alignment horizontal="center" vertical="center" wrapText="1"/>
    </xf>
    <xf numFmtId="164" fontId="10" fillId="4" borderId="0" xfId="1" applyFont="1" applyFill="1" applyAlignment="1">
      <alignment horizontal="center" wrapText="1"/>
    </xf>
    <xf numFmtId="164" fontId="10" fillId="0" borderId="0" xfId="1" applyFont="1" applyAlignment="1">
      <alignment horizontal="center" wrapText="1"/>
    </xf>
    <xf numFmtId="164" fontId="10" fillId="0" borderId="0" xfId="1" applyFont="1" applyFill="1" applyAlignment="1">
      <alignment horizontal="center" wrapText="1"/>
    </xf>
    <xf numFmtId="164" fontId="13" fillId="2" borderId="1" xfId="1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4" fontId="22" fillId="5" borderId="1" xfId="0" applyNumberFormat="1" applyFont="1" applyFill="1" applyBorder="1" applyAlignment="1">
      <alignment horizontal="center" vertical="center" wrapText="1"/>
    </xf>
    <xf numFmtId="165" fontId="23" fillId="5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10" fillId="4" borderId="0" xfId="0" applyFont="1" applyFill="1"/>
    <xf numFmtId="166" fontId="10" fillId="4" borderId="0" xfId="0" applyNumberFormat="1" applyFont="1" applyFill="1"/>
    <xf numFmtId="4" fontId="10" fillId="4" borderId="0" xfId="0" applyNumberFormat="1" applyFont="1" applyFill="1"/>
    <xf numFmtId="0" fontId="27" fillId="4" borderId="0" xfId="0" applyFont="1" applyFill="1"/>
    <xf numFmtId="2" fontId="10" fillId="4" borderId="0" xfId="0" applyNumberFormat="1" applyFont="1" applyFill="1"/>
    <xf numFmtId="2" fontId="27" fillId="4" borderId="0" xfId="0" applyNumberFormat="1" applyFont="1" applyFill="1"/>
    <xf numFmtId="2" fontId="12" fillId="4" borderId="0" xfId="0" applyNumberFormat="1" applyFont="1" applyFill="1"/>
    <xf numFmtId="0" fontId="11" fillId="4" borderId="0" xfId="0" applyFont="1" applyFill="1"/>
    <xf numFmtId="0" fontId="28" fillId="4" borderId="0" xfId="0" applyFont="1" applyFill="1"/>
    <xf numFmtId="0" fontId="12" fillId="4" borderId="0" xfId="0" applyFont="1" applyFill="1"/>
    <xf numFmtId="165" fontId="10" fillId="4" borderId="0" xfId="0" applyNumberFormat="1" applyFont="1" applyFill="1"/>
    <xf numFmtId="0" fontId="10" fillId="4" borderId="4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0" xfId="0" applyFont="1" applyFill="1" applyAlignment="1">
      <alignment horizontal="left"/>
    </xf>
    <xf numFmtId="0" fontId="12" fillId="4" borderId="0" xfId="0" applyFont="1" applyFill="1" applyAlignment="1">
      <alignment horizontal="left"/>
    </xf>
    <xf numFmtId="0" fontId="9" fillId="4" borderId="0" xfId="0" applyFont="1" applyFill="1"/>
    <xf numFmtId="0" fontId="3" fillId="4" borderId="0" xfId="0" applyFont="1" applyFill="1" applyAlignment="1">
      <alignment horizontal="center"/>
    </xf>
    <xf numFmtId="9" fontId="8" fillId="0" borderId="1" xfId="2" applyFont="1" applyBorder="1" applyAlignment="1">
      <alignment horizontal="center" vertical="center" wrapText="1"/>
    </xf>
    <xf numFmtId="9" fontId="8" fillId="8" borderId="1" xfId="2" applyFont="1" applyFill="1" applyBorder="1" applyAlignment="1">
      <alignment horizontal="center" vertical="center" wrapText="1"/>
    </xf>
    <xf numFmtId="9" fontId="23" fillId="5" borderId="1" xfId="2" applyFont="1" applyFill="1" applyBorder="1" applyAlignment="1">
      <alignment horizontal="center" vertical="center" wrapText="1"/>
    </xf>
    <xf numFmtId="9" fontId="13" fillId="8" borderId="1" xfId="2" applyFont="1" applyFill="1" applyBorder="1" applyAlignment="1">
      <alignment horizontal="center" vertical="center" wrapText="1"/>
    </xf>
    <xf numFmtId="9" fontId="9" fillId="5" borderId="1" xfId="2" applyFont="1" applyFill="1" applyBorder="1" applyAlignment="1">
      <alignment horizontal="center" vertical="center" wrapText="1"/>
    </xf>
    <xf numFmtId="9" fontId="9" fillId="6" borderId="1" xfId="2" applyFont="1" applyFill="1" applyBorder="1" applyAlignment="1">
      <alignment horizontal="center" vertical="center" wrapText="1"/>
    </xf>
    <xf numFmtId="9" fontId="9" fillId="13" borderId="1" xfId="2" applyFont="1" applyFill="1" applyBorder="1" applyAlignment="1">
      <alignment horizontal="center" vertical="center" wrapText="1"/>
    </xf>
    <xf numFmtId="9" fontId="9" fillId="12" borderId="1" xfId="2" applyFont="1" applyFill="1" applyBorder="1" applyAlignment="1">
      <alignment horizontal="center" vertical="center" wrapText="1"/>
    </xf>
    <xf numFmtId="9" fontId="9" fillId="11" borderId="1" xfId="2" applyFont="1" applyFill="1" applyBorder="1" applyAlignment="1">
      <alignment horizontal="center" vertical="center" wrapText="1"/>
    </xf>
    <xf numFmtId="9" fontId="9" fillId="0" borderId="1" xfId="2" applyFont="1" applyFill="1" applyBorder="1" applyAlignment="1">
      <alignment horizontal="center" vertical="center" wrapText="1"/>
    </xf>
    <xf numFmtId="9" fontId="9" fillId="4" borderId="1" xfId="2" applyFont="1" applyFill="1" applyBorder="1" applyAlignment="1">
      <alignment horizontal="center" vertical="center" wrapText="1"/>
    </xf>
    <xf numFmtId="9" fontId="9" fillId="7" borderId="1" xfId="2" applyFont="1" applyFill="1" applyBorder="1" applyAlignment="1">
      <alignment horizontal="center" vertical="center" wrapText="1"/>
    </xf>
    <xf numFmtId="9" fontId="23" fillId="7" borderId="1" xfId="2" applyFont="1" applyFill="1" applyBorder="1" applyAlignment="1">
      <alignment horizontal="center" vertical="center" wrapText="1"/>
    </xf>
    <xf numFmtId="9" fontId="22" fillId="7" borderId="1" xfId="2" applyFont="1" applyFill="1" applyBorder="1" applyAlignment="1">
      <alignment horizontal="center" vertical="center" wrapText="1"/>
    </xf>
    <xf numFmtId="9" fontId="14" fillId="7" borderId="1" xfId="2" applyFont="1" applyFill="1" applyBorder="1" applyAlignment="1">
      <alignment horizontal="center" vertical="center" wrapText="1"/>
    </xf>
    <xf numFmtId="9" fontId="23" fillId="4" borderId="1" xfId="2" applyFont="1" applyFill="1" applyBorder="1" applyAlignment="1">
      <alignment horizontal="center" vertical="center" wrapText="1"/>
    </xf>
    <xf numFmtId="9" fontId="23" fillId="0" borderId="1" xfId="2" applyFont="1" applyBorder="1" applyAlignment="1">
      <alignment horizontal="center" vertical="center" wrapText="1"/>
    </xf>
    <xf numFmtId="9" fontId="13" fillId="3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10" fillId="0" borderId="1" xfId="0" applyNumberFormat="1" applyFont="1" applyBorder="1" applyAlignment="1">
      <alignment horizontal="center" wrapText="1"/>
    </xf>
    <xf numFmtId="4" fontId="10" fillId="7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/>
    </xf>
    <xf numFmtId="166" fontId="2" fillId="4" borderId="1" xfId="0" applyNumberFormat="1" applyFont="1" applyFill="1" applyBorder="1" applyAlignment="1">
      <alignment horizontal="center" vertical="center"/>
    </xf>
    <xf numFmtId="9" fontId="2" fillId="4" borderId="1" xfId="2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9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3" fillId="4" borderId="0" xfId="0" applyFont="1" applyFill="1"/>
    <xf numFmtId="0" fontId="10" fillId="4" borderId="4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64" fontId="12" fillId="2" borderId="2" xfId="1" applyFont="1" applyFill="1" applyBorder="1" applyAlignment="1">
      <alignment horizontal="center" vertical="center" wrapText="1"/>
    </xf>
    <xf numFmtId="164" fontId="12" fillId="2" borderId="3" xfId="1" applyFont="1" applyFill="1" applyBorder="1" applyAlignment="1">
      <alignment horizontal="center" vertical="center" wrapText="1"/>
    </xf>
    <xf numFmtId="4" fontId="12" fillId="2" borderId="2" xfId="1" applyNumberFormat="1" applyFont="1" applyFill="1" applyBorder="1" applyAlignment="1">
      <alignment horizontal="center" vertical="center" wrapText="1"/>
    </xf>
    <xf numFmtId="4" fontId="12" fillId="2" borderId="3" xfId="1" applyNumberFormat="1" applyFont="1" applyFill="1" applyBorder="1" applyAlignment="1">
      <alignment horizontal="center" vertical="center" wrapText="1"/>
    </xf>
    <xf numFmtId="2" fontId="13" fillId="4" borderId="0" xfId="0" applyNumberFormat="1" applyFont="1" applyFill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colors>
    <mruColors>
      <color rgb="FFFFFFFF"/>
      <color rgb="FFFFFFCC"/>
      <color rgb="FFFFFF99"/>
      <color rgb="FF0000FF"/>
      <color rgb="FF330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49"/>
  <sheetViews>
    <sheetView tabSelected="1" topLeftCell="A76" zoomScale="80" zoomScaleNormal="80" workbookViewId="0">
      <selection activeCell="B104" sqref="B104"/>
    </sheetView>
  </sheetViews>
  <sheetFormatPr defaultColWidth="8.85546875" defaultRowHeight="20.25" outlineLevelRow="2" x14ac:dyDescent="0.3"/>
  <cols>
    <col min="1" max="1" width="9.42578125" style="75" customWidth="1"/>
    <col min="2" max="2" width="78.7109375" style="1" customWidth="1"/>
    <col min="3" max="3" width="21.28515625" style="164" customWidth="1"/>
    <col min="4" max="4" width="20.85546875" style="164" bestFit="1" customWidth="1"/>
    <col min="5" max="5" width="20.7109375" style="165" customWidth="1"/>
    <col min="6" max="6" width="21.140625" style="172" customWidth="1"/>
    <col min="7" max="7" width="19.7109375" style="171" customWidth="1"/>
    <col min="8" max="8" width="22.140625" style="171" bestFit="1" customWidth="1"/>
    <col min="9" max="9" width="8.85546875" style="4"/>
    <col min="10" max="10" width="22.140625" style="4" bestFit="1" customWidth="1"/>
    <col min="11" max="11" width="18" style="4" bestFit="1" customWidth="1"/>
    <col min="12" max="58" width="8.85546875" style="4"/>
    <col min="59" max="16384" width="8.85546875" style="2"/>
  </cols>
  <sheetData>
    <row r="1" spans="1:58" x14ac:dyDescent="0.3">
      <c r="A1" s="227" t="s">
        <v>70</v>
      </c>
      <c r="B1" s="228"/>
      <c r="C1" s="228"/>
      <c r="D1" s="228"/>
      <c r="E1" s="228"/>
    </row>
    <row r="2" spans="1:58" ht="30" customHeight="1" x14ac:dyDescent="0.3">
      <c r="A2" s="68" t="s">
        <v>0</v>
      </c>
      <c r="B2" s="229" t="s">
        <v>1</v>
      </c>
      <c r="C2" s="230"/>
      <c r="D2" s="114" t="s">
        <v>2</v>
      </c>
      <c r="E2" s="114" t="s">
        <v>3</v>
      </c>
      <c r="G2" s="210">
        <v>2022</v>
      </c>
    </row>
    <row r="3" spans="1:58" ht="45.75" customHeight="1" x14ac:dyDescent="0.3">
      <c r="A3" s="69" t="s">
        <v>4</v>
      </c>
      <c r="B3" s="231" t="s">
        <v>21</v>
      </c>
      <c r="C3" s="232"/>
      <c r="D3" s="115">
        <f>E3*12</f>
        <v>16200.003650793649</v>
      </c>
      <c r="E3" s="116">
        <f>E96</f>
        <v>1350.0003042328042</v>
      </c>
      <c r="F3" s="173"/>
      <c r="G3" s="211">
        <v>1200</v>
      </c>
      <c r="H3" s="212">
        <f>E3/G3-1</f>
        <v>0.1250002535273369</v>
      </c>
    </row>
    <row r="4" spans="1:58" ht="45.75" customHeight="1" x14ac:dyDescent="0.3">
      <c r="A4" s="69" t="s">
        <v>5</v>
      </c>
      <c r="B4" s="231" t="s">
        <v>20</v>
      </c>
      <c r="C4" s="232"/>
      <c r="D4" s="116">
        <f>D97</f>
        <v>2701.1315192743764</v>
      </c>
      <c r="E4" s="115"/>
      <c r="G4" s="213">
        <f>3400</f>
        <v>3400</v>
      </c>
      <c r="H4" s="212">
        <f>(D4+D5)/G4-1</f>
        <v>-5.882419634520486E-2</v>
      </c>
    </row>
    <row r="5" spans="1:58" ht="45.75" customHeight="1" x14ac:dyDescent="0.3">
      <c r="A5" s="69" t="s">
        <v>183</v>
      </c>
      <c r="B5" s="231" t="s">
        <v>203</v>
      </c>
      <c r="C5" s="232"/>
      <c r="D5" s="116">
        <f>D113</f>
        <v>498.86621315192741</v>
      </c>
      <c r="E5" s="115"/>
    </row>
    <row r="6" spans="1:58" ht="33" customHeight="1" x14ac:dyDescent="0.3">
      <c r="A6" s="64" t="s">
        <v>208</v>
      </c>
      <c r="B6" s="233" t="s">
        <v>19</v>
      </c>
      <c r="C6" s="234"/>
      <c r="D6" s="115">
        <f>E3*12+D4+D5</f>
        <v>19400.001383219951</v>
      </c>
      <c r="E6" s="117"/>
    </row>
    <row r="7" spans="1:58" ht="33" customHeight="1" x14ac:dyDescent="0.3">
      <c r="A7" s="64" t="s">
        <v>209</v>
      </c>
      <c r="B7" s="110" t="s">
        <v>247</v>
      </c>
      <c r="C7" s="118">
        <v>441</v>
      </c>
      <c r="D7" s="235"/>
      <c r="E7" s="236"/>
      <c r="F7" s="174"/>
    </row>
    <row r="8" spans="1:58" ht="45.75" customHeight="1" x14ac:dyDescent="0.3">
      <c r="A8" s="225" t="s">
        <v>207</v>
      </c>
      <c r="B8" s="226"/>
      <c r="C8" s="226"/>
      <c r="D8" s="119">
        <f>C96+C115</f>
        <v>8555400.6099999994</v>
      </c>
      <c r="E8" s="120">
        <f>D8/C7</f>
        <v>19400.001383219955</v>
      </c>
    </row>
    <row r="9" spans="1:58" ht="32.450000000000003" customHeight="1" x14ac:dyDescent="0.3">
      <c r="A9" s="70" t="s">
        <v>6</v>
      </c>
      <c r="B9" s="3" t="s">
        <v>7</v>
      </c>
      <c r="C9" s="120" t="s">
        <v>13</v>
      </c>
      <c r="D9" s="120" t="s">
        <v>14</v>
      </c>
      <c r="E9" s="121" t="s">
        <v>15</v>
      </c>
    </row>
    <row r="10" spans="1:58" x14ac:dyDescent="0.3">
      <c r="A10" s="71" t="s">
        <v>8</v>
      </c>
      <c r="B10" s="7" t="s">
        <v>9</v>
      </c>
      <c r="C10" s="122"/>
      <c r="D10" s="122"/>
      <c r="E10" s="122"/>
      <c r="G10" s="120" t="s">
        <v>235</v>
      </c>
      <c r="H10" s="189"/>
    </row>
    <row r="11" spans="1:58" x14ac:dyDescent="0.3">
      <c r="A11" s="83" t="s">
        <v>10</v>
      </c>
      <c r="B11" s="84" t="s">
        <v>29</v>
      </c>
      <c r="C11" s="123">
        <f>SUM(C12:C19)+926231.36</f>
        <v>3993222.61</v>
      </c>
      <c r="D11" s="123">
        <f>C11/$C$7</f>
        <v>9054.9265532879817</v>
      </c>
      <c r="E11" s="123">
        <f>D11/12</f>
        <v>754.57721277399844</v>
      </c>
      <c r="G11" s="123">
        <v>2496773.2899999996</v>
      </c>
      <c r="H11" s="190">
        <f t="shared" ref="H11:H42" si="0">C11/G11-1</f>
        <v>0.59935330371945805</v>
      </c>
    </row>
    <row r="12" spans="1:58" s="29" customFormat="1" ht="27.75" customHeight="1" outlineLevel="1" x14ac:dyDescent="0.3">
      <c r="A12" s="86" t="s">
        <v>34</v>
      </c>
      <c r="B12" s="16" t="s">
        <v>46</v>
      </c>
      <c r="C12" s="124">
        <f>51800*12</f>
        <v>621600</v>
      </c>
      <c r="D12" s="124">
        <f t="shared" ref="D12:D76" si="1">C12/$C$7</f>
        <v>1409.5238095238096</v>
      </c>
      <c r="E12" s="125">
        <f>D12/12</f>
        <v>117.46031746031747</v>
      </c>
      <c r="F12" s="175"/>
      <c r="G12" s="124"/>
      <c r="H12" s="191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</row>
    <row r="13" spans="1:58" s="29" customFormat="1" ht="18.75" outlineLevel="1" x14ac:dyDescent="0.3">
      <c r="A13" s="87" t="s">
        <v>35</v>
      </c>
      <c r="B13" s="16" t="s">
        <v>72</v>
      </c>
      <c r="C13" s="124">
        <v>420000</v>
      </c>
      <c r="D13" s="124">
        <f t="shared" si="1"/>
        <v>952.38095238095241</v>
      </c>
      <c r="E13" s="125">
        <f>D13/12</f>
        <v>79.365079365079367</v>
      </c>
      <c r="F13" s="172"/>
      <c r="G13" s="124"/>
      <c r="H13" s="191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</row>
    <row r="14" spans="1:58" s="29" customFormat="1" ht="18.75" outlineLevel="1" x14ac:dyDescent="0.3">
      <c r="A14" s="87" t="s">
        <v>36</v>
      </c>
      <c r="B14" s="16" t="s">
        <v>66</v>
      </c>
      <c r="C14" s="124">
        <f>2300*365+73600</f>
        <v>913100</v>
      </c>
      <c r="D14" s="124">
        <f t="shared" si="1"/>
        <v>2070.5215419501133</v>
      </c>
      <c r="E14" s="125">
        <f t="shared" ref="E14:E43" si="2">D14/12</f>
        <v>172.5434618291761</v>
      </c>
      <c r="F14" s="176"/>
      <c r="G14" s="124"/>
      <c r="H14" s="191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</row>
    <row r="15" spans="1:58" s="29" customFormat="1" ht="18.75" outlineLevel="1" x14ac:dyDescent="0.3">
      <c r="A15" s="87" t="s">
        <v>92</v>
      </c>
      <c r="B15" s="16" t="s">
        <v>111</v>
      </c>
      <c r="C15" s="124">
        <v>216000</v>
      </c>
      <c r="D15" s="124">
        <f t="shared" si="1"/>
        <v>489.79591836734693</v>
      </c>
      <c r="E15" s="125">
        <f t="shared" si="2"/>
        <v>40.816326530612244</v>
      </c>
      <c r="F15" s="176"/>
      <c r="G15" s="124"/>
      <c r="H15" s="191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</row>
    <row r="16" spans="1:58" s="29" customFormat="1" ht="18.75" outlineLevel="1" x14ac:dyDescent="0.3">
      <c r="A16" s="87" t="s">
        <v>37</v>
      </c>
      <c r="B16" s="16" t="s">
        <v>112</v>
      </c>
      <c r="C16" s="124">
        <v>60000</v>
      </c>
      <c r="D16" s="124">
        <f t="shared" si="1"/>
        <v>136.05442176870747</v>
      </c>
      <c r="E16" s="125">
        <f t="shared" si="2"/>
        <v>11.337868480725623</v>
      </c>
      <c r="F16" s="176"/>
      <c r="G16" s="124"/>
      <c r="H16" s="191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</row>
    <row r="17" spans="1:58" s="29" customFormat="1" ht="18.75" outlineLevel="1" x14ac:dyDescent="0.3">
      <c r="A17" s="87" t="s">
        <v>93</v>
      </c>
      <c r="B17" s="16" t="s">
        <v>110</v>
      </c>
      <c r="C17" s="124">
        <f>50000*6</f>
        <v>300000</v>
      </c>
      <c r="D17" s="124">
        <f t="shared" si="1"/>
        <v>680.27210884353747</v>
      </c>
      <c r="E17" s="125">
        <f t="shared" si="2"/>
        <v>56.689342403628125</v>
      </c>
      <c r="F17" s="177"/>
      <c r="G17" s="124"/>
      <c r="H17" s="191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</row>
    <row r="18" spans="1:58" s="29" customFormat="1" ht="18.75" outlineLevel="1" x14ac:dyDescent="0.3">
      <c r="A18" s="87" t="s">
        <v>68</v>
      </c>
      <c r="B18" s="16" t="s">
        <v>245</v>
      </c>
      <c r="C18" s="124">
        <f>74713*6</f>
        <v>448278</v>
      </c>
      <c r="D18" s="124">
        <f t="shared" si="1"/>
        <v>1016.5034013605442</v>
      </c>
      <c r="E18" s="125">
        <f t="shared" ref="E18:E19" si="3">D18/12</f>
        <v>84.708616780045347</v>
      </c>
      <c r="F18" s="177"/>
      <c r="G18" s="124"/>
      <c r="H18" s="191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</row>
    <row r="19" spans="1:58" s="29" customFormat="1" ht="18.75" outlineLevel="1" x14ac:dyDescent="0.3">
      <c r="A19" s="87" t="s">
        <v>107</v>
      </c>
      <c r="B19" s="16" t="s">
        <v>106</v>
      </c>
      <c r="C19" s="124">
        <v>88013.25</v>
      </c>
      <c r="D19" s="124">
        <f t="shared" si="1"/>
        <v>199.57653061224491</v>
      </c>
      <c r="E19" s="125">
        <f t="shared" si="3"/>
        <v>16.63137755102041</v>
      </c>
      <c r="F19" s="239" t="s">
        <v>232</v>
      </c>
      <c r="G19" s="124"/>
      <c r="H19" s="191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</row>
    <row r="20" spans="1:58" s="29" customFormat="1" ht="18.75" outlineLevel="1" x14ac:dyDescent="0.3">
      <c r="A20" s="87" t="s">
        <v>108</v>
      </c>
      <c r="B20" s="16" t="s">
        <v>246</v>
      </c>
      <c r="C20" s="124">
        <f>SUM(C12:C19)*30.2%</f>
        <v>926231.35749999993</v>
      </c>
      <c r="D20" s="124">
        <f t="shared" si="1"/>
        <v>2100.2978628117912</v>
      </c>
      <c r="E20" s="125">
        <f t="shared" si="2"/>
        <v>175.0248219009826</v>
      </c>
      <c r="F20" s="177"/>
      <c r="G20" s="124">
        <v>809834.45000000007</v>
      </c>
      <c r="H20" s="191">
        <f t="shared" si="0"/>
        <v>0.1437292615793262</v>
      </c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</row>
    <row r="21" spans="1:58" s="14" customFormat="1" x14ac:dyDescent="0.3">
      <c r="A21" s="73" t="s">
        <v>77</v>
      </c>
      <c r="B21" s="17" t="s">
        <v>74</v>
      </c>
      <c r="C21" s="126">
        <f>C22</f>
        <v>3528</v>
      </c>
      <c r="D21" s="126">
        <f t="shared" si="1"/>
        <v>8</v>
      </c>
      <c r="E21" s="126">
        <f t="shared" ref="E21:E29" si="4">D21/12</f>
        <v>0.66666666666666663</v>
      </c>
      <c r="F21" s="178"/>
      <c r="G21" s="126"/>
      <c r="H21" s="192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</row>
    <row r="22" spans="1:58" outlineLevel="1" x14ac:dyDescent="0.3">
      <c r="A22" s="88" t="s">
        <v>12</v>
      </c>
      <c r="B22" s="16" t="s">
        <v>38</v>
      </c>
      <c r="C22" s="127">
        <v>3528</v>
      </c>
      <c r="D22" s="127">
        <f t="shared" si="1"/>
        <v>8</v>
      </c>
      <c r="E22" s="128">
        <f t="shared" si="4"/>
        <v>0.66666666666666663</v>
      </c>
      <c r="F22" s="221" t="s">
        <v>232</v>
      </c>
      <c r="G22" s="127">
        <v>3528</v>
      </c>
      <c r="H22" s="193">
        <f t="shared" si="0"/>
        <v>0</v>
      </c>
    </row>
    <row r="23" spans="1:58" s="14" customFormat="1" x14ac:dyDescent="0.3">
      <c r="A23" s="73" t="s">
        <v>78</v>
      </c>
      <c r="B23" s="89" t="s">
        <v>30</v>
      </c>
      <c r="C23" s="126">
        <f>SUM(C24:C28)</f>
        <v>29650</v>
      </c>
      <c r="D23" s="126">
        <f t="shared" si="1"/>
        <v>67.233560090702952</v>
      </c>
      <c r="E23" s="126">
        <f t="shared" si="4"/>
        <v>5.602796674225246</v>
      </c>
      <c r="F23" s="179"/>
      <c r="G23" s="126">
        <v>30500</v>
      </c>
      <c r="H23" s="192">
        <f t="shared" si="0"/>
        <v>-2.786885245901638E-2</v>
      </c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</row>
    <row r="24" spans="1:58" ht="23.25" customHeight="1" outlineLevel="1" x14ac:dyDescent="0.3">
      <c r="A24" s="72" t="s">
        <v>50</v>
      </c>
      <c r="B24" s="18" t="s">
        <v>75</v>
      </c>
      <c r="C24" s="129">
        <f>600*12</f>
        <v>7200</v>
      </c>
      <c r="D24" s="129">
        <f t="shared" si="1"/>
        <v>16.326530612244898</v>
      </c>
      <c r="E24" s="130">
        <f t="shared" si="4"/>
        <v>1.3605442176870748</v>
      </c>
      <c r="F24" s="175"/>
      <c r="G24" s="129"/>
      <c r="H24" s="194"/>
    </row>
    <row r="25" spans="1:58" outlineLevel="1" x14ac:dyDescent="0.3">
      <c r="A25" s="72" t="s">
        <v>53</v>
      </c>
      <c r="B25" s="19" t="s">
        <v>76</v>
      </c>
      <c r="C25" s="129">
        <f>600*12</f>
        <v>7200</v>
      </c>
      <c r="D25" s="129">
        <f t="shared" si="1"/>
        <v>16.326530612244898</v>
      </c>
      <c r="E25" s="130">
        <f t="shared" si="4"/>
        <v>1.3605442176870748</v>
      </c>
      <c r="F25" s="175"/>
      <c r="G25" s="129"/>
      <c r="H25" s="194"/>
    </row>
    <row r="26" spans="1:58" outlineLevel="1" x14ac:dyDescent="0.3">
      <c r="A26" s="72" t="s">
        <v>54</v>
      </c>
      <c r="B26" s="20" t="s">
        <v>67</v>
      </c>
      <c r="C26" s="129">
        <f>400*12</f>
        <v>4800</v>
      </c>
      <c r="D26" s="129">
        <f t="shared" si="1"/>
        <v>10.884353741496598</v>
      </c>
      <c r="E26" s="130">
        <f t="shared" si="4"/>
        <v>0.90702947845804982</v>
      </c>
      <c r="G26" s="129"/>
      <c r="H26" s="194"/>
    </row>
    <row r="27" spans="1:58" outlineLevel="1" x14ac:dyDescent="0.3">
      <c r="A27" s="72" t="s">
        <v>55</v>
      </c>
      <c r="B27" s="20" t="s">
        <v>47</v>
      </c>
      <c r="C27" s="129">
        <f>C26</f>
        <v>4800</v>
      </c>
      <c r="D27" s="129">
        <f t="shared" si="1"/>
        <v>10.884353741496598</v>
      </c>
      <c r="E27" s="130">
        <f t="shared" si="4"/>
        <v>0.90702947845804982</v>
      </c>
      <c r="G27" s="129"/>
      <c r="H27" s="194"/>
    </row>
    <row r="28" spans="1:58" outlineLevel="1" x14ac:dyDescent="0.3">
      <c r="A28" s="72" t="s">
        <v>56</v>
      </c>
      <c r="B28" s="20" t="s">
        <v>113</v>
      </c>
      <c r="C28" s="129">
        <v>5650</v>
      </c>
      <c r="D28" s="129">
        <f t="shared" si="1"/>
        <v>12.811791383219955</v>
      </c>
      <c r="E28" s="130">
        <f t="shared" si="4"/>
        <v>1.0676492819349963</v>
      </c>
      <c r="F28" s="180"/>
      <c r="G28" s="129"/>
      <c r="H28" s="194"/>
    </row>
    <row r="29" spans="1:58" x14ac:dyDescent="0.3">
      <c r="A29" s="73" t="s">
        <v>79</v>
      </c>
      <c r="B29" s="21" t="s">
        <v>39</v>
      </c>
      <c r="C29" s="126">
        <f>SUM(C30:C34)</f>
        <v>97950</v>
      </c>
      <c r="D29" s="126">
        <f t="shared" si="1"/>
        <v>222.10884353741497</v>
      </c>
      <c r="E29" s="131">
        <f t="shared" si="4"/>
        <v>18.509070294784582</v>
      </c>
      <c r="G29" s="126">
        <f>SUM(G30:G34)</f>
        <v>72735.95</v>
      </c>
      <c r="H29" s="192">
        <f t="shared" si="0"/>
        <v>0.34665182760381907</v>
      </c>
    </row>
    <row r="30" spans="1:58" outlineLevel="1" x14ac:dyDescent="0.3">
      <c r="A30" s="74" t="s">
        <v>52</v>
      </c>
      <c r="B30" s="22" t="s">
        <v>109</v>
      </c>
      <c r="C30" s="132">
        <v>17150</v>
      </c>
      <c r="D30" s="132">
        <f t="shared" si="1"/>
        <v>38.888888888888886</v>
      </c>
      <c r="E30" s="133">
        <f t="shared" si="2"/>
        <v>3.2407407407407405</v>
      </c>
      <c r="G30" s="132">
        <v>9000</v>
      </c>
      <c r="H30" s="195">
        <f t="shared" si="0"/>
        <v>0.90555555555555545</v>
      </c>
    </row>
    <row r="31" spans="1:58" outlineLevel="1" x14ac:dyDescent="0.3">
      <c r="A31" s="74" t="s">
        <v>57</v>
      </c>
      <c r="B31" s="22" t="s">
        <v>24</v>
      </c>
      <c r="C31" s="132">
        <v>21600</v>
      </c>
      <c r="D31" s="132">
        <f t="shared" si="1"/>
        <v>48.979591836734691</v>
      </c>
      <c r="E31" s="133">
        <f t="shared" si="2"/>
        <v>4.0816326530612246</v>
      </c>
      <c r="G31" s="132">
        <v>15564</v>
      </c>
      <c r="H31" s="195">
        <f t="shared" si="0"/>
        <v>0.38781804163454114</v>
      </c>
    </row>
    <row r="32" spans="1:58" outlineLevel="1" x14ac:dyDescent="0.3">
      <c r="A32" s="74" t="s">
        <v>58</v>
      </c>
      <c r="B32" s="22" t="s">
        <v>16</v>
      </c>
      <c r="C32" s="132">
        <v>35000</v>
      </c>
      <c r="D32" s="132">
        <f t="shared" si="1"/>
        <v>79.365079365079367</v>
      </c>
      <c r="E32" s="133">
        <f t="shared" si="2"/>
        <v>6.6137566137566139</v>
      </c>
      <c r="G32" s="132">
        <v>34655.230000000003</v>
      </c>
      <c r="H32" s="195">
        <f t="shared" si="0"/>
        <v>9.9485705332209573E-3</v>
      </c>
    </row>
    <row r="33" spans="1:58" outlineLevel="1" x14ac:dyDescent="0.3">
      <c r="A33" s="74" t="s">
        <v>80</v>
      </c>
      <c r="B33" s="22" t="s">
        <v>17</v>
      </c>
      <c r="C33" s="132">
        <f>3200+6000</f>
        <v>9200</v>
      </c>
      <c r="D33" s="132">
        <f t="shared" si="1"/>
        <v>20.861678004535147</v>
      </c>
      <c r="E33" s="133">
        <f t="shared" si="2"/>
        <v>1.7384731670445956</v>
      </c>
      <c r="G33" s="132">
        <v>3200</v>
      </c>
      <c r="H33" s="195">
        <f t="shared" si="0"/>
        <v>1.875</v>
      </c>
    </row>
    <row r="34" spans="1:58" ht="31.5" outlineLevel="1" x14ac:dyDescent="0.3">
      <c r="A34" s="74" t="s">
        <v>94</v>
      </c>
      <c r="B34" s="90" t="s">
        <v>69</v>
      </c>
      <c r="C34" s="132">
        <v>15000</v>
      </c>
      <c r="D34" s="132">
        <f t="shared" si="1"/>
        <v>34.013605442176868</v>
      </c>
      <c r="E34" s="133">
        <f t="shared" ref="E34:E42" si="5">D34/12</f>
        <v>2.8344671201814058</v>
      </c>
      <c r="F34" s="180"/>
      <c r="G34" s="132">
        <v>10316.719999999999</v>
      </c>
      <c r="H34" s="195">
        <f t="shared" si="0"/>
        <v>0.45395048038523877</v>
      </c>
    </row>
    <row r="35" spans="1:58" s="14" customFormat="1" x14ac:dyDescent="0.3">
      <c r="A35" s="73" t="s">
        <v>22</v>
      </c>
      <c r="B35" s="17" t="s">
        <v>42</v>
      </c>
      <c r="C35" s="126">
        <f>SUM(C36:C38)</f>
        <v>250280</v>
      </c>
      <c r="D35" s="126">
        <f t="shared" si="1"/>
        <v>567.52834467120181</v>
      </c>
      <c r="E35" s="131">
        <f t="shared" si="5"/>
        <v>47.294028722600153</v>
      </c>
      <c r="F35" s="179"/>
      <c r="G35" s="126">
        <v>197849</v>
      </c>
      <c r="H35" s="192">
        <f t="shared" si="0"/>
        <v>0.26500513017503247</v>
      </c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</row>
    <row r="36" spans="1:58" s="4" customFormat="1" outlineLevel="1" x14ac:dyDescent="0.3">
      <c r="A36" s="91" t="s">
        <v>49</v>
      </c>
      <c r="B36" s="23" t="s">
        <v>25</v>
      </c>
      <c r="C36" s="134">
        <v>136400</v>
      </c>
      <c r="D36" s="134">
        <f t="shared" si="1"/>
        <v>309.297052154195</v>
      </c>
      <c r="E36" s="135">
        <f t="shared" si="5"/>
        <v>25.774754346182917</v>
      </c>
      <c r="F36" s="221" t="s">
        <v>248</v>
      </c>
      <c r="G36" s="134">
        <v>119501</v>
      </c>
      <c r="H36" s="196">
        <f t="shared" si="0"/>
        <v>0.14141304256868148</v>
      </c>
    </row>
    <row r="37" spans="1:58" s="4" customFormat="1" outlineLevel="1" x14ac:dyDescent="0.3">
      <c r="A37" s="91" t="s">
        <v>59</v>
      </c>
      <c r="B37" s="24" t="s">
        <v>85</v>
      </c>
      <c r="C37" s="134">
        <f>38640+30950+5650</f>
        <v>75240</v>
      </c>
      <c r="D37" s="134">
        <f t="shared" si="1"/>
        <v>170.61224489795919</v>
      </c>
      <c r="E37" s="135">
        <f t="shared" si="5"/>
        <v>14.217687074829932</v>
      </c>
      <c r="F37" s="221" t="s">
        <v>232</v>
      </c>
      <c r="G37" s="134">
        <v>47484</v>
      </c>
      <c r="H37" s="196">
        <f t="shared" si="0"/>
        <v>0.58453373768006056</v>
      </c>
    </row>
    <row r="38" spans="1:58" s="4" customFormat="1" ht="31.5" outlineLevel="1" x14ac:dyDescent="0.3">
      <c r="A38" s="91" t="s">
        <v>81</v>
      </c>
      <c r="B38" s="92" t="s">
        <v>26</v>
      </c>
      <c r="C38" s="134">
        <v>38640</v>
      </c>
      <c r="D38" s="134">
        <f t="shared" si="1"/>
        <v>87.61904761904762</v>
      </c>
      <c r="E38" s="135">
        <f t="shared" si="5"/>
        <v>7.3015873015873014</v>
      </c>
      <c r="F38" s="221" t="s">
        <v>232</v>
      </c>
      <c r="G38" s="134">
        <v>30864</v>
      </c>
      <c r="H38" s="196">
        <f t="shared" si="0"/>
        <v>0.25194401244167963</v>
      </c>
    </row>
    <row r="39" spans="1:58" x14ac:dyDescent="0.3">
      <c r="A39" s="73" t="s">
        <v>23</v>
      </c>
      <c r="B39" s="11" t="s">
        <v>28</v>
      </c>
      <c r="C39" s="126">
        <f>SUM(C40:C41)</f>
        <v>785000</v>
      </c>
      <c r="D39" s="126">
        <f t="shared" si="1"/>
        <v>1780.0453514739229</v>
      </c>
      <c r="E39" s="126">
        <f t="shared" si="5"/>
        <v>148.33711262282691</v>
      </c>
      <c r="G39" s="126">
        <v>746961.89</v>
      </c>
      <c r="H39" s="192">
        <f t="shared" si="0"/>
        <v>5.0923762656753357E-2</v>
      </c>
    </row>
    <row r="40" spans="1:58" ht="47.25" outlineLevel="1" x14ac:dyDescent="0.3">
      <c r="A40" s="93" t="s">
        <v>60</v>
      </c>
      <c r="B40" s="94" t="s">
        <v>64</v>
      </c>
      <c r="C40" s="136">
        <v>720000</v>
      </c>
      <c r="D40" s="136">
        <f t="shared" si="1"/>
        <v>1632.6530612244899</v>
      </c>
      <c r="E40" s="137">
        <f>D40/12</f>
        <v>136.0544217687075</v>
      </c>
      <c r="G40" s="136">
        <v>686071</v>
      </c>
      <c r="H40" s="197">
        <f t="shared" si="0"/>
        <v>4.9454065249806556E-2</v>
      </c>
    </row>
    <row r="41" spans="1:58" outlineLevel="1" x14ac:dyDescent="0.3">
      <c r="A41" s="93" t="s">
        <v>61</v>
      </c>
      <c r="B41" s="94" t="s">
        <v>31</v>
      </c>
      <c r="C41" s="136">
        <v>65000</v>
      </c>
      <c r="D41" s="136">
        <f t="shared" si="1"/>
        <v>147.3922902494331</v>
      </c>
      <c r="E41" s="137">
        <f t="shared" si="5"/>
        <v>12.282690854119425</v>
      </c>
      <c r="F41" s="175"/>
      <c r="G41" s="136">
        <v>60890.89</v>
      </c>
      <c r="H41" s="197">
        <f t="shared" si="0"/>
        <v>6.7483165379911503E-2</v>
      </c>
    </row>
    <row r="42" spans="1:58" x14ac:dyDescent="0.3">
      <c r="A42" s="73" t="s">
        <v>40</v>
      </c>
      <c r="B42" s="21" t="s">
        <v>33</v>
      </c>
      <c r="C42" s="126">
        <f>SUM(C43:C45)</f>
        <v>915000</v>
      </c>
      <c r="D42" s="126">
        <f t="shared" si="1"/>
        <v>2074.8299319727889</v>
      </c>
      <c r="E42" s="131">
        <f t="shared" si="5"/>
        <v>172.90249433106575</v>
      </c>
      <c r="G42" s="126">
        <v>645399.6399999999</v>
      </c>
      <c r="H42" s="192">
        <f t="shared" si="0"/>
        <v>0.4177262323852553</v>
      </c>
    </row>
    <row r="43" spans="1:58" outlineLevel="1" x14ac:dyDescent="0.3">
      <c r="A43" s="60" t="s">
        <v>51</v>
      </c>
      <c r="B43" s="25" t="s">
        <v>18</v>
      </c>
      <c r="C43" s="138">
        <v>750000</v>
      </c>
      <c r="D43" s="138">
        <f t="shared" si="1"/>
        <v>1700.6802721088436</v>
      </c>
      <c r="E43" s="139">
        <f t="shared" si="2"/>
        <v>141.7233560090703</v>
      </c>
      <c r="G43" s="138">
        <v>486810.70999999996</v>
      </c>
      <c r="H43" s="198">
        <f>C43/G43-1</f>
        <v>0.54063989265971579</v>
      </c>
    </row>
    <row r="44" spans="1:58" s="4" customFormat="1" ht="31.5" outlineLevel="1" x14ac:dyDescent="0.3">
      <c r="A44" s="60" t="s">
        <v>62</v>
      </c>
      <c r="B44" s="26" t="s">
        <v>48</v>
      </c>
      <c r="C44" s="140">
        <v>45000</v>
      </c>
      <c r="D44" s="140">
        <f t="shared" si="1"/>
        <v>102.04081632653062</v>
      </c>
      <c r="E44" s="139">
        <f t="shared" ref="E44:E50" si="6">D44/12</f>
        <v>8.5034013605442187</v>
      </c>
      <c r="F44" s="172"/>
      <c r="G44" s="140">
        <v>45000</v>
      </c>
      <c r="H44" s="199">
        <f t="shared" ref="H44:H45" si="7">C44/G44-1</f>
        <v>0</v>
      </c>
    </row>
    <row r="45" spans="1:58" s="4" customFormat="1" outlineLevel="1" x14ac:dyDescent="0.3">
      <c r="A45" s="13" t="s">
        <v>63</v>
      </c>
      <c r="B45" s="97" t="s">
        <v>65</v>
      </c>
      <c r="C45" s="140">
        <v>120000</v>
      </c>
      <c r="D45" s="140">
        <f t="shared" si="1"/>
        <v>272.10884353741494</v>
      </c>
      <c r="E45" s="139">
        <f t="shared" si="6"/>
        <v>22.675736961451246</v>
      </c>
      <c r="F45" s="172"/>
      <c r="G45" s="140">
        <v>113588.93</v>
      </c>
      <c r="H45" s="199">
        <f t="shared" si="7"/>
        <v>5.6440975366173429E-2</v>
      </c>
    </row>
    <row r="46" spans="1:58" s="14" customFormat="1" x14ac:dyDescent="0.3">
      <c r="A46" s="73" t="s">
        <v>41</v>
      </c>
      <c r="B46" s="17" t="s">
        <v>83</v>
      </c>
      <c r="C46" s="126">
        <f>C47</f>
        <v>200000</v>
      </c>
      <c r="D46" s="126">
        <f t="shared" si="1"/>
        <v>453.51473922902494</v>
      </c>
      <c r="E46" s="131">
        <f t="shared" si="6"/>
        <v>37.792894935752081</v>
      </c>
      <c r="F46" s="181"/>
      <c r="G46" s="126"/>
      <c r="H46" s="192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</row>
    <row r="47" spans="1:58" outlineLevel="1" x14ac:dyDescent="0.3">
      <c r="A47" s="13" t="s">
        <v>41</v>
      </c>
      <c r="B47" s="27" t="s">
        <v>45</v>
      </c>
      <c r="C47" s="140">
        <v>200000</v>
      </c>
      <c r="D47" s="140">
        <f t="shared" si="1"/>
        <v>453.51473922902494</v>
      </c>
      <c r="E47" s="141">
        <f t="shared" si="6"/>
        <v>37.792894935752081</v>
      </c>
      <c r="G47" s="140"/>
      <c r="H47" s="199"/>
    </row>
    <row r="48" spans="1:58" s="14" customFormat="1" ht="33.75" customHeight="1" x14ac:dyDescent="0.3">
      <c r="A48" s="73" t="s">
        <v>84</v>
      </c>
      <c r="B48" s="21" t="s">
        <v>32</v>
      </c>
      <c r="C48" s="126">
        <f>C49+C69+C79+C85+C86+C87+C88+C89</f>
        <v>631600</v>
      </c>
      <c r="D48" s="126">
        <f t="shared" si="1"/>
        <v>1432.1995464852607</v>
      </c>
      <c r="E48" s="131">
        <f t="shared" si="6"/>
        <v>119.34996220710507</v>
      </c>
      <c r="F48" s="179"/>
      <c r="G48" s="126"/>
      <c r="H48" s="192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</row>
    <row r="49" spans="1:58" s="14" customFormat="1" outlineLevel="1" x14ac:dyDescent="0.3">
      <c r="A49" s="61" t="s">
        <v>154</v>
      </c>
      <c r="B49" s="28" t="s">
        <v>126</v>
      </c>
      <c r="C49" s="142">
        <f>SUM(C50:C68)</f>
        <v>204000</v>
      </c>
      <c r="D49" s="142">
        <f t="shared" si="1"/>
        <v>462.58503401360542</v>
      </c>
      <c r="E49" s="143">
        <f t="shared" si="6"/>
        <v>38.548752834467116</v>
      </c>
      <c r="F49" s="179"/>
      <c r="G49" s="209">
        <v>203972</v>
      </c>
      <c r="H49" s="200">
        <f>C49/G49-1</f>
        <v>1.372737434550686E-4</v>
      </c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</row>
    <row r="50" spans="1:58" outlineLevel="2" x14ac:dyDescent="0.3">
      <c r="A50" s="65" t="s">
        <v>118</v>
      </c>
      <c r="B50" s="15" t="s">
        <v>82</v>
      </c>
      <c r="C50" s="144">
        <f>27950+53100+3350+15600</f>
        <v>100000</v>
      </c>
      <c r="D50" s="144">
        <f t="shared" si="1"/>
        <v>226.75736961451247</v>
      </c>
      <c r="E50" s="145">
        <f t="shared" si="6"/>
        <v>18.89644746787604</v>
      </c>
      <c r="F50" s="179"/>
      <c r="G50" s="144"/>
      <c r="H50" s="200"/>
    </row>
    <row r="51" spans="1:58" outlineLevel="2" x14ac:dyDescent="0.3">
      <c r="A51" s="65" t="s">
        <v>119</v>
      </c>
      <c r="B51" s="15" t="s">
        <v>128</v>
      </c>
      <c r="C51" s="144">
        <v>1000</v>
      </c>
      <c r="D51" s="144">
        <f t="shared" si="1"/>
        <v>2.2675736961451247</v>
      </c>
      <c r="E51" s="145">
        <f t="shared" ref="E51:E79" si="8">D51/12</f>
        <v>0.1889644746787604</v>
      </c>
      <c r="F51" s="182"/>
      <c r="G51" s="144"/>
      <c r="H51" s="200"/>
    </row>
    <row r="52" spans="1:58" outlineLevel="2" x14ac:dyDescent="0.3">
      <c r="A52" s="65" t="s">
        <v>120</v>
      </c>
      <c r="B52" s="15" t="s">
        <v>129</v>
      </c>
      <c r="C52" s="144">
        <v>2000</v>
      </c>
      <c r="D52" s="144">
        <f t="shared" si="1"/>
        <v>4.5351473922902494</v>
      </c>
      <c r="E52" s="145">
        <f t="shared" si="8"/>
        <v>0.3779289493575208</v>
      </c>
      <c r="G52" s="144"/>
      <c r="H52" s="200"/>
      <c r="J52" s="101"/>
      <c r="K52" s="102"/>
    </row>
    <row r="53" spans="1:58" outlineLevel="2" x14ac:dyDescent="0.3">
      <c r="A53" s="65" t="s">
        <v>121</v>
      </c>
      <c r="B53" s="15" t="s">
        <v>130</v>
      </c>
      <c r="C53" s="144">
        <v>4000</v>
      </c>
      <c r="D53" s="144">
        <f t="shared" si="1"/>
        <v>9.0702947845804989</v>
      </c>
      <c r="E53" s="145">
        <f t="shared" si="8"/>
        <v>0.75585789871504161</v>
      </c>
      <c r="G53" s="144"/>
      <c r="H53" s="200"/>
    </row>
    <row r="54" spans="1:58" outlineLevel="2" x14ac:dyDescent="0.3">
      <c r="A54" s="65" t="s">
        <v>122</v>
      </c>
      <c r="B54" s="15" t="s">
        <v>131</v>
      </c>
      <c r="C54" s="144">
        <v>5000</v>
      </c>
      <c r="D54" s="144">
        <f t="shared" si="1"/>
        <v>11.337868480725623</v>
      </c>
      <c r="E54" s="145">
        <f t="shared" si="8"/>
        <v>0.94482237339380193</v>
      </c>
      <c r="G54" s="144"/>
      <c r="H54" s="200"/>
    </row>
    <row r="55" spans="1:58" outlineLevel="2" x14ac:dyDescent="0.3">
      <c r="A55" s="65" t="s">
        <v>123</v>
      </c>
      <c r="B55" s="15" t="s">
        <v>132</v>
      </c>
      <c r="C55" s="146">
        <v>20000</v>
      </c>
      <c r="D55" s="146">
        <f t="shared" si="1"/>
        <v>45.351473922902493</v>
      </c>
      <c r="E55" s="147">
        <f t="shared" si="8"/>
        <v>3.7792894935752077</v>
      </c>
      <c r="G55" s="146"/>
      <c r="H55" s="201"/>
    </row>
    <row r="56" spans="1:58" outlineLevel="2" x14ac:dyDescent="0.3">
      <c r="A56" s="65" t="s">
        <v>124</v>
      </c>
      <c r="B56" s="15" t="s">
        <v>133</v>
      </c>
      <c r="C56" s="146">
        <v>2000</v>
      </c>
      <c r="D56" s="146">
        <f t="shared" si="1"/>
        <v>4.5351473922902494</v>
      </c>
      <c r="E56" s="147">
        <f t="shared" si="8"/>
        <v>0.3779289493575208</v>
      </c>
      <c r="G56" s="146"/>
      <c r="H56" s="201"/>
    </row>
    <row r="57" spans="1:58" outlineLevel="2" x14ac:dyDescent="0.3">
      <c r="A57" s="65" t="s">
        <v>125</v>
      </c>
      <c r="B57" s="15" t="s">
        <v>134</v>
      </c>
      <c r="C57" s="146">
        <v>5000</v>
      </c>
      <c r="D57" s="146">
        <f t="shared" si="1"/>
        <v>11.337868480725623</v>
      </c>
      <c r="E57" s="147">
        <f t="shared" si="8"/>
        <v>0.94482237339380193</v>
      </c>
      <c r="G57" s="146"/>
      <c r="H57" s="201"/>
    </row>
    <row r="58" spans="1:58" outlineLevel="2" x14ac:dyDescent="0.3">
      <c r="A58" s="65" t="s">
        <v>144</v>
      </c>
      <c r="B58" s="15" t="s">
        <v>135</v>
      </c>
      <c r="C58" s="146">
        <v>1000</v>
      </c>
      <c r="D58" s="146">
        <f t="shared" si="1"/>
        <v>2.2675736961451247</v>
      </c>
      <c r="E58" s="147">
        <f t="shared" si="8"/>
        <v>0.1889644746787604</v>
      </c>
      <c r="G58" s="146"/>
      <c r="H58" s="201"/>
    </row>
    <row r="59" spans="1:58" outlineLevel="2" x14ac:dyDescent="0.3">
      <c r="A59" s="65" t="s">
        <v>145</v>
      </c>
      <c r="B59" s="15" t="s">
        <v>127</v>
      </c>
      <c r="C59" s="146">
        <v>1000</v>
      </c>
      <c r="D59" s="146">
        <f t="shared" si="1"/>
        <v>2.2675736961451247</v>
      </c>
      <c r="E59" s="147">
        <f t="shared" si="8"/>
        <v>0.1889644746787604</v>
      </c>
      <c r="G59" s="146"/>
      <c r="H59" s="201"/>
    </row>
    <row r="60" spans="1:58" outlineLevel="2" x14ac:dyDescent="0.3">
      <c r="A60" s="65" t="s">
        <v>146</v>
      </c>
      <c r="B60" s="15" t="s">
        <v>136</v>
      </c>
      <c r="C60" s="146">
        <v>10000</v>
      </c>
      <c r="D60" s="146">
        <f t="shared" si="1"/>
        <v>22.675736961451246</v>
      </c>
      <c r="E60" s="147">
        <f t="shared" si="8"/>
        <v>1.8896447467876039</v>
      </c>
      <c r="G60" s="146"/>
      <c r="H60" s="201"/>
    </row>
    <row r="61" spans="1:58" outlineLevel="2" x14ac:dyDescent="0.3">
      <c r="A61" s="65" t="s">
        <v>147</v>
      </c>
      <c r="B61" s="15" t="s">
        <v>137</v>
      </c>
      <c r="C61" s="146">
        <v>2000</v>
      </c>
      <c r="D61" s="146">
        <f t="shared" si="1"/>
        <v>4.5351473922902494</v>
      </c>
      <c r="E61" s="147">
        <f t="shared" si="8"/>
        <v>0.3779289493575208</v>
      </c>
      <c r="G61" s="146"/>
      <c r="H61" s="201"/>
    </row>
    <row r="62" spans="1:58" outlineLevel="2" x14ac:dyDescent="0.3">
      <c r="A62" s="65" t="s">
        <v>148</v>
      </c>
      <c r="B62" s="15" t="s">
        <v>138</v>
      </c>
      <c r="C62" s="146">
        <v>10000</v>
      </c>
      <c r="D62" s="146">
        <f t="shared" si="1"/>
        <v>22.675736961451246</v>
      </c>
      <c r="E62" s="147">
        <f t="shared" si="8"/>
        <v>1.8896447467876039</v>
      </c>
      <c r="G62" s="146"/>
      <c r="H62" s="201"/>
    </row>
    <row r="63" spans="1:58" outlineLevel="2" x14ac:dyDescent="0.3">
      <c r="A63" s="65" t="s">
        <v>149</v>
      </c>
      <c r="B63" s="15" t="s">
        <v>139</v>
      </c>
      <c r="C63" s="146">
        <v>5000</v>
      </c>
      <c r="D63" s="146">
        <f t="shared" si="1"/>
        <v>11.337868480725623</v>
      </c>
      <c r="E63" s="147">
        <f t="shared" si="8"/>
        <v>0.94482237339380193</v>
      </c>
      <c r="G63" s="146"/>
      <c r="H63" s="201"/>
    </row>
    <row r="64" spans="1:58" outlineLevel="2" x14ac:dyDescent="0.3">
      <c r="A64" s="65" t="s">
        <v>150</v>
      </c>
      <c r="B64" s="15" t="s">
        <v>140</v>
      </c>
      <c r="C64" s="146">
        <v>5000</v>
      </c>
      <c r="D64" s="146">
        <f t="shared" si="1"/>
        <v>11.337868480725623</v>
      </c>
      <c r="E64" s="147">
        <f t="shared" si="8"/>
        <v>0.94482237339380193</v>
      </c>
      <c r="G64" s="146"/>
      <c r="H64" s="201"/>
    </row>
    <row r="65" spans="1:58" outlineLevel="2" x14ac:dyDescent="0.3">
      <c r="A65" s="65" t="s">
        <v>151</v>
      </c>
      <c r="B65" s="15" t="s">
        <v>141</v>
      </c>
      <c r="C65" s="146">
        <v>1000</v>
      </c>
      <c r="D65" s="146">
        <f t="shared" si="1"/>
        <v>2.2675736961451247</v>
      </c>
      <c r="E65" s="147">
        <f t="shared" si="8"/>
        <v>0.1889644746787604</v>
      </c>
      <c r="G65" s="146"/>
      <c r="H65" s="201"/>
    </row>
    <row r="66" spans="1:58" outlineLevel="2" x14ac:dyDescent="0.3">
      <c r="A66" s="65" t="s">
        <v>152</v>
      </c>
      <c r="B66" s="15" t="s">
        <v>142</v>
      </c>
      <c r="C66" s="146">
        <v>15000</v>
      </c>
      <c r="D66" s="146">
        <f t="shared" si="1"/>
        <v>34.013605442176868</v>
      </c>
      <c r="E66" s="147">
        <f t="shared" si="8"/>
        <v>2.8344671201814058</v>
      </c>
      <c r="G66" s="146"/>
      <c r="H66" s="201"/>
    </row>
    <row r="67" spans="1:58" outlineLevel="2" x14ac:dyDescent="0.3">
      <c r="A67" s="65" t="s">
        <v>153</v>
      </c>
      <c r="B67" s="15" t="s">
        <v>143</v>
      </c>
      <c r="C67" s="146">
        <v>5000</v>
      </c>
      <c r="D67" s="146">
        <f t="shared" si="1"/>
        <v>11.337868480725623</v>
      </c>
      <c r="E67" s="147">
        <f t="shared" si="8"/>
        <v>0.94482237339380193</v>
      </c>
      <c r="G67" s="146"/>
      <c r="H67" s="201"/>
    </row>
    <row r="68" spans="1:58" outlineLevel="2" x14ac:dyDescent="0.3">
      <c r="A68" s="65" t="s">
        <v>229</v>
      </c>
      <c r="B68" s="15" t="s">
        <v>230</v>
      </c>
      <c r="C68" s="146">
        <v>10000</v>
      </c>
      <c r="D68" s="146">
        <f t="shared" si="1"/>
        <v>22.675736961451246</v>
      </c>
      <c r="E68" s="147">
        <f t="shared" si="8"/>
        <v>1.8896447467876039</v>
      </c>
      <c r="G68" s="146"/>
      <c r="H68" s="201"/>
    </row>
    <row r="69" spans="1:58" s="14" customFormat="1" outlineLevel="1" x14ac:dyDescent="0.3">
      <c r="A69" s="61" t="s">
        <v>95</v>
      </c>
      <c r="B69" s="28" t="s">
        <v>159</v>
      </c>
      <c r="C69" s="148">
        <f>SUM(C70:C78)</f>
        <v>146247</v>
      </c>
      <c r="D69" s="148">
        <f t="shared" si="1"/>
        <v>331.62585034013608</v>
      </c>
      <c r="E69" s="147">
        <f t="shared" si="8"/>
        <v>27.635487528344672</v>
      </c>
      <c r="F69" s="179"/>
      <c r="G69" s="148"/>
      <c r="H69" s="202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</row>
    <row r="70" spans="1:58" ht="31.5" outlineLevel="2" x14ac:dyDescent="0.3">
      <c r="A70" s="65" t="s">
        <v>188</v>
      </c>
      <c r="B70" s="15" t="s">
        <v>163</v>
      </c>
      <c r="C70" s="146">
        <v>23997</v>
      </c>
      <c r="D70" s="146">
        <f t="shared" si="1"/>
        <v>54.414965986394556</v>
      </c>
      <c r="E70" s="147">
        <f t="shared" si="8"/>
        <v>4.5345804988662133</v>
      </c>
      <c r="G70" s="146"/>
      <c r="H70" s="201"/>
    </row>
    <row r="71" spans="1:58" outlineLevel="2" x14ac:dyDescent="0.3">
      <c r="A71" s="65" t="s">
        <v>189</v>
      </c>
      <c r="B71" s="15" t="s">
        <v>165</v>
      </c>
      <c r="C71" s="146">
        <f>15*200</f>
        <v>3000</v>
      </c>
      <c r="D71" s="146">
        <f t="shared" si="1"/>
        <v>6.8027210884353737</v>
      </c>
      <c r="E71" s="147">
        <f t="shared" si="8"/>
        <v>0.56689342403628118</v>
      </c>
      <c r="G71" s="146"/>
      <c r="H71" s="201"/>
    </row>
    <row r="72" spans="1:58" ht="31.5" outlineLevel="2" x14ac:dyDescent="0.3">
      <c r="A72" s="65" t="s">
        <v>190</v>
      </c>
      <c r="B72" s="15" t="s">
        <v>166</v>
      </c>
      <c r="C72" s="146">
        <f>30*1000</f>
        <v>30000</v>
      </c>
      <c r="D72" s="146">
        <f t="shared" si="1"/>
        <v>68.027210884353735</v>
      </c>
      <c r="E72" s="147">
        <f t="shared" si="8"/>
        <v>5.6689342403628116</v>
      </c>
      <c r="G72" s="146"/>
      <c r="H72" s="201"/>
    </row>
    <row r="73" spans="1:58" s="14" customFormat="1" outlineLevel="2" x14ac:dyDescent="0.3">
      <c r="A73" s="61" t="s">
        <v>191</v>
      </c>
      <c r="B73" s="28" t="s">
        <v>160</v>
      </c>
      <c r="C73" s="148"/>
      <c r="D73" s="148"/>
      <c r="E73" s="149"/>
      <c r="F73" s="179"/>
      <c r="G73" s="148"/>
      <c r="H73" s="202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</row>
    <row r="74" spans="1:58" outlineLevel="2" x14ac:dyDescent="0.3">
      <c r="A74" s="65" t="s">
        <v>221</v>
      </c>
      <c r="B74" s="15" t="s">
        <v>167</v>
      </c>
      <c r="C74" s="146">
        <f>5*5000</f>
        <v>25000</v>
      </c>
      <c r="D74" s="146">
        <f t="shared" si="1"/>
        <v>56.689342403628117</v>
      </c>
      <c r="E74" s="147">
        <f t="shared" si="8"/>
        <v>4.7241118669690101</v>
      </c>
      <c r="F74" s="222"/>
      <c r="G74" s="146"/>
      <c r="H74" s="201"/>
    </row>
    <row r="75" spans="1:58" outlineLevel="2" x14ac:dyDescent="0.3">
      <c r="A75" s="65" t="s">
        <v>222</v>
      </c>
      <c r="B75" s="15" t="s">
        <v>168</v>
      </c>
      <c r="C75" s="146">
        <f>5*3000</f>
        <v>15000</v>
      </c>
      <c r="D75" s="146">
        <f t="shared" si="1"/>
        <v>34.013605442176868</v>
      </c>
      <c r="E75" s="147">
        <f t="shared" si="8"/>
        <v>2.8344671201814058</v>
      </c>
      <c r="F75" s="222"/>
      <c r="G75" s="146"/>
      <c r="H75" s="201"/>
    </row>
    <row r="76" spans="1:58" outlineLevel="2" x14ac:dyDescent="0.3">
      <c r="A76" s="65" t="s">
        <v>223</v>
      </c>
      <c r="B76" s="15" t="s">
        <v>169</v>
      </c>
      <c r="C76" s="146">
        <v>15000</v>
      </c>
      <c r="D76" s="146">
        <f t="shared" si="1"/>
        <v>34.013605442176868</v>
      </c>
      <c r="E76" s="147">
        <f t="shared" si="8"/>
        <v>2.8344671201814058</v>
      </c>
      <c r="F76" s="222"/>
      <c r="G76" s="146"/>
      <c r="H76" s="201"/>
    </row>
    <row r="77" spans="1:58" ht="20.100000000000001" customHeight="1" outlineLevel="2" x14ac:dyDescent="0.3">
      <c r="A77" s="65" t="s">
        <v>192</v>
      </c>
      <c r="B77" s="15" t="s">
        <v>170</v>
      </c>
      <c r="C77" s="146">
        <v>10000</v>
      </c>
      <c r="D77" s="146">
        <f t="shared" ref="D77:D115" si="9">C77/$C$7</f>
        <v>22.675736961451246</v>
      </c>
      <c r="E77" s="147">
        <f t="shared" si="8"/>
        <v>1.8896447467876039</v>
      </c>
      <c r="F77" s="183"/>
      <c r="G77" s="146"/>
      <c r="H77" s="201"/>
    </row>
    <row r="78" spans="1:58" ht="20.100000000000001" customHeight="1" outlineLevel="2" x14ac:dyDescent="0.3">
      <c r="A78" s="65" t="s">
        <v>193</v>
      </c>
      <c r="B78" s="15" t="s">
        <v>171</v>
      </c>
      <c r="C78" s="146">
        <v>24250</v>
      </c>
      <c r="D78" s="146">
        <f t="shared" si="9"/>
        <v>54.988662131519277</v>
      </c>
      <c r="E78" s="147">
        <f t="shared" si="8"/>
        <v>4.58238851095994</v>
      </c>
      <c r="F78" s="184" t="s">
        <v>233</v>
      </c>
      <c r="G78" s="146"/>
      <c r="H78" s="201"/>
    </row>
    <row r="79" spans="1:58" s="14" customFormat="1" outlineLevel="1" x14ac:dyDescent="0.3">
      <c r="A79" s="61" t="s">
        <v>96</v>
      </c>
      <c r="B79" s="28" t="s">
        <v>236</v>
      </c>
      <c r="C79" s="148">
        <f>SUM(C80:C84)</f>
        <v>209610</v>
      </c>
      <c r="D79" s="148">
        <f t="shared" si="9"/>
        <v>475.30612244897958</v>
      </c>
      <c r="E79" s="149">
        <f t="shared" si="8"/>
        <v>39.608843537414963</v>
      </c>
      <c r="F79" s="185"/>
      <c r="G79" s="148"/>
      <c r="H79" s="202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</row>
    <row r="80" spans="1:58" s="14" customFormat="1" ht="31.5" outlineLevel="2" x14ac:dyDescent="0.3">
      <c r="A80" s="65" t="s">
        <v>194</v>
      </c>
      <c r="B80" s="15" t="s">
        <v>196</v>
      </c>
      <c r="C80" s="146">
        <f>87000+60000</f>
        <v>147000</v>
      </c>
      <c r="D80" s="146">
        <f t="shared" si="9"/>
        <v>333.33333333333331</v>
      </c>
      <c r="E80" s="147">
        <f t="shared" ref="E80:E85" si="10">D80/12</f>
        <v>27.777777777777775</v>
      </c>
      <c r="F80" s="186"/>
      <c r="G80" s="146"/>
      <c r="H80" s="201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  <c r="BF80" s="100"/>
    </row>
    <row r="81" spans="1:58" s="14" customFormat="1" ht="31.5" outlineLevel="2" x14ac:dyDescent="0.3">
      <c r="A81" s="65" t="s">
        <v>195</v>
      </c>
      <c r="B81" s="15" t="s">
        <v>225</v>
      </c>
      <c r="C81" s="146">
        <v>20000</v>
      </c>
      <c r="D81" s="146">
        <f t="shared" si="9"/>
        <v>45.351473922902493</v>
      </c>
      <c r="E81" s="147">
        <f t="shared" si="10"/>
        <v>3.7792894935752077</v>
      </c>
      <c r="F81" s="185"/>
      <c r="G81" s="146"/>
      <c r="H81" s="201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</row>
    <row r="82" spans="1:58" s="14" customFormat="1" ht="31.5" outlineLevel="2" x14ac:dyDescent="0.3">
      <c r="A82" s="65" t="s">
        <v>161</v>
      </c>
      <c r="B82" s="15" t="s">
        <v>224</v>
      </c>
      <c r="C82" s="146">
        <f>15000</f>
        <v>15000</v>
      </c>
      <c r="D82" s="146">
        <f t="shared" si="9"/>
        <v>34.013605442176868</v>
      </c>
      <c r="E82" s="147">
        <f t="shared" si="10"/>
        <v>2.8344671201814058</v>
      </c>
      <c r="F82" s="185"/>
      <c r="G82" s="146"/>
      <c r="H82" s="201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</row>
    <row r="83" spans="1:58" s="14" customFormat="1" ht="31.5" outlineLevel="2" x14ac:dyDescent="0.3">
      <c r="A83" s="65" t="s">
        <v>162</v>
      </c>
      <c r="B83" s="15" t="s">
        <v>226</v>
      </c>
      <c r="C83" s="146">
        <v>20000</v>
      </c>
      <c r="D83" s="146">
        <f t="shared" si="9"/>
        <v>45.351473922902493</v>
      </c>
      <c r="E83" s="147">
        <f t="shared" si="10"/>
        <v>3.7792894935752077</v>
      </c>
      <c r="F83" s="185"/>
      <c r="G83" s="146"/>
      <c r="H83" s="201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</row>
    <row r="84" spans="1:58" s="14" customFormat="1" outlineLevel="2" x14ac:dyDescent="0.3">
      <c r="A84" s="65" t="s">
        <v>172</v>
      </c>
      <c r="B84" s="15" t="s">
        <v>90</v>
      </c>
      <c r="C84" s="146">
        <v>7610</v>
      </c>
      <c r="D84" s="146">
        <f t="shared" si="9"/>
        <v>17.256235827664398</v>
      </c>
      <c r="E84" s="147">
        <f t="shared" si="10"/>
        <v>1.4380196523053665</v>
      </c>
      <c r="F84" s="185" t="s">
        <v>232</v>
      </c>
      <c r="G84" s="146"/>
      <c r="H84" s="201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</row>
    <row r="85" spans="1:58" s="14" customFormat="1" ht="31.5" outlineLevel="1" x14ac:dyDescent="0.3">
      <c r="A85" s="98" t="s">
        <v>97</v>
      </c>
      <c r="B85" s="28" t="s">
        <v>205</v>
      </c>
      <c r="C85" s="148">
        <v>20000</v>
      </c>
      <c r="D85" s="148">
        <f t="shared" si="9"/>
        <v>45.351473922902493</v>
      </c>
      <c r="E85" s="149">
        <f t="shared" si="10"/>
        <v>3.7792894935752077</v>
      </c>
      <c r="F85" s="185"/>
      <c r="G85" s="148"/>
      <c r="H85" s="202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</row>
    <row r="86" spans="1:58" s="14" customFormat="1" outlineLevel="1" x14ac:dyDescent="0.3">
      <c r="A86" s="98" t="s">
        <v>98</v>
      </c>
      <c r="B86" s="28" t="s">
        <v>114</v>
      </c>
      <c r="C86" s="148">
        <v>21243</v>
      </c>
      <c r="D86" s="148">
        <f t="shared" si="9"/>
        <v>48.170068027210881</v>
      </c>
      <c r="E86" s="149">
        <f t="shared" ref="E86:E87" si="11">D86/12</f>
        <v>4.0141723356009065</v>
      </c>
      <c r="F86" s="185" t="s">
        <v>231</v>
      </c>
      <c r="G86" s="148"/>
      <c r="H86" s="202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</row>
    <row r="87" spans="1:58" s="14" customFormat="1" outlineLevel="1" x14ac:dyDescent="0.3">
      <c r="A87" s="98" t="s">
        <v>99</v>
      </c>
      <c r="B87" s="28" t="s">
        <v>117</v>
      </c>
      <c r="C87" s="148">
        <v>13500</v>
      </c>
      <c r="D87" s="148">
        <f t="shared" si="9"/>
        <v>30.612244897959183</v>
      </c>
      <c r="E87" s="149">
        <f t="shared" si="11"/>
        <v>2.5510204081632653</v>
      </c>
      <c r="F87" s="179" t="s">
        <v>231</v>
      </c>
      <c r="G87" s="148">
        <v>17000</v>
      </c>
      <c r="H87" s="200">
        <f>C87/G87-1</f>
        <v>-0.20588235294117652</v>
      </c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</row>
    <row r="88" spans="1:58" outlineLevel="1" x14ac:dyDescent="0.3">
      <c r="A88" s="98" t="s">
        <v>237</v>
      </c>
      <c r="B88" s="28" t="s">
        <v>187</v>
      </c>
      <c r="C88" s="149">
        <v>10000</v>
      </c>
      <c r="D88" s="149">
        <f t="shared" si="9"/>
        <v>22.675736961451246</v>
      </c>
      <c r="E88" s="149">
        <f t="shared" ref="E88:E101" si="12">D88/12</f>
        <v>1.8896447467876039</v>
      </c>
      <c r="G88" s="149"/>
      <c r="H88" s="203"/>
    </row>
    <row r="89" spans="1:58" s="14" customFormat="1" outlineLevel="1" x14ac:dyDescent="0.3">
      <c r="A89" s="98" t="s">
        <v>116</v>
      </c>
      <c r="B89" s="28" t="s">
        <v>227</v>
      </c>
      <c r="C89" s="149">
        <v>7000</v>
      </c>
      <c r="D89" s="149">
        <f t="shared" si="9"/>
        <v>15.873015873015873</v>
      </c>
      <c r="E89" s="149">
        <f t="shared" si="12"/>
        <v>1.3227513227513228</v>
      </c>
      <c r="F89" s="179"/>
      <c r="G89" s="149"/>
      <c r="H89" s="203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  <c r="BB89" s="100"/>
      <c r="BC89" s="100"/>
      <c r="BD89" s="100"/>
      <c r="BE89" s="100"/>
      <c r="BF89" s="100"/>
    </row>
    <row r="90" spans="1:58" s="14" customFormat="1" x14ac:dyDescent="0.3">
      <c r="A90" s="73" t="s">
        <v>100</v>
      </c>
      <c r="B90" s="12" t="s">
        <v>43</v>
      </c>
      <c r="C90" s="126">
        <f>SUM(C91:C95)</f>
        <v>237971</v>
      </c>
      <c r="D90" s="126">
        <f t="shared" si="9"/>
        <v>539.61678004535145</v>
      </c>
      <c r="E90" s="131">
        <f t="shared" si="12"/>
        <v>44.968065003779287</v>
      </c>
      <c r="F90" s="179"/>
      <c r="G90" s="126"/>
      <c r="H90" s="192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</row>
    <row r="91" spans="1:58" s="4" customFormat="1" outlineLevel="1" x14ac:dyDescent="0.3">
      <c r="A91" s="13" t="s">
        <v>101</v>
      </c>
      <c r="B91" s="106" t="s">
        <v>44</v>
      </c>
      <c r="C91" s="150">
        <v>25000</v>
      </c>
      <c r="D91" s="150">
        <f t="shared" si="9"/>
        <v>56.689342403628117</v>
      </c>
      <c r="E91" s="151">
        <f t="shared" si="12"/>
        <v>4.7241118669690101</v>
      </c>
      <c r="F91" s="172"/>
      <c r="G91" s="150"/>
      <c r="H91" s="204"/>
    </row>
    <row r="92" spans="1:58" s="4" customFormat="1" outlineLevel="1" x14ac:dyDescent="0.3">
      <c r="A92" s="13" t="s">
        <v>102</v>
      </c>
      <c r="B92" s="27" t="s">
        <v>115</v>
      </c>
      <c r="C92" s="152">
        <v>47121</v>
      </c>
      <c r="D92" s="152">
        <f t="shared" si="9"/>
        <v>106.85034013605443</v>
      </c>
      <c r="E92" s="151">
        <f t="shared" si="12"/>
        <v>8.9041950113378689</v>
      </c>
      <c r="F92" s="179" t="s">
        <v>231</v>
      </c>
      <c r="G92" s="152"/>
      <c r="H92" s="205"/>
    </row>
    <row r="93" spans="1:58" s="4" customFormat="1" ht="31.5" outlineLevel="1" x14ac:dyDescent="0.3">
      <c r="A93" s="13" t="s">
        <v>103</v>
      </c>
      <c r="B93" s="97" t="s">
        <v>238</v>
      </c>
      <c r="C93" s="150">
        <v>105000</v>
      </c>
      <c r="D93" s="150">
        <f t="shared" si="9"/>
        <v>238.0952380952381</v>
      </c>
      <c r="E93" s="151">
        <f t="shared" si="12"/>
        <v>19.841269841269842</v>
      </c>
      <c r="F93" s="179" t="s">
        <v>231</v>
      </c>
      <c r="G93" s="150"/>
      <c r="H93" s="204"/>
    </row>
    <row r="94" spans="1:58" s="4" customFormat="1" outlineLevel="1" x14ac:dyDescent="0.3">
      <c r="A94" s="13" t="s">
        <v>104</v>
      </c>
      <c r="B94" s="109" t="s">
        <v>86</v>
      </c>
      <c r="C94" s="150">
        <f>19000+13850+18000</f>
        <v>50850</v>
      </c>
      <c r="D94" s="150">
        <f t="shared" si="9"/>
        <v>115.30612244897959</v>
      </c>
      <c r="E94" s="151">
        <f t="shared" si="12"/>
        <v>9.6088435374149661</v>
      </c>
      <c r="F94" s="179" t="s">
        <v>231</v>
      </c>
      <c r="G94" s="150"/>
      <c r="H94" s="204"/>
    </row>
    <row r="95" spans="1:58" s="4" customFormat="1" outlineLevel="1" x14ac:dyDescent="0.3">
      <c r="A95" s="13" t="s">
        <v>105</v>
      </c>
      <c r="B95" s="109" t="s">
        <v>228</v>
      </c>
      <c r="C95" s="150">
        <v>10000</v>
      </c>
      <c r="D95" s="150">
        <f>C95/$C$7</f>
        <v>22.675736961451246</v>
      </c>
      <c r="E95" s="151">
        <f t="shared" ref="E95" si="13">D95/12</f>
        <v>1.8896447467876039</v>
      </c>
      <c r="F95" s="187"/>
      <c r="G95" s="150"/>
      <c r="H95" s="204"/>
    </row>
    <row r="96" spans="1:58" ht="27" customHeight="1" x14ac:dyDescent="0.3">
      <c r="A96" s="113" t="s">
        <v>239</v>
      </c>
      <c r="B96" s="112"/>
      <c r="C96" s="153">
        <f>C11+C21+C23+C29+C35+C39+C42+C46+C48+C90</f>
        <v>7144201.6099999994</v>
      </c>
      <c r="D96" s="153">
        <f>C96/$C$7</f>
        <v>16200.003650793649</v>
      </c>
      <c r="E96" s="154">
        <f t="shared" si="12"/>
        <v>1350.0003042328042</v>
      </c>
      <c r="F96" s="175"/>
      <c r="G96" s="153"/>
      <c r="H96" s="206"/>
    </row>
    <row r="97" spans="1:58" s="14" customFormat="1" ht="26.1" customHeight="1" x14ac:dyDescent="0.3">
      <c r="A97" s="80" t="s">
        <v>5</v>
      </c>
      <c r="B97" s="76" t="s">
        <v>11</v>
      </c>
      <c r="C97" s="155">
        <f>C98+C101+C105+C110+C112</f>
        <v>1191199</v>
      </c>
      <c r="D97" s="155">
        <f t="shared" si="9"/>
        <v>2701.1315192743764</v>
      </c>
      <c r="E97" s="155">
        <f t="shared" si="12"/>
        <v>225.09429327286469</v>
      </c>
      <c r="F97" s="179"/>
      <c r="G97" s="188"/>
      <c r="H97" s="188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0"/>
    </row>
    <row r="98" spans="1:58" s="14" customFormat="1" ht="26.1" customHeight="1" x14ac:dyDescent="0.3">
      <c r="A98" s="216" t="s">
        <v>175</v>
      </c>
      <c r="B98" s="78" t="s">
        <v>174</v>
      </c>
      <c r="C98" s="156">
        <f>SUM(C99:C100)</f>
        <v>39687</v>
      </c>
      <c r="D98" s="156">
        <f t="shared" si="9"/>
        <v>89.993197278911566</v>
      </c>
      <c r="E98" s="157">
        <f t="shared" si="12"/>
        <v>7.4994331065759638</v>
      </c>
      <c r="F98" s="179"/>
      <c r="G98" s="188"/>
      <c r="H98" s="188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 s="100"/>
      <c r="BE98" s="100"/>
      <c r="BF98" s="100"/>
    </row>
    <row r="99" spans="1:58" outlineLevel="1" x14ac:dyDescent="0.3">
      <c r="A99" s="13" t="s">
        <v>176</v>
      </c>
      <c r="B99" s="9" t="s">
        <v>91</v>
      </c>
      <c r="C99" s="140">
        <v>14400</v>
      </c>
      <c r="D99" s="140">
        <f t="shared" si="9"/>
        <v>32.653061224489797</v>
      </c>
      <c r="E99" s="141">
        <f t="shared" si="12"/>
        <v>2.7210884353741496</v>
      </c>
      <c r="F99" s="179" t="s">
        <v>232</v>
      </c>
    </row>
    <row r="100" spans="1:58" outlineLevel="1" x14ac:dyDescent="0.3">
      <c r="A100" s="13" t="s">
        <v>177</v>
      </c>
      <c r="B100" s="9" t="s">
        <v>87</v>
      </c>
      <c r="C100" s="140">
        <v>25287</v>
      </c>
      <c r="D100" s="140">
        <f t="shared" si="9"/>
        <v>57.34013605442177</v>
      </c>
      <c r="E100" s="141">
        <f t="shared" si="12"/>
        <v>4.7783446712018138</v>
      </c>
      <c r="F100" s="179" t="s">
        <v>232</v>
      </c>
    </row>
    <row r="101" spans="1:58" s="14" customFormat="1" ht="26.1" customHeight="1" x14ac:dyDescent="0.3">
      <c r="A101" s="216" t="s">
        <v>178</v>
      </c>
      <c r="B101" s="78" t="s">
        <v>240</v>
      </c>
      <c r="C101" s="156">
        <f>SUM(C102:C104)</f>
        <v>361962</v>
      </c>
      <c r="D101" s="156">
        <f t="shared" si="9"/>
        <v>820.77551020408168</v>
      </c>
      <c r="E101" s="157">
        <f t="shared" si="12"/>
        <v>68.397959183673478</v>
      </c>
      <c r="F101" s="179"/>
      <c r="G101" s="188"/>
      <c r="H101" s="188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00"/>
      <c r="BC101" s="100"/>
      <c r="BD101" s="100"/>
      <c r="BE101" s="100"/>
      <c r="BF101" s="100"/>
    </row>
    <row r="102" spans="1:58" ht="40.5" outlineLevel="1" x14ac:dyDescent="0.3">
      <c r="A102" s="13" t="s">
        <v>179</v>
      </c>
      <c r="B102" s="9" t="s">
        <v>88</v>
      </c>
      <c r="C102" s="140">
        <v>174000</v>
      </c>
      <c r="D102" s="140">
        <f t="shared" si="9"/>
        <v>394.55782312925169</v>
      </c>
      <c r="E102" s="141">
        <f t="shared" ref="E102" si="14">D102/12</f>
        <v>32.879818594104307</v>
      </c>
      <c r="F102" s="179" t="s">
        <v>232</v>
      </c>
    </row>
    <row r="103" spans="1:58" ht="40.5" outlineLevel="1" x14ac:dyDescent="0.3">
      <c r="A103" s="13" t="s">
        <v>180</v>
      </c>
      <c r="B103" s="9" t="s">
        <v>89</v>
      </c>
      <c r="C103" s="140">
        <f>85772+2190</f>
        <v>87962</v>
      </c>
      <c r="D103" s="140">
        <f t="shared" si="9"/>
        <v>199.46031746031747</v>
      </c>
      <c r="E103" s="141">
        <f t="shared" ref="E103:E105" si="15">D103/12</f>
        <v>16.621693121693124</v>
      </c>
      <c r="F103" s="179" t="s">
        <v>232</v>
      </c>
    </row>
    <row r="104" spans="1:58" outlineLevel="1" x14ac:dyDescent="0.3">
      <c r="A104" s="13" t="s">
        <v>220</v>
      </c>
      <c r="B104" s="9" t="s">
        <v>249</v>
      </c>
      <c r="C104" s="140">
        <v>100000</v>
      </c>
      <c r="D104" s="140">
        <f t="shared" ref="D104" si="16">C104/$C$7</f>
        <v>226.75736961451247</v>
      </c>
      <c r="E104" s="141">
        <f t="shared" ref="E104" si="17">D104/12</f>
        <v>18.89644746787604</v>
      </c>
    </row>
    <row r="105" spans="1:58" x14ac:dyDescent="0.3">
      <c r="A105" s="215" t="s">
        <v>197</v>
      </c>
      <c r="B105" s="55" t="s">
        <v>241</v>
      </c>
      <c r="C105" s="158">
        <f>SUM(C106:C109)</f>
        <v>18550</v>
      </c>
      <c r="D105" s="158">
        <f t="shared" si="9"/>
        <v>42.063492063492063</v>
      </c>
      <c r="E105" s="159">
        <f t="shared" si="15"/>
        <v>3.5052910052910051</v>
      </c>
    </row>
    <row r="106" spans="1:58" outlineLevel="1" x14ac:dyDescent="0.3">
      <c r="A106" s="13" t="s">
        <v>198</v>
      </c>
      <c r="B106" s="59" t="s">
        <v>242</v>
      </c>
      <c r="C106" s="160">
        <v>5000</v>
      </c>
      <c r="D106" s="160">
        <f>C106/$C$7</f>
        <v>11.337868480725623</v>
      </c>
      <c r="E106" s="151">
        <f>D106/12</f>
        <v>0.94482237339380193</v>
      </c>
    </row>
    <row r="107" spans="1:58" outlineLevel="1" x14ac:dyDescent="0.3">
      <c r="A107" s="13" t="s">
        <v>199</v>
      </c>
      <c r="B107" s="59" t="s">
        <v>156</v>
      </c>
      <c r="C107" s="160">
        <v>1550</v>
      </c>
      <c r="D107" s="160">
        <f>C107/$C$7</f>
        <v>3.5147392290249435</v>
      </c>
      <c r="E107" s="151">
        <f>D107/12</f>
        <v>0.29289493575207864</v>
      </c>
    </row>
    <row r="108" spans="1:58" ht="40.5" outlineLevel="1" x14ac:dyDescent="0.3">
      <c r="A108" s="13" t="s">
        <v>200</v>
      </c>
      <c r="B108" s="59" t="s">
        <v>157</v>
      </c>
      <c r="C108" s="160">
        <v>6000</v>
      </c>
      <c r="D108" s="160">
        <f>C108/$C$7</f>
        <v>13.605442176870747</v>
      </c>
      <c r="E108" s="151">
        <f>D108/12</f>
        <v>1.1337868480725624</v>
      </c>
    </row>
    <row r="109" spans="1:58" ht="40.5" outlineLevel="1" x14ac:dyDescent="0.3">
      <c r="A109" s="13" t="s">
        <v>201</v>
      </c>
      <c r="B109" s="59" t="s">
        <v>158</v>
      </c>
      <c r="C109" s="160">
        <v>6000</v>
      </c>
      <c r="D109" s="160">
        <f>C109/$C$7</f>
        <v>13.605442176870747</v>
      </c>
      <c r="E109" s="151">
        <f>D109/12</f>
        <v>1.1337868480725624</v>
      </c>
    </row>
    <row r="110" spans="1:58" s="14" customFormat="1" x14ac:dyDescent="0.3">
      <c r="A110" s="214" t="s">
        <v>202</v>
      </c>
      <c r="B110" s="55" t="s">
        <v>186</v>
      </c>
      <c r="C110" s="161">
        <f>C111</f>
        <v>20000</v>
      </c>
      <c r="D110" s="161">
        <f t="shared" si="9"/>
        <v>45.351473922902493</v>
      </c>
      <c r="E110" s="159">
        <f t="shared" ref="E110:E113" si="18">D110/12</f>
        <v>3.7792894935752077</v>
      </c>
      <c r="F110" s="179"/>
      <c r="G110" s="188"/>
      <c r="H110" s="188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100"/>
      <c r="AV110" s="100"/>
      <c r="AW110" s="100"/>
      <c r="AX110" s="100"/>
      <c r="AY110" s="100"/>
      <c r="AZ110" s="100"/>
      <c r="BA110" s="100"/>
      <c r="BB110" s="100"/>
      <c r="BC110" s="100"/>
      <c r="BD110" s="100"/>
      <c r="BE110" s="100"/>
      <c r="BF110" s="100"/>
    </row>
    <row r="111" spans="1:58" ht="40.5" outlineLevel="1" x14ac:dyDescent="0.3">
      <c r="A111" s="13" t="s">
        <v>181</v>
      </c>
      <c r="B111" s="59" t="s">
        <v>164</v>
      </c>
      <c r="C111" s="160">
        <v>20000</v>
      </c>
      <c r="D111" s="160">
        <f t="shared" si="9"/>
        <v>45.351473922902493</v>
      </c>
      <c r="E111" s="151">
        <f t="shared" si="18"/>
        <v>3.7792894935752077</v>
      </c>
    </row>
    <row r="112" spans="1:58" x14ac:dyDescent="0.3">
      <c r="A112" s="214" t="s">
        <v>71</v>
      </c>
      <c r="B112" s="57" t="s">
        <v>243</v>
      </c>
      <c r="C112" s="166">
        <v>751000</v>
      </c>
      <c r="D112" s="166">
        <f>C112/$C$7</f>
        <v>1702.9478458049887</v>
      </c>
      <c r="E112" s="159">
        <f>D112/12</f>
        <v>141.91232048374906</v>
      </c>
      <c r="F112" s="179"/>
    </row>
    <row r="113" spans="1:58" s="14" customFormat="1" ht="26.1" customHeight="1" x14ac:dyDescent="0.3">
      <c r="A113" s="80" t="s">
        <v>183</v>
      </c>
      <c r="B113" s="76" t="s">
        <v>184</v>
      </c>
      <c r="C113" s="155">
        <f>C114</f>
        <v>220000</v>
      </c>
      <c r="D113" s="155">
        <f>C113/$C$7</f>
        <v>498.86621315192741</v>
      </c>
      <c r="E113" s="162">
        <f t="shared" si="18"/>
        <v>41.572184429327287</v>
      </c>
      <c r="F113" s="179"/>
      <c r="G113" s="188"/>
      <c r="H113" s="188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  <c r="AT113" s="100"/>
      <c r="AU113" s="100"/>
      <c r="AV113" s="100"/>
      <c r="AW113" s="100"/>
      <c r="AX113" s="100"/>
      <c r="AY113" s="100"/>
      <c r="AZ113" s="100"/>
      <c r="BA113" s="100"/>
      <c r="BB113" s="100"/>
      <c r="BC113" s="100"/>
      <c r="BD113" s="100"/>
      <c r="BE113" s="100"/>
      <c r="BF113" s="100"/>
    </row>
    <row r="114" spans="1:58" outlineLevel="1" x14ac:dyDescent="0.3">
      <c r="A114" s="13" t="s">
        <v>185</v>
      </c>
      <c r="B114" s="10" t="s">
        <v>182</v>
      </c>
      <c r="C114" s="140">
        <v>220000</v>
      </c>
      <c r="D114" s="140">
        <f t="shared" si="9"/>
        <v>498.86621315192741</v>
      </c>
      <c r="E114" s="141">
        <f t="shared" ref="E114" si="19">D114/12</f>
        <v>41.572184429327287</v>
      </c>
    </row>
    <row r="115" spans="1:58" x14ac:dyDescent="0.3">
      <c r="A115" s="223" t="s">
        <v>204</v>
      </c>
      <c r="B115" s="224"/>
      <c r="C115" s="153">
        <f>C97+C113</f>
        <v>1411199</v>
      </c>
      <c r="D115" s="153">
        <f t="shared" si="9"/>
        <v>3199.9977324263036</v>
      </c>
      <c r="E115" s="153">
        <f>D115/12</f>
        <v>266.66647770219197</v>
      </c>
      <c r="F115" s="180"/>
    </row>
    <row r="116" spans="1:58" s="4" customFormat="1" x14ac:dyDescent="0.3">
      <c r="A116" s="103"/>
      <c r="B116" s="104"/>
      <c r="C116" s="163"/>
      <c r="D116" s="163"/>
      <c r="E116" s="163"/>
      <c r="F116" s="172"/>
      <c r="G116" s="171"/>
      <c r="H116" s="171"/>
    </row>
    <row r="117" spans="1:58" s="4" customFormat="1" x14ac:dyDescent="0.3">
      <c r="A117" s="103"/>
      <c r="B117" s="104"/>
      <c r="C117" s="163"/>
      <c r="D117" s="163"/>
      <c r="E117" s="163"/>
      <c r="F117" s="172"/>
      <c r="G117" s="171"/>
      <c r="H117" s="171"/>
    </row>
    <row r="118" spans="1:58" s="4" customFormat="1" x14ac:dyDescent="0.3">
      <c r="A118" s="103"/>
      <c r="B118" s="104"/>
      <c r="C118" s="163"/>
      <c r="D118" s="163"/>
      <c r="E118" s="163"/>
      <c r="F118" s="172"/>
      <c r="G118" s="171"/>
      <c r="H118" s="171"/>
    </row>
    <row r="119" spans="1:58" s="4" customFormat="1" x14ac:dyDescent="0.3">
      <c r="A119" s="103"/>
      <c r="B119" s="104"/>
      <c r="C119" s="163"/>
      <c r="D119" s="163"/>
      <c r="E119" s="163"/>
      <c r="F119" s="172"/>
      <c r="G119" s="171"/>
      <c r="H119" s="171"/>
    </row>
    <row r="120" spans="1:58" s="4" customFormat="1" x14ac:dyDescent="0.3">
      <c r="A120" s="103"/>
      <c r="B120" s="104"/>
      <c r="C120" s="163"/>
      <c r="D120" s="163"/>
      <c r="E120" s="163"/>
      <c r="F120" s="172"/>
      <c r="G120" s="171"/>
      <c r="H120" s="171"/>
    </row>
    <row r="121" spans="1:58" s="4" customFormat="1" x14ac:dyDescent="0.3">
      <c r="A121" s="103"/>
      <c r="B121" s="104"/>
      <c r="C121" s="163"/>
      <c r="D121" s="163"/>
      <c r="E121" s="163"/>
      <c r="F121" s="172"/>
      <c r="G121" s="171"/>
      <c r="H121" s="171"/>
    </row>
    <row r="122" spans="1:58" s="4" customFormat="1" x14ac:dyDescent="0.3">
      <c r="A122" s="103"/>
      <c r="B122" s="104"/>
      <c r="C122" s="163"/>
      <c r="D122" s="163"/>
      <c r="E122" s="163"/>
      <c r="F122" s="172"/>
      <c r="G122" s="171"/>
      <c r="H122" s="171"/>
    </row>
    <row r="123" spans="1:58" s="4" customFormat="1" x14ac:dyDescent="0.3">
      <c r="A123" s="103"/>
      <c r="B123" s="104"/>
      <c r="C123" s="163"/>
      <c r="D123" s="163"/>
      <c r="E123" s="163"/>
      <c r="F123" s="172"/>
      <c r="G123" s="171"/>
      <c r="H123" s="171"/>
    </row>
    <row r="124" spans="1:58" s="4" customFormat="1" x14ac:dyDescent="0.3">
      <c r="A124" s="103"/>
      <c r="B124" s="104"/>
      <c r="C124" s="163"/>
      <c r="D124" s="163"/>
      <c r="E124" s="163"/>
      <c r="F124" s="172"/>
      <c r="G124" s="171"/>
      <c r="H124" s="171"/>
    </row>
    <row r="125" spans="1:58" s="4" customFormat="1" x14ac:dyDescent="0.3">
      <c r="A125" s="103"/>
      <c r="B125" s="104"/>
      <c r="C125" s="163"/>
      <c r="D125" s="163"/>
      <c r="E125" s="163"/>
      <c r="F125" s="172"/>
      <c r="G125" s="171"/>
      <c r="H125" s="171"/>
    </row>
    <row r="126" spans="1:58" s="4" customFormat="1" x14ac:dyDescent="0.3">
      <c r="A126" s="103"/>
      <c r="B126" s="104"/>
      <c r="C126" s="163"/>
      <c r="D126" s="163"/>
      <c r="E126" s="163"/>
      <c r="F126" s="172"/>
      <c r="G126" s="171"/>
      <c r="H126" s="171"/>
    </row>
    <row r="127" spans="1:58" s="4" customFormat="1" x14ac:dyDescent="0.3">
      <c r="A127" s="103"/>
      <c r="B127" s="104"/>
      <c r="C127" s="163"/>
      <c r="D127" s="163"/>
      <c r="E127" s="163"/>
      <c r="F127" s="172"/>
      <c r="G127" s="171"/>
      <c r="H127" s="171"/>
    </row>
    <row r="128" spans="1:58" s="4" customFormat="1" x14ac:dyDescent="0.3">
      <c r="A128" s="103"/>
      <c r="B128" s="104"/>
      <c r="C128" s="163"/>
      <c r="D128" s="163"/>
      <c r="E128" s="163"/>
      <c r="F128" s="172"/>
      <c r="G128" s="171"/>
      <c r="H128" s="171"/>
    </row>
    <row r="129" spans="1:8" s="4" customFormat="1" x14ac:dyDescent="0.3">
      <c r="A129" s="103"/>
      <c r="B129" s="104"/>
      <c r="C129" s="163"/>
      <c r="D129" s="163"/>
      <c r="E129" s="163"/>
      <c r="F129" s="172"/>
      <c r="G129" s="171"/>
      <c r="H129" s="171"/>
    </row>
    <row r="130" spans="1:8" s="4" customFormat="1" x14ac:dyDescent="0.3">
      <c r="A130" s="103"/>
      <c r="B130" s="104"/>
      <c r="C130" s="163"/>
      <c r="D130" s="163"/>
      <c r="E130" s="163"/>
      <c r="F130" s="172"/>
      <c r="G130" s="171"/>
      <c r="H130" s="171"/>
    </row>
    <row r="131" spans="1:8" s="4" customFormat="1" x14ac:dyDescent="0.3">
      <c r="A131" s="103"/>
      <c r="B131" s="104"/>
      <c r="C131" s="163"/>
      <c r="D131" s="163"/>
      <c r="E131" s="163"/>
      <c r="F131" s="172"/>
      <c r="G131" s="171"/>
      <c r="H131" s="171"/>
    </row>
    <row r="132" spans="1:8" s="4" customFormat="1" x14ac:dyDescent="0.3">
      <c r="A132" s="103"/>
      <c r="B132" s="104"/>
      <c r="C132" s="163"/>
      <c r="D132" s="163"/>
      <c r="E132" s="163"/>
      <c r="F132" s="172"/>
      <c r="G132" s="171"/>
      <c r="H132" s="171"/>
    </row>
    <row r="133" spans="1:8" s="4" customFormat="1" x14ac:dyDescent="0.3">
      <c r="A133" s="103"/>
      <c r="B133" s="104"/>
      <c r="C133" s="163"/>
      <c r="D133" s="163"/>
      <c r="E133" s="163"/>
      <c r="F133" s="172"/>
      <c r="G133" s="171"/>
      <c r="H133" s="171"/>
    </row>
    <row r="134" spans="1:8" s="4" customFormat="1" x14ac:dyDescent="0.3">
      <c r="A134" s="103"/>
      <c r="B134" s="104"/>
      <c r="C134" s="163"/>
      <c r="D134" s="163"/>
      <c r="E134" s="163"/>
      <c r="F134" s="172"/>
      <c r="G134" s="171"/>
      <c r="H134" s="171"/>
    </row>
    <row r="135" spans="1:8" s="4" customFormat="1" x14ac:dyDescent="0.3">
      <c r="A135" s="103"/>
      <c r="B135" s="104"/>
      <c r="C135" s="163"/>
      <c r="D135" s="163"/>
      <c r="E135" s="163"/>
      <c r="F135" s="172"/>
      <c r="G135" s="171"/>
      <c r="H135" s="171"/>
    </row>
    <row r="136" spans="1:8" s="4" customFormat="1" x14ac:dyDescent="0.3">
      <c r="A136" s="103"/>
      <c r="B136" s="104"/>
      <c r="C136" s="163"/>
      <c r="D136" s="163"/>
      <c r="E136" s="163"/>
      <c r="F136" s="172"/>
      <c r="G136" s="171"/>
      <c r="H136" s="171"/>
    </row>
    <row r="137" spans="1:8" s="4" customFormat="1" x14ac:dyDescent="0.3">
      <c r="A137" s="103"/>
      <c r="B137" s="104"/>
      <c r="C137" s="163"/>
      <c r="D137" s="163"/>
      <c r="E137" s="163"/>
      <c r="F137" s="172"/>
      <c r="G137" s="171"/>
      <c r="H137" s="171"/>
    </row>
    <row r="138" spans="1:8" s="4" customFormat="1" x14ac:dyDescent="0.3">
      <c r="A138" s="103"/>
      <c r="B138" s="104"/>
      <c r="C138" s="163"/>
      <c r="D138" s="163"/>
      <c r="E138" s="163"/>
      <c r="F138" s="172"/>
      <c r="G138" s="171"/>
      <c r="H138" s="171"/>
    </row>
    <row r="139" spans="1:8" s="4" customFormat="1" x14ac:dyDescent="0.3">
      <c r="A139" s="103"/>
      <c r="B139" s="104"/>
      <c r="C139" s="163"/>
      <c r="D139" s="163"/>
      <c r="E139" s="163"/>
      <c r="F139" s="172"/>
      <c r="G139" s="171"/>
      <c r="H139" s="171"/>
    </row>
    <row r="140" spans="1:8" s="4" customFormat="1" x14ac:dyDescent="0.3">
      <c r="A140" s="103"/>
      <c r="B140" s="104"/>
      <c r="C140" s="163"/>
      <c r="D140" s="163"/>
      <c r="E140" s="163"/>
      <c r="F140" s="172"/>
      <c r="G140" s="171"/>
      <c r="H140" s="171"/>
    </row>
    <row r="141" spans="1:8" s="4" customFormat="1" x14ac:dyDescent="0.3">
      <c r="A141" s="103"/>
      <c r="B141" s="104"/>
      <c r="C141" s="163"/>
      <c r="D141" s="163"/>
      <c r="E141" s="163"/>
      <c r="F141" s="172"/>
      <c r="G141" s="171"/>
      <c r="H141" s="171"/>
    </row>
    <row r="142" spans="1:8" s="4" customFormat="1" x14ac:dyDescent="0.3">
      <c r="A142" s="103"/>
      <c r="B142" s="104"/>
      <c r="C142" s="163"/>
      <c r="D142" s="163"/>
      <c r="E142" s="163"/>
      <c r="F142" s="172"/>
      <c r="G142" s="171"/>
      <c r="H142" s="171"/>
    </row>
    <row r="143" spans="1:8" s="4" customFormat="1" x14ac:dyDescent="0.3">
      <c r="A143" s="103"/>
      <c r="B143" s="104"/>
      <c r="C143" s="163"/>
      <c r="D143" s="163"/>
      <c r="E143" s="163"/>
      <c r="F143" s="172"/>
      <c r="G143" s="171"/>
      <c r="H143" s="171"/>
    </row>
    <row r="144" spans="1:8" s="4" customFormat="1" x14ac:dyDescent="0.3">
      <c r="A144" s="103"/>
      <c r="B144" s="104"/>
      <c r="C144" s="163"/>
      <c r="D144" s="163"/>
      <c r="E144" s="163"/>
      <c r="F144" s="172"/>
      <c r="G144" s="171"/>
      <c r="H144" s="171"/>
    </row>
    <row r="145" spans="1:8" s="4" customFormat="1" x14ac:dyDescent="0.3">
      <c r="A145" s="103"/>
      <c r="B145" s="104"/>
      <c r="C145" s="163"/>
      <c r="D145" s="163"/>
      <c r="E145" s="163"/>
      <c r="F145" s="172"/>
      <c r="G145" s="171"/>
      <c r="H145" s="171"/>
    </row>
    <row r="146" spans="1:8" s="4" customFormat="1" x14ac:dyDescent="0.3">
      <c r="A146" s="103"/>
      <c r="B146" s="104"/>
      <c r="C146" s="163"/>
      <c r="D146" s="163"/>
      <c r="E146" s="163"/>
      <c r="F146" s="172"/>
      <c r="G146" s="171"/>
      <c r="H146" s="171"/>
    </row>
    <row r="147" spans="1:8" s="4" customFormat="1" x14ac:dyDescent="0.3">
      <c r="A147" s="103"/>
      <c r="B147" s="104"/>
      <c r="C147" s="163"/>
      <c r="D147" s="163"/>
      <c r="E147" s="163"/>
      <c r="F147" s="172"/>
      <c r="G147" s="171"/>
      <c r="H147" s="171"/>
    </row>
    <row r="148" spans="1:8" s="4" customFormat="1" x14ac:dyDescent="0.3">
      <c r="A148" s="103"/>
      <c r="B148" s="104"/>
      <c r="C148" s="163"/>
      <c r="D148" s="163"/>
      <c r="E148" s="163"/>
      <c r="F148" s="172"/>
      <c r="G148" s="171"/>
      <c r="H148" s="171"/>
    </row>
    <row r="149" spans="1:8" s="4" customFormat="1" x14ac:dyDescent="0.3">
      <c r="A149" s="103"/>
      <c r="B149" s="104"/>
      <c r="C149" s="163"/>
      <c r="D149" s="163"/>
      <c r="E149" s="163"/>
      <c r="F149" s="172"/>
      <c r="G149" s="171"/>
      <c r="H149" s="171"/>
    </row>
  </sheetData>
  <mergeCells count="10">
    <mergeCell ref="F74:F76"/>
    <mergeCell ref="A115:B115"/>
    <mergeCell ref="A8:C8"/>
    <mergeCell ref="A1:E1"/>
    <mergeCell ref="B2:C2"/>
    <mergeCell ref="B3:C3"/>
    <mergeCell ref="B4:C4"/>
    <mergeCell ref="B6:C6"/>
    <mergeCell ref="B5:C5"/>
    <mergeCell ref="D7:E7"/>
  </mergeCells>
  <pageMargins left="0.23622047244094491" right="0.23622047244094491" top="0.74803149606299213" bottom="0.74803149606299213" header="0.31496062992125984" footer="0.31496062992125984"/>
  <pageSetup paperSize="9" scale="71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opLeftCell="A19" zoomScale="55" zoomScaleNormal="55" workbookViewId="0">
      <selection activeCell="B45" sqref="B45"/>
    </sheetView>
  </sheetViews>
  <sheetFormatPr defaultColWidth="8.85546875" defaultRowHeight="20.25" x14ac:dyDescent="0.3"/>
  <cols>
    <col min="1" max="1" width="8.140625" style="75" customWidth="1"/>
    <col min="2" max="2" width="78.7109375" style="1" customWidth="1"/>
    <col min="3" max="3" width="21.28515625" style="38" customWidth="1"/>
    <col min="4" max="4" width="19.28515625" style="38" customWidth="1"/>
    <col min="5" max="5" width="15.42578125" style="38" customWidth="1"/>
  </cols>
  <sheetData>
    <row r="1" spans="1:5" ht="20.100000000000001" customHeight="1" x14ac:dyDescent="0.25">
      <c r="A1" s="227" t="s">
        <v>244</v>
      </c>
      <c r="B1" s="228"/>
      <c r="C1" s="228"/>
      <c r="D1" s="228"/>
      <c r="E1" s="228"/>
    </row>
    <row r="2" spans="1:5" x14ac:dyDescent="0.25">
      <c r="A2" s="68" t="s">
        <v>0</v>
      </c>
      <c r="B2" s="229" t="s">
        <v>1</v>
      </c>
      <c r="C2" s="230"/>
      <c r="D2" s="5" t="s">
        <v>2</v>
      </c>
      <c r="E2" s="5" t="s">
        <v>3</v>
      </c>
    </row>
    <row r="3" spans="1:5" ht="17.45" customHeight="1" x14ac:dyDescent="0.25">
      <c r="A3" s="69" t="s">
        <v>4</v>
      </c>
      <c r="B3" s="231" t="s">
        <v>21</v>
      </c>
      <c r="C3" s="232"/>
      <c r="D3" s="39">
        <f>E3*12</f>
        <v>13348.74684807256</v>
      </c>
      <c r="E3" s="40">
        <f>E58</f>
        <v>1112.3955706727133</v>
      </c>
    </row>
    <row r="4" spans="1:5" ht="17.45" customHeight="1" x14ac:dyDescent="0.25">
      <c r="A4" s="69" t="s">
        <v>5</v>
      </c>
      <c r="B4" s="231" t="s">
        <v>20</v>
      </c>
      <c r="C4" s="232"/>
      <c r="D4" s="41">
        <f>D59</f>
        <v>3388.8888888888887</v>
      </c>
      <c r="E4" s="42"/>
    </row>
    <row r="5" spans="1:5" ht="41.1" customHeight="1" x14ac:dyDescent="0.25">
      <c r="A5" s="69" t="s">
        <v>183</v>
      </c>
      <c r="B5" s="231" t="s">
        <v>203</v>
      </c>
      <c r="C5" s="232"/>
      <c r="D5" s="41">
        <f>D67</f>
        <v>0</v>
      </c>
      <c r="E5" s="42"/>
    </row>
    <row r="6" spans="1:5" x14ac:dyDescent="0.25">
      <c r="A6" s="64" t="s">
        <v>208</v>
      </c>
      <c r="B6" s="233" t="s">
        <v>19</v>
      </c>
      <c r="C6" s="234"/>
      <c r="D6" s="42">
        <f>E3*12+D4+D5</f>
        <v>16737.635736961449</v>
      </c>
      <c r="E6" s="43"/>
    </row>
    <row r="7" spans="1:5" ht="20.100000000000001" customHeight="1" x14ac:dyDescent="0.25">
      <c r="A7" s="64" t="s">
        <v>209</v>
      </c>
      <c r="B7" s="110" t="s">
        <v>206</v>
      </c>
      <c r="C7" s="111">
        <v>441</v>
      </c>
      <c r="D7" s="237"/>
      <c r="E7" s="238"/>
    </row>
    <row r="8" spans="1:5" ht="20.100000000000001" customHeight="1" x14ac:dyDescent="0.25">
      <c r="A8" s="225" t="s">
        <v>207</v>
      </c>
      <c r="B8" s="226"/>
      <c r="C8" s="226"/>
      <c r="D8" s="44">
        <f>C58+C68</f>
        <v>7381297.3599999994</v>
      </c>
      <c r="E8" s="220">
        <f>D8/C7</f>
        <v>16737.635736961449</v>
      </c>
    </row>
    <row r="9" spans="1:5" ht="37.5" x14ac:dyDescent="0.25">
      <c r="A9" s="70" t="s">
        <v>6</v>
      </c>
      <c r="B9" s="3" t="s">
        <v>7</v>
      </c>
      <c r="C9" s="6" t="s">
        <v>13</v>
      </c>
      <c r="D9" s="6" t="s">
        <v>14</v>
      </c>
      <c r="E9" s="6" t="s">
        <v>15</v>
      </c>
    </row>
    <row r="10" spans="1:5" x14ac:dyDescent="0.25">
      <c r="A10" s="71" t="s">
        <v>8</v>
      </c>
      <c r="B10" s="7" t="s">
        <v>9</v>
      </c>
      <c r="C10" s="8"/>
      <c r="D10" s="8"/>
      <c r="E10" s="8"/>
    </row>
    <row r="11" spans="1:5" x14ac:dyDescent="0.25">
      <c r="A11" s="83" t="s">
        <v>10</v>
      </c>
      <c r="B11" s="84" t="s">
        <v>29</v>
      </c>
      <c r="C11" s="85">
        <f>SUM(C12:C18)+899561.36</f>
        <v>3602539.36</v>
      </c>
      <c r="D11" s="85">
        <f>C11/$C$7</f>
        <v>8169.0234920634921</v>
      </c>
      <c r="E11" s="85">
        <f>D11/12</f>
        <v>680.75195767195771</v>
      </c>
    </row>
    <row r="12" spans="1:5" ht="15.75" x14ac:dyDescent="0.25">
      <c r="A12" s="86" t="s">
        <v>34</v>
      </c>
      <c r="B12" s="16" t="s">
        <v>46</v>
      </c>
      <c r="C12" s="30">
        <f>51800*12</f>
        <v>621600</v>
      </c>
      <c r="D12" s="30">
        <f t="shared" ref="D12:D46" si="0">C12/$C$7</f>
        <v>1409.5238095238096</v>
      </c>
      <c r="E12" s="45">
        <f>D12/12</f>
        <v>117.46031746031747</v>
      </c>
    </row>
    <row r="13" spans="1:5" ht="15.75" x14ac:dyDescent="0.25">
      <c r="A13" s="87" t="s">
        <v>35</v>
      </c>
      <c r="B13" s="16" t="s">
        <v>72</v>
      </c>
      <c r="C13" s="30">
        <v>420000</v>
      </c>
      <c r="D13" s="30">
        <f t="shared" si="0"/>
        <v>952.38095238095241</v>
      </c>
      <c r="E13" s="45">
        <f>D13/12</f>
        <v>79.365079365079367</v>
      </c>
    </row>
    <row r="14" spans="1:5" ht="15.75" x14ac:dyDescent="0.25">
      <c r="A14" s="87" t="s">
        <v>36</v>
      </c>
      <c r="B14" s="16" t="s">
        <v>66</v>
      </c>
      <c r="C14" s="30">
        <f>2300*365+73600</f>
        <v>913100</v>
      </c>
      <c r="D14" s="30">
        <f t="shared" si="0"/>
        <v>2070.5215419501133</v>
      </c>
      <c r="E14" s="45">
        <f t="shared" ref="E14:E51" si="1">D14/12</f>
        <v>172.5434618291761</v>
      </c>
    </row>
    <row r="15" spans="1:5" ht="15.75" x14ac:dyDescent="0.25">
      <c r="A15" s="87" t="s">
        <v>92</v>
      </c>
      <c r="B15" s="16"/>
      <c r="C15" s="30"/>
      <c r="D15" s="30">
        <f t="shared" si="0"/>
        <v>0</v>
      </c>
      <c r="E15" s="45">
        <f t="shared" si="1"/>
        <v>0</v>
      </c>
    </row>
    <row r="16" spans="1:5" ht="15.75" x14ac:dyDescent="0.25">
      <c r="A16" s="87" t="s">
        <v>37</v>
      </c>
      <c r="B16" s="16"/>
      <c r="C16" s="30"/>
      <c r="D16" s="30">
        <f t="shared" si="0"/>
        <v>0</v>
      </c>
      <c r="E16" s="45">
        <f t="shared" si="1"/>
        <v>0</v>
      </c>
    </row>
    <row r="17" spans="1:5" ht="15.75" x14ac:dyDescent="0.25">
      <c r="A17" s="87" t="s">
        <v>93</v>
      </c>
      <c r="B17" s="16" t="s">
        <v>110</v>
      </c>
      <c r="C17" s="30">
        <f>50000*6</f>
        <v>300000</v>
      </c>
      <c r="D17" s="30">
        <f t="shared" si="0"/>
        <v>680.27210884353747</v>
      </c>
      <c r="E17" s="45">
        <f t="shared" si="1"/>
        <v>56.689342403628125</v>
      </c>
    </row>
    <row r="18" spans="1:5" ht="15.75" x14ac:dyDescent="0.25">
      <c r="A18" s="87" t="s">
        <v>68</v>
      </c>
      <c r="B18" s="16" t="s">
        <v>73</v>
      </c>
      <c r="C18" s="30">
        <f>74713*6</f>
        <v>448278</v>
      </c>
      <c r="D18" s="30">
        <f t="shared" si="0"/>
        <v>1016.5034013605442</v>
      </c>
      <c r="E18" s="45">
        <f t="shared" si="1"/>
        <v>84.708616780045347</v>
      </c>
    </row>
    <row r="19" spans="1:5" ht="15.75" x14ac:dyDescent="0.25">
      <c r="A19" s="87" t="s">
        <v>107</v>
      </c>
      <c r="B19" s="16" t="s">
        <v>27</v>
      </c>
      <c r="C19" s="30">
        <f ca="1">SUM(C12:C19)*30.2%</f>
        <v>899651.35600000003</v>
      </c>
      <c r="D19" s="30">
        <f ca="1">C19/$C$7</f>
        <v>2040.0257505668935</v>
      </c>
      <c r="E19" s="45">
        <f ca="1">D19/12</f>
        <v>170.00214588057446</v>
      </c>
    </row>
    <row r="20" spans="1:5" ht="18.75" x14ac:dyDescent="0.25">
      <c r="A20" s="73" t="s">
        <v>77</v>
      </c>
      <c r="B20" s="17" t="s">
        <v>74</v>
      </c>
      <c r="C20" s="33">
        <f>C21</f>
        <v>3528</v>
      </c>
      <c r="D20" s="33">
        <f t="shared" si="0"/>
        <v>8</v>
      </c>
      <c r="E20" s="33">
        <f t="shared" si="1"/>
        <v>0.66666666666666663</v>
      </c>
    </row>
    <row r="21" spans="1:5" ht="18.75" x14ac:dyDescent="0.25">
      <c r="A21" s="88" t="s">
        <v>12</v>
      </c>
      <c r="B21" s="16" t="s">
        <v>38</v>
      </c>
      <c r="C21" s="31">
        <v>3528</v>
      </c>
      <c r="D21" s="31">
        <f t="shared" si="0"/>
        <v>8</v>
      </c>
      <c r="E21" s="46">
        <f t="shared" si="1"/>
        <v>0.66666666666666663</v>
      </c>
    </row>
    <row r="22" spans="1:5" ht="18.75" x14ac:dyDescent="0.25">
      <c r="A22" s="73" t="s">
        <v>78</v>
      </c>
      <c r="B22" s="89" t="s">
        <v>30</v>
      </c>
      <c r="C22" s="33">
        <f>SUM(C23:C27)</f>
        <v>29650</v>
      </c>
      <c r="D22" s="33">
        <f t="shared" si="0"/>
        <v>67.233560090702952</v>
      </c>
      <c r="E22" s="33">
        <f t="shared" si="1"/>
        <v>5.602796674225246</v>
      </c>
    </row>
    <row r="23" spans="1:5" ht="18.75" x14ac:dyDescent="0.25">
      <c r="A23" s="72" t="s">
        <v>50</v>
      </c>
      <c r="B23" s="18" t="s">
        <v>75</v>
      </c>
      <c r="C23" s="32">
        <f>600*12</f>
        <v>7200</v>
      </c>
      <c r="D23" s="32">
        <f t="shared" si="0"/>
        <v>16.326530612244898</v>
      </c>
      <c r="E23" s="47">
        <f t="shared" si="1"/>
        <v>1.3605442176870748</v>
      </c>
    </row>
    <row r="24" spans="1:5" ht="18.75" x14ac:dyDescent="0.25">
      <c r="A24" s="72" t="s">
        <v>53</v>
      </c>
      <c r="B24" s="19" t="s">
        <v>76</v>
      </c>
      <c r="C24" s="32">
        <f>600*12</f>
        <v>7200</v>
      </c>
      <c r="D24" s="32">
        <f t="shared" si="0"/>
        <v>16.326530612244898</v>
      </c>
      <c r="E24" s="47">
        <f t="shared" si="1"/>
        <v>1.3605442176870748</v>
      </c>
    </row>
    <row r="25" spans="1:5" ht="18.75" x14ac:dyDescent="0.25">
      <c r="A25" s="72" t="s">
        <v>54</v>
      </c>
      <c r="B25" s="20" t="s">
        <v>67</v>
      </c>
      <c r="C25" s="32">
        <f>400*12</f>
        <v>4800</v>
      </c>
      <c r="D25" s="32">
        <f t="shared" si="0"/>
        <v>10.884353741496598</v>
      </c>
      <c r="E25" s="47">
        <f t="shared" si="1"/>
        <v>0.90702947845804982</v>
      </c>
    </row>
    <row r="26" spans="1:5" ht="18.75" x14ac:dyDescent="0.25">
      <c r="A26" s="72" t="s">
        <v>55</v>
      </c>
      <c r="B26" s="20" t="s">
        <v>47</v>
      </c>
      <c r="C26" s="32">
        <f>C25</f>
        <v>4800</v>
      </c>
      <c r="D26" s="32">
        <f t="shared" si="0"/>
        <v>10.884353741496598</v>
      </c>
      <c r="E26" s="47">
        <f t="shared" si="1"/>
        <v>0.90702947845804982</v>
      </c>
    </row>
    <row r="27" spans="1:5" ht="18.75" x14ac:dyDescent="0.25">
      <c r="A27" s="72" t="s">
        <v>56</v>
      </c>
      <c r="B27" s="20" t="s">
        <v>113</v>
      </c>
      <c r="C27" s="32">
        <v>5650</v>
      </c>
      <c r="D27" s="32">
        <f t="shared" si="0"/>
        <v>12.811791383219955</v>
      </c>
      <c r="E27" s="47">
        <f t="shared" si="1"/>
        <v>1.0676492819349963</v>
      </c>
    </row>
    <row r="28" spans="1:5" ht="18.75" x14ac:dyDescent="0.25">
      <c r="A28" s="73" t="s">
        <v>79</v>
      </c>
      <c r="B28" s="21" t="s">
        <v>39</v>
      </c>
      <c r="C28" s="33">
        <f>SUM(C29:C32)</f>
        <v>80800</v>
      </c>
      <c r="D28" s="33">
        <f t="shared" si="0"/>
        <v>183.21995464852608</v>
      </c>
      <c r="E28" s="48">
        <f t="shared" si="1"/>
        <v>15.26832955404384</v>
      </c>
    </row>
    <row r="29" spans="1:5" ht="18.75" x14ac:dyDescent="0.25">
      <c r="A29" s="74" t="s">
        <v>52</v>
      </c>
      <c r="B29" s="22" t="s">
        <v>24</v>
      </c>
      <c r="C29" s="34">
        <v>21600</v>
      </c>
      <c r="D29" s="34">
        <f>C29/$C$7</f>
        <v>48.979591836734691</v>
      </c>
      <c r="E29" s="49">
        <f>D29/12</f>
        <v>4.0816326530612246</v>
      </c>
    </row>
    <row r="30" spans="1:5" ht="18.75" x14ac:dyDescent="0.25">
      <c r="A30" s="74" t="s">
        <v>57</v>
      </c>
      <c r="B30" s="22" t="s">
        <v>16</v>
      </c>
      <c r="C30" s="34">
        <v>35000</v>
      </c>
      <c r="D30" s="34">
        <f>C30/$C$7</f>
        <v>79.365079365079367</v>
      </c>
      <c r="E30" s="49">
        <f>D30/12</f>
        <v>6.6137566137566139</v>
      </c>
    </row>
    <row r="31" spans="1:5" ht="18.75" x14ac:dyDescent="0.25">
      <c r="A31" s="74" t="s">
        <v>58</v>
      </c>
      <c r="B31" s="22" t="s">
        <v>17</v>
      </c>
      <c r="C31" s="34">
        <f>3200+6000</f>
        <v>9200</v>
      </c>
      <c r="D31" s="34">
        <f>C31/$C$7</f>
        <v>20.861678004535147</v>
      </c>
      <c r="E31" s="49">
        <f>D31/12</f>
        <v>1.7384731670445956</v>
      </c>
    </row>
    <row r="32" spans="1:5" ht="31.5" x14ac:dyDescent="0.25">
      <c r="A32" s="74" t="s">
        <v>80</v>
      </c>
      <c r="B32" s="90" t="s">
        <v>69</v>
      </c>
      <c r="C32" s="34">
        <v>15000</v>
      </c>
      <c r="D32" s="34">
        <f>C32/$C$7</f>
        <v>34.013605442176868</v>
      </c>
      <c r="E32" s="49">
        <f>D32/12</f>
        <v>2.8344671201814058</v>
      </c>
    </row>
    <row r="33" spans="1:5" ht="18.75" x14ac:dyDescent="0.25">
      <c r="A33" s="73" t="s">
        <v>22</v>
      </c>
      <c r="B33" s="17" t="s">
        <v>42</v>
      </c>
      <c r="C33" s="33">
        <f>SUM(C34:C36)</f>
        <v>250280</v>
      </c>
      <c r="D33" s="33">
        <f t="shared" si="0"/>
        <v>567.52834467120181</v>
      </c>
      <c r="E33" s="48">
        <f t="shared" si="1"/>
        <v>47.294028722600153</v>
      </c>
    </row>
    <row r="34" spans="1:5" ht="18.75" x14ac:dyDescent="0.25">
      <c r="A34" s="91" t="s">
        <v>49</v>
      </c>
      <c r="B34" s="23" t="s">
        <v>25</v>
      </c>
      <c r="C34" s="35">
        <v>136400</v>
      </c>
      <c r="D34" s="35">
        <f t="shared" si="0"/>
        <v>309.297052154195</v>
      </c>
      <c r="E34" s="50">
        <f t="shared" si="1"/>
        <v>25.774754346182917</v>
      </c>
    </row>
    <row r="35" spans="1:5" ht="18.75" x14ac:dyDescent="0.25">
      <c r="A35" s="91" t="s">
        <v>59</v>
      </c>
      <c r="B35" s="24" t="s">
        <v>85</v>
      </c>
      <c r="C35" s="35">
        <f>38640+30950+5650</f>
        <v>75240</v>
      </c>
      <c r="D35" s="35">
        <f t="shared" si="0"/>
        <v>170.61224489795919</v>
      </c>
      <c r="E35" s="50">
        <f t="shared" si="1"/>
        <v>14.217687074829932</v>
      </c>
    </row>
    <row r="36" spans="1:5" ht="31.5" x14ac:dyDescent="0.25">
      <c r="A36" s="91" t="s">
        <v>81</v>
      </c>
      <c r="B36" s="92" t="s">
        <v>26</v>
      </c>
      <c r="C36" s="35">
        <v>38640</v>
      </c>
      <c r="D36" s="35">
        <f t="shared" si="0"/>
        <v>87.61904761904762</v>
      </c>
      <c r="E36" s="50">
        <f t="shared" si="1"/>
        <v>7.3015873015873014</v>
      </c>
    </row>
    <row r="37" spans="1:5" ht="18.75" x14ac:dyDescent="0.25">
      <c r="A37" s="73" t="s">
        <v>23</v>
      </c>
      <c r="B37" s="11" t="s">
        <v>28</v>
      </c>
      <c r="C37" s="33">
        <f>SUM(C38:C39)</f>
        <v>785000</v>
      </c>
      <c r="D37" s="33">
        <f t="shared" si="0"/>
        <v>1780.0453514739229</v>
      </c>
      <c r="E37" s="33">
        <f t="shared" si="1"/>
        <v>148.33711262282691</v>
      </c>
    </row>
    <row r="38" spans="1:5" ht="47.25" x14ac:dyDescent="0.25">
      <c r="A38" s="93" t="s">
        <v>60</v>
      </c>
      <c r="B38" s="94" t="s">
        <v>64</v>
      </c>
      <c r="C38" s="95">
        <v>720000</v>
      </c>
      <c r="D38" s="95">
        <f t="shared" si="0"/>
        <v>1632.6530612244899</v>
      </c>
      <c r="E38" s="96">
        <f t="shared" si="1"/>
        <v>136.0544217687075</v>
      </c>
    </row>
    <row r="39" spans="1:5" ht="18.75" x14ac:dyDescent="0.25">
      <c r="A39" s="93" t="s">
        <v>61</v>
      </c>
      <c r="B39" s="94" t="s">
        <v>31</v>
      </c>
      <c r="C39" s="95">
        <v>65000</v>
      </c>
      <c r="D39" s="95">
        <f t="shared" si="0"/>
        <v>147.3922902494331</v>
      </c>
      <c r="E39" s="96">
        <f t="shared" si="1"/>
        <v>12.282690854119425</v>
      </c>
    </row>
    <row r="40" spans="1:5" ht="18.75" x14ac:dyDescent="0.25">
      <c r="A40" s="73" t="s">
        <v>40</v>
      </c>
      <c r="B40" s="21" t="s">
        <v>33</v>
      </c>
      <c r="C40" s="33">
        <f>SUM(C41:C43)</f>
        <v>895000</v>
      </c>
      <c r="D40" s="33">
        <f t="shared" si="0"/>
        <v>2029.4784580498865</v>
      </c>
      <c r="E40" s="48">
        <f t="shared" si="1"/>
        <v>169.12320483749053</v>
      </c>
    </row>
    <row r="41" spans="1:5" ht="18.75" x14ac:dyDescent="0.25">
      <c r="A41" s="60" t="s">
        <v>51</v>
      </c>
      <c r="B41" s="25" t="s">
        <v>18</v>
      </c>
      <c r="C41" s="36">
        <v>750000</v>
      </c>
      <c r="D41" s="36">
        <f t="shared" si="0"/>
        <v>1700.6802721088436</v>
      </c>
      <c r="E41" s="51">
        <f t="shared" si="1"/>
        <v>141.7233560090703</v>
      </c>
    </row>
    <row r="42" spans="1:5" ht="31.5" x14ac:dyDescent="0.25">
      <c r="A42" s="60" t="s">
        <v>62</v>
      </c>
      <c r="B42" s="26" t="s">
        <v>48</v>
      </c>
      <c r="C42" s="37">
        <v>45000</v>
      </c>
      <c r="D42" s="37">
        <f t="shared" si="0"/>
        <v>102.04081632653062</v>
      </c>
      <c r="E42" s="51">
        <f t="shared" si="1"/>
        <v>8.5034013605442187</v>
      </c>
    </row>
    <row r="43" spans="1:5" ht="18.75" x14ac:dyDescent="0.25">
      <c r="A43" s="13" t="s">
        <v>63</v>
      </c>
      <c r="B43" s="97" t="s">
        <v>65</v>
      </c>
      <c r="C43" s="37">
        <v>100000</v>
      </c>
      <c r="D43" s="37">
        <f t="shared" si="0"/>
        <v>226.75736961451247</v>
      </c>
      <c r="E43" s="51">
        <f t="shared" si="1"/>
        <v>18.89644746787604</v>
      </c>
    </row>
    <row r="44" spans="1:5" ht="18.75" x14ac:dyDescent="0.25">
      <c r="A44" s="73" t="s">
        <v>41</v>
      </c>
      <c r="B44" s="17" t="s">
        <v>83</v>
      </c>
      <c r="C44" s="33">
        <f>C45</f>
        <v>200000</v>
      </c>
      <c r="D44" s="33">
        <f t="shared" si="0"/>
        <v>453.51473922902494</v>
      </c>
      <c r="E44" s="48">
        <f t="shared" si="1"/>
        <v>37.792894935752081</v>
      </c>
    </row>
    <row r="45" spans="1:5" ht="18.75" x14ac:dyDescent="0.25">
      <c r="A45" s="13" t="s">
        <v>41</v>
      </c>
      <c r="B45" s="27" t="s">
        <v>45</v>
      </c>
      <c r="C45" s="37">
        <v>200000</v>
      </c>
      <c r="D45" s="37">
        <f t="shared" si="0"/>
        <v>453.51473922902494</v>
      </c>
      <c r="E45" s="52">
        <f t="shared" si="1"/>
        <v>37.792894935752081</v>
      </c>
    </row>
    <row r="46" spans="1:5" ht="18.75" x14ac:dyDescent="0.25">
      <c r="A46" s="73" t="s">
        <v>84</v>
      </c>
      <c r="B46" s="21" t="s">
        <v>32</v>
      </c>
      <c r="C46" s="33">
        <f>SUM(C47:C49)</f>
        <v>15000</v>
      </c>
      <c r="D46" s="33">
        <f t="shared" si="0"/>
        <v>34.013605442176868</v>
      </c>
      <c r="E46" s="48">
        <f t="shared" si="1"/>
        <v>2.8344671201814058</v>
      </c>
    </row>
    <row r="47" spans="1:5" ht="31.5" x14ac:dyDescent="0.25">
      <c r="A47" s="167" t="s">
        <v>234</v>
      </c>
      <c r="B47" s="168" t="s">
        <v>210</v>
      </c>
      <c r="C47" s="30">
        <v>15000</v>
      </c>
      <c r="D47" s="217">
        <f>C47/$C$7</f>
        <v>34.013605442176868</v>
      </c>
      <c r="E47" s="46">
        <f t="shared" si="1"/>
        <v>2.8344671201814058</v>
      </c>
    </row>
    <row r="48" spans="1:5" ht="15.75" x14ac:dyDescent="0.25">
      <c r="A48" s="167" t="s">
        <v>95</v>
      </c>
      <c r="B48" s="168" t="s">
        <v>117</v>
      </c>
      <c r="C48" s="170"/>
      <c r="D48" s="169"/>
      <c r="E48" s="45">
        <f t="shared" si="1"/>
        <v>0</v>
      </c>
    </row>
    <row r="49" spans="1:5" ht="15.75" x14ac:dyDescent="0.25">
      <c r="A49" s="167" t="s">
        <v>96</v>
      </c>
      <c r="B49" s="168" t="s">
        <v>211</v>
      </c>
      <c r="C49" s="169"/>
      <c r="D49" s="30">
        <f t="shared" ref="D49:D68" si="2">C49/$C$7</f>
        <v>0</v>
      </c>
      <c r="E49" s="45">
        <f t="shared" si="1"/>
        <v>0</v>
      </c>
    </row>
    <row r="50" spans="1:5" ht="15.75" x14ac:dyDescent="0.25">
      <c r="A50" s="167" t="s">
        <v>97</v>
      </c>
      <c r="B50" s="168" t="s">
        <v>170</v>
      </c>
      <c r="C50" s="170">
        <v>10000</v>
      </c>
      <c r="D50" s="30">
        <f t="shared" si="2"/>
        <v>22.675736961451246</v>
      </c>
      <c r="E50" s="45">
        <f t="shared" si="1"/>
        <v>1.8896447467876039</v>
      </c>
    </row>
    <row r="51" spans="1:5" ht="15.75" x14ac:dyDescent="0.25">
      <c r="A51" s="167" t="s">
        <v>98</v>
      </c>
      <c r="B51" s="168" t="s">
        <v>171</v>
      </c>
      <c r="C51" s="170">
        <f>25*400</f>
        <v>10000</v>
      </c>
      <c r="D51" s="30">
        <f t="shared" si="2"/>
        <v>22.675736961451246</v>
      </c>
      <c r="E51" s="45">
        <f t="shared" si="1"/>
        <v>1.8896447467876039</v>
      </c>
    </row>
    <row r="52" spans="1:5" ht="18.75" x14ac:dyDescent="0.25">
      <c r="A52" s="73" t="s">
        <v>100</v>
      </c>
      <c r="B52" s="12" t="s">
        <v>43</v>
      </c>
      <c r="C52" s="33">
        <f>SUM(C53:C57)</f>
        <v>25000</v>
      </c>
      <c r="D52" s="33">
        <f t="shared" si="2"/>
        <v>56.689342403628117</v>
      </c>
      <c r="E52" s="48">
        <f t="shared" ref="E52:E62" si="3">D52/12</f>
        <v>4.7241118669690101</v>
      </c>
    </row>
    <row r="53" spans="1:5" ht="15.75" x14ac:dyDescent="0.25">
      <c r="A53" s="13" t="s">
        <v>101</v>
      </c>
      <c r="B53" s="106" t="s">
        <v>44</v>
      </c>
      <c r="C53" s="107">
        <v>25000</v>
      </c>
      <c r="D53" s="107">
        <f t="shared" si="2"/>
        <v>56.689342403628117</v>
      </c>
      <c r="E53" s="63">
        <f t="shared" si="3"/>
        <v>4.7241118669690101</v>
      </c>
    </row>
    <row r="54" spans="1:5" ht="31.5" x14ac:dyDescent="0.25">
      <c r="A54" s="13" t="s">
        <v>102</v>
      </c>
      <c r="B54" s="97" t="s">
        <v>212</v>
      </c>
      <c r="C54" s="108"/>
      <c r="D54" s="108">
        <f>C54/$C$7</f>
        <v>0</v>
      </c>
      <c r="E54" s="63">
        <f>D54/12</f>
        <v>0</v>
      </c>
    </row>
    <row r="55" spans="1:5" ht="15.75" x14ac:dyDescent="0.25">
      <c r="A55" s="13" t="s">
        <v>103</v>
      </c>
      <c r="B55" s="97"/>
      <c r="C55" s="108"/>
      <c r="D55" s="108">
        <f t="shared" ref="D55:D57" si="4">C55/$C$7</f>
        <v>0</v>
      </c>
      <c r="E55" s="63">
        <f t="shared" ref="E55:E57" si="5">D55/12</f>
        <v>0</v>
      </c>
    </row>
    <row r="56" spans="1:5" x14ac:dyDescent="0.3">
      <c r="A56" s="13" t="s">
        <v>104</v>
      </c>
      <c r="B56" s="207"/>
      <c r="C56" s="208"/>
      <c r="D56" s="108">
        <f t="shared" si="4"/>
        <v>0</v>
      </c>
      <c r="E56" s="63">
        <f t="shared" si="5"/>
        <v>0</v>
      </c>
    </row>
    <row r="57" spans="1:5" ht="15.75" x14ac:dyDescent="0.25">
      <c r="A57" s="13" t="s">
        <v>105</v>
      </c>
      <c r="B57" s="109"/>
      <c r="C57" s="108"/>
      <c r="D57" s="108">
        <f t="shared" si="4"/>
        <v>0</v>
      </c>
      <c r="E57" s="63">
        <f t="shared" si="5"/>
        <v>0</v>
      </c>
    </row>
    <row r="58" spans="1:5" ht="17.45" customHeight="1" x14ac:dyDescent="0.25">
      <c r="A58" s="223" t="s">
        <v>239</v>
      </c>
      <c r="B58" s="224"/>
      <c r="C58" s="218">
        <f>C11+C20+C22+C28+C33+C37+C40+C44+C46+C52</f>
        <v>5886797.3599999994</v>
      </c>
      <c r="D58" s="218">
        <f t="shared" si="2"/>
        <v>13348.74684807256</v>
      </c>
      <c r="E58" s="219">
        <f t="shared" si="3"/>
        <v>1112.3955706727133</v>
      </c>
    </row>
    <row r="59" spans="1:5" x14ac:dyDescent="0.3">
      <c r="A59" s="80" t="s">
        <v>5</v>
      </c>
      <c r="B59" s="76" t="s">
        <v>11</v>
      </c>
      <c r="C59" s="81">
        <f>C60+C64+C65</f>
        <v>1494500</v>
      </c>
      <c r="D59" s="81">
        <f t="shared" si="2"/>
        <v>3388.8888888888887</v>
      </c>
      <c r="E59" s="81">
        <f t="shared" si="3"/>
        <v>282.40740740740739</v>
      </c>
    </row>
    <row r="60" spans="1:5" x14ac:dyDescent="0.25">
      <c r="A60" s="77" t="s">
        <v>175</v>
      </c>
      <c r="B60" s="55" t="s">
        <v>155</v>
      </c>
      <c r="C60" s="54">
        <f>SUM(C61:C63)</f>
        <v>44500</v>
      </c>
      <c r="D60" s="54">
        <f t="shared" si="2"/>
        <v>100.90702947845806</v>
      </c>
      <c r="E60" s="56">
        <f t="shared" si="3"/>
        <v>8.4089191232048375</v>
      </c>
    </row>
    <row r="61" spans="1:5" x14ac:dyDescent="0.25">
      <c r="A61" s="13" t="s">
        <v>176</v>
      </c>
      <c r="B61" s="59" t="s">
        <v>213</v>
      </c>
      <c r="C61" s="62">
        <v>4500</v>
      </c>
      <c r="D61" s="62">
        <f t="shared" si="2"/>
        <v>10.204081632653061</v>
      </c>
      <c r="E61" s="63">
        <f t="shared" si="3"/>
        <v>0.85034013605442171</v>
      </c>
    </row>
    <row r="62" spans="1:5" x14ac:dyDescent="0.25">
      <c r="A62" s="13" t="s">
        <v>177</v>
      </c>
      <c r="B62" s="59" t="s">
        <v>214</v>
      </c>
      <c r="C62" s="36">
        <v>20000</v>
      </c>
      <c r="D62" s="36">
        <f t="shared" si="2"/>
        <v>45.351473922902493</v>
      </c>
      <c r="E62" s="51">
        <f t="shared" si="3"/>
        <v>3.7792894935752077</v>
      </c>
    </row>
    <row r="63" spans="1:5" ht="60.75" x14ac:dyDescent="0.25">
      <c r="A63" s="13" t="s">
        <v>217</v>
      </c>
      <c r="B63" s="9" t="s">
        <v>215</v>
      </c>
      <c r="C63" s="37">
        <v>20000</v>
      </c>
      <c r="D63" s="37">
        <f t="shared" si="2"/>
        <v>45.351473922902493</v>
      </c>
      <c r="E63" s="52">
        <f>D63/12</f>
        <v>3.7792894935752077</v>
      </c>
    </row>
    <row r="64" spans="1:5" x14ac:dyDescent="0.25">
      <c r="A64" s="66" t="s">
        <v>218</v>
      </c>
      <c r="B64" s="55" t="s">
        <v>216</v>
      </c>
      <c r="C64" s="58">
        <v>50000</v>
      </c>
      <c r="D64" s="58">
        <f t="shared" si="2"/>
        <v>113.37868480725623</v>
      </c>
      <c r="E64" s="79">
        <f>D64/12</f>
        <v>9.4482237339380202</v>
      </c>
    </row>
    <row r="65" spans="1:5" x14ac:dyDescent="0.3">
      <c r="A65" s="53" t="s">
        <v>219</v>
      </c>
      <c r="B65" s="57" t="s">
        <v>173</v>
      </c>
      <c r="C65" s="67">
        <v>1400000</v>
      </c>
      <c r="D65" s="67">
        <f t="shared" si="2"/>
        <v>3174.6031746031745</v>
      </c>
      <c r="E65" s="56">
        <f>D65/12</f>
        <v>264.55026455026456</v>
      </c>
    </row>
    <row r="66" spans="1:5" x14ac:dyDescent="0.3">
      <c r="A66" s="80" t="s">
        <v>183</v>
      </c>
      <c r="B66" s="76" t="s">
        <v>184</v>
      </c>
      <c r="C66" s="81">
        <f>C67</f>
        <v>0</v>
      </c>
      <c r="D66" s="81">
        <f t="shared" si="2"/>
        <v>0</v>
      </c>
      <c r="E66" s="82">
        <f>D66/12</f>
        <v>0</v>
      </c>
    </row>
    <row r="67" spans="1:5" x14ac:dyDescent="0.3">
      <c r="A67" s="13" t="s">
        <v>185</v>
      </c>
      <c r="B67" s="10"/>
      <c r="C67" s="37"/>
      <c r="D67" s="37">
        <f t="shared" si="2"/>
        <v>0</v>
      </c>
      <c r="E67" s="52">
        <f t="shared" ref="E67" si="6">D67/12</f>
        <v>0</v>
      </c>
    </row>
    <row r="68" spans="1:5" ht="17.45" customHeight="1" x14ac:dyDescent="0.25">
      <c r="A68" s="223" t="s">
        <v>204</v>
      </c>
      <c r="B68" s="224"/>
      <c r="C68" s="218">
        <f>C59+C66</f>
        <v>1494500</v>
      </c>
      <c r="D68" s="218">
        <f t="shared" si="2"/>
        <v>3388.8888888888887</v>
      </c>
      <c r="E68" s="218">
        <f>D68/12</f>
        <v>282.40740740740739</v>
      </c>
    </row>
    <row r="69" spans="1:5" x14ac:dyDescent="0.3">
      <c r="A69" s="103"/>
      <c r="B69" s="104"/>
      <c r="C69" s="105"/>
      <c r="D69" s="105"/>
      <c r="E69" s="105"/>
    </row>
    <row r="70" spans="1:5" x14ac:dyDescent="0.3">
      <c r="A70" s="103"/>
      <c r="B70" s="104"/>
      <c r="C70" s="105"/>
      <c r="D70" s="105"/>
      <c r="E70" s="105"/>
    </row>
    <row r="71" spans="1:5" x14ac:dyDescent="0.3">
      <c r="A71" s="103"/>
      <c r="B71" s="104"/>
      <c r="C71" s="105"/>
      <c r="D71" s="105"/>
      <c r="E71" s="105"/>
    </row>
    <row r="72" spans="1:5" x14ac:dyDescent="0.3">
      <c r="A72" s="103"/>
      <c r="B72" s="104"/>
      <c r="C72" s="105"/>
      <c r="D72" s="105"/>
      <c r="E72" s="105"/>
    </row>
    <row r="73" spans="1:5" x14ac:dyDescent="0.3">
      <c r="A73" s="103"/>
      <c r="B73" s="104"/>
      <c r="C73" s="105"/>
      <c r="D73" s="105"/>
      <c r="E73" s="105"/>
    </row>
    <row r="74" spans="1:5" x14ac:dyDescent="0.3">
      <c r="A74" s="103"/>
      <c r="B74" s="104"/>
      <c r="C74" s="105"/>
      <c r="D74" s="105"/>
      <c r="E74" s="105"/>
    </row>
    <row r="75" spans="1:5" x14ac:dyDescent="0.3">
      <c r="A75" s="103"/>
      <c r="B75" s="104"/>
      <c r="C75" s="105"/>
      <c r="D75" s="105"/>
      <c r="E75" s="105"/>
    </row>
    <row r="76" spans="1:5" x14ac:dyDescent="0.3">
      <c r="A76" s="103"/>
      <c r="B76" s="104"/>
      <c r="C76" s="105"/>
      <c r="D76" s="105"/>
      <c r="E76" s="105"/>
    </row>
    <row r="77" spans="1:5" x14ac:dyDescent="0.3">
      <c r="A77" s="103"/>
      <c r="B77" s="104"/>
      <c r="C77" s="105"/>
      <c r="D77" s="105"/>
      <c r="E77" s="105"/>
    </row>
    <row r="78" spans="1:5" x14ac:dyDescent="0.3">
      <c r="A78" s="103"/>
      <c r="B78" s="104"/>
      <c r="C78" s="105"/>
      <c r="D78" s="105"/>
      <c r="E78" s="105"/>
    </row>
    <row r="79" spans="1:5" x14ac:dyDescent="0.3">
      <c r="A79" s="103"/>
      <c r="B79" s="104"/>
      <c r="C79" s="105"/>
      <c r="D79" s="105"/>
      <c r="E79" s="105"/>
    </row>
    <row r="80" spans="1:5" x14ac:dyDescent="0.3">
      <c r="A80" s="103"/>
      <c r="B80" s="104"/>
      <c r="C80" s="105"/>
      <c r="D80" s="105"/>
      <c r="E80" s="105"/>
    </row>
    <row r="81" spans="1:5" x14ac:dyDescent="0.3">
      <c r="A81" s="103"/>
      <c r="B81" s="104"/>
      <c r="C81" s="105"/>
      <c r="D81" s="105"/>
      <c r="E81" s="105"/>
    </row>
    <row r="82" spans="1:5" x14ac:dyDescent="0.3">
      <c r="A82" s="103"/>
      <c r="B82" s="104"/>
      <c r="C82" s="105"/>
      <c r="D82" s="105"/>
      <c r="E82" s="105"/>
    </row>
    <row r="83" spans="1:5" x14ac:dyDescent="0.3">
      <c r="A83" s="103"/>
      <c r="B83" s="104"/>
      <c r="C83" s="105"/>
      <c r="D83" s="105"/>
      <c r="E83" s="105"/>
    </row>
    <row r="84" spans="1:5" x14ac:dyDescent="0.3">
      <c r="A84" s="103"/>
      <c r="B84" s="104"/>
      <c r="C84" s="105"/>
      <c r="D84" s="105"/>
      <c r="E84" s="105"/>
    </row>
    <row r="85" spans="1:5" x14ac:dyDescent="0.3">
      <c r="A85" s="103"/>
      <c r="B85" s="104"/>
      <c r="C85" s="105"/>
      <c r="D85" s="105"/>
      <c r="E85" s="105"/>
    </row>
    <row r="86" spans="1:5" x14ac:dyDescent="0.3">
      <c r="A86" s="103"/>
      <c r="B86" s="104"/>
      <c r="C86" s="105"/>
      <c r="D86" s="105"/>
      <c r="E86" s="105"/>
    </row>
    <row r="87" spans="1:5" x14ac:dyDescent="0.3">
      <c r="A87" s="103"/>
      <c r="B87" s="104"/>
      <c r="C87" s="105"/>
      <c r="D87" s="105"/>
      <c r="E87" s="105"/>
    </row>
    <row r="88" spans="1:5" x14ac:dyDescent="0.3">
      <c r="A88" s="103"/>
      <c r="B88" s="104"/>
      <c r="C88" s="105"/>
      <c r="D88" s="105"/>
      <c r="E88" s="105"/>
    </row>
    <row r="89" spans="1:5" x14ac:dyDescent="0.3">
      <c r="A89" s="103"/>
      <c r="B89" s="104"/>
      <c r="C89" s="105"/>
      <c r="D89" s="105"/>
      <c r="E89" s="105"/>
    </row>
    <row r="90" spans="1:5" x14ac:dyDescent="0.3">
      <c r="A90" s="103"/>
      <c r="B90" s="104"/>
      <c r="C90" s="105"/>
      <c r="D90" s="105"/>
      <c r="E90" s="105"/>
    </row>
    <row r="91" spans="1:5" x14ac:dyDescent="0.3">
      <c r="A91" s="103"/>
      <c r="B91" s="104"/>
      <c r="C91" s="105"/>
      <c r="D91" s="105"/>
      <c r="E91" s="105"/>
    </row>
    <row r="92" spans="1:5" x14ac:dyDescent="0.3">
      <c r="A92" s="103"/>
      <c r="B92" s="104"/>
      <c r="C92" s="105"/>
      <c r="D92" s="105"/>
      <c r="E92" s="105"/>
    </row>
    <row r="93" spans="1:5" x14ac:dyDescent="0.3">
      <c r="A93" s="103"/>
      <c r="B93" s="104"/>
      <c r="C93" s="105"/>
      <c r="D93" s="105"/>
      <c r="E93" s="105"/>
    </row>
    <row r="94" spans="1:5" x14ac:dyDescent="0.3">
      <c r="A94" s="103"/>
      <c r="B94" s="104"/>
      <c r="C94" s="105"/>
      <c r="D94" s="105"/>
      <c r="E94" s="105"/>
    </row>
    <row r="95" spans="1:5" x14ac:dyDescent="0.3">
      <c r="A95" s="103"/>
      <c r="B95" s="104"/>
      <c r="C95" s="105"/>
      <c r="D95" s="105"/>
      <c r="E95" s="105"/>
    </row>
    <row r="96" spans="1:5" x14ac:dyDescent="0.3">
      <c r="A96" s="103"/>
      <c r="B96" s="104"/>
      <c r="C96" s="105"/>
      <c r="D96" s="105"/>
      <c r="E96" s="105"/>
    </row>
    <row r="97" spans="1:5" x14ac:dyDescent="0.3">
      <c r="A97" s="103"/>
      <c r="B97" s="104"/>
      <c r="C97" s="105"/>
      <c r="D97" s="105"/>
      <c r="E97" s="105"/>
    </row>
    <row r="98" spans="1:5" x14ac:dyDescent="0.3">
      <c r="A98" s="103"/>
      <c r="B98" s="104"/>
      <c r="C98" s="105"/>
      <c r="D98" s="105"/>
      <c r="E98" s="105"/>
    </row>
    <row r="99" spans="1:5" x14ac:dyDescent="0.3">
      <c r="A99" s="103"/>
      <c r="B99" s="104"/>
      <c r="C99" s="105"/>
      <c r="D99" s="105"/>
      <c r="E99" s="105"/>
    </row>
    <row r="100" spans="1:5" x14ac:dyDescent="0.3">
      <c r="A100" s="103"/>
      <c r="B100" s="104"/>
      <c r="C100" s="105"/>
      <c r="D100" s="105"/>
      <c r="E100" s="105"/>
    </row>
    <row r="101" spans="1:5" x14ac:dyDescent="0.3">
      <c r="A101" s="103"/>
      <c r="B101" s="104"/>
      <c r="C101" s="105"/>
      <c r="D101" s="105"/>
      <c r="E101" s="105"/>
    </row>
    <row r="102" spans="1:5" x14ac:dyDescent="0.3">
      <c r="A102" s="103"/>
      <c r="B102" s="104"/>
      <c r="C102" s="105"/>
      <c r="D102" s="105"/>
      <c r="E102" s="105"/>
    </row>
  </sheetData>
  <mergeCells count="10">
    <mergeCell ref="A58:B58"/>
    <mergeCell ref="A68:B68"/>
    <mergeCell ref="D7:E7"/>
    <mergeCell ref="A8:C8"/>
    <mergeCell ref="A1:E1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Проект 2024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2023-08-13T15:05:21Z</dcterms:modified>
  <cp:category/>
  <cp:contentStatus/>
</cp:coreProperties>
</file>