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rock_\Desktop\Сайт\Раскрытие\Информация о наличии (отсутствии) возможности технологического присоединения к системе теплоснабжения\"/>
    </mc:Choice>
  </mc:AlternateContent>
  <xr:revisionPtr revIDLastSave="0" documentId="13_ncr:1_{65A8BB42-52F3-4710-AFD7-0F9E987063D2}" xr6:coauthVersionLast="47" xr6:coauthVersionMax="47" xr10:uidLastSave="{00000000-0000-0000-0000-000000000000}"/>
  <bookViews>
    <workbookView xWindow="-120" yWindow="-120" windowWidth="29040" windowHeight="15720" tabRatio="894"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ТКО. Показатели ФХД" sheetId="35" state="hidden" r:id="rId35"/>
    <sheet name="ТКО. Транс. Показатели ФХД" sheetId="36" state="hidden" r:id="rId36"/>
    <sheet name="Показатели КНЭ" sheetId="37" state="hidden" r:id="rId37"/>
    <sheet name="Ограничения" sheetId="38" r:id="rId38"/>
    <sheet name="ИП" sheetId="39" state="hidden" r:id="rId39"/>
    <sheet name="ИП. Детализация" sheetId="40" state="hidden" r:id="rId40"/>
    <sheet name="ИП. Финансовый план" sheetId="41" state="hidden" r:id="rId41"/>
    <sheet name="ИП. КНЭ" sheetId="42" state="hidden" r:id="rId42"/>
    <sheet name="ТП" sheetId="43" r:id="rId43"/>
    <sheet name="Договоры" sheetId="44" state="hidden" r:id="rId44"/>
    <sheet name="Порядок ТП" sheetId="45" state="hidden" r:id="rId45"/>
    <sheet name="Предложение" sheetId="46" state="hidden" r:id="rId46"/>
    <sheet name="Сведения о закупках" sheetId="47" state="hidden" r:id="rId47"/>
    <sheet name="Потребительские характеристики" sheetId="48" r:id="rId48"/>
    <sheet name="TEHSHEET" sheetId="49" state="hidden" r:id="rId49"/>
    <sheet name="Орган регулирования" sheetId="50" state="hidden" r:id="rId50"/>
    <sheet name="Перечень организаций" sheetId="51" state="hidden" r:id="rId51"/>
    <sheet name="Дела об установлении тарифов" sheetId="52" state="hidden" r:id="rId52"/>
    <sheet name="Дела об утверждении ПУЦ" sheetId="53" state="hidden" r:id="rId53"/>
    <sheet name="Привлечение к ответственности" sheetId="54" state="hidden" r:id="rId54"/>
    <sheet name="ЭД" sheetId="55" state="hidden" r:id="rId55"/>
    <sheet name="Сведения об изменении" sheetId="56" state="hidden" r:id="rId56"/>
    <sheet name="Комментарии" sheetId="57" r:id="rId57"/>
    <sheet name="Проверка" sheetId="58" state="hidden" r:id="rId58"/>
    <sheet name="et_union_hor" sheetId="59" state="hidden" r:id="rId59"/>
    <sheet name="DATA_FORMS" sheetId="60" state="hidden" r:id="rId60"/>
    <sheet name="DATA_NPA" sheetId="61" state="hidden" r:id="rId61"/>
    <sheet name="Т-ТЭ | потр" sheetId="62" state="hidden" r:id="rId62"/>
    <sheet name="modMainProcedures" sheetId="63" state="hidden" r:id="rId63"/>
    <sheet name="modB_FHD" sheetId="64" state="hidden" r:id="rId64"/>
    <sheet name="modB_FHD20" sheetId="65" state="hidden" r:id="rId65"/>
    <sheet name="modB_KNE" sheetId="66" state="hidden" r:id="rId66"/>
    <sheet name="modIP_MAIN" sheetId="67" state="hidden" r:id="rId67"/>
    <sheet name="modIP_QRE" sheetId="68" state="hidden" r:id="rId68"/>
    <sheet name="modIP_DETAILED" sheetId="69" state="hidden" r:id="rId69"/>
    <sheet name="et_union_vert" sheetId="70" state="hidden" r:id="rId70"/>
    <sheet name="Легенда" sheetId="71" state="hidden" r:id="rId71"/>
    <sheet name="modfrmListIP" sheetId="72" state="hidden" r:id="rId72"/>
    <sheet name="modfrmActivity" sheetId="73" state="hidden" r:id="rId73"/>
    <sheet name="REESTR_ORG" sheetId="74" state="hidden" r:id="rId74"/>
    <sheet name="REESTR_MO" sheetId="75" state="hidden" r:id="rId75"/>
    <sheet name="REESTR_IP" sheetId="76" state="hidden" r:id="rId76"/>
    <sheet name="REESTR_OBJ_INFR" sheetId="77" state="hidden" r:id="rId77"/>
    <sheet name="REESTR_DS" sheetId="78" state="hidden" r:id="rId78"/>
    <sheet name="REESTR_VT" sheetId="79" state="hidden" r:id="rId79"/>
    <sheet name="REESTR_VED" sheetId="80" state="hidden" r:id="rId80"/>
    <sheet name="REESTR_MO_FILTER" sheetId="81" state="hidden" r:id="rId81"/>
    <sheet name="REESTR_LINK" sheetId="82" state="hidden" r:id="rId82"/>
    <sheet name="modSheetMain" sheetId="83" state="hidden" r:id="rId83"/>
    <sheet name="modfrmReportMode" sheetId="84" state="hidden" r:id="rId84"/>
    <sheet name="modfrmReestrObj" sheetId="85" state="hidden" r:id="rId85"/>
    <sheet name="AllSheetsInThisWorkbook" sheetId="86" state="hidden" r:id="rId86"/>
    <sheet name="modInfo" sheetId="87" state="hidden" r:id="rId87"/>
  </sheets>
  <definedNames>
    <definedName name="_xlnm._FilterDatabase" localSheetId="57">Проверка!$B$4:$E$5</definedName>
    <definedName name="anscount">1</definedName>
    <definedName name="B_FHD_CHECK_INDEX_1">'Показатели ФХД'!$CZ$66</definedName>
    <definedName name="B_FHD_CHECK_INDEX_2">'Показатели ФХД'!$CZ$68</definedName>
    <definedName name="B_FHD_COSTS_INDEX_1">'Показатели ФХД'!$H$65:$CX$65</definedName>
    <definedName name="B_FHD_COSTS_INDEX_2">'Показатели ФХД'!$H$67:$CX$67</definedName>
    <definedName name="B_FHD_DATA_TOP80_ACTIVITY">'Показатели ФХД'!$H$81:$CX$81</definedName>
    <definedName name="B_FHD_diff_1">'Показатели ФХД'!$I$25:$I$27</definedName>
    <definedName name="B_FHD_diff_100">'Показатели ФХД'!$AR$25:$AR$27</definedName>
    <definedName name="B_FHD_diff_101">'Показатели ФХД'!$AS$25:$AS$27</definedName>
    <definedName name="B_FHD_diff_102">'Показатели ФХД'!$AT$25:$AT$27</definedName>
    <definedName name="B_FHD_diff_103">'Показатели ФХД'!$AU$25:$AU$27</definedName>
    <definedName name="B_FHD_diff_104">'Показатели ФХД'!$AV$25:$AV$27</definedName>
    <definedName name="B_FHD_diff_105">'Показатели ФХД'!$AW$25:$AW$27</definedName>
    <definedName name="B_FHD_diff_106">'Показатели ФХД'!$AX$25:$AX$27</definedName>
    <definedName name="B_FHD_diff_107">'Показатели ФХД'!$AY$25:$AY$27</definedName>
    <definedName name="B_FHD_diff_108">'Показатели ФХД'!$AZ$25:$AZ$27</definedName>
    <definedName name="B_FHD_diff_109">'Показатели ФХД'!$BA$25:$BA$27</definedName>
    <definedName name="B_FHD_diff_110">'Показатели ФХД'!$BB$25:$BB$27</definedName>
    <definedName name="B_FHD_diff_111">'Показатели ФХД'!$BC$25:$BC$27</definedName>
    <definedName name="B_FHD_diff_112">'Показатели ФХД'!$BD$25:$BD$27</definedName>
    <definedName name="B_FHD_diff_113">'Показатели ФХД'!$BE$25:$BE$27</definedName>
    <definedName name="B_FHD_diff_114">'Показатели ФХД'!$BF$25:$BF$27</definedName>
    <definedName name="B_FHD_diff_115">'Показатели ФХД'!$BG$25:$BG$27</definedName>
    <definedName name="B_FHD_diff_116">'Показатели ФХД'!$BH$25:$BH$27</definedName>
    <definedName name="B_FHD_diff_117">'Показатели ФХД'!$BI$25:$BI$27</definedName>
    <definedName name="B_FHD_diff_118">'Показатели ФХД'!$BJ$25:$BJ$27</definedName>
    <definedName name="B_FHD_diff_119">'Показатели ФХД'!$BK$25:$BK$27</definedName>
    <definedName name="B_FHD_diff_120">'Показатели ФХД'!$BL$25:$BL$27</definedName>
    <definedName name="B_FHD_diff_121">'Показатели ФХД'!$BM$25:$BM$27</definedName>
    <definedName name="B_FHD_diff_122">'Показатели ФХД'!$BN$25:$BN$27</definedName>
    <definedName name="B_FHD_diff_123">'Показатели ФХД'!$BO$25:$BO$27</definedName>
    <definedName name="B_FHD_diff_124">'Показатели ФХД'!$BP$25:$BP$27</definedName>
    <definedName name="B_FHD_diff_125">'Показатели ФХД'!$BQ$25:$BQ$27</definedName>
    <definedName name="B_FHD_diff_126">'Показатели ФХД'!$BR$25:$BR$27</definedName>
    <definedName name="B_FHD_diff_127">'Показатели ФХД'!$BS$25:$BS$27</definedName>
    <definedName name="B_FHD_diff_128">'Показатели ФХД'!$BT$25:$BT$27</definedName>
    <definedName name="B_FHD_diff_129">'Показатели ФХД'!$BU$25:$BU$27</definedName>
    <definedName name="B_FHD_diff_130">'Показатели ФХД'!$BV$25:$BV$27</definedName>
    <definedName name="B_FHD_diff_131">'Показатели ФХД'!$BW$25:$BW$27</definedName>
    <definedName name="B_FHD_diff_132">'Показатели ФХД'!$BX$25:$BX$27</definedName>
    <definedName name="B_FHD_diff_133">'Показатели ФХД'!$BY$25:$BY$27</definedName>
    <definedName name="B_FHD_diff_134">'Показатели ФХД'!$BZ$25:$BZ$27</definedName>
    <definedName name="B_FHD_diff_135">'Показатели ФХД'!$CA$25:$CA$27</definedName>
    <definedName name="B_FHD_diff_136">'Показатели ФХД'!$CB$25:$CB$27</definedName>
    <definedName name="B_FHD_diff_137">'Показатели ФХД'!$CC$25:$CC$27</definedName>
    <definedName name="B_FHD_diff_138">'Показатели ФХД'!$CD$25:$CD$27</definedName>
    <definedName name="B_FHD_diff_139">'Показатели ФХД'!$CE$25:$CE$27</definedName>
    <definedName name="B_FHD_diff_140">'Показатели ФХД'!$CF$25:$CF$27</definedName>
    <definedName name="B_FHD_diff_141">'Показатели ФХД'!$CG$25:$CG$27</definedName>
    <definedName name="B_FHD_diff_142">'Показатели ФХД'!$CH$25:$CH$27</definedName>
    <definedName name="B_FHD_diff_143">'Показатели ФХД'!$CI$25:$CI$27</definedName>
    <definedName name="B_FHD_diff_144">'Показатели ФХД'!$CJ$25:$CJ$27</definedName>
    <definedName name="B_FHD_diff_145">'Показатели ФХД'!$CK$25:$CK$27</definedName>
    <definedName name="B_FHD_diff_146">'Показатели ФХД'!$CL$25:$CL$27</definedName>
    <definedName name="B_FHD_diff_147">'Показатели ФХД'!$CM$25:$CM$27</definedName>
    <definedName name="B_FHD_diff_148">'Показатели ФХД'!$CN$25:$CN$27</definedName>
    <definedName name="B_FHD_diff_149">'Показатели ФХД'!$CO$25:$CO$27</definedName>
    <definedName name="B_FHD_diff_150">'Показатели ФХД'!$CP$25:$CP$27</definedName>
    <definedName name="B_FHD_diff_151">'Показатели ФХД'!$CQ$25:$CQ$27</definedName>
    <definedName name="B_FHD_diff_152">'Показатели ФХД'!$CR$25:$CR$27</definedName>
    <definedName name="B_FHD_diff_153">'Показатели ФХД'!$CS$25:$CS$27</definedName>
    <definedName name="B_FHD_diff_154">'Показатели ФХД'!$CT$25:$CT$27</definedName>
    <definedName name="B_FHD_diff_155">'Показатели ФХД'!$CU$25:$CU$27</definedName>
    <definedName name="B_FHD_diff_156">'Показатели ФХД'!$CV$25:$CV$27</definedName>
    <definedName name="B_FHD_diff_157">'Показатели ФХД'!$CW$25:$CW$27</definedName>
    <definedName name="B_FHD_diff_66">'Показатели ФХД'!$J$25:$J$27</definedName>
    <definedName name="B_FHD_diff_67">'Показатели ФХД'!$K$25:$K$27</definedName>
    <definedName name="B_FHD_diff_68">'Показатели ФХД'!$L$25:$L$27</definedName>
    <definedName name="B_FHD_diff_69">'Показатели ФХД'!$M$25:$M$27</definedName>
    <definedName name="B_FHD_diff_70">'Показатели ФХД'!$N$25:$N$27</definedName>
    <definedName name="B_FHD_diff_71">'Показатели ФХД'!$O$25:$O$27</definedName>
    <definedName name="B_FHD_diff_72">'Показатели ФХД'!$P$25:$P$27</definedName>
    <definedName name="B_FHD_diff_73">'Показатели ФХД'!$Q$25:$Q$27</definedName>
    <definedName name="B_FHD_diff_74">'Показатели ФХД'!$R$25:$R$27</definedName>
    <definedName name="B_FHD_diff_75">'Показатели ФХД'!$S$25:$S$27</definedName>
    <definedName name="B_FHD_diff_76">'Показатели ФХД'!$T$25:$T$27</definedName>
    <definedName name="B_FHD_diff_77">'Показатели ФХД'!$U$25:$U$27</definedName>
    <definedName name="B_FHD_diff_78">'Показатели ФХД'!$V$25:$V$27</definedName>
    <definedName name="B_FHD_diff_79">'Показатели ФХД'!$W$25:$W$27</definedName>
    <definedName name="B_FHD_diff_80">'Показатели ФХД'!$X$25:$X$27</definedName>
    <definedName name="B_FHD_diff_81">'Показатели ФХД'!$Y$25:$Y$27</definedName>
    <definedName name="B_FHD_diff_82">'Показатели ФХД'!$Z$25:$Z$27</definedName>
    <definedName name="B_FHD_diff_83">'Показатели ФХД'!$AA$25:$AA$27</definedName>
    <definedName name="B_FHD_diff_84">'Показатели ФХД'!$AB$25:$AB$27</definedName>
    <definedName name="B_FHD_diff_85">'Показатели ФХД'!$AC$25:$AC$27</definedName>
    <definedName name="B_FHD_diff_86">'Показатели ФХД'!$AD$25:$AD$27</definedName>
    <definedName name="B_FHD_diff_87">'Показатели ФХД'!$AE$25:$AE$27</definedName>
    <definedName name="B_FHD_diff_88">'Показатели ФХД'!$AF$25:$AF$27</definedName>
    <definedName name="B_FHD_diff_89">'Показатели ФХД'!$AG$25:$AG$27</definedName>
    <definedName name="B_FHD_diff_90">'Показатели ФХД'!$AH$25:$AH$27</definedName>
    <definedName name="B_FHD_diff_91">'Показатели ФХД'!$AI$25:$AI$27</definedName>
    <definedName name="B_FHD_diff_92">'Показатели ФХД'!$AJ$25:$AJ$27</definedName>
    <definedName name="B_FHD_diff_93">'Показатели ФХД'!$AK$25:$AK$27</definedName>
    <definedName name="B_FHD_diff_94">'Показатели ФХД'!$AL$25:$AL$27</definedName>
    <definedName name="B_FHD_diff_95">'Показатели ФХД'!$AM$25:$AM$27</definedName>
    <definedName name="B_FHD_diff_96">'Показатели ФХД'!$AN$25:$AN$27</definedName>
    <definedName name="B_FHD_diff_97">'Показатели ФХД'!$AO$25:$AO$27</definedName>
    <definedName name="B_FHD_diff_98">'Показатели ФХД'!$AP$25:$AP$27</definedName>
    <definedName name="B_FHD_diff_99">'Показатели ФХД'!$AQ$25:$AQ$27</definedName>
    <definedName name="B_FHD_FLAG_DIFFERENTIATION">'Показатели ФХД'!$H$24:$CX$24</definedName>
    <definedName name="B_FHD_FLAG_INDEX_1">'Показатели ФХД'!$H$66:$CX$66</definedName>
    <definedName name="B_FHD_FLAG_INDEX_2">'Показатели ФХД'!$H$68:$CX$68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&gt;20%'!$D$13:$S$851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100">'Показатели ФХД &gt;20%'!$H$329:$R$331</definedName>
    <definedName name="B_FHD20_diff_101">'Показатели ФХД &gt;20%'!$H$338:$R$340</definedName>
    <definedName name="B_FHD20_diff_102">'Показатели ФХД &gt;20%'!$H$347:$R$349</definedName>
    <definedName name="B_FHD20_diff_103">'Показатели ФХД &gt;20%'!$H$356:$R$358</definedName>
    <definedName name="B_FHD20_diff_104">'Показатели ФХД &gt;20%'!$H$365:$R$367</definedName>
    <definedName name="B_FHD20_diff_105">'Показатели ФХД &gt;20%'!$H$374:$R$376</definedName>
    <definedName name="B_FHD20_diff_106">'Показатели ФХД &gt;20%'!$H$383:$R$385</definedName>
    <definedName name="B_FHD20_diff_107">'Показатели ФХД &gt;20%'!$H$392:$R$394</definedName>
    <definedName name="B_FHD20_diff_108">'Показатели ФХД &gt;20%'!$H$401:$R$403</definedName>
    <definedName name="B_FHD20_diff_109">'Показатели ФХД &gt;20%'!$H$410:$R$412</definedName>
    <definedName name="B_FHD20_diff_110">'Показатели ФХД &gt;20%'!$H$419:$R$421</definedName>
    <definedName name="B_FHD20_diff_111">'Показатели ФХД &gt;20%'!$H$428:$R$430</definedName>
    <definedName name="B_FHD20_diff_112">'Показатели ФХД &gt;20%'!$H$437:$R$439</definedName>
    <definedName name="B_FHD20_diff_113">'Показатели ФХД &gt;20%'!$H$446:$R$448</definedName>
    <definedName name="B_FHD20_diff_114">'Показатели ФХД &gt;20%'!$H$455:$R$457</definedName>
    <definedName name="B_FHD20_diff_115">'Показатели ФХД &gt;20%'!$H$464:$R$466</definedName>
    <definedName name="B_FHD20_diff_116">'Показатели ФХД &gt;20%'!$H$473:$R$475</definedName>
    <definedName name="B_FHD20_diff_117">'Показатели ФХД &gt;20%'!$H$482:$R$484</definedName>
    <definedName name="B_FHD20_diff_118">'Показатели ФХД &gt;20%'!$H$491:$R$493</definedName>
    <definedName name="B_FHD20_diff_119">'Показатели ФХД &gt;20%'!$H$500:$R$502</definedName>
    <definedName name="B_FHD20_diff_120">'Показатели ФХД &gt;20%'!$H$509:$R$511</definedName>
    <definedName name="B_FHD20_diff_121">'Показатели ФХД &gt;20%'!$H$518:$R$520</definedName>
    <definedName name="B_FHD20_diff_122">'Показатели ФХД &gt;20%'!$H$527:$R$529</definedName>
    <definedName name="B_FHD20_diff_123">'Показатели ФХД &gt;20%'!$H$536:$R$538</definedName>
    <definedName name="B_FHD20_diff_124">'Показатели ФХД &gt;20%'!$H$545:$R$547</definedName>
    <definedName name="B_FHD20_diff_125">'Показатели ФХД &gt;20%'!$H$554:$R$556</definedName>
    <definedName name="B_FHD20_diff_126">'Показатели ФХД &gt;20%'!$H$563:$R$565</definedName>
    <definedName name="B_FHD20_diff_127">'Показатели ФХД &gt;20%'!$H$572:$R$574</definedName>
    <definedName name="B_FHD20_diff_128">'Показатели ФХД &gt;20%'!$H$581:$R$583</definedName>
    <definedName name="B_FHD20_diff_129">'Показатели ФХД &gt;20%'!$H$590:$R$592</definedName>
    <definedName name="B_FHD20_diff_130">'Показатели ФХД &gt;20%'!$H$599:$R$601</definedName>
    <definedName name="B_FHD20_diff_131">'Показатели ФХД &gt;20%'!$H$608:$R$610</definedName>
    <definedName name="B_FHD20_diff_132">'Показатели ФХД &gt;20%'!$H$617:$R$619</definedName>
    <definedName name="B_FHD20_diff_133">'Показатели ФХД &gt;20%'!$H$626:$R$628</definedName>
    <definedName name="B_FHD20_diff_134">'Показатели ФХД &gt;20%'!$H$635:$R$637</definedName>
    <definedName name="B_FHD20_diff_135">'Показатели ФХД &gt;20%'!$H$644:$R$646</definedName>
    <definedName name="B_FHD20_diff_136">'Показатели ФХД &gt;20%'!$H$653:$R$655</definedName>
    <definedName name="B_FHD20_diff_137">'Показатели ФХД &gt;20%'!$H$662:$R$664</definedName>
    <definedName name="B_FHD20_diff_138">'Показатели ФХД &gt;20%'!$H$671:$R$673</definedName>
    <definedName name="B_FHD20_diff_139">'Показатели ФХД &gt;20%'!$H$680:$R$682</definedName>
    <definedName name="B_FHD20_diff_140">'Показатели ФХД &gt;20%'!$H$689:$R$691</definedName>
    <definedName name="B_FHD20_diff_141">'Показатели ФХД &gt;20%'!$H$698:$R$700</definedName>
    <definedName name="B_FHD20_diff_142">'Показатели ФХД &gt;20%'!$H$707:$R$709</definedName>
    <definedName name="B_FHD20_diff_143">'Показатели ФХД &gt;20%'!$H$716:$R$718</definedName>
    <definedName name="B_FHD20_diff_144">'Показатели ФХД &gt;20%'!$H$725:$R$727</definedName>
    <definedName name="B_FHD20_diff_145">'Показатели ФХД &gt;20%'!$H$734:$R$736</definedName>
    <definedName name="B_FHD20_diff_146">'Показатели ФХД &gt;20%'!$H$743:$R$745</definedName>
    <definedName name="B_FHD20_diff_147">'Показатели ФХД &gt;20%'!$H$752:$R$754</definedName>
    <definedName name="B_FHD20_diff_148">'Показатели ФХД &gt;20%'!$H$761:$R$763</definedName>
    <definedName name="B_FHD20_diff_149">'Показатели ФХД &gt;20%'!$H$770:$R$772</definedName>
    <definedName name="B_FHD20_diff_150">'Показатели ФХД &gt;20%'!$H$779:$R$781</definedName>
    <definedName name="B_FHD20_diff_151">'Показатели ФХД &gt;20%'!$H$788:$R$790</definedName>
    <definedName name="B_FHD20_diff_152">'Показатели ФХД &gt;20%'!$H$797:$R$799</definedName>
    <definedName name="B_FHD20_diff_153">'Показатели ФХД &gt;20%'!$H$806:$R$808</definedName>
    <definedName name="B_FHD20_diff_154">'Показатели ФХД &gt;20%'!$H$815:$R$817</definedName>
    <definedName name="B_FHD20_diff_155">'Показатели ФХД &gt;20%'!$H$824:$R$826</definedName>
    <definedName name="B_FHD20_diff_156">'Показатели ФХД &gt;20%'!$H$833:$R$835</definedName>
    <definedName name="B_FHD20_diff_157">'Показатели ФХД &gt;20%'!$H$842:$R$844</definedName>
    <definedName name="B_FHD20_diff_66">'Показатели ФХД &gt;20%'!$H$23:$R$25</definedName>
    <definedName name="B_FHD20_diff_67">'Показатели ФХД &gt;20%'!$H$32:$R$34</definedName>
    <definedName name="B_FHD20_diff_68">'Показатели ФХД &gt;20%'!$H$41:$R$43</definedName>
    <definedName name="B_FHD20_diff_69">'Показатели ФХД &gt;20%'!$H$50:$R$52</definedName>
    <definedName name="B_FHD20_diff_70">'Показатели ФХД &gt;20%'!$H$59:$R$61</definedName>
    <definedName name="B_FHD20_diff_71">'Показатели ФХД &gt;20%'!$H$68:$R$70</definedName>
    <definedName name="B_FHD20_diff_72">'Показатели ФХД &gt;20%'!$H$77:$R$79</definedName>
    <definedName name="B_FHD20_diff_73">'Показатели ФХД &gt;20%'!$H$86:$R$88</definedName>
    <definedName name="B_FHD20_diff_74">'Показатели ФХД &gt;20%'!$H$95:$R$97</definedName>
    <definedName name="B_FHD20_diff_75">'Показатели ФХД &gt;20%'!$H$104:$R$106</definedName>
    <definedName name="B_FHD20_diff_76">'Показатели ФХД &gt;20%'!$H$113:$R$115</definedName>
    <definedName name="B_FHD20_diff_77">'Показатели ФХД &gt;20%'!$H$122:$R$124</definedName>
    <definedName name="B_FHD20_diff_78">'Показатели ФХД &gt;20%'!$H$131:$R$133</definedName>
    <definedName name="B_FHD20_diff_79">'Показатели ФХД &gt;20%'!$H$140:$R$142</definedName>
    <definedName name="B_FHD20_diff_80">'Показатели ФХД &gt;20%'!$H$149:$R$151</definedName>
    <definedName name="B_FHD20_diff_81">'Показатели ФХД &gt;20%'!$H$158:$R$160</definedName>
    <definedName name="B_FHD20_diff_82">'Показатели ФХД &gt;20%'!$H$167:$R$169</definedName>
    <definedName name="B_FHD20_diff_83">'Показатели ФХД &gt;20%'!$H$176:$R$178</definedName>
    <definedName name="B_FHD20_diff_84">'Показатели ФХД &gt;20%'!$H$185:$R$187</definedName>
    <definedName name="B_FHD20_diff_85">'Показатели ФХД &gt;20%'!$H$194:$R$196</definedName>
    <definedName name="B_FHD20_diff_86">'Показатели ФХД &gt;20%'!$H$203:$R$205</definedName>
    <definedName name="B_FHD20_diff_87">'Показатели ФХД &gt;20%'!$H$212:$R$214</definedName>
    <definedName name="B_FHD20_diff_88">'Показатели ФХД &gt;20%'!$H$221:$R$223</definedName>
    <definedName name="B_FHD20_diff_89">'Показатели ФХД &gt;20%'!$H$230:$R$232</definedName>
    <definedName name="B_FHD20_diff_90">'Показатели ФХД &gt;20%'!$H$239:$R$241</definedName>
    <definedName name="B_FHD20_diff_91">'Показатели ФХД &gt;20%'!$H$248:$R$250</definedName>
    <definedName name="B_FHD20_diff_92">'Показатели ФХД &gt;20%'!$H$257:$R$259</definedName>
    <definedName name="B_FHD20_diff_93">'Показатели ФХД &gt;20%'!$H$266:$R$268</definedName>
    <definedName name="B_FHD20_diff_94">'Показатели ФХД &gt;20%'!$H$275:$R$277</definedName>
    <definedName name="B_FHD20_diff_95">'Показатели ФХД &gt;20%'!$H$284:$R$286</definedName>
    <definedName name="B_FHD20_diff_96">'Показатели ФХД &gt;20%'!$H$293:$R$295</definedName>
    <definedName name="B_FHD20_diff_97">'Показатели ФХД &gt;20%'!$H$302:$R$304</definedName>
    <definedName name="B_FHD20_diff_98">'Показатели ФХД &gt;20%'!$H$311:$R$313</definedName>
    <definedName name="B_FHD20_diff_99">'Показатели ФХД &gt;20%'!$H$320:$R$322</definedName>
    <definedName name="B_FHD20_FLAG_FHD">'Показатели ФХД &gt;20%'!$V$11:$V$851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100">'Показатели КНЭ'!$CA$7:$CB$9</definedName>
    <definedName name="B_KNE_diff_101">'Показатели КНЭ'!$CC$7:$CD$9</definedName>
    <definedName name="B_KNE_diff_102">'Показатели КНЭ'!$CE$7:$CF$9</definedName>
    <definedName name="B_KNE_diff_103">'Показатели КНЭ'!$CG$7:$CH$9</definedName>
    <definedName name="B_KNE_diff_104">'Показатели КНЭ'!$CI$7:$CJ$9</definedName>
    <definedName name="B_KNE_diff_105">'Показатели КНЭ'!$CK$7:$CL$9</definedName>
    <definedName name="B_KNE_diff_106">'Показатели КНЭ'!$CM$7:$CN$9</definedName>
    <definedName name="B_KNE_diff_107">'Показатели КНЭ'!$CO$7:$CP$9</definedName>
    <definedName name="B_KNE_diff_108">'Показатели КНЭ'!$CQ$7:$CR$9</definedName>
    <definedName name="B_KNE_diff_109">'Показатели КНЭ'!$CS$7:$CT$9</definedName>
    <definedName name="B_KNE_diff_110">'Показатели КНЭ'!$CU$7:$CV$9</definedName>
    <definedName name="B_KNE_diff_111">'Показатели КНЭ'!$CW$7:$CX$9</definedName>
    <definedName name="B_KNE_diff_112">'Показатели КНЭ'!$CY$7:$CZ$9</definedName>
    <definedName name="B_KNE_diff_113">'Показатели КНЭ'!$DA$7:$DB$9</definedName>
    <definedName name="B_KNE_diff_114">'Показатели КНЭ'!$DC$7:$DD$9</definedName>
    <definedName name="B_KNE_diff_115">'Показатели КНЭ'!$DE$7:$DF$9</definedName>
    <definedName name="B_KNE_diff_116">'Показатели КНЭ'!$DG$7:$DH$9</definedName>
    <definedName name="B_KNE_diff_117">'Показатели КНЭ'!$DI$7:$DJ$9</definedName>
    <definedName name="B_KNE_diff_118">'Показатели КНЭ'!$DK$7:$DL$9</definedName>
    <definedName name="B_KNE_diff_119">'Показатели КНЭ'!$DM$7:$DN$9</definedName>
    <definedName name="B_KNE_diff_120">'Показатели КНЭ'!$DO$7:$DP$9</definedName>
    <definedName name="B_KNE_diff_121">'Показатели КНЭ'!$DQ$7:$DR$9</definedName>
    <definedName name="B_KNE_diff_122">'Показатели КНЭ'!$DS$7:$DT$9</definedName>
    <definedName name="B_KNE_diff_123">'Показатели КНЭ'!$DU$7:$DV$9</definedName>
    <definedName name="B_KNE_diff_124">'Показатели КНЭ'!$DW$7:$DX$9</definedName>
    <definedName name="B_KNE_diff_125">'Показатели КНЭ'!$DY$7:$DZ$9</definedName>
    <definedName name="B_KNE_diff_126">'Показатели КНЭ'!$EA$7:$EB$9</definedName>
    <definedName name="B_KNE_diff_127">'Показатели КНЭ'!$EC$7:$ED$9</definedName>
    <definedName name="B_KNE_diff_128">'Показатели КНЭ'!$EE$7:$EF$9</definedName>
    <definedName name="B_KNE_diff_129">'Показатели КНЭ'!$EG$7:$EH$9</definedName>
    <definedName name="B_KNE_diff_130">'Показатели КНЭ'!$EI$7:$EJ$9</definedName>
    <definedName name="B_KNE_diff_131">'Показатели КНЭ'!$EK$7:$EL$9</definedName>
    <definedName name="B_KNE_diff_132">'Показатели КНЭ'!$EM$7:$EN$9</definedName>
    <definedName name="B_KNE_diff_133">'Показатели КНЭ'!$EO$7:$EP$9</definedName>
    <definedName name="B_KNE_diff_134">'Показатели КНЭ'!$EQ$7:$ER$9</definedName>
    <definedName name="B_KNE_diff_135">'Показатели КНЭ'!$ES$7:$ET$9</definedName>
    <definedName name="B_KNE_diff_136">'Показатели КНЭ'!$EU$7:$EV$9</definedName>
    <definedName name="B_KNE_diff_137">'Показатели КНЭ'!$EW$7:$EX$9</definedName>
    <definedName name="B_KNE_diff_138">'Показатели КНЭ'!$EY$7:$EZ$9</definedName>
    <definedName name="B_KNE_diff_139">'Показатели КНЭ'!$FA$7:$FB$9</definedName>
    <definedName name="B_KNE_diff_140">'Показатели КНЭ'!$FC$7:$FD$9</definedName>
    <definedName name="B_KNE_diff_141">'Показатели КНЭ'!$FE$7:$FF$9</definedName>
    <definedName name="B_KNE_diff_142">'Показатели КНЭ'!$FG$7:$FH$9</definedName>
    <definedName name="B_KNE_diff_143">'Показатели КНЭ'!$FI$7:$FJ$9</definedName>
    <definedName name="B_KNE_diff_144">'Показатели КНЭ'!$FK$7:$FL$9</definedName>
    <definedName name="B_KNE_diff_145">'Показатели КНЭ'!$FM$7:$FN$9</definedName>
    <definedName name="B_KNE_diff_146">'Показатели КНЭ'!$FO$7:$FP$9</definedName>
    <definedName name="B_KNE_diff_147">'Показатели КНЭ'!$FQ$7:$FR$9</definedName>
    <definedName name="B_KNE_diff_148">'Показатели КНЭ'!$FS$7:$FT$9</definedName>
    <definedName name="B_KNE_diff_149">'Показатели КНЭ'!$FU$7:$FV$9</definedName>
    <definedName name="B_KNE_diff_150">'Показатели КНЭ'!$FW$7:$FX$9</definedName>
    <definedName name="B_KNE_diff_151">'Показатели КНЭ'!$FY$7:$FZ$9</definedName>
    <definedName name="B_KNE_diff_152">'Показатели КНЭ'!$GA$7:$GB$9</definedName>
    <definedName name="B_KNE_diff_153">'Показатели КНЭ'!$GC$7:$GD$9</definedName>
    <definedName name="B_KNE_diff_154">'Показатели КНЭ'!$GE$7:$GF$9</definedName>
    <definedName name="B_KNE_diff_155">'Показатели КНЭ'!$GG$7:$GH$9</definedName>
    <definedName name="B_KNE_diff_156">'Показатели КНЭ'!$GI$7:$GJ$9</definedName>
    <definedName name="B_KNE_diff_157">'Показатели КНЭ'!$GK$7:$GL$9</definedName>
    <definedName name="B_KNE_diff_66">'Показатели КНЭ'!$K$7:$L$9</definedName>
    <definedName name="B_KNE_diff_67">'Показатели КНЭ'!$M$7:$N$9</definedName>
    <definedName name="B_KNE_diff_68">'Показатели КНЭ'!$O$7:$P$9</definedName>
    <definedName name="B_KNE_diff_69">'Показатели КНЭ'!$Q$7:$R$9</definedName>
    <definedName name="B_KNE_diff_70">'Показатели КНЭ'!$S$7:$T$9</definedName>
    <definedName name="B_KNE_diff_71">'Показатели КНЭ'!$U$7:$V$9</definedName>
    <definedName name="B_KNE_diff_72">'Показатели КНЭ'!$W$7:$X$9</definedName>
    <definedName name="B_KNE_diff_73">'Показатели КНЭ'!$Y$7:$Z$9</definedName>
    <definedName name="B_KNE_diff_74">'Показатели КНЭ'!$AA$7:$AB$9</definedName>
    <definedName name="B_KNE_diff_75">'Показатели КНЭ'!$AC$7:$AD$9</definedName>
    <definedName name="B_KNE_diff_76">'Показатели КНЭ'!$AE$7:$AF$9</definedName>
    <definedName name="B_KNE_diff_77">'Показатели КНЭ'!$AG$7:$AH$9</definedName>
    <definedName name="B_KNE_diff_78">'Показатели КНЭ'!$AI$7:$AJ$9</definedName>
    <definedName name="B_KNE_diff_79">'Показатели КНЭ'!$AK$7:$AL$9</definedName>
    <definedName name="B_KNE_diff_80">'Показатели КНЭ'!$AM$7:$AN$9</definedName>
    <definedName name="B_KNE_diff_81">'Показатели КНЭ'!$AO$7:$AP$9</definedName>
    <definedName name="B_KNE_diff_82">'Показатели КНЭ'!$AQ$7:$AR$9</definedName>
    <definedName name="B_KNE_diff_83">'Показатели КНЭ'!$AS$7:$AT$9</definedName>
    <definedName name="B_KNE_diff_84">'Показатели КНЭ'!$AU$7:$AV$9</definedName>
    <definedName name="B_KNE_diff_85">'Показатели КНЭ'!$AW$7:$AX$9</definedName>
    <definedName name="B_KNE_diff_86">'Показатели КНЭ'!$AY$7:$AZ$9</definedName>
    <definedName name="B_KNE_diff_87">'Показатели КНЭ'!$BA$7:$BB$9</definedName>
    <definedName name="B_KNE_diff_88">'Показатели КНЭ'!$BC$7:$BD$9</definedName>
    <definedName name="B_KNE_diff_89">'Показатели КНЭ'!$BE$7:$BF$9</definedName>
    <definedName name="B_KNE_diff_90">'Показатели КНЭ'!$BG$7:$BH$9</definedName>
    <definedName name="B_KNE_diff_91">'Показатели КНЭ'!$BI$7:$BJ$9</definedName>
    <definedName name="B_KNE_diff_92">'Показатели КНЭ'!$BK$7:$BL$9</definedName>
    <definedName name="B_KNE_diff_93">'Показатели КНЭ'!$BM$7:$BN$9</definedName>
    <definedName name="B_KNE_diff_94">'Показатели КНЭ'!$BO$7:$BP$9</definedName>
    <definedName name="B_KNE_diff_95">'Показатели КНЭ'!$BQ$7:$BR$9</definedName>
    <definedName name="B_KNE_diff_96">'Показатели КНЭ'!$BS$7:$BT$9</definedName>
    <definedName name="B_KNE_diff_97">'Показатели КНЭ'!$BU$7:$BV$9</definedName>
    <definedName name="B_KNE_diff_98">'Показатели КНЭ'!$BW$7:$BX$9</definedName>
    <definedName name="B_KNE_diff_99">'Показатели КНЭ'!$BY$7:$BZ$9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Т-подкл(инд)'!$63:$65</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Т-подкл(инд)'!$66:$68</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тарифов'!$74:$98</definedName>
    <definedName name="BLOCK_PT_HEAT">'Перечень тарифов'!$13:$72</definedName>
    <definedName name="BLOCK_PT_HOTVSNA">'Перечень тарифов'!$100:$114</definedName>
    <definedName name="BLOCK_PT_VOTV">'Перечень тарифов'!$116:$130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Т-подкл(инд)'!$29:$33</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Т-подкл(инд)'!$34:$36</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Дифференциация!$I$12:$I$108</definedName>
    <definedName name="DIFFERENTIATION_AREA_ID">Дифференциация!$U$11:$U$109</definedName>
    <definedName name="DIFFERENTIATION_CheckC">Дифференциация!$D$12:$M$108</definedName>
    <definedName name="DIFFERENTIATION_fieldMarker">Дифференциация!$W$12:$W$108</definedName>
    <definedName name="DIFFERENTIATION_ID">TEHSHEET!$E$57</definedName>
    <definedName name="DIFFERENTIATION_ID_DIFF">Дифференциация!$O$12:$O$108</definedName>
    <definedName name="DIFFERENTIATION_SYSTEM">Дифференциация!$M$12:$M$108</definedName>
    <definedName name="DIFFERENTIATION_TARIFF_AREA_ID">'Перечень тарифов'!$Z$12:$Z$132</definedName>
    <definedName name="DIFFERENTIATION_TARIFF_VD_ID">'Перечень тарифов'!$AB$12:$AB$132</definedName>
    <definedName name="DIFFERENTIATION_TARIFF_VTAR_ID">'Перечень тарифов'!$AA$12:$AA$132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Дифференциация!$Q$12:$Q$108</definedName>
    <definedName name="DIFFERENTIATION_UNMERGE_SYSTEM">Дифференциация!$R$12:$R$108</definedName>
    <definedName name="DIFFERENTIATION_UNMERGE_VD">Дифференциация!$P$12:$P$108</definedName>
    <definedName name="DIFFERENTIATION_VD">Дифференциация!$E$12:$E$108</definedName>
    <definedName name="DIFFERENTIATION_VD_ID">Дифференциация!$V$11:$V$109</definedName>
    <definedName name="ED_DATE">ЭД!$G$12:$G$13</definedName>
    <definedName name="ED_DATE_PARKING">ЭД!$I$5</definedName>
    <definedName name="ED_LINK">ЭД!$H$12:$H$13</definedName>
    <definedName name="EndDateList">TEHSHEET!$H$46:$H$53</definedName>
    <definedName name="et_B_FHD20_1">et_union_hor!$119:$127</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Т-подкл(инд)'!$4:$15</definedName>
    <definedName name="et_HEAT_TARIFF_H_DIAMETERS">'ТС. Т-подкл(инд)'!$8:$8</definedName>
    <definedName name="et_HEAT_TARIFF_H_GC">'ТС. Т-подкл(инд)'!$7:$12</definedName>
    <definedName name="et_HEAT_TARIFF_H_IST_TE">'ТС. Т-подкл(инд)'!$5:$14</definedName>
    <definedName name="et_HEAT_TARIFF_H_LOAD">'ТС. Т-подкл(инд)'!$8:$10</definedName>
    <definedName name="et_HEAT_TARIFF_H_NETS">'ТС. Т-подкл(инд)'!$8:$9</definedName>
    <definedName name="et_HEAT_TARIFF_H_NTAR">'ТС. Т-подкл(инд)'!$2:$17</definedName>
    <definedName name="et_HEAT_TARIFF_H_PERIOD_COLOR">'ТС. Т-подкл(инд)'!$AN$8:$AS$8</definedName>
    <definedName name="et_HEAT_TARIFF_H_PERIOD_NOT_COLOR">'ТС. Т-подкл(инд)'!$AN$19:$AS$19</definedName>
    <definedName name="et_HEAT_TARIFF_H_SCHEME">'ТС. Т-подкл(инд)'!$6:$13</definedName>
    <definedName name="et_HEAT_TARIFF_H_TER">'ТС. Т-подкл(инд)'!$3:$16</definedName>
    <definedName name="et_HEAT_TARIFF_H_TN">'ТС. Т-подкл(инд)'!$8:$11</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Т-гор.вода'!$AH$7:$AS$8</definedName>
    <definedName name="et_HOTVSNA_TARIFF_A_HOTVSNA_PERIOD_NOT_COLOR">'ГВС. Т-гор.вода'!$AH$15:$AS$16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Т-гор.вода'!$V:$AG</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Ограничения!$F$36:$GM$36</definedName>
    <definedName name="flag_Q_LIMIT_p4">Ограничения!$F$38:$GM$38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Т-подкл(инд)'!$T$37</definedName>
    <definedName name="HEAT_TARIFF_H_ADD_HL_DIAMETERS_COLUMN_MARKER">'ТС. Т-подкл(инд)'!$AM$37</definedName>
    <definedName name="HEAT_TARIFF_H_ADD_HL_LOAD_COLUMN_MARKER">'ТС. Т-подкл(инд)'!$AE$37</definedName>
    <definedName name="HEAT_TARIFF_H_ADD_HL_NETS_COLUMN_MARKER">'ТС. Т-подкл(инд)'!$AI$37</definedName>
    <definedName name="HEAT_TARIFF_H_DEL_HL_DIAMETERS_COLUMN_MARKER">'ТС. Т-подкл(инд)'!$AK$37</definedName>
    <definedName name="HEAT_TARIFF_H_DEL_HL_GC_COLUMN_MARKER">'ТС. Т-подкл(инд)'!$Q$37</definedName>
    <definedName name="HEAT_TARIFF_H_DEL_HL_LOAD_COLUMN_MARKER">'ТС. Т-подкл(инд)'!$AC$37</definedName>
    <definedName name="HEAT_TARIFF_H_DEL_HL_NETS_COLUMN_MARKER">'ТС. Т-подкл(инд)'!$AG$37</definedName>
    <definedName name="HEAT_TARIFF_H_DEL_HL_SCHEME_COLUMN_MARKER">'ТС. Т-подкл(инд)'!$P$37</definedName>
    <definedName name="HEAT_TARIFF_H_DEL_HL_TN_COLUMN_MARKER">'ТС. Т-подкл(инд)'!$R$37</definedName>
    <definedName name="HEAT_TARIFF_H_DELETE_PERIOD_ROW_MARKER">'ТС. Т-подкл(инд)'!$O$38</definedName>
    <definedName name="HEAT_TARIFF_H_FLAG_BLOCK_COLUMN_MARKER">'ТС. Т-подкл(инд)'!$L$43</definedName>
    <definedName name="HEAT_TARIFF_H_FLAG_BLOCK_ROW_MARKER">'ТС. Т-подкл(инд)'!$O$23</definedName>
    <definedName name="HEAT_TARIFF_H_NUM_CS_COLUMN_MARKER">'ТС. Т-подкл(инд)'!$G$43</definedName>
    <definedName name="HEAT_TARIFF_H_NUM_DIAMETERS_COLUMN_MARKER">'ТС. Т-подкл(инд)'!$AL$37</definedName>
    <definedName name="HEAT_TARIFF_H_NUM_GC_COLUMN_MARKER">'ТС. Т-подкл(инд)'!$J$43</definedName>
    <definedName name="HEAT_TARIFF_H_NUM_IST_TE_COLUMN_MARKER">'ТС. Т-подкл(инд)'!$H$43</definedName>
    <definedName name="HEAT_TARIFF_H_NUM_LOAD_COLUMN_MARKER">'ТС. Т-подкл(инд)'!$AD$37</definedName>
    <definedName name="HEAT_TARIFF_H_NUM_NETS_COLUMN_MARKER">'ТС. Т-подкл(инд)'!$AH$37</definedName>
    <definedName name="HEAT_TARIFF_H_NUM_NTAR_COLUMN_MARKER">'ТС. Т-подкл(инд)'!$E$43</definedName>
    <definedName name="HEAT_TARIFF_H_NUM_SCHEME_COLUMN_MARKER">'ТС. Т-подкл(инд)'!$I$43</definedName>
    <definedName name="HEAT_TARIFF_H_NUM_TER_COLUMN_MARKER">'ТС. Т-подкл(инд)'!$F$43</definedName>
    <definedName name="HEAT_TARIFF_H_NUM_TN_COLUMN_MARKER">'ТС. Т-подкл(инд)'!$K$43</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Дифференциация!$G$12:$G$108</definedName>
    <definedName name="pDel_DIFFERENTIATION_SYSTEM">Дифференциация!$K$12:$K$108</definedName>
    <definedName name="pDel_DIFFERENTIATION_VD">Дифференциация!$C$12:$C$108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ФХД'!$CX$24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&gt;20%'!$D$851</definedName>
    <definedName name="pIns_B_KNE_DIFFERENTIATION">'Показатели КНЭ'!$GM$6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Т-гор.вода'!$T$54</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PT_VTAR_H">'ТС. Т-подкл(инд)'!$T$62</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Ограничения!$GM$25</definedName>
    <definedName name="pIns_Q_PH_DIFFERENTIATION">'Потребительские характеристики'!$GM$8</definedName>
    <definedName name="pIns_Q_TP_1">ТП!$E$114</definedName>
    <definedName name="pIns_Q_TP_DIFFERENTIATION">ТП!$CW$8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Т-подкл(инд)'!$AT$40</definedName>
    <definedName name="pIns_ver_HEAT_TARIFF_I">'ТС. Т-ТЭ | предел'!$AL$39</definedName>
    <definedName name="pIns_ver_HEAT_TARIFF_I_1">'ТС. Т-ТЭ | индикат'!$AL$39</definedName>
    <definedName name="pIns_ver_HOTVSNA_TARIFF_A_HOTVSNA">'ГВС. Т-гор.вода'!$AT$37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Ограничения!$GM$26</definedName>
    <definedName name="pNote_Q_PH">'Потребительские характеристики'!$GM$9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Т-подкл(инд)'!$47:$58</definedName>
    <definedName name="pt_cs_21">'ТС. Т-ТЭ | предел'!$45:$54</definedName>
    <definedName name="pt_cs_21_1">'ТС. Т-ТЭ | индикат'!$45:$54</definedName>
    <definedName name="pt_cs_3">'ТС. Т-ТН'!$45:$54</definedName>
    <definedName name="pt_cs_4">'ТС. Т-гор.вода'!$51:$62</definedName>
    <definedName name="pt_cs_4i">#REF!</definedName>
    <definedName name="pt_cs_4p">#REF!</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тарифов'!$AL$12:$AL$132</definedName>
    <definedName name="PT_DIFFERENTIATION_CS_ID">'Перечень тарифов'!$AF$12:$AF$132</definedName>
    <definedName name="PT_DIFFERENTIATION_IST_TE">'Перечень тарифов'!$AM$12:$AM$132</definedName>
    <definedName name="PT_DIFFERENTIATION_IST_TE_ID">'Перечень тарифов'!$AG$12:$AG$132</definedName>
    <definedName name="PT_DIFFERENTIATION_NTAR">'Перечень тарифов'!$AJ$12:$AJ$132</definedName>
    <definedName name="PT_DIFFERENTIATION_NTAR_ID">'Перечень тарифов'!$AD$12:$AD$132</definedName>
    <definedName name="PT_DIFFERENTIATION_NUM_CS">'Перечень тарифов'!$AP$12:$AP$132</definedName>
    <definedName name="PT_DIFFERENTIATION_NUM_IST_TE">'Перечень тарифов'!$AQ$12:$AQ$132</definedName>
    <definedName name="PT_DIFFERENTIATION_NUM_NTAR">'Перечень тарифов'!$AN$12:$AN$132</definedName>
    <definedName name="PT_DIFFERENTIATION_NUM_TER">'Перечень тарифов'!$AO$12:$AO$132</definedName>
    <definedName name="PT_DIFFERENTIATION_TER">'Перечень тарифов'!$AK$12:$AK$132</definedName>
    <definedName name="PT_DIFFERENTIATION_TER_ID">'Перечень тарифов'!$AE$12:$AE$132</definedName>
    <definedName name="PT_DIFFERENTIATION_VDET">'Перечень тарифов'!$AI$12:$AI$132</definedName>
    <definedName name="PT_DIFFERENTIATION_VTAR">'Перечень тарифов'!$AH$12:$AH$132</definedName>
    <definedName name="PT_DIFFERENTIATION_VTAR_ID">'Перечень тарифов'!$AC$12:$AC$132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20">'ТС. Т-подкл(инд)'!$48:$57</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Т-подкл(инд)'!$45:$61</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Т-подкл(инд)'!$46:$59</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4i">#REF!</definedName>
    <definedName name="pt_ter_4p">#REF!</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Ограничения!$E$32:$GM$39</definedName>
    <definedName name="Q_LIMIT_diff_1">Ограничения!$I$26:$J$28</definedName>
    <definedName name="Q_Limit_diff_100">Ограничения!$CA$26:$CB$28</definedName>
    <definedName name="Q_Limit_diff_101">Ограничения!$CC$26:$CD$28</definedName>
    <definedName name="Q_Limit_diff_102">Ограничения!$CE$26:$CF$28</definedName>
    <definedName name="Q_Limit_diff_103">Ограничения!$CG$26:$CH$28</definedName>
    <definedName name="Q_Limit_diff_104">Ограничения!$CI$26:$CJ$28</definedName>
    <definedName name="Q_Limit_diff_105">Ограничения!$CK$26:$CL$28</definedName>
    <definedName name="Q_Limit_diff_106">Ограничения!$CM$26:$CN$28</definedName>
    <definedName name="Q_Limit_diff_107">Ограничения!$CO$26:$CP$28</definedName>
    <definedName name="Q_Limit_diff_108">Ограничения!$CQ$26:$CR$28</definedName>
    <definedName name="Q_Limit_diff_109">Ограничения!$CS$26:$CT$28</definedName>
    <definedName name="Q_Limit_diff_110">Ограничения!$CU$26:$CV$28</definedName>
    <definedName name="Q_Limit_diff_111">Ограничения!$CW$26:$CX$28</definedName>
    <definedName name="Q_Limit_diff_112">Ограничения!$CY$26:$CZ$28</definedName>
    <definedName name="Q_Limit_diff_113">Ограничения!$DA$26:$DB$28</definedName>
    <definedName name="Q_Limit_diff_114">Ограничения!$DC$26:$DD$28</definedName>
    <definedName name="Q_Limit_diff_115">Ограничения!$DE$26:$DF$28</definedName>
    <definedName name="Q_Limit_diff_116">Ограничения!$DG$26:$DH$28</definedName>
    <definedName name="Q_Limit_diff_117">Ограничения!$DI$26:$DJ$28</definedName>
    <definedName name="Q_Limit_diff_118">Ограничения!$DK$26:$DL$28</definedName>
    <definedName name="Q_Limit_diff_119">Ограничения!$DM$26:$DN$28</definedName>
    <definedName name="Q_Limit_diff_120">Ограничения!$DO$26:$DP$28</definedName>
    <definedName name="Q_Limit_diff_121">Ограничения!$DQ$26:$DR$28</definedName>
    <definedName name="Q_Limit_diff_122">Ограничения!$DS$26:$DT$28</definedName>
    <definedName name="Q_Limit_diff_123">Ограничения!$DU$26:$DV$28</definedName>
    <definedName name="Q_Limit_diff_124">Ограничения!$DW$26:$DX$28</definedName>
    <definedName name="Q_Limit_diff_125">Ограничения!$DY$26:$DZ$28</definedName>
    <definedName name="Q_Limit_diff_126">Ограничения!$EA$26:$EB$28</definedName>
    <definedName name="Q_Limit_diff_127">Ограничения!$EC$26:$ED$28</definedName>
    <definedName name="Q_Limit_diff_128">Ограничения!$EE$26:$EF$28</definedName>
    <definedName name="Q_Limit_diff_129">Ограничения!$EG$26:$EH$28</definedName>
    <definedName name="Q_Limit_diff_130">Ограничения!$EI$26:$EJ$28</definedName>
    <definedName name="Q_Limit_diff_131">Ограничения!$EK$26:$EL$28</definedName>
    <definedName name="Q_Limit_diff_132">Ограничения!$EM$26:$EN$28</definedName>
    <definedName name="Q_Limit_diff_133">Ограничения!$EO$26:$EP$28</definedName>
    <definedName name="Q_Limit_diff_134">Ограничения!$EQ$26:$ER$28</definedName>
    <definedName name="Q_Limit_diff_135">Ограничения!$ES$26:$ET$28</definedName>
    <definedName name="Q_Limit_diff_136">Ограничения!$EU$26:$EV$28</definedName>
    <definedName name="Q_Limit_diff_137">Ограничения!$EW$26:$EX$28</definedName>
    <definedName name="Q_Limit_diff_138">Ограничения!$EY$26:$EZ$28</definedName>
    <definedName name="Q_Limit_diff_139">Ограничения!$FA$26:$FB$28</definedName>
    <definedName name="Q_Limit_diff_140">Ограничения!$FC$26:$FD$28</definedName>
    <definedName name="Q_Limit_diff_141">Ограничения!$FE$26:$FF$28</definedName>
    <definedName name="Q_Limit_diff_142">Ограничения!$FG$26:$FH$28</definedName>
    <definedName name="Q_Limit_diff_143">Ограничения!$FI$26:$FJ$28</definedName>
    <definedName name="Q_Limit_diff_144">Ограничения!$FK$26:$FL$28</definedName>
    <definedName name="Q_Limit_diff_145">Ограничения!$FM$26:$FN$28</definedName>
    <definedName name="Q_Limit_diff_146">Ограничения!$FO$26:$FP$28</definedName>
    <definedName name="Q_Limit_diff_147">Ограничения!$FQ$26:$FR$28</definedName>
    <definedName name="Q_Limit_diff_148">Ограничения!$FS$26:$FT$28</definedName>
    <definedName name="Q_Limit_diff_149">Ограничения!$FU$26:$FV$28</definedName>
    <definedName name="Q_Limit_diff_150">Ограничения!$FW$26:$FX$28</definedName>
    <definedName name="Q_Limit_diff_151">Ограничения!$FY$26:$FZ$28</definedName>
    <definedName name="Q_Limit_diff_152">Ограничения!$GA$26:$GB$28</definedName>
    <definedName name="Q_Limit_diff_153">Ограничения!$GC$26:$GD$28</definedName>
    <definedName name="Q_Limit_diff_154">Ограничения!$GE$26:$GF$28</definedName>
    <definedName name="Q_Limit_diff_155">Ограничения!$GG$26:$GH$28</definedName>
    <definedName name="Q_Limit_diff_156">Ограничения!$GI$26:$GJ$28</definedName>
    <definedName name="Q_Limit_diff_157">Ограничения!$GK$26:$GL$28</definedName>
    <definedName name="Q_Limit_diff_66">Ограничения!$K$26:$L$28</definedName>
    <definedName name="Q_Limit_diff_67">Ограничения!$M$26:$N$28</definedName>
    <definedName name="Q_Limit_diff_68">Ограничения!$O$26:$P$28</definedName>
    <definedName name="Q_Limit_diff_69">Ограничения!$Q$26:$R$28</definedName>
    <definedName name="Q_Limit_diff_70">Ограничения!$S$26:$T$28</definedName>
    <definedName name="Q_Limit_diff_71">Ограничения!$U$26:$V$28</definedName>
    <definedName name="Q_Limit_diff_72">Ограничения!$W$26:$X$28</definedName>
    <definedName name="Q_Limit_diff_73">Ограничения!$Y$26:$Z$28</definedName>
    <definedName name="Q_Limit_diff_74">Ограничения!$AA$26:$AB$28</definedName>
    <definedName name="Q_Limit_diff_75">Ограничения!$AC$26:$AD$28</definedName>
    <definedName name="Q_Limit_diff_76">Ограничения!$AE$26:$AF$28</definedName>
    <definedName name="Q_Limit_diff_77">Ограничения!$AG$26:$AH$28</definedName>
    <definedName name="Q_Limit_diff_78">Ограничения!$AI$26:$AJ$28</definedName>
    <definedName name="Q_Limit_diff_79">Ограничения!$AK$26:$AL$28</definedName>
    <definedName name="Q_Limit_diff_80">Ограничения!$AM$26:$AN$28</definedName>
    <definedName name="Q_Limit_diff_81">Ограничения!$AO$26:$AP$28</definedName>
    <definedName name="Q_Limit_diff_82">Ограничения!$AQ$26:$AR$28</definedName>
    <definedName name="Q_Limit_diff_83">Ограничения!$AS$26:$AT$28</definedName>
    <definedName name="Q_Limit_diff_84">Ограничения!$AU$26:$AV$28</definedName>
    <definedName name="Q_Limit_diff_85">Ограничения!$AW$26:$AX$28</definedName>
    <definedName name="Q_Limit_diff_86">Ограничения!$AY$26:$AZ$28</definedName>
    <definedName name="Q_Limit_diff_87">Ограничения!$BA$26:$BB$28</definedName>
    <definedName name="Q_Limit_diff_88">Ограничения!$BC$26:$BD$28</definedName>
    <definedName name="Q_Limit_diff_89">Ограничения!$BE$26:$BF$28</definedName>
    <definedName name="Q_Limit_diff_90">Ограничения!$BG$26:$BH$28</definedName>
    <definedName name="Q_Limit_diff_91">Ограничения!$BI$26:$BJ$28</definedName>
    <definedName name="Q_Limit_diff_92">Ограничения!$BK$26:$BL$28</definedName>
    <definedName name="Q_Limit_diff_93">Ограничения!$BM$26:$BN$28</definedName>
    <definedName name="Q_Limit_diff_94">Ограничения!$BO$26:$BP$28</definedName>
    <definedName name="Q_Limit_diff_95">Ограничения!$BQ$26:$BR$28</definedName>
    <definedName name="Q_Limit_diff_96">Ограничения!$BS$26:$BT$28</definedName>
    <definedName name="Q_Limit_diff_97">Ограничения!$BU$26:$BV$28</definedName>
    <definedName name="Q_Limit_diff_98">Ограничения!$BW$26:$BX$28</definedName>
    <definedName name="Q_Limit_diff_99">Ограничения!$BY$26:$BZ$28</definedName>
    <definedName name="Q_LIMIT_p3">Ограничения!$F$36:$GM$37</definedName>
    <definedName name="Q_LIMIT_p4">Ограничения!$F$38:$GM$39</definedName>
    <definedName name="Q_PH_diff_1">'Потребительские характеристики'!$I$9:$J$11</definedName>
    <definedName name="Q_PH_diff_100">'Потребительские характеристики'!$CA$9:$CB$11</definedName>
    <definedName name="Q_PH_diff_101">'Потребительские характеристики'!$CC$9:$CD$11</definedName>
    <definedName name="Q_PH_diff_102">'Потребительские характеристики'!$CE$9:$CF$11</definedName>
    <definedName name="Q_PH_diff_103">'Потребительские характеристики'!$CG$9:$CH$11</definedName>
    <definedName name="Q_PH_diff_104">'Потребительские характеристики'!$CI$9:$CJ$11</definedName>
    <definedName name="Q_PH_diff_105">'Потребительские характеристики'!$CK$9:$CL$11</definedName>
    <definedName name="Q_PH_diff_106">'Потребительские характеристики'!$CM$9:$CN$11</definedName>
    <definedName name="Q_PH_diff_107">'Потребительские характеристики'!$CO$9:$CP$11</definedName>
    <definedName name="Q_PH_diff_108">'Потребительские характеристики'!$CQ$9:$CR$11</definedName>
    <definedName name="Q_PH_diff_109">'Потребительские характеристики'!$CS$9:$CT$11</definedName>
    <definedName name="Q_PH_diff_110">'Потребительские характеристики'!$CU$9:$CV$11</definedName>
    <definedName name="Q_PH_diff_111">'Потребительские характеристики'!$CW$9:$CX$11</definedName>
    <definedName name="Q_PH_diff_112">'Потребительские характеристики'!$CY$9:$CZ$11</definedName>
    <definedName name="Q_PH_diff_113">'Потребительские характеристики'!$DA$9:$DB$11</definedName>
    <definedName name="Q_PH_diff_114">'Потребительские характеристики'!$DC$9:$DD$11</definedName>
    <definedName name="Q_PH_diff_115">'Потребительские характеристики'!$DE$9:$DF$11</definedName>
    <definedName name="Q_PH_diff_116">'Потребительские характеристики'!$DG$9:$DH$11</definedName>
    <definedName name="Q_PH_diff_117">'Потребительские характеристики'!$DI$9:$DJ$11</definedName>
    <definedName name="Q_PH_diff_118">'Потребительские характеристики'!$DK$9:$DL$11</definedName>
    <definedName name="Q_PH_diff_119">'Потребительские характеристики'!$DM$9:$DN$11</definedName>
    <definedName name="Q_PH_diff_120">'Потребительские характеристики'!$DO$9:$DP$11</definedName>
    <definedName name="Q_PH_diff_121">'Потребительские характеристики'!$DQ$9:$DR$11</definedName>
    <definedName name="Q_PH_diff_122">'Потребительские характеристики'!$DS$9:$DT$11</definedName>
    <definedName name="Q_PH_diff_123">'Потребительские характеристики'!$DU$9:$DV$11</definedName>
    <definedName name="Q_PH_diff_124">'Потребительские характеристики'!$DW$9:$DX$11</definedName>
    <definedName name="Q_PH_diff_125">'Потребительские характеристики'!$DY$9:$DZ$11</definedName>
    <definedName name="Q_PH_diff_126">'Потребительские характеристики'!$EA$9:$EB$11</definedName>
    <definedName name="Q_PH_diff_127">'Потребительские характеристики'!$EC$9:$ED$11</definedName>
    <definedName name="Q_PH_diff_128">'Потребительские характеристики'!$EE$9:$EF$11</definedName>
    <definedName name="Q_PH_diff_129">'Потребительские характеристики'!$EG$9:$EH$11</definedName>
    <definedName name="Q_PH_diff_130">'Потребительские характеристики'!$EI$9:$EJ$11</definedName>
    <definedName name="Q_PH_diff_131">'Потребительские характеристики'!$EK$9:$EL$11</definedName>
    <definedName name="Q_PH_diff_132">'Потребительские характеристики'!$EM$9:$EN$11</definedName>
    <definedName name="Q_PH_diff_133">'Потребительские характеристики'!$EO$9:$EP$11</definedName>
    <definedName name="Q_PH_diff_134">'Потребительские характеристики'!$EQ$9:$ER$11</definedName>
    <definedName name="Q_PH_diff_135">'Потребительские характеристики'!$ES$9:$ET$11</definedName>
    <definedName name="Q_PH_diff_136">'Потребительские характеристики'!$EU$9:$EV$11</definedName>
    <definedName name="Q_PH_diff_137">'Потребительские характеристики'!$EW$9:$EX$11</definedName>
    <definedName name="Q_PH_diff_138">'Потребительские характеристики'!$EY$9:$EZ$11</definedName>
    <definedName name="Q_PH_diff_139">'Потребительские характеристики'!$FA$9:$FB$11</definedName>
    <definedName name="Q_PH_diff_140">'Потребительские характеристики'!$FC$9:$FD$11</definedName>
    <definedName name="Q_PH_diff_141">'Потребительские характеристики'!$FE$9:$FF$11</definedName>
    <definedName name="Q_PH_diff_142">'Потребительские характеристики'!$FG$9:$FH$11</definedName>
    <definedName name="Q_PH_diff_143">'Потребительские характеристики'!$FI$9:$FJ$11</definedName>
    <definedName name="Q_PH_diff_144">'Потребительские характеристики'!$FK$9:$FL$11</definedName>
    <definedName name="Q_PH_diff_145">'Потребительские характеристики'!$FM$9:$FN$11</definedName>
    <definedName name="Q_PH_diff_146">'Потребительские характеристики'!$FO$9:$FP$11</definedName>
    <definedName name="Q_PH_diff_147">'Потребительские характеристики'!$FQ$9:$FR$11</definedName>
    <definedName name="Q_PH_diff_148">'Потребительские характеристики'!$FS$9:$FT$11</definedName>
    <definedName name="Q_PH_diff_149">'Потребительские характеристики'!$FU$9:$FV$11</definedName>
    <definedName name="Q_PH_diff_150">'Потребительские характеристики'!$FW$9:$FX$11</definedName>
    <definedName name="Q_PH_diff_151">'Потребительские характеристики'!$FY$9:$FZ$11</definedName>
    <definedName name="Q_PH_diff_152">'Потребительские характеристики'!$GA$9:$GB$11</definedName>
    <definedName name="Q_PH_diff_153">'Потребительские характеристики'!$GC$9:$GD$11</definedName>
    <definedName name="Q_PH_diff_154">'Потребительские характеристики'!$GE$9:$GF$11</definedName>
    <definedName name="Q_PH_diff_155">'Потребительские характеристики'!$GG$9:$GH$11</definedName>
    <definedName name="Q_PH_diff_156">'Потребительские характеристики'!$GI$9:$GJ$11</definedName>
    <definedName name="Q_PH_diff_157">'Потребительские характеристики'!$GK$9:$GL$11</definedName>
    <definedName name="Q_PH_diff_66">'Потребительские характеристики'!$K$9:$L$11</definedName>
    <definedName name="Q_PH_diff_67">'Потребительские характеристики'!$M$9:$N$11</definedName>
    <definedName name="Q_PH_diff_68">'Потребительские характеристики'!$O$9:$P$11</definedName>
    <definedName name="Q_PH_diff_69">'Потребительские характеристики'!$Q$9:$R$11</definedName>
    <definedName name="Q_PH_diff_70">'Потребительские характеристики'!$S$9:$T$11</definedName>
    <definedName name="Q_PH_diff_71">'Потребительские характеристики'!$U$9:$V$11</definedName>
    <definedName name="Q_PH_diff_72">'Потребительские характеристики'!$W$9:$X$11</definedName>
    <definedName name="Q_PH_diff_73">'Потребительские характеристики'!$Y$9:$Z$11</definedName>
    <definedName name="Q_PH_diff_74">'Потребительские характеристики'!$AA$9:$AB$11</definedName>
    <definedName name="Q_PH_diff_75">'Потребительские характеристики'!$AC$9:$AD$11</definedName>
    <definedName name="Q_PH_diff_76">'Потребительские характеристики'!$AE$9:$AF$11</definedName>
    <definedName name="Q_PH_diff_77">'Потребительские характеристики'!$AG$9:$AH$11</definedName>
    <definedName name="Q_PH_diff_78">'Потребительские характеристики'!$AI$9:$AJ$11</definedName>
    <definedName name="Q_PH_diff_79">'Потребительские характеристики'!$AK$9:$AL$11</definedName>
    <definedName name="Q_PH_diff_80">'Потребительские характеристики'!$AM$9:$AN$11</definedName>
    <definedName name="Q_PH_diff_81">'Потребительские характеристики'!$AO$9:$AP$11</definedName>
    <definedName name="Q_PH_diff_82">'Потребительские характеристики'!$AQ$9:$AR$11</definedName>
    <definedName name="Q_PH_diff_83">'Потребительские характеристики'!$AS$9:$AT$11</definedName>
    <definedName name="Q_PH_diff_84">'Потребительские характеристики'!$AU$9:$AV$11</definedName>
    <definedName name="Q_PH_diff_85">'Потребительские характеристики'!$AW$9:$AX$11</definedName>
    <definedName name="Q_PH_diff_86">'Потребительские характеристики'!$AY$9:$AZ$11</definedName>
    <definedName name="Q_PH_diff_87">'Потребительские характеристики'!$BA$9:$BB$11</definedName>
    <definedName name="Q_PH_diff_88">'Потребительские характеристики'!$BC$9:$BD$11</definedName>
    <definedName name="Q_PH_diff_89">'Потребительские характеристики'!$BE$9:$BF$11</definedName>
    <definedName name="Q_PH_diff_90">'Потребительские характеристики'!$BG$9:$BH$11</definedName>
    <definedName name="Q_PH_diff_91">'Потребительские характеристики'!$BI$9:$BJ$11</definedName>
    <definedName name="Q_PH_diff_92">'Потребительские характеристики'!$BK$9:$BL$11</definedName>
    <definedName name="Q_PH_diff_93">'Потребительские характеристики'!$BM$9:$BN$11</definedName>
    <definedName name="Q_PH_diff_94">'Потребительские характеристики'!$BO$9:$BP$11</definedName>
    <definedName name="Q_PH_diff_95">'Потребительские характеристики'!$BQ$9:$BR$11</definedName>
    <definedName name="Q_PH_diff_96">'Потребительские характеристики'!$BS$9:$BT$11</definedName>
    <definedName name="Q_PH_diff_97">'Потребительские характеристики'!$BU$9:$BV$11</definedName>
    <definedName name="Q_PH_diff_98">'Потребительские характеристики'!$BW$9:$BX$11</definedName>
    <definedName name="Q_PH_diff_99">'Потребительские характеристики'!$BY$9:$BZ$11</definedName>
    <definedName name="Q_TP_COUNT_REFUSAL">ТП!$H$17:$H$17</definedName>
    <definedName name="Q_TP_diff_1">ТП!$H$9:$H$11</definedName>
    <definedName name="Q_TP_diff_100">ТП!$AQ$9:$AQ$11</definedName>
    <definedName name="Q_TP_diff_101">ТП!$AR$9:$AR$11</definedName>
    <definedName name="Q_TP_diff_102">ТП!$AS$9:$AS$11</definedName>
    <definedName name="Q_TP_diff_103">ТП!$AT$9:$AT$11</definedName>
    <definedName name="Q_TP_diff_104">ТП!$AU$9:$AU$11</definedName>
    <definedName name="Q_TP_diff_105">ТП!$AV$9:$AV$11</definedName>
    <definedName name="Q_TP_diff_106">ТП!$AW$9:$AW$11</definedName>
    <definedName name="Q_TP_diff_107">ТП!$AX$9:$AX$11</definedName>
    <definedName name="Q_TP_diff_108">ТП!$AY$9:$AY$11</definedName>
    <definedName name="Q_TP_diff_109">ТП!$AZ$9:$AZ$11</definedName>
    <definedName name="Q_TP_diff_110">ТП!$BA$9:$BA$11</definedName>
    <definedName name="Q_TP_diff_111">ТП!$BB$9:$BB$11</definedName>
    <definedName name="Q_TP_diff_112">ТП!$BC$9:$BC$11</definedName>
    <definedName name="Q_TP_diff_113">ТП!$BD$9:$BD$11</definedName>
    <definedName name="Q_TP_diff_114">ТП!$BE$9:$BE$11</definedName>
    <definedName name="Q_TP_diff_115">ТП!$BF$9:$BF$11</definedName>
    <definedName name="Q_TP_diff_116">ТП!$BG$9:$BG$11</definedName>
    <definedName name="Q_TP_diff_117">ТП!$BH$9:$BH$11</definedName>
    <definedName name="Q_TP_diff_118">ТП!$BI$9:$BI$11</definedName>
    <definedName name="Q_TP_diff_119">ТП!$BJ$9:$BJ$11</definedName>
    <definedName name="Q_TP_diff_120">ТП!$BK$9:$BK$11</definedName>
    <definedName name="Q_TP_diff_121">ТП!$BL$9:$BL$11</definedName>
    <definedName name="Q_TP_diff_122">ТП!$BM$9:$BM$11</definedName>
    <definedName name="Q_TP_diff_123">ТП!$BN$9:$BN$11</definedName>
    <definedName name="Q_TP_diff_124">ТП!$BO$9:$BO$11</definedName>
    <definedName name="Q_TP_diff_125">ТП!$BP$9:$BP$11</definedName>
    <definedName name="Q_TP_diff_126">ТП!$BQ$9:$BQ$11</definedName>
    <definedName name="Q_TP_diff_127">ТП!$BR$9:$BR$11</definedName>
    <definedName name="Q_TP_diff_128">ТП!$BS$9:$BS$11</definedName>
    <definedName name="Q_TP_diff_129">ТП!$BT$9:$BT$11</definedName>
    <definedName name="Q_TP_diff_130">ТП!$BU$9:$BU$11</definedName>
    <definedName name="Q_TP_diff_131">ТП!$BV$9:$BV$11</definedName>
    <definedName name="Q_TP_diff_132">ТП!$BW$9:$BW$11</definedName>
    <definedName name="Q_TP_diff_133">ТП!$BX$9:$BX$11</definedName>
    <definedName name="Q_TP_diff_134">ТП!$BY$9:$BY$11</definedName>
    <definedName name="Q_TP_diff_135">ТП!$BZ$9:$BZ$11</definedName>
    <definedName name="Q_TP_diff_136">ТП!$CA$9:$CA$11</definedName>
    <definedName name="Q_TP_diff_137">ТП!$CB$9:$CB$11</definedName>
    <definedName name="Q_TP_diff_138">ТП!$CC$9:$CC$11</definedName>
    <definedName name="Q_TP_diff_139">ТП!$CD$9:$CD$11</definedName>
    <definedName name="Q_TP_diff_140">ТП!$CE$9:$CE$11</definedName>
    <definedName name="Q_TP_diff_141">ТП!$CF$9:$CF$11</definedName>
    <definedName name="Q_TP_diff_142">ТП!$CG$9:$CG$11</definedName>
    <definedName name="Q_TP_diff_143">ТП!$CH$9:$CH$11</definedName>
    <definedName name="Q_TP_diff_144">ТП!$CI$9:$CI$11</definedName>
    <definedName name="Q_TP_diff_145">ТП!$CJ$9:$CJ$11</definedName>
    <definedName name="Q_TP_diff_146">ТП!$CK$9:$CK$11</definedName>
    <definedName name="Q_TP_diff_147">ТП!$CL$9:$CL$11</definedName>
    <definedName name="Q_TP_diff_148">ТП!$CM$9:$CM$11</definedName>
    <definedName name="Q_TP_diff_149">ТП!$CN$9:$CN$11</definedName>
    <definedName name="Q_TP_diff_150">ТП!$CO$9:$CO$11</definedName>
    <definedName name="Q_TP_diff_151">ТП!$CP$9:$CP$11</definedName>
    <definedName name="Q_TP_diff_152">ТП!$CQ$9:$CQ$11</definedName>
    <definedName name="Q_TP_diff_153">ТП!$CR$9:$CR$11</definedName>
    <definedName name="Q_TP_diff_154">ТП!$CS$9:$CS$11</definedName>
    <definedName name="Q_TP_diff_155">ТП!$CT$9:$CT$11</definedName>
    <definedName name="Q_TP_diff_156">ТП!$CU$9:$CU$11</definedName>
    <definedName name="Q_TP_diff_157">ТП!$CV$9:$CV$11</definedName>
    <definedName name="Q_TP_diff_66">ТП!$I$9:$I$11</definedName>
    <definedName name="Q_TP_diff_67">ТП!$J$9:$J$11</definedName>
    <definedName name="Q_TP_diff_68">ТП!$K$9:$K$11</definedName>
    <definedName name="Q_TP_diff_69">ТП!$L$9:$L$11</definedName>
    <definedName name="Q_TP_diff_70">ТП!$M$9:$M$11</definedName>
    <definedName name="Q_TP_diff_71">ТП!$N$9:$N$11</definedName>
    <definedName name="Q_TP_diff_72">ТП!$O$9:$O$11</definedName>
    <definedName name="Q_TP_diff_73">ТП!$P$9:$P$11</definedName>
    <definedName name="Q_TP_diff_74">ТП!$Q$9:$Q$11</definedName>
    <definedName name="Q_TP_diff_75">ТП!$R$9:$R$11</definedName>
    <definedName name="Q_TP_diff_76">ТП!$S$9:$S$11</definedName>
    <definedName name="Q_TP_diff_77">ТП!$T$9:$T$11</definedName>
    <definedName name="Q_TP_diff_78">ТП!$U$9:$U$11</definedName>
    <definedName name="Q_TP_diff_79">ТП!$V$9:$V$11</definedName>
    <definedName name="Q_TP_diff_80">ТП!$W$9:$W$11</definedName>
    <definedName name="Q_TP_diff_81">ТП!$X$9:$X$11</definedName>
    <definedName name="Q_TP_diff_82">ТП!$Y$9:$Y$11</definedName>
    <definedName name="Q_TP_diff_83">ТП!$Z$9:$Z$11</definedName>
    <definedName name="Q_TP_diff_84">ТП!$AA$9:$AA$11</definedName>
    <definedName name="Q_TP_diff_85">ТП!$AB$9:$AB$11</definedName>
    <definedName name="Q_TP_diff_86">ТП!$AC$9:$AC$11</definedName>
    <definedName name="Q_TP_diff_87">ТП!$AD$9:$AD$11</definedName>
    <definedName name="Q_TP_diff_88">ТП!$AE$9:$AE$11</definedName>
    <definedName name="Q_TP_diff_89">ТП!$AF$9:$AF$11</definedName>
    <definedName name="Q_TP_diff_90">ТП!$AG$9:$AG$11</definedName>
    <definedName name="Q_TP_diff_91">ТП!$AH$9:$AH$11</definedName>
    <definedName name="Q_TP_diff_92">ТП!$AI$9:$AI$11</definedName>
    <definedName name="Q_TP_diff_93">ТП!$AJ$9:$AJ$11</definedName>
    <definedName name="Q_TP_diff_94">ТП!$AK$9:$AK$11</definedName>
    <definedName name="Q_TP_diff_95">ТП!$AL$9:$AL$11</definedName>
    <definedName name="Q_TP_diff_96">ТП!$AM$9:$AM$11</definedName>
    <definedName name="Q_TP_diff_97">ТП!$AN$9:$AN$11</definedName>
    <definedName name="Q_TP_diff_98">ТП!$AO$9:$AO$11</definedName>
    <definedName name="Q_TP_diff_99">ТП!$AP$9:$AP$11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Дифференциация!$F$12:$F$108</definedName>
    <definedName name="Y_N_DIFFERENTIATION_SYSTEM">Дифференциация!$J$12:$J$108</definedName>
    <definedName name="YEAR_IP_LIST">TEHSHEET!$BE$2:$BE$72</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2" l="1"/>
  <c r="AA31" i="62"/>
  <c r="AA30" i="62"/>
  <c r="AA29" i="62"/>
  <c r="AA28" i="62"/>
  <c r="AA27" i="62"/>
  <c r="AA26" i="62"/>
  <c r="R26" i="62"/>
  <c r="AA25" i="62"/>
  <c r="Y25" i="62"/>
  <c r="AA24" i="62"/>
  <c r="AA23" i="62"/>
  <c r="AA22" i="62"/>
  <c r="AA21" i="62"/>
  <c r="AA20" i="62"/>
  <c r="AA19" i="62"/>
  <c r="Q18" i="62"/>
  <c r="R18" i="62" s="1"/>
  <c r="S18" i="62" s="1"/>
  <c r="T18" i="62" s="1"/>
  <c r="V18" i="62" s="1"/>
  <c r="W18" i="62" s="1"/>
  <c r="X18" i="62" s="1"/>
  <c r="N18" i="62"/>
  <c r="O18" i="62" s="1"/>
  <c r="O11" i="62"/>
  <c r="O10" i="62"/>
  <c r="O9" i="62"/>
  <c r="O8" i="62"/>
  <c r="L6" i="62"/>
  <c r="U148" i="61"/>
  <c r="M148" i="61"/>
  <c r="N101" i="61"/>
  <c r="L101" i="61"/>
  <c r="K101" i="61"/>
  <c r="J101" i="61"/>
  <c r="M101" i="61" s="1"/>
  <c r="I101" i="61"/>
  <c r="N100" i="61"/>
  <c r="L100" i="61"/>
  <c r="K100" i="61"/>
  <c r="J100" i="61"/>
  <c r="M100" i="61" s="1"/>
  <c r="I100" i="61"/>
  <c r="L99" i="61"/>
  <c r="K99" i="61"/>
  <c r="N99" i="61" s="1"/>
  <c r="J99" i="61"/>
  <c r="M99" i="61" s="1"/>
  <c r="I99" i="61"/>
  <c r="N98" i="61"/>
  <c r="K98" i="61"/>
  <c r="J98" i="61"/>
  <c r="M98" i="61" s="1"/>
  <c r="I98" i="61"/>
  <c r="L98" i="61" s="1"/>
  <c r="N97" i="61"/>
  <c r="L97" i="61"/>
  <c r="K97" i="61"/>
  <c r="J97" i="61"/>
  <c r="M97" i="61" s="1"/>
  <c r="I97" i="61"/>
  <c r="N96" i="61"/>
  <c r="L96" i="61"/>
  <c r="K96" i="61"/>
  <c r="J96" i="61"/>
  <c r="M96" i="61" s="1"/>
  <c r="I96" i="61"/>
  <c r="L95" i="61"/>
  <c r="K95" i="61"/>
  <c r="N95" i="61" s="1"/>
  <c r="J95" i="61"/>
  <c r="M95" i="61" s="1"/>
  <c r="I95" i="61"/>
  <c r="N94" i="61"/>
  <c r="K94" i="61"/>
  <c r="J94" i="61"/>
  <c r="M94" i="61" s="1"/>
  <c r="I94" i="61"/>
  <c r="L94" i="61" s="1"/>
  <c r="N93" i="61"/>
  <c r="M93" i="61"/>
  <c r="L93" i="61"/>
  <c r="K93" i="61"/>
  <c r="J93" i="61"/>
  <c r="I93" i="61"/>
  <c r="N92" i="61"/>
  <c r="L92" i="61"/>
  <c r="K92" i="61"/>
  <c r="J92" i="61"/>
  <c r="M92" i="61" s="1"/>
  <c r="I92" i="61"/>
  <c r="L91" i="61"/>
  <c r="K91" i="61"/>
  <c r="N91" i="61" s="1"/>
  <c r="J91" i="61"/>
  <c r="M91" i="61" s="1"/>
  <c r="I91" i="61"/>
  <c r="N90" i="61"/>
  <c r="K90" i="61"/>
  <c r="J90" i="61"/>
  <c r="M90" i="61" s="1"/>
  <c r="I90" i="61"/>
  <c r="L90" i="61" s="1"/>
  <c r="N89" i="61"/>
  <c r="M89" i="61"/>
  <c r="L89" i="61"/>
  <c r="K89" i="61"/>
  <c r="J89" i="61"/>
  <c r="I89" i="61"/>
  <c r="N88" i="61"/>
  <c r="L88" i="61"/>
  <c r="K88" i="61"/>
  <c r="J88" i="61"/>
  <c r="M88" i="61" s="1"/>
  <c r="I88" i="61"/>
  <c r="L87" i="61"/>
  <c r="K87" i="61"/>
  <c r="N87" i="61" s="1"/>
  <c r="J87" i="61"/>
  <c r="M87" i="61" s="1"/>
  <c r="I87" i="61"/>
  <c r="N86" i="61"/>
  <c r="K86" i="61"/>
  <c r="J86" i="61"/>
  <c r="M86" i="61" s="1"/>
  <c r="I86" i="61"/>
  <c r="L86" i="61" s="1"/>
  <c r="N85" i="61"/>
  <c r="M85" i="61"/>
  <c r="L85" i="61"/>
  <c r="K85" i="61"/>
  <c r="J85" i="61"/>
  <c r="I85" i="61"/>
  <c r="N84" i="61"/>
  <c r="L84" i="61"/>
  <c r="K84" i="61"/>
  <c r="J84" i="61"/>
  <c r="M84" i="61" s="1"/>
  <c r="I84" i="61"/>
  <c r="L83" i="61"/>
  <c r="K83" i="61"/>
  <c r="N83" i="61" s="1"/>
  <c r="J83" i="61"/>
  <c r="M83" i="61" s="1"/>
  <c r="I83" i="61"/>
  <c r="N82" i="61"/>
  <c r="K82" i="61"/>
  <c r="J82" i="61"/>
  <c r="M82" i="61" s="1"/>
  <c r="I82" i="61"/>
  <c r="L82" i="61" s="1"/>
  <c r="N81" i="61"/>
  <c r="M81" i="61"/>
  <c r="L81" i="61"/>
  <c r="K81" i="61"/>
  <c r="J81" i="61"/>
  <c r="I81" i="61"/>
  <c r="N80" i="61"/>
  <c r="L80" i="61"/>
  <c r="K80" i="61"/>
  <c r="J80" i="61"/>
  <c r="M80" i="61" s="1"/>
  <c r="I80" i="61"/>
  <c r="L79" i="61"/>
  <c r="K79" i="61"/>
  <c r="N79" i="61" s="1"/>
  <c r="J79" i="61"/>
  <c r="M79" i="61" s="1"/>
  <c r="I79" i="61"/>
  <c r="N78" i="61"/>
  <c r="K78" i="61"/>
  <c r="J78" i="61"/>
  <c r="M78" i="61" s="1"/>
  <c r="I78" i="61"/>
  <c r="L78" i="61" s="1"/>
  <c r="N77" i="61"/>
  <c r="M77" i="61"/>
  <c r="L77" i="61"/>
  <c r="K77" i="61"/>
  <c r="J77" i="61"/>
  <c r="I77" i="61"/>
  <c r="N76" i="61"/>
  <c r="L76" i="61"/>
  <c r="K76" i="61"/>
  <c r="J76" i="61"/>
  <c r="M76" i="61" s="1"/>
  <c r="I76" i="61"/>
  <c r="L75" i="61"/>
  <c r="K75" i="61"/>
  <c r="N75" i="61" s="1"/>
  <c r="J75" i="61"/>
  <c r="M75" i="61" s="1"/>
  <c r="I75" i="61"/>
  <c r="N74" i="61"/>
  <c r="K74" i="61"/>
  <c r="J74" i="61"/>
  <c r="M74" i="61" s="1"/>
  <c r="I74" i="61"/>
  <c r="L74" i="61" s="1"/>
  <c r="N73" i="61"/>
  <c r="M73" i="61"/>
  <c r="L73" i="61"/>
  <c r="K73" i="61"/>
  <c r="J73" i="61"/>
  <c r="I73" i="61"/>
  <c r="N72" i="61"/>
  <c r="L72" i="61"/>
  <c r="K72" i="61"/>
  <c r="J72" i="61"/>
  <c r="M72" i="61" s="1"/>
  <c r="I72" i="61"/>
  <c r="L71" i="61"/>
  <c r="K71" i="61"/>
  <c r="N71" i="61" s="1"/>
  <c r="J71" i="61"/>
  <c r="M71" i="61" s="1"/>
  <c r="I71" i="61"/>
  <c r="N70" i="61"/>
  <c r="K70" i="61"/>
  <c r="J70" i="61"/>
  <c r="M70" i="61" s="1"/>
  <c r="I70" i="61"/>
  <c r="L70" i="61" s="1"/>
  <c r="N69" i="61"/>
  <c r="M69" i="61"/>
  <c r="L69" i="61"/>
  <c r="K69" i="61"/>
  <c r="J69" i="61"/>
  <c r="I69" i="61"/>
  <c r="N68" i="61"/>
  <c r="L68" i="61"/>
  <c r="K68" i="61"/>
  <c r="J68" i="61"/>
  <c r="M68" i="61" s="1"/>
  <c r="I68" i="61"/>
  <c r="L67" i="61"/>
  <c r="K67" i="61"/>
  <c r="N67" i="61" s="1"/>
  <c r="J67" i="61"/>
  <c r="M67" i="61" s="1"/>
  <c r="I67" i="61"/>
  <c r="N66" i="61"/>
  <c r="K66" i="61"/>
  <c r="J66" i="61"/>
  <c r="M66" i="61" s="1"/>
  <c r="I66" i="61"/>
  <c r="L66" i="61" s="1"/>
  <c r="N65" i="61"/>
  <c r="M65" i="61"/>
  <c r="L65" i="61"/>
  <c r="K65" i="61"/>
  <c r="J65" i="61"/>
  <c r="I65" i="61"/>
  <c r="N64" i="61"/>
  <c r="L64" i="61"/>
  <c r="K64" i="61"/>
  <c r="J64" i="61"/>
  <c r="M64" i="61" s="1"/>
  <c r="I64" i="61"/>
  <c r="L63" i="61"/>
  <c r="K63" i="61"/>
  <c r="N63" i="61" s="1"/>
  <c r="J63" i="61"/>
  <c r="M63" i="61" s="1"/>
  <c r="I63" i="61"/>
  <c r="N62" i="61"/>
  <c r="K62" i="61"/>
  <c r="J62" i="61"/>
  <c r="M62" i="61" s="1"/>
  <c r="I62" i="61"/>
  <c r="L62" i="61" s="1"/>
  <c r="N61" i="61"/>
  <c r="M61" i="61"/>
  <c r="L61" i="61"/>
  <c r="K61" i="61"/>
  <c r="J61" i="61"/>
  <c r="I61" i="61"/>
  <c r="N60" i="61"/>
  <c r="L60" i="61"/>
  <c r="K60" i="61"/>
  <c r="J60" i="61"/>
  <c r="M60" i="61" s="1"/>
  <c r="I60" i="61"/>
  <c r="L59" i="61"/>
  <c r="K59" i="61"/>
  <c r="N59" i="61" s="1"/>
  <c r="J59" i="61"/>
  <c r="M59" i="61" s="1"/>
  <c r="I59" i="61"/>
  <c r="N58" i="61"/>
  <c r="K58" i="61"/>
  <c r="J58" i="61"/>
  <c r="M58" i="61" s="1"/>
  <c r="I58" i="61"/>
  <c r="L58" i="61" s="1"/>
  <c r="N57" i="61"/>
  <c r="M57" i="61"/>
  <c r="L57" i="61"/>
  <c r="K57" i="61"/>
  <c r="J57" i="61"/>
  <c r="I57" i="61"/>
  <c r="N56" i="61"/>
  <c r="L56" i="61"/>
  <c r="K56" i="61"/>
  <c r="J56" i="61"/>
  <c r="M56" i="61" s="1"/>
  <c r="I56" i="61"/>
  <c r="L55" i="61"/>
  <c r="K55" i="61"/>
  <c r="N55" i="61" s="1"/>
  <c r="J55" i="61"/>
  <c r="M55" i="61" s="1"/>
  <c r="I55" i="61"/>
  <c r="N54" i="61"/>
  <c r="K54" i="61"/>
  <c r="J54" i="61"/>
  <c r="M54" i="61" s="1"/>
  <c r="I54" i="61"/>
  <c r="L54" i="61" s="1"/>
  <c r="N53" i="61"/>
  <c r="M53" i="61"/>
  <c r="L53" i="61"/>
  <c r="K53" i="61"/>
  <c r="J53" i="61"/>
  <c r="I53" i="61"/>
  <c r="N52" i="61"/>
  <c r="L52" i="61"/>
  <c r="K52" i="61"/>
  <c r="J52" i="61"/>
  <c r="M52" i="61" s="1"/>
  <c r="I52" i="61"/>
  <c r="L51" i="61"/>
  <c r="K51" i="61"/>
  <c r="N51" i="61" s="1"/>
  <c r="J51" i="61"/>
  <c r="M51" i="61" s="1"/>
  <c r="I51" i="61"/>
  <c r="N50" i="61"/>
  <c r="K50" i="61"/>
  <c r="J50" i="61"/>
  <c r="M50" i="61" s="1"/>
  <c r="I50" i="61"/>
  <c r="L50" i="61" s="1"/>
  <c r="N49" i="61"/>
  <c r="M49" i="61"/>
  <c r="L49" i="61"/>
  <c r="K49" i="61"/>
  <c r="J49" i="61"/>
  <c r="I49" i="61"/>
  <c r="N48" i="61"/>
  <c r="L48" i="61"/>
  <c r="K48" i="61"/>
  <c r="J48" i="61"/>
  <c r="M48" i="61" s="1"/>
  <c r="I48" i="61"/>
  <c r="L47" i="61"/>
  <c r="K47" i="61"/>
  <c r="N47" i="61" s="1"/>
  <c r="J47" i="61"/>
  <c r="M47" i="61" s="1"/>
  <c r="I47" i="61"/>
  <c r="N46" i="61"/>
  <c r="K46" i="61"/>
  <c r="J46" i="61"/>
  <c r="M46" i="61" s="1"/>
  <c r="I46" i="61"/>
  <c r="L46" i="61" s="1"/>
  <c r="N45" i="61"/>
  <c r="M45" i="61"/>
  <c r="L45" i="61"/>
  <c r="K45" i="61"/>
  <c r="J45" i="61"/>
  <c r="I45" i="61"/>
  <c r="N44" i="61"/>
  <c r="L44" i="61"/>
  <c r="K44" i="61"/>
  <c r="J44" i="61"/>
  <c r="M44" i="61" s="1"/>
  <c r="I44" i="61"/>
  <c r="L43" i="61"/>
  <c r="K43" i="61"/>
  <c r="N43" i="61" s="1"/>
  <c r="J43" i="61"/>
  <c r="M43" i="61" s="1"/>
  <c r="I43" i="61"/>
  <c r="N42" i="61"/>
  <c r="K42" i="61"/>
  <c r="J42" i="61"/>
  <c r="M42" i="61" s="1"/>
  <c r="I42" i="61"/>
  <c r="L42" i="61" s="1"/>
  <c r="N41" i="61"/>
  <c r="M41" i="61"/>
  <c r="L41" i="61"/>
  <c r="K41" i="61"/>
  <c r="J41" i="61"/>
  <c r="I41" i="61"/>
  <c r="N40" i="61"/>
  <c r="L40" i="61"/>
  <c r="K40" i="61"/>
  <c r="J40" i="61"/>
  <c r="M40" i="61" s="1"/>
  <c r="I40" i="61"/>
  <c r="L39" i="61"/>
  <c r="K39" i="61"/>
  <c r="N39" i="61" s="1"/>
  <c r="J39" i="61"/>
  <c r="M39" i="61" s="1"/>
  <c r="I39" i="61"/>
  <c r="N38" i="61"/>
  <c r="K38" i="61"/>
  <c r="J38" i="61"/>
  <c r="M38" i="61" s="1"/>
  <c r="I38" i="61"/>
  <c r="L38" i="61" s="1"/>
  <c r="N37" i="61"/>
  <c r="M37" i="61"/>
  <c r="L37" i="61"/>
  <c r="K37" i="61"/>
  <c r="J37" i="61"/>
  <c r="I37" i="61"/>
  <c r="N36" i="61"/>
  <c r="L36" i="61"/>
  <c r="K36" i="61"/>
  <c r="J36" i="61"/>
  <c r="M36" i="61" s="1"/>
  <c r="I36" i="61"/>
  <c r="L35" i="61"/>
  <c r="K35" i="61"/>
  <c r="N35" i="61" s="1"/>
  <c r="J35" i="61"/>
  <c r="M35" i="61" s="1"/>
  <c r="I35" i="61"/>
  <c r="N34" i="61"/>
  <c r="K34" i="61"/>
  <c r="J34" i="61"/>
  <c r="M34" i="61" s="1"/>
  <c r="I34" i="61"/>
  <c r="L34" i="61" s="1"/>
  <c r="N33" i="61"/>
  <c r="M33" i="61"/>
  <c r="L33" i="61"/>
  <c r="K33" i="61"/>
  <c r="J33" i="61"/>
  <c r="I33" i="61"/>
  <c r="N32" i="61"/>
  <c r="L32" i="61"/>
  <c r="K32" i="61"/>
  <c r="J32" i="61"/>
  <c r="M32" i="61" s="1"/>
  <c r="I32" i="61"/>
  <c r="L31" i="61"/>
  <c r="K31" i="61"/>
  <c r="N31" i="61" s="1"/>
  <c r="J31" i="61"/>
  <c r="M31" i="61" s="1"/>
  <c r="I31" i="61"/>
  <c r="N30" i="61"/>
  <c r="K30" i="61"/>
  <c r="J30" i="61"/>
  <c r="M30" i="61" s="1"/>
  <c r="I30" i="61"/>
  <c r="L30" i="61" s="1"/>
  <c r="N29" i="61"/>
  <c r="M29" i="61"/>
  <c r="L29" i="61"/>
  <c r="K29" i="61"/>
  <c r="J29" i="61"/>
  <c r="I29" i="61"/>
  <c r="N28" i="61"/>
  <c r="L28" i="61"/>
  <c r="K28" i="61"/>
  <c r="J28" i="61"/>
  <c r="M28" i="61" s="1"/>
  <c r="I28" i="61"/>
  <c r="L27" i="61"/>
  <c r="K27" i="61"/>
  <c r="N27" i="61" s="1"/>
  <c r="J27" i="61"/>
  <c r="M27" i="61" s="1"/>
  <c r="I27" i="61"/>
  <c r="N26" i="61"/>
  <c r="K26" i="61"/>
  <c r="J26" i="61"/>
  <c r="M26" i="61" s="1"/>
  <c r="I26" i="61"/>
  <c r="L26" i="61" s="1"/>
  <c r="N25" i="61"/>
  <c r="M25" i="61"/>
  <c r="L25" i="61"/>
  <c r="K25" i="61"/>
  <c r="J25" i="61"/>
  <c r="I25" i="61"/>
  <c r="N24" i="61"/>
  <c r="L24" i="61"/>
  <c r="K24" i="61"/>
  <c r="J24" i="61"/>
  <c r="M24" i="61" s="1"/>
  <c r="I24" i="61"/>
  <c r="L23" i="61"/>
  <c r="K23" i="61"/>
  <c r="N23" i="61" s="1"/>
  <c r="J23" i="61"/>
  <c r="M23" i="61" s="1"/>
  <c r="I23" i="61"/>
  <c r="N22" i="61"/>
  <c r="K22" i="61"/>
  <c r="J22" i="61"/>
  <c r="M22" i="61" s="1"/>
  <c r="I22" i="61"/>
  <c r="L22" i="61" s="1"/>
  <c r="N21" i="61"/>
  <c r="M21" i="61"/>
  <c r="L21" i="61"/>
  <c r="K21" i="61"/>
  <c r="J21" i="61"/>
  <c r="I21" i="61"/>
  <c r="N20" i="61"/>
  <c r="L20" i="61"/>
  <c r="K20" i="61"/>
  <c r="J20" i="61"/>
  <c r="M20" i="61" s="1"/>
  <c r="I20" i="61"/>
  <c r="L19" i="61"/>
  <c r="K19" i="61"/>
  <c r="N19" i="61" s="1"/>
  <c r="J19" i="61"/>
  <c r="M19" i="61" s="1"/>
  <c r="I19" i="61"/>
  <c r="N18" i="61"/>
  <c r="K18" i="61"/>
  <c r="J18" i="61"/>
  <c r="M18" i="61" s="1"/>
  <c r="I18" i="61"/>
  <c r="L18" i="61" s="1"/>
  <c r="N16" i="61"/>
  <c r="N15" i="61"/>
  <c r="M15" i="61"/>
  <c r="U14" i="61"/>
  <c r="N14" i="61"/>
  <c r="M14" i="61"/>
  <c r="N13" i="61"/>
  <c r="M13" i="61"/>
  <c r="N12" i="61"/>
  <c r="M12" i="61"/>
  <c r="N11" i="61"/>
  <c r="M11" i="61"/>
  <c r="N3" i="61"/>
  <c r="C34" i="60"/>
  <c r="C32" i="60"/>
  <c r="E31" i="60"/>
  <c r="C31" i="60"/>
  <c r="E30" i="60"/>
  <c r="C30" i="60"/>
  <c r="C29" i="60"/>
  <c r="C8" i="60"/>
  <c r="C7" i="60"/>
  <c r="E6" i="60"/>
  <c r="C6" i="60"/>
  <c r="E5" i="60"/>
  <c r="C5" i="60"/>
  <c r="E4" i="60"/>
  <c r="C4" i="60"/>
  <c r="C3" i="60"/>
  <c r="C2" i="60"/>
  <c r="V194" i="59"/>
  <c r="N179" i="59"/>
  <c r="N174" i="59"/>
  <c r="N168" i="59"/>
  <c r="N157" i="59"/>
  <c r="N152" i="59"/>
  <c r="N146" i="59"/>
  <c r="R131" i="59"/>
  <c r="Q131" i="59"/>
  <c r="Q122" i="59"/>
  <c r="H121" i="59"/>
  <c r="H120" i="59"/>
  <c r="H119" i="59"/>
  <c r="Q113" i="59"/>
  <c r="Q110" i="59"/>
  <c r="H109" i="59"/>
  <c r="H108" i="59"/>
  <c r="H107" i="59"/>
  <c r="F101" i="59"/>
  <c r="AD95" i="59"/>
  <c r="AD89" i="59"/>
  <c r="AD84" i="59"/>
  <c r="AD76" i="59"/>
  <c r="F73" i="59"/>
  <c r="P64" i="59"/>
  <c r="I29" i="59"/>
  <c r="I23" i="59"/>
  <c r="O19" i="59"/>
  <c r="M19" i="59" a="1"/>
  <c r="M19" i="59" s="1"/>
  <c r="F19" i="59"/>
  <c r="O14" i="59"/>
  <c r="M14" i="59" a="1"/>
  <c r="M14" i="59"/>
  <c r="F14" i="59"/>
  <c r="E14" i="59"/>
  <c r="G13" i="59"/>
  <c r="E13" i="59"/>
  <c r="F13" i="54"/>
  <c r="E7" i="54"/>
  <c r="F2" i="54"/>
  <c r="R10" i="53"/>
  <c r="P10" i="53" a="1"/>
  <c r="P10" i="53"/>
  <c r="M10" i="53"/>
  <c r="K8" i="53"/>
  <c r="L10" i="53" s="1"/>
  <c r="E5" i="53"/>
  <c r="R2" i="53"/>
  <c r="P2" i="53" a="1"/>
  <c r="P2" i="53"/>
  <c r="M2" i="53"/>
  <c r="P10" i="52" a="1"/>
  <c r="P10" i="52"/>
  <c r="M10" i="52"/>
  <c r="K8" i="52"/>
  <c r="J8" i="52"/>
  <c r="G8" i="52"/>
  <c r="F8" i="52"/>
  <c r="L10" i="52" s="1"/>
  <c r="R10" i="52" s="1"/>
  <c r="E5" i="52"/>
  <c r="R2" i="52"/>
  <c r="P2" i="52" a="1"/>
  <c r="P2" i="52"/>
  <c r="M2" i="52"/>
  <c r="N9" i="51" a="1"/>
  <c r="N9" i="51"/>
  <c r="J9" i="51"/>
  <c r="P9" i="51" s="1"/>
  <c r="E5" i="51"/>
  <c r="P2" i="51"/>
  <c r="N2" i="51" a="1"/>
  <c r="N2" i="51" s="1"/>
  <c r="G24" i="50"/>
  <c r="E24" i="50"/>
  <c r="G12" i="50"/>
  <c r="F12" i="50"/>
  <c r="E12" i="50"/>
  <c r="D6" i="50"/>
  <c r="BA115" i="49"/>
  <c r="BA114" i="49"/>
  <c r="BA113" i="49"/>
  <c r="BA102" i="49"/>
  <c r="BA100" i="49"/>
  <c r="BA99" i="49"/>
  <c r="I53" i="49"/>
  <c r="H53" i="49"/>
  <c r="G53" i="49"/>
  <c r="I52" i="49"/>
  <c r="H52" i="49"/>
  <c r="G52" i="49"/>
  <c r="I51" i="49"/>
  <c r="H51" i="49"/>
  <c r="G51" i="49"/>
  <c r="I50" i="49"/>
  <c r="H50" i="49"/>
  <c r="G50" i="49"/>
  <c r="I49" i="49"/>
  <c r="H49" i="49"/>
  <c r="G49" i="49"/>
  <c r="I48" i="49"/>
  <c r="H48" i="49"/>
  <c r="G48" i="49"/>
  <c r="J47" i="49"/>
  <c r="I47" i="49"/>
  <c r="H47" i="49"/>
  <c r="F32" i="49" s="1"/>
  <c r="G47" i="49"/>
  <c r="E32" i="49" s="1"/>
  <c r="I46" i="49"/>
  <c r="K45" i="49"/>
  <c r="J45" i="49"/>
  <c r="I45" i="49"/>
  <c r="G36" i="49"/>
  <c r="F36" i="49"/>
  <c r="AA15" i="61" s="1"/>
  <c r="E29" i="49"/>
  <c r="L6" i="49"/>
  <c r="L5" i="49"/>
  <c r="L4" i="49"/>
  <c r="L3" i="49"/>
  <c r="GK14" i="48"/>
  <c r="GI14" i="48"/>
  <c r="GG14" i="48"/>
  <c r="GE14" i="48"/>
  <c r="GC14" i="48"/>
  <c r="GA14" i="48"/>
  <c r="FY14" i="48"/>
  <c r="FW14" i="48"/>
  <c r="FU14" i="48"/>
  <c r="FS14" i="48"/>
  <c r="FQ14" i="48"/>
  <c r="FO14" i="48"/>
  <c r="FM14" i="48"/>
  <c r="FK14" i="48"/>
  <c r="FI14" i="48"/>
  <c r="FG14" i="48"/>
  <c r="FE14" i="48"/>
  <c r="FC14" i="48"/>
  <c r="FA14" i="48"/>
  <c r="EY14" i="48"/>
  <c r="EW14" i="48"/>
  <c r="EU14" i="48"/>
  <c r="ES14" i="48"/>
  <c r="EQ14" i="48"/>
  <c r="EO14" i="48"/>
  <c r="EM14" i="48"/>
  <c r="EK14" i="48"/>
  <c r="EI14" i="48"/>
  <c r="EG14" i="48"/>
  <c r="EE14" i="48"/>
  <c r="EC14" i="48"/>
  <c r="EA14" i="48"/>
  <c r="DY14" i="48"/>
  <c r="DW14" i="48"/>
  <c r="DU14" i="48"/>
  <c r="DS14" i="48"/>
  <c r="DQ14" i="48"/>
  <c r="DO14" i="48"/>
  <c r="DM14" i="48"/>
  <c r="DK14" i="48"/>
  <c r="DI14" i="48"/>
  <c r="DG14" i="48"/>
  <c r="DE14" i="48"/>
  <c r="DC14" i="48"/>
  <c r="DA14" i="48"/>
  <c r="CY14" i="48"/>
  <c r="CW14" i="48"/>
  <c r="CU14" i="48"/>
  <c r="CS14" i="48"/>
  <c r="CQ14" i="48"/>
  <c r="CO14" i="48"/>
  <c r="CM14" i="48"/>
  <c r="CK14" i="48"/>
  <c r="CI14" i="48"/>
  <c r="CG14" i="48"/>
  <c r="CE14" i="48"/>
  <c r="CC14" i="48"/>
  <c r="CA14" i="48"/>
  <c r="BY14" i="48"/>
  <c r="BW14" i="48"/>
  <c r="BU14" i="48"/>
  <c r="BS14" i="48"/>
  <c r="BQ14" i="48"/>
  <c r="BO14" i="48"/>
  <c r="BM14" i="48"/>
  <c r="BK14" i="48"/>
  <c r="BI14" i="48"/>
  <c r="BG14" i="48"/>
  <c r="BE14" i="48"/>
  <c r="BC14" i="48"/>
  <c r="BA14" i="48"/>
  <c r="AY14" i="48"/>
  <c r="AW14" i="48"/>
  <c r="AU14" i="48"/>
  <c r="AS14" i="48"/>
  <c r="AQ14" i="48"/>
  <c r="AO14" i="48"/>
  <c r="AM14" i="48"/>
  <c r="AK14" i="48"/>
  <c r="AI14" i="48"/>
  <c r="AG14" i="48"/>
  <c r="AE14" i="48"/>
  <c r="AC14" i="48"/>
  <c r="AA14" i="48"/>
  <c r="Y14" i="48"/>
  <c r="W14" i="48"/>
  <c r="U14" i="48"/>
  <c r="S14" i="48"/>
  <c r="Q14" i="48"/>
  <c r="O14" i="48"/>
  <c r="M14" i="48"/>
  <c r="K14" i="48"/>
  <c r="I14" i="48"/>
  <c r="G14" i="48"/>
  <c r="G11" i="48"/>
  <c r="G10" i="48"/>
  <c r="G9" i="48"/>
  <c r="D6" i="48"/>
  <c r="E13" i="47"/>
  <c r="H12" i="47"/>
  <c r="E12" i="47"/>
  <c r="E11" i="47"/>
  <c r="E10" i="47"/>
  <c r="D6" i="47"/>
  <c r="D5" i="47"/>
  <c r="M258" i="46"/>
  <c r="F257" i="46"/>
  <c r="M200" i="46"/>
  <c r="F199" i="46"/>
  <c r="M142" i="46"/>
  <c r="F141" i="46"/>
  <c r="M84" i="46"/>
  <c r="F81" i="46"/>
  <c r="M24" i="46"/>
  <c r="F23" i="46"/>
  <c r="G17" i="46"/>
  <c r="F17" i="46"/>
  <c r="G16" i="46"/>
  <c r="F16" i="46"/>
  <c r="E14" i="46"/>
  <c r="N7" i="46"/>
  <c r="N4" i="46"/>
  <c r="N1" i="46"/>
  <c r="E42" i="45"/>
  <c r="E38" i="45"/>
  <c r="E35" i="45"/>
  <c r="E32" i="45"/>
  <c r="E31" i="45"/>
  <c r="E28" i="45"/>
  <c r="E25" i="45"/>
  <c r="E24" i="45"/>
  <c r="D15" i="45"/>
  <c r="D14" i="45"/>
  <c r="G17" i="44"/>
  <c r="E16" i="44"/>
  <c r="G14" i="44"/>
  <c r="E13" i="44"/>
  <c r="E12" i="44"/>
  <c r="D6" i="44"/>
  <c r="D5" i="44"/>
  <c r="F113" i="43"/>
  <c r="F112" i="43"/>
  <c r="F111" i="43"/>
  <c r="F110" i="43"/>
  <c r="F109" i="43"/>
  <c r="F108" i="43"/>
  <c r="F107" i="43"/>
  <c r="F106" i="43"/>
  <c r="F105" i="43"/>
  <c r="F104" i="43"/>
  <c r="F103" i="43"/>
  <c r="F102" i="43"/>
  <c r="F101" i="43"/>
  <c r="F100" i="43"/>
  <c r="F99" i="43"/>
  <c r="F98" i="43"/>
  <c r="F97" i="43"/>
  <c r="F96" i="43"/>
  <c r="F95" i="43"/>
  <c r="F94" i="43"/>
  <c r="F93" i="43"/>
  <c r="F92" i="43"/>
  <c r="F91" i="43"/>
  <c r="F90" i="43"/>
  <c r="F89" i="43"/>
  <c r="F88" i="43"/>
  <c r="F87" i="43"/>
  <c r="F86" i="43"/>
  <c r="F85" i="43"/>
  <c r="F84" i="43"/>
  <c r="F83" i="43"/>
  <c r="F82" i="43"/>
  <c r="F81" i="43"/>
  <c r="F80" i="43"/>
  <c r="F79" i="43"/>
  <c r="F78" i="43"/>
  <c r="F77" i="43"/>
  <c r="F76" i="43"/>
  <c r="F75" i="43"/>
  <c r="F74" i="43"/>
  <c r="F73" i="43"/>
  <c r="F72" i="43"/>
  <c r="F71" i="43"/>
  <c r="F70" i="43"/>
  <c r="F69" i="43"/>
  <c r="F68" i="43"/>
  <c r="F67" i="43"/>
  <c r="F66" i="43"/>
  <c r="F65" i="43"/>
  <c r="F64" i="43"/>
  <c r="F63" i="43"/>
  <c r="F62" i="43"/>
  <c r="F61" i="43"/>
  <c r="F60" i="43"/>
  <c r="F59" i="43"/>
  <c r="F58" i="43"/>
  <c r="F57" i="43"/>
  <c r="F56" i="43"/>
  <c r="F55" i="43"/>
  <c r="F54" i="43"/>
  <c r="F53" i="43"/>
  <c r="F52" i="43"/>
  <c r="F51" i="43"/>
  <c r="F50" i="43"/>
  <c r="F49" i="43"/>
  <c r="F48" i="43"/>
  <c r="F47" i="43"/>
  <c r="F46" i="43"/>
  <c r="F45" i="43"/>
  <c r="F44" i="43"/>
  <c r="F43" i="43"/>
  <c r="F42" i="43"/>
  <c r="F41" i="43"/>
  <c r="F40" i="43"/>
  <c r="F39" i="43"/>
  <c r="F38" i="43"/>
  <c r="F37" i="43"/>
  <c r="F36" i="43"/>
  <c r="F35" i="43"/>
  <c r="F34" i="43"/>
  <c r="F33" i="43"/>
  <c r="F32" i="43"/>
  <c r="F31" i="43"/>
  <c r="F30" i="43"/>
  <c r="F29" i="43"/>
  <c r="F28" i="43"/>
  <c r="F27" i="43"/>
  <c r="F26" i="43"/>
  <c r="F25" i="43"/>
  <c r="F24" i="43"/>
  <c r="F23" i="43"/>
  <c r="F22" i="43"/>
  <c r="CW21" i="43"/>
  <c r="F21" i="43"/>
  <c r="CW19" i="43"/>
  <c r="CV19" i="43"/>
  <c r="CU19" i="43"/>
  <c r="CT19" i="43"/>
  <c r="CS19" i="43"/>
  <c r="CR19" i="43"/>
  <c r="CQ19" i="43"/>
  <c r="CP19" i="43"/>
  <c r="CO19" i="43"/>
  <c r="CN19" i="43"/>
  <c r="CM19" i="43"/>
  <c r="CL19" i="43"/>
  <c r="CK19" i="43"/>
  <c r="CJ19" i="43"/>
  <c r="CI19" i="43"/>
  <c r="CH19" i="43"/>
  <c r="CG19" i="43"/>
  <c r="CF19" i="43"/>
  <c r="CE19" i="43"/>
  <c r="CD19" i="43"/>
  <c r="CC19" i="43"/>
  <c r="CB19" i="43"/>
  <c r="CA19" i="43"/>
  <c r="BZ19" i="43"/>
  <c r="BY19" i="43"/>
  <c r="BX19" i="43"/>
  <c r="BW19" i="43"/>
  <c r="BV19" i="43"/>
  <c r="BU19" i="43"/>
  <c r="BT19" i="43"/>
  <c r="BS19" i="43"/>
  <c r="BR19" i="43"/>
  <c r="BQ19" i="43"/>
  <c r="BP19" i="43"/>
  <c r="BO19" i="43"/>
  <c r="BN19" i="43"/>
  <c r="BM19" i="43"/>
  <c r="BL19" i="43"/>
  <c r="BK19" i="43"/>
  <c r="BJ19" i="43"/>
  <c r="BI19" i="43"/>
  <c r="BH19" i="43"/>
  <c r="BG19" i="43"/>
  <c r="BF19" i="43"/>
  <c r="BE19" i="43"/>
  <c r="BD19" i="43"/>
  <c r="BC19" i="43"/>
  <c r="BB19" i="43"/>
  <c r="BA19" i="43"/>
  <c r="AZ19" i="43"/>
  <c r="AY19" i="43"/>
  <c r="AX19" i="43"/>
  <c r="AW19" i="43"/>
  <c r="AV19" i="43"/>
  <c r="AU19" i="43"/>
  <c r="AT19" i="43"/>
  <c r="AS19" i="43"/>
  <c r="AR19" i="43"/>
  <c r="AQ19" i="43"/>
  <c r="AP19" i="43"/>
  <c r="AO19" i="43"/>
  <c r="AN19" i="43"/>
  <c r="AM19" i="43"/>
  <c r="AL19" i="43"/>
  <c r="AK19" i="43"/>
  <c r="AJ19" i="43"/>
  <c r="AI19" i="43"/>
  <c r="AH19" i="43"/>
  <c r="AG19" i="43"/>
  <c r="AF19" i="43"/>
  <c r="AE19" i="43"/>
  <c r="AD19" i="43"/>
  <c r="AC19" i="43"/>
  <c r="AB19" i="43"/>
  <c r="AA19" i="43"/>
  <c r="Z19" i="43"/>
  <c r="Y19" i="43"/>
  <c r="X19" i="43"/>
  <c r="W19" i="43"/>
  <c r="V19" i="43"/>
  <c r="U19" i="43"/>
  <c r="T19" i="43"/>
  <c r="S19" i="43"/>
  <c r="R19" i="43"/>
  <c r="Q19" i="43"/>
  <c r="P19" i="43"/>
  <c r="O19" i="43"/>
  <c r="N19" i="43"/>
  <c r="M19" i="43"/>
  <c r="L19" i="43"/>
  <c r="K19" i="43"/>
  <c r="J19" i="43"/>
  <c r="I19" i="43"/>
  <c r="H19" i="43"/>
  <c r="G19" i="43"/>
  <c r="F19" i="43"/>
  <c r="E19" i="43"/>
  <c r="CW18" i="43"/>
  <c r="E18" i="43"/>
  <c r="CW17" i="43"/>
  <c r="E17" i="43"/>
  <c r="CW16" i="43"/>
  <c r="E16" i="43"/>
  <c r="CW15" i="43"/>
  <c r="E15" i="43"/>
  <c r="CV14" i="43"/>
  <c r="CU14" i="43"/>
  <c r="CT14" i="43"/>
  <c r="CS14" i="43"/>
  <c r="CR14" i="43"/>
  <c r="CQ14" i="43"/>
  <c r="CP14" i="43"/>
  <c r="CO14" i="43"/>
  <c r="CN14" i="43"/>
  <c r="CM14" i="43"/>
  <c r="CL14" i="43"/>
  <c r="CK14" i="43"/>
  <c r="CJ14" i="43"/>
  <c r="CI14" i="43"/>
  <c r="CH14" i="43"/>
  <c r="CG14" i="43"/>
  <c r="CF14" i="43"/>
  <c r="CE14" i="43"/>
  <c r="CD14" i="43"/>
  <c r="CC14" i="43"/>
  <c r="CB14" i="43"/>
  <c r="CA14" i="43"/>
  <c r="BZ14" i="43"/>
  <c r="BY14" i="43"/>
  <c r="BX14" i="43"/>
  <c r="BW14" i="43"/>
  <c r="BV14" i="43"/>
  <c r="BU14" i="43"/>
  <c r="BT14" i="43"/>
  <c r="BS14" i="43"/>
  <c r="BR14" i="43"/>
  <c r="BQ14" i="43"/>
  <c r="BP14" i="43"/>
  <c r="BO14" i="43"/>
  <c r="BN14" i="43"/>
  <c r="BM14" i="43"/>
  <c r="BL14" i="43"/>
  <c r="BK14" i="43"/>
  <c r="BJ14" i="43"/>
  <c r="BI14" i="43"/>
  <c r="BH14" i="43"/>
  <c r="BG14" i="43"/>
  <c r="BF14" i="43"/>
  <c r="BE14" i="43"/>
  <c r="BD14" i="43"/>
  <c r="BC14" i="43"/>
  <c r="BB14" i="43"/>
  <c r="BA14" i="43"/>
  <c r="AZ14" i="43"/>
  <c r="AY14" i="43"/>
  <c r="AX14" i="43"/>
  <c r="AW14" i="43"/>
  <c r="AV14" i="43"/>
  <c r="AU14" i="43"/>
  <c r="AT14" i="43"/>
  <c r="AS14" i="43"/>
  <c r="AR14" i="43"/>
  <c r="AQ14" i="43"/>
  <c r="AP14" i="43"/>
  <c r="AO14" i="43"/>
  <c r="AN14" i="43"/>
  <c r="AM14" i="43"/>
  <c r="AL14" i="43"/>
  <c r="AK14" i="43"/>
  <c r="AJ14" i="43"/>
  <c r="AI14" i="43"/>
  <c r="AH14" i="43"/>
  <c r="AG14" i="43"/>
  <c r="AF14" i="43"/>
  <c r="AE14" i="43"/>
  <c r="AD14" i="43"/>
  <c r="AC14" i="43"/>
  <c r="AB14" i="43"/>
  <c r="AA14" i="43"/>
  <c r="Z14" i="43"/>
  <c r="Y14" i="43"/>
  <c r="X14" i="43"/>
  <c r="W14" i="43"/>
  <c r="V14" i="43"/>
  <c r="U14" i="43"/>
  <c r="T14" i="43"/>
  <c r="S14" i="43"/>
  <c r="R14" i="43"/>
  <c r="Q14" i="43"/>
  <c r="P14" i="43"/>
  <c r="O14" i="43"/>
  <c r="N14" i="43"/>
  <c r="M14" i="43"/>
  <c r="L14" i="43"/>
  <c r="K14" i="43"/>
  <c r="J14" i="43"/>
  <c r="I14" i="43"/>
  <c r="H14" i="43"/>
  <c r="G14" i="43"/>
  <c r="G11" i="43"/>
  <c r="G10" i="43"/>
  <c r="G9" i="43"/>
  <c r="D6" i="43"/>
  <c r="D5" i="43"/>
  <c r="F2" i="43"/>
  <c r="F6" i="42"/>
  <c r="F5" i="42"/>
  <c r="H57" i="41"/>
  <c r="H56" i="41"/>
  <c r="H55" i="41"/>
  <c r="I54" i="41"/>
  <c r="H54" i="41" s="1"/>
  <c r="H53" i="41"/>
  <c r="H52" i="41"/>
  <c r="H51" i="41"/>
  <c r="H50" i="41"/>
  <c r="I49" i="41"/>
  <c r="H49" i="41"/>
  <c r="H47" i="41"/>
  <c r="H46" i="41"/>
  <c r="H45" i="41"/>
  <c r="I44" i="41"/>
  <c r="H44" i="41"/>
  <c r="H43" i="41"/>
  <c r="H42" i="41"/>
  <c r="H41" i="41"/>
  <c r="H40" i="41"/>
  <c r="I39" i="41"/>
  <c r="H39" i="41"/>
  <c r="I38" i="41"/>
  <c r="H38" i="41"/>
  <c r="H35" i="41"/>
  <c r="H34" i="41"/>
  <c r="H33" i="41"/>
  <c r="I32" i="41"/>
  <c r="H32" i="41"/>
  <c r="H31" i="41"/>
  <c r="H30" i="41"/>
  <c r="H29" i="41"/>
  <c r="I28" i="41"/>
  <c r="H28" i="41"/>
  <c r="H27" i="41"/>
  <c r="H26" i="41"/>
  <c r="H25" i="41"/>
  <c r="H24" i="41"/>
  <c r="H23" i="41"/>
  <c r="H22" i="41"/>
  <c r="H21" i="41"/>
  <c r="H20" i="41"/>
  <c r="H19" i="41"/>
  <c r="H18" i="41"/>
  <c r="H17" i="41"/>
  <c r="H16" i="41"/>
  <c r="I15" i="41"/>
  <c r="I36" i="41" s="1"/>
  <c r="H36" i="41" s="1"/>
  <c r="H15" i="41"/>
  <c r="H11" i="41"/>
  <c r="F6" i="41"/>
  <c r="F5" i="41"/>
  <c r="F6" i="40"/>
  <c r="F5" i="40"/>
  <c r="H15" i="39"/>
  <c r="F6" i="39"/>
  <c r="F5" i="39"/>
  <c r="G28" i="38"/>
  <c r="G27" i="38"/>
  <c r="G26" i="38"/>
  <c r="D23" i="38"/>
  <c r="D22" i="38"/>
  <c r="D14" i="38"/>
  <c r="D13" i="38"/>
  <c r="D11" i="38"/>
  <c r="D10" i="38"/>
  <c r="D9" i="38"/>
  <c r="D7" i="38"/>
  <c r="D6" i="38"/>
  <c r="D4" i="38"/>
  <c r="D3" i="38"/>
  <c r="GL12" i="37"/>
  <c r="GK12" i="37"/>
  <c r="GJ12" i="37"/>
  <c r="GI12" i="37"/>
  <c r="GH12" i="37"/>
  <c r="GG12" i="37"/>
  <c r="GF12" i="37"/>
  <c r="GE12" i="37"/>
  <c r="GD12" i="37"/>
  <c r="GC12" i="37"/>
  <c r="GB12" i="37"/>
  <c r="GA12" i="37"/>
  <c r="FZ12" i="37"/>
  <c r="FY12" i="37"/>
  <c r="FX12" i="37"/>
  <c r="FW12" i="37"/>
  <c r="FV12" i="37"/>
  <c r="FU12" i="37"/>
  <c r="FT12" i="37"/>
  <c r="FS12" i="37"/>
  <c r="FR12" i="37"/>
  <c r="FQ12" i="37"/>
  <c r="FP12" i="37"/>
  <c r="FO12" i="37"/>
  <c r="FN12" i="37"/>
  <c r="FM12" i="37"/>
  <c r="FL12" i="37"/>
  <c r="FK12" i="37"/>
  <c r="FJ12" i="37"/>
  <c r="FI12" i="37"/>
  <c r="FH12" i="37"/>
  <c r="FG12" i="37"/>
  <c r="FF12" i="37"/>
  <c r="FE12" i="37"/>
  <c r="FD12" i="37"/>
  <c r="FC12" i="37"/>
  <c r="FB12" i="37"/>
  <c r="FA12" i="37"/>
  <c r="EZ12" i="37"/>
  <c r="EY12" i="37"/>
  <c r="EX12" i="37"/>
  <c r="EW12" i="37"/>
  <c r="EV12" i="37"/>
  <c r="EU12" i="37"/>
  <c r="ET12" i="37"/>
  <c r="ES12" i="37"/>
  <c r="ER12" i="37"/>
  <c r="EQ12" i="37"/>
  <c r="EP12" i="37"/>
  <c r="EO12" i="37"/>
  <c r="EN12" i="37"/>
  <c r="EM12" i="37"/>
  <c r="EL12" i="37"/>
  <c r="EK12" i="37"/>
  <c r="EJ12" i="37"/>
  <c r="EI12" i="37"/>
  <c r="EH12" i="37"/>
  <c r="EG12" i="37"/>
  <c r="EF12" i="37"/>
  <c r="EE12" i="37"/>
  <c r="ED12" i="37"/>
  <c r="EC12" i="37"/>
  <c r="EB12" i="37"/>
  <c r="EA12" i="37"/>
  <c r="DZ12" i="37"/>
  <c r="DY12" i="37"/>
  <c r="DX12" i="37"/>
  <c r="DW12" i="37"/>
  <c r="DV12" i="37"/>
  <c r="DU12" i="37"/>
  <c r="DT12" i="37"/>
  <c r="DS12" i="37"/>
  <c r="DR12" i="37"/>
  <c r="DQ12" i="37"/>
  <c r="DP12" i="37"/>
  <c r="DO12" i="37"/>
  <c r="DN12" i="37"/>
  <c r="DM12" i="37"/>
  <c r="DL12" i="37"/>
  <c r="DK12" i="37"/>
  <c r="DJ12" i="37"/>
  <c r="DI12" i="37"/>
  <c r="DH12" i="37"/>
  <c r="DG12" i="37"/>
  <c r="DF12" i="37"/>
  <c r="DE12" i="37"/>
  <c r="DD12" i="37"/>
  <c r="DC12" i="37"/>
  <c r="DB12" i="37"/>
  <c r="DA12" i="37"/>
  <c r="CZ12" i="37"/>
  <c r="CY12" i="37"/>
  <c r="CX12" i="37"/>
  <c r="CW12" i="37"/>
  <c r="CV12" i="37"/>
  <c r="CU12" i="37"/>
  <c r="CT12" i="37"/>
  <c r="CS12" i="37"/>
  <c r="CR12" i="37"/>
  <c r="CQ12" i="37"/>
  <c r="CP12" i="37"/>
  <c r="CO12" i="37"/>
  <c r="CN12" i="37"/>
  <c r="CM12" i="37"/>
  <c r="CL12" i="37"/>
  <c r="CK12" i="37"/>
  <c r="CJ12" i="37"/>
  <c r="CI12" i="37"/>
  <c r="CH12" i="37"/>
  <c r="CG12" i="37"/>
  <c r="CF12" i="37"/>
  <c r="CE12" i="37"/>
  <c r="CD12" i="37"/>
  <c r="CC12" i="37"/>
  <c r="CB12" i="37"/>
  <c r="CA12" i="37"/>
  <c r="BZ12" i="37"/>
  <c r="BY12" i="37"/>
  <c r="BX12" i="37"/>
  <c r="BW12" i="37"/>
  <c r="BV12" i="37"/>
  <c r="BU12" i="37"/>
  <c r="BT12" i="37"/>
  <c r="BS12" i="37"/>
  <c r="BR12" i="37"/>
  <c r="BQ12" i="37"/>
  <c r="BP12" i="37"/>
  <c r="BO12" i="37"/>
  <c r="BN12" i="37"/>
  <c r="BM12" i="37"/>
  <c r="BL12" i="37"/>
  <c r="BK12" i="37"/>
  <c r="BJ12" i="37"/>
  <c r="BI12" i="37"/>
  <c r="BH12" i="37"/>
  <c r="BG12" i="37"/>
  <c r="BF12" i="37"/>
  <c r="BE12" i="37"/>
  <c r="BD12" i="37"/>
  <c r="BC12" i="37"/>
  <c r="BB12" i="37"/>
  <c r="BA12" i="37"/>
  <c r="AZ12" i="37"/>
  <c r="AY12" i="37"/>
  <c r="AX12" i="37"/>
  <c r="AW12" i="37"/>
  <c r="AV12" i="37"/>
  <c r="AU12" i="37"/>
  <c r="AT12" i="37"/>
  <c r="AS12" i="37"/>
  <c r="AR12" i="37"/>
  <c r="AQ12" i="37"/>
  <c r="AP12" i="37"/>
  <c r="AO12" i="37"/>
  <c r="AN12" i="37"/>
  <c r="AM12" i="37"/>
  <c r="AL12" i="37"/>
  <c r="AK12" i="37"/>
  <c r="AJ12" i="37"/>
  <c r="AI12" i="37"/>
  <c r="AH12" i="37"/>
  <c r="AG12" i="37"/>
  <c r="AF12" i="37"/>
  <c r="AE12" i="37"/>
  <c r="AD12" i="37"/>
  <c r="AC12" i="37"/>
  <c r="AB12" i="37"/>
  <c r="AA12" i="37"/>
  <c r="Z12" i="37"/>
  <c r="Y12" i="37"/>
  <c r="X12" i="37"/>
  <c r="W12" i="37"/>
  <c r="V12" i="37"/>
  <c r="U12" i="37"/>
  <c r="T12" i="37"/>
  <c r="S12" i="37"/>
  <c r="R12" i="37"/>
  <c r="Q12" i="37"/>
  <c r="P12" i="37"/>
  <c r="O12" i="37"/>
  <c r="N12" i="37"/>
  <c r="M12" i="37"/>
  <c r="L12" i="37"/>
  <c r="K12" i="37"/>
  <c r="J12" i="37"/>
  <c r="I12" i="37"/>
  <c r="H12" i="37"/>
  <c r="G12" i="37"/>
  <c r="G9" i="37"/>
  <c r="G8" i="37"/>
  <c r="G7" i="37"/>
  <c r="D4" i="37"/>
  <c r="D3" i="37"/>
  <c r="E28" i="36"/>
  <c r="I27" i="36"/>
  <c r="H27" i="36"/>
  <c r="I16" i="36"/>
  <c r="H16" i="36"/>
  <c r="H12" i="36"/>
  <c r="H11" i="36"/>
  <c r="H10" i="36"/>
  <c r="E7" i="36"/>
  <c r="E33" i="35"/>
  <c r="I32" i="35"/>
  <c r="H32" i="35"/>
  <c r="H16" i="35" s="1"/>
  <c r="I16" i="35"/>
  <c r="H12" i="35"/>
  <c r="H11" i="35"/>
  <c r="H10" i="35"/>
  <c r="E7" i="35"/>
  <c r="Q845" i="34"/>
  <c r="Q836" i="34"/>
  <c r="Q827" i="34"/>
  <c r="Q818" i="34"/>
  <c r="Q809" i="34"/>
  <c r="Q800" i="34"/>
  <c r="Q791" i="34"/>
  <c r="Q782" i="34"/>
  <c r="Q773" i="34"/>
  <c r="Q764" i="34"/>
  <c r="Q755" i="34"/>
  <c r="Q746" i="34"/>
  <c r="Q737" i="34"/>
  <c r="Q728" i="34"/>
  <c r="Q719" i="34"/>
  <c r="Q710" i="34"/>
  <c r="Q701" i="34"/>
  <c r="Q692" i="34"/>
  <c r="Q683" i="34"/>
  <c r="Q674" i="34"/>
  <c r="Q665" i="34"/>
  <c r="Q656" i="34"/>
  <c r="Q647" i="34"/>
  <c r="Q638" i="34"/>
  <c r="Q629" i="34"/>
  <c r="Q620" i="34"/>
  <c r="Q611" i="34"/>
  <c r="Q602" i="34"/>
  <c r="Q593" i="34"/>
  <c r="Q584" i="34"/>
  <c r="Q575" i="34"/>
  <c r="Q566" i="34"/>
  <c r="Q557" i="34"/>
  <c r="Q548" i="34"/>
  <c r="Q539" i="34"/>
  <c r="Q530" i="34"/>
  <c r="Q521" i="34"/>
  <c r="Q512" i="34"/>
  <c r="Q503" i="34"/>
  <c r="Q494" i="34"/>
  <c r="Q485" i="34"/>
  <c r="Q476" i="34"/>
  <c r="Q467" i="34"/>
  <c r="Q458" i="34"/>
  <c r="Q449" i="34"/>
  <c r="Q440" i="34"/>
  <c r="Q431" i="34"/>
  <c r="Q422" i="34"/>
  <c r="Q413" i="34"/>
  <c r="Q404" i="34"/>
  <c r="Q395" i="34"/>
  <c r="Q386" i="34"/>
  <c r="Q377" i="34"/>
  <c r="Q368" i="34"/>
  <c r="Q359" i="34"/>
  <c r="Q350" i="34"/>
  <c r="Q341" i="34"/>
  <c r="Q332" i="34"/>
  <c r="Q323" i="34"/>
  <c r="Q314" i="34"/>
  <c r="Q305" i="34"/>
  <c r="Q296" i="34"/>
  <c r="Q287" i="34"/>
  <c r="Q278" i="34"/>
  <c r="Q269" i="34"/>
  <c r="Q260" i="34"/>
  <c r="Q251" i="34"/>
  <c r="Q242" i="34"/>
  <c r="Q233" i="34"/>
  <c r="Q224" i="34"/>
  <c r="Q215" i="34"/>
  <c r="Q206" i="34"/>
  <c r="Q197" i="34"/>
  <c r="Q188" i="34"/>
  <c r="Q179" i="34"/>
  <c r="Q170" i="34"/>
  <c r="Q161" i="34"/>
  <c r="Q152" i="34"/>
  <c r="Q143" i="34"/>
  <c r="Q134" i="34"/>
  <c r="Q125" i="34"/>
  <c r="Q116" i="34"/>
  <c r="Q107" i="34"/>
  <c r="Q98" i="34"/>
  <c r="Q89" i="34"/>
  <c r="Q80" i="34"/>
  <c r="Q71" i="34"/>
  <c r="Q62" i="34"/>
  <c r="Q53" i="34"/>
  <c r="Q44" i="34"/>
  <c r="Q35" i="34"/>
  <c r="Q26" i="34"/>
  <c r="V20" i="34"/>
  <c r="Q20" i="34"/>
  <c r="V17" i="34"/>
  <c r="Q17" i="34"/>
  <c r="E6" i="34"/>
  <c r="E5" i="34"/>
  <c r="CX130" i="33"/>
  <c r="F130" i="33"/>
  <c r="E130" i="33"/>
  <c r="CX129" i="33"/>
  <c r="F129" i="33"/>
  <c r="E129" i="33"/>
  <c r="CX128" i="33"/>
  <c r="F128" i="33"/>
  <c r="E128" i="33"/>
  <c r="CX127" i="33"/>
  <c r="F127" i="33"/>
  <c r="E127" i="33"/>
  <c r="CX126" i="33"/>
  <c r="F126" i="33"/>
  <c r="E126" i="33"/>
  <c r="CX123" i="33"/>
  <c r="F123" i="33"/>
  <c r="E123" i="33"/>
  <c r="E124" i="33" s="1"/>
  <c r="CX120" i="33"/>
  <c r="F120" i="33"/>
  <c r="E120" i="33"/>
  <c r="E121" i="33" s="1"/>
  <c r="CX117" i="33"/>
  <c r="F117" i="33"/>
  <c r="E117" i="33"/>
  <c r="E118" i="33" s="1"/>
  <c r="CX116" i="33"/>
  <c r="F116" i="33"/>
  <c r="E116" i="33"/>
  <c r="CX115" i="33"/>
  <c r="F115" i="33"/>
  <c r="E115" i="33"/>
  <c r="CX114" i="33"/>
  <c r="F114" i="33"/>
  <c r="E114" i="33"/>
  <c r="CX113" i="33"/>
  <c r="F113" i="33"/>
  <c r="E113" i="33"/>
  <c r="CX112" i="33"/>
  <c r="F112" i="33"/>
  <c r="E112" i="33"/>
  <c r="CX111" i="33"/>
  <c r="F111" i="33"/>
  <c r="E111" i="33"/>
  <c r="CX110" i="33"/>
  <c r="F110" i="33"/>
  <c r="E110" i="33"/>
  <c r="CX109" i="33"/>
  <c r="F109" i="33"/>
  <c r="E109" i="33"/>
  <c r="CX108" i="33"/>
  <c r="F108" i="33"/>
  <c r="E108" i="33"/>
  <c r="CX107" i="33"/>
  <c r="F107" i="33"/>
  <c r="E107" i="33"/>
  <c r="CX106" i="33"/>
  <c r="F106" i="33"/>
  <c r="E106" i="33"/>
  <c r="CX105" i="33"/>
  <c r="F105" i="33"/>
  <c r="E105" i="33"/>
  <c r="CX104" i="33"/>
  <c r="F104" i="33"/>
  <c r="E104" i="33"/>
  <c r="CX103" i="33"/>
  <c r="F103" i="33"/>
  <c r="E103" i="33"/>
  <c r="CX102" i="33"/>
  <c r="F102" i="33"/>
  <c r="E102" i="33"/>
  <c r="E100" i="33"/>
  <c r="CX99" i="33"/>
  <c r="F99" i="33"/>
  <c r="E99" i="33"/>
  <c r="CX98" i="33"/>
  <c r="F98" i="33"/>
  <c r="E98" i="33"/>
  <c r="CX97" i="33"/>
  <c r="F97" i="33"/>
  <c r="E97" i="33"/>
  <c r="CX96" i="33"/>
  <c r="F96" i="33"/>
  <c r="E96" i="33"/>
  <c r="CX95" i="33"/>
  <c r="F95" i="33"/>
  <c r="E95" i="33"/>
  <c r="CX94" i="33"/>
  <c r="F94" i="33"/>
  <c r="E94" i="33"/>
  <c r="CX93" i="33"/>
  <c r="F93" i="33"/>
  <c r="E93" i="33"/>
  <c r="CX92" i="33"/>
  <c r="F92" i="33"/>
  <c r="E92" i="33"/>
  <c r="CX91" i="33"/>
  <c r="F91" i="33"/>
  <c r="E91" i="33"/>
  <c r="CX90" i="33"/>
  <c r="F90" i="33"/>
  <c r="E90" i="33"/>
  <c r="CX89" i="33"/>
  <c r="F89" i="33"/>
  <c r="E89" i="33"/>
  <c r="CX88" i="33"/>
  <c r="F88" i="33"/>
  <c r="E88" i="33"/>
  <c r="CX87" i="33"/>
  <c r="CW87" i="33"/>
  <c r="CV87" i="33"/>
  <c r="CU87" i="33"/>
  <c r="CT87" i="33"/>
  <c r="CS87" i="33"/>
  <c r="CR87" i="33"/>
  <c r="CQ87" i="33"/>
  <c r="CP87" i="33"/>
  <c r="CO87" i="33"/>
  <c r="CN87" i="33"/>
  <c r="CM87" i="33"/>
  <c r="CL87" i="33"/>
  <c r="CK87" i="33"/>
  <c r="CJ87" i="33"/>
  <c r="CI87" i="33"/>
  <c r="CH87" i="33"/>
  <c r="CG87" i="33"/>
  <c r="CF87" i="33"/>
  <c r="CE87" i="33"/>
  <c r="CD87" i="33"/>
  <c r="CC87" i="33"/>
  <c r="CB87" i="33"/>
  <c r="CA87" i="33"/>
  <c r="BZ87" i="33"/>
  <c r="BY87" i="33"/>
  <c r="BX87" i="33"/>
  <c r="BW87" i="33"/>
  <c r="BV87" i="33"/>
  <c r="BU87" i="33"/>
  <c r="BT87" i="33"/>
  <c r="BS87" i="33"/>
  <c r="BR87" i="33"/>
  <c r="BQ87" i="33"/>
  <c r="BP87" i="33"/>
  <c r="BO87" i="33"/>
  <c r="BN87" i="33"/>
  <c r="BM87" i="33"/>
  <c r="BL87" i="33"/>
  <c r="BK87" i="33"/>
  <c r="BJ87" i="33"/>
  <c r="BI87" i="33"/>
  <c r="BH87" i="33"/>
  <c r="BG87" i="33"/>
  <c r="BF87" i="33"/>
  <c r="BE87" i="33"/>
  <c r="BD87" i="33"/>
  <c r="BC87" i="33"/>
  <c r="BB87" i="33"/>
  <c r="BA87" i="33"/>
  <c r="AZ87" i="33"/>
  <c r="AY87" i="33"/>
  <c r="AX87" i="33"/>
  <c r="AW87" i="33"/>
  <c r="AV87" i="33"/>
  <c r="AU87" i="33"/>
  <c r="AT87" i="33"/>
  <c r="AS87" i="33"/>
  <c r="AR87" i="33"/>
  <c r="AQ87" i="33"/>
  <c r="AP87" i="33"/>
  <c r="AO87" i="33"/>
  <c r="AN87" i="33"/>
  <c r="AM87" i="33"/>
  <c r="AL87" i="33"/>
  <c r="AK87" i="33"/>
  <c r="AJ87" i="33"/>
  <c r="AI87" i="33"/>
  <c r="AH87" i="33"/>
  <c r="AG87" i="33"/>
  <c r="AF87" i="33"/>
  <c r="AE87" i="33"/>
  <c r="AD87" i="33"/>
  <c r="AC87" i="33"/>
  <c r="AB87" i="33"/>
  <c r="AA87" i="33"/>
  <c r="Z87" i="33"/>
  <c r="Y87" i="33"/>
  <c r="X87" i="33"/>
  <c r="W87" i="33"/>
  <c r="V87" i="33"/>
  <c r="U87" i="33"/>
  <c r="T87" i="33"/>
  <c r="S87" i="33"/>
  <c r="R87" i="33"/>
  <c r="Q87" i="33"/>
  <c r="P87" i="33"/>
  <c r="O87" i="33"/>
  <c r="N87" i="33"/>
  <c r="M87" i="33"/>
  <c r="L87" i="33"/>
  <c r="K87" i="33"/>
  <c r="J87" i="33"/>
  <c r="I87" i="33"/>
  <c r="H87" i="33"/>
  <c r="F87" i="33"/>
  <c r="E87" i="33"/>
  <c r="CX86" i="33"/>
  <c r="F86" i="33"/>
  <c r="E86" i="33"/>
  <c r="CX85" i="33"/>
  <c r="F85" i="33"/>
  <c r="E85" i="33"/>
  <c r="CX84" i="33"/>
  <c r="F84" i="33"/>
  <c r="E84" i="33"/>
  <c r="CX83" i="33"/>
  <c r="F83" i="33"/>
  <c r="E83" i="33"/>
  <c r="CX82" i="33"/>
  <c r="F82" i="33"/>
  <c r="E82" i="33"/>
  <c r="CX81" i="33"/>
  <c r="F81" i="33"/>
  <c r="E81" i="33"/>
  <c r="CX80" i="33"/>
  <c r="F80" i="33"/>
  <c r="E80" i="33"/>
  <c r="CX79" i="33"/>
  <c r="F79" i="33"/>
  <c r="E79" i="33"/>
  <c r="CX78" i="33"/>
  <c r="F78" i="33"/>
  <c r="E78" i="33"/>
  <c r="CX77" i="33"/>
  <c r="F77" i="33"/>
  <c r="E77" i="33"/>
  <c r="CX76" i="33"/>
  <c r="F76" i="33"/>
  <c r="E76" i="33"/>
  <c r="CX75" i="33"/>
  <c r="F75" i="33"/>
  <c r="E75" i="33"/>
  <c r="CX74" i="33"/>
  <c r="F74" i="33"/>
  <c r="E74" i="33"/>
  <c r="CX73" i="33"/>
  <c r="F73" i="33"/>
  <c r="E73" i="33"/>
  <c r="CX72" i="33"/>
  <c r="F72" i="33"/>
  <c r="E72" i="33"/>
  <c r="E70" i="33"/>
  <c r="CY70" i="33" s="1"/>
  <c r="CX69" i="33"/>
  <c r="CW69" i="33"/>
  <c r="CV69" i="33"/>
  <c r="CU69" i="33"/>
  <c r="CT69" i="33"/>
  <c r="CS69" i="33"/>
  <c r="CR69" i="33"/>
  <c r="CQ69" i="33"/>
  <c r="CP69" i="33"/>
  <c r="CO69" i="33"/>
  <c r="CN69" i="33"/>
  <c r="CM69" i="33"/>
  <c r="CL69" i="33"/>
  <c r="CK69" i="33"/>
  <c r="CJ69" i="33"/>
  <c r="CI69" i="33"/>
  <c r="CH69" i="33"/>
  <c r="CG69" i="33"/>
  <c r="CF69" i="33"/>
  <c r="CE69" i="33"/>
  <c r="CD69" i="33"/>
  <c r="CC69" i="33"/>
  <c r="CB69" i="33"/>
  <c r="CA69" i="33"/>
  <c r="BZ69" i="33"/>
  <c r="BY69" i="33"/>
  <c r="BX69" i="33"/>
  <c r="BW69" i="33"/>
  <c r="BV69" i="33"/>
  <c r="BU69" i="33"/>
  <c r="BT69" i="33"/>
  <c r="BS69" i="33"/>
  <c r="BR69" i="33"/>
  <c r="BQ69" i="33"/>
  <c r="BP69" i="33"/>
  <c r="BO69" i="33"/>
  <c r="BN69" i="33"/>
  <c r="BM69" i="33"/>
  <c r="BL69" i="33"/>
  <c r="BK69" i="33"/>
  <c r="BJ69" i="33"/>
  <c r="BI69" i="33"/>
  <c r="BH69" i="33"/>
  <c r="BG69" i="33"/>
  <c r="BF69" i="33"/>
  <c r="BE69" i="33"/>
  <c r="BD69" i="33"/>
  <c r="BC69" i="33"/>
  <c r="BB69" i="33"/>
  <c r="BA69" i="33"/>
  <c r="AZ69" i="33"/>
  <c r="AY69" i="33"/>
  <c r="AX69" i="33"/>
  <c r="AW69" i="33"/>
  <c r="AV69" i="33"/>
  <c r="AU69" i="33"/>
  <c r="AT69" i="33"/>
  <c r="AS69" i="33"/>
  <c r="AR69" i="33"/>
  <c r="AQ69" i="33"/>
  <c r="AP69" i="33"/>
  <c r="AO69" i="33"/>
  <c r="AN69" i="33"/>
  <c r="AM69" i="33"/>
  <c r="AL69" i="33"/>
  <c r="AK69" i="33"/>
  <c r="AJ69" i="33"/>
  <c r="AI69" i="33"/>
  <c r="AH69" i="33"/>
  <c r="AG69" i="33"/>
  <c r="AF69" i="33"/>
  <c r="AE69" i="33"/>
  <c r="AD69" i="33"/>
  <c r="AC69" i="33"/>
  <c r="AB69" i="33"/>
  <c r="AA69" i="33"/>
  <c r="Z69" i="33"/>
  <c r="Y69" i="33"/>
  <c r="X69" i="33"/>
  <c r="W69" i="33"/>
  <c r="V69" i="33"/>
  <c r="U69" i="33"/>
  <c r="T69" i="33"/>
  <c r="S69" i="33"/>
  <c r="R69" i="33"/>
  <c r="Q69" i="33"/>
  <c r="P69" i="33"/>
  <c r="O69" i="33"/>
  <c r="N69" i="33"/>
  <c r="M69" i="33"/>
  <c r="L69" i="33"/>
  <c r="K69" i="33"/>
  <c r="J69" i="33"/>
  <c r="I69" i="33"/>
  <c r="H69" i="33"/>
  <c r="F69" i="33"/>
  <c r="E69" i="33"/>
  <c r="CY69" i="33" s="1"/>
  <c r="CZ68" i="33"/>
  <c r="CY68" i="33"/>
  <c r="CX68" i="33"/>
  <c r="F68" i="33"/>
  <c r="E68" i="33"/>
  <c r="CY67" i="33"/>
  <c r="CX67" i="33"/>
  <c r="F67" i="33"/>
  <c r="E67" i="33"/>
  <c r="CX66" i="33"/>
  <c r="CZ66" i="33" s="1"/>
  <c r="F66" i="33"/>
  <c r="E66" i="33"/>
  <c r="CY66" i="33" s="1"/>
  <c r="CX65" i="33"/>
  <c r="F65" i="33"/>
  <c r="E65" i="33"/>
  <c r="CY65" i="33" s="1"/>
  <c r="CX64" i="33"/>
  <c r="F64" i="33"/>
  <c r="E64" i="33"/>
  <c r="CY64" i="33" s="1"/>
  <c r="CX63" i="33"/>
  <c r="F63" i="33"/>
  <c r="E63" i="33"/>
  <c r="CY63" i="33" s="1"/>
  <c r="CX62" i="33"/>
  <c r="F62" i="33"/>
  <c r="E62" i="33"/>
  <c r="CY62" i="33" s="1"/>
  <c r="CX61" i="33"/>
  <c r="F61" i="33"/>
  <c r="E61" i="33"/>
  <c r="CY61" i="33" s="1"/>
  <c r="CX60" i="33"/>
  <c r="F60" i="33"/>
  <c r="E60" i="33"/>
  <c r="CY60" i="33" s="1"/>
  <c r="CX59" i="33"/>
  <c r="F59" i="33"/>
  <c r="E59" i="33"/>
  <c r="CY59" i="33" s="1"/>
  <c r="CX58" i="33"/>
  <c r="F58" i="33"/>
  <c r="E58" i="33"/>
  <c r="CY58" i="33" s="1"/>
  <c r="CX57" i="33"/>
  <c r="F57" i="33"/>
  <c r="E57" i="33"/>
  <c r="CY57" i="33" s="1"/>
  <c r="CX56" i="33"/>
  <c r="F56" i="33"/>
  <c r="E56" i="33"/>
  <c r="CY56" i="33" s="1"/>
  <c r="CX55" i="33"/>
  <c r="F55" i="33"/>
  <c r="E55" i="33"/>
  <c r="CY55" i="33" s="1"/>
  <c r="CX54" i="33"/>
  <c r="F54" i="33"/>
  <c r="E54" i="33"/>
  <c r="CY54" i="33" s="1"/>
  <c r="CX53" i="33"/>
  <c r="F53" i="33"/>
  <c r="E53" i="33"/>
  <c r="CY53" i="33" s="1"/>
  <c r="CX52" i="33"/>
  <c r="F52" i="33"/>
  <c r="E52" i="33"/>
  <c r="CY52" i="33" s="1"/>
  <c r="CX51" i="33"/>
  <c r="F51" i="33"/>
  <c r="E51" i="33"/>
  <c r="CY51" i="33" s="1"/>
  <c r="CX50" i="33"/>
  <c r="F50" i="33"/>
  <c r="E50" i="33"/>
  <c r="CY50" i="33" s="1"/>
  <c r="CX49" i="33"/>
  <c r="F49" i="33"/>
  <c r="E49" i="33"/>
  <c r="CY49" i="33" s="1"/>
  <c r="CX48" i="33"/>
  <c r="F48" i="33"/>
  <c r="E48" i="33"/>
  <c r="CY48" i="33" s="1"/>
  <c r="CX47" i="33"/>
  <c r="F47" i="33"/>
  <c r="E47" i="33"/>
  <c r="CY47" i="33" s="1"/>
  <c r="CX46" i="33"/>
  <c r="F46" i="33"/>
  <c r="E46" i="33"/>
  <c r="CY46" i="33" s="1"/>
  <c r="CX45" i="33"/>
  <c r="F45" i="33"/>
  <c r="E45" i="33"/>
  <c r="CY45" i="33" s="1"/>
  <c r="CX44" i="33"/>
  <c r="F44" i="33"/>
  <c r="E44" i="33"/>
  <c r="CY44" i="33" s="1"/>
  <c r="CX43" i="33"/>
  <c r="F43" i="33"/>
  <c r="E43" i="33"/>
  <c r="CY43" i="33" s="1"/>
  <c r="CX42" i="33"/>
  <c r="F42" i="33"/>
  <c r="E42" i="33"/>
  <c r="CY42" i="33" s="1"/>
  <c r="CX41" i="33"/>
  <c r="F41" i="33"/>
  <c r="E41" i="33"/>
  <c r="CY41" i="33" s="1"/>
  <c r="CY40" i="33"/>
  <c r="CY39" i="33"/>
  <c r="CY38" i="33"/>
  <c r="CY37" i="33"/>
  <c r="CY36" i="33"/>
  <c r="CY35" i="33"/>
  <c r="CY34" i="33"/>
  <c r="B34" i="33"/>
  <c r="CX33" i="33"/>
  <c r="CW33" i="33"/>
  <c r="CV33" i="33"/>
  <c r="CU33" i="33"/>
  <c r="CT33" i="33"/>
  <c r="CS33" i="33"/>
  <c r="CR33" i="33"/>
  <c r="CQ33" i="33"/>
  <c r="CP33" i="33"/>
  <c r="CO33" i="33"/>
  <c r="CN33" i="33"/>
  <c r="CM33" i="33"/>
  <c r="CL33" i="33"/>
  <c r="CK33" i="33"/>
  <c r="CJ33" i="33"/>
  <c r="CI33" i="33"/>
  <c r="CH33" i="33"/>
  <c r="CG33" i="33"/>
  <c r="CF33" i="33"/>
  <c r="CE33" i="33"/>
  <c r="CD33" i="33"/>
  <c r="CC33" i="33"/>
  <c r="CB33" i="33"/>
  <c r="CA33" i="33"/>
  <c r="BZ33" i="33"/>
  <c r="BY33" i="33"/>
  <c r="BX33" i="33"/>
  <c r="BW33" i="33"/>
  <c r="BV33" i="33"/>
  <c r="BU33" i="33"/>
  <c r="BT33" i="33"/>
  <c r="BS33" i="33"/>
  <c r="BR33" i="33"/>
  <c r="BQ33" i="33"/>
  <c r="BP33" i="33"/>
  <c r="BO33" i="33"/>
  <c r="BN33" i="33"/>
  <c r="BM33" i="33"/>
  <c r="BL33" i="33"/>
  <c r="BK33" i="33"/>
  <c r="BJ33" i="33"/>
  <c r="BI33" i="33"/>
  <c r="BH33" i="33"/>
  <c r="BG33" i="33"/>
  <c r="BF33" i="33"/>
  <c r="BE33" i="33"/>
  <c r="BD33" i="33"/>
  <c r="BC33" i="33"/>
  <c r="BB33" i="33"/>
  <c r="BA33" i="33"/>
  <c r="AZ33" i="33"/>
  <c r="AY33" i="33"/>
  <c r="AX33" i="33"/>
  <c r="AW33" i="33"/>
  <c r="AV33" i="33"/>
  <c r="AU33" i="33"/>
  <c r="AT33" i="33"/>
  <c r="AS33" i="33"/>
  <c r="AR33" i="33"/>
  <c r="AQ33" i="33"/>
  <c r="AP33" i="33"/>
  <c r="AO33" i="33"/>
  <c r="AN33" i="33"/>
  <c r="AM33" i="33"/>
  <c r="AL33" i="33"/>
  <c r="AK33" i="33"/>
  <c r="AJ33" i="33"/>
  <c r="AI33" i="33"/>
  <c r="AH33" i="33"/>
  <c r="AG33" i="33"/>
  <c r="AF33" i="33"/>
  <c r="AE33" i="33"/>
  <c r="AD33" i="33"/>
  <c r="AC33" i="33"/>
  <c r="AB33" i="33"/>
  <c r="AA33" i="33"/>
  <c r="Z33" i="33"/>
  <c r="Y33" i="33"/>
  <c r="X33" i="33"/>
  <c r="W33" i="33"/>
  <c r="V33" i="33"/>
  <c r="U33" i="33"/>
  <c r="T33" i="33"/>
  <c r="S33" i="33"/>
  <c r="R33" i="33"/>
  <c r="Q33" i="33"/>
  <c r="P33" i="33"/>
  <c r="O33" i="33"/>
  <c r="N33" i="33"/>
  <c r="M33" i="33"/>
  <c r="L33" i="33"/>
  <c r="K33" i="33"/>
  <c r="J33" i="33"/>
  <c r="I33" i="33"/>
  <c r="H33" i="33"/>
  <c r="F33" i="33"/>
  <c r="E33" i="33"/>
  <c r="CY33" i="33" s="1"/>
  <c r="CY32" i="33"/>
  <c r="CX32" i="33"/>
  <c r="F32" i="33"/>
  <c r="E32" i="33"/>
  <c r="CX31" i="33"/>
  <c r="CH31" i="33"/>
  <c r="CH136" i="33" s="1"/>
  <c r="F31" i="33"/>
  <c r="E31" i="33"/>
  <c r="CX30" i="33"/>
  <c r="F30" i="33"/>
  <c r="E30" i="33"/>
  <c r="H27" i="33"/>
  <c r="H26" i="33"/>
  <c r="H25" i="33"/>
  <c r="E22" i="33"/>
  <c r="E21" i="33"/>
  <c r="E7" i="33"/>
  <c r="E6" i="33"/>
  <c r="E5" i="33"/>
  <c r="E4" i="33"/>
  <c r="CW3" i="33"/>
  <c r="CV3" i="33"/>
  <c r="CU3" i="33"/>
  <c r="CT3" i="33"/>
  <c r="CS3" i="33"/>
  <c r="CR3" i="33"/>
  <c r="CQ3" i="33"/>
  <c r="CP3" i="33"/>
  <c r="CO3" i="33"/>
  <c r="CN3" i="33"/>
  <c r="CM3" i="33"/>
  <c r="CL3" i="33"/>
  <c r="CK3" i="33"/>
  <c r="CJ3" i="33"/>
  <c r="CI3" i="33"/>
  <c r="CH3" i="33"/>
  <c r="CG3" i="33"/>
  <c r="CF3" i="33"/>
  <c r="CE3" i="33"/>
  <c r="CD3" i="33"/>
  <c r="CC3" i="33"/>
  <c r="CB3" i="33"/>
  <c r="CA3" i="33"/>
  <c r="BZ3" i="33"/>
  <c r="BY3" i="33"/>
  <c r="BX3" i="33"/>
  <c r="BW3" i="33"/>
  <c r="BV3" i="33"/>
  <c r="BU3" i="33"/>
  <c r="BT3" i="33"/>
  <c r="BS3" i="33"/>
  <c r="BR3" i="33"/>
  <c r="BQ3" i="33"/>
  <c r="BP3" i="33"/>
  <c r="BO3" i="33"/>
  <c r="BN3" i="33"/>
  <c r="BM3" i="33"/>
  <c r="BL3" i="33"/>
  <c r="BK3" i="33"/>
  <c r="BJ3" i="33"/>
  <c r="BI3" i="33"/>
  <c r="BH3" i="33"/>
  <c r="BG3" i="33"/>
  <c r="BF3" i="33"/>
  <c r="BE3" i="33"/>
  <c r="BD3" i="33"/>
  <c r="BC3" i="33"/>
  <c r="BB3" i="33"/>
  <c r="BA3" i="33"/>
  <c r="AZ3" i="33"/>
  <c r="AY3" i="33"/>
  <c r="AX3" i="33"/>
  <c r="AW3" i="33"/>
  <c r="AV3" i="33"/>
  <c r="AU3" i="33"/>
  <c r="AT3" i="33"/>
  <c r="AS3" i="33"/>
  <c r="AR3" i="33"/>
  <c r="AQ3" i="33"/>
  <c r="AP3" i="33"/>
  <c r="AO3" i="33"/>
  <c r="AN3" i="33"/>
  <c r="AM3" i="33"/>
  <c r="AL3" i="33"/>
  <c r="AK3" i="33"/>
  <c r="AJ3" i="33"/>
  <c r="AI3" i="33"/>
  <c r="AH3" i="33"/>
  <c r="AG3" i="33"/>
  <c r="AF3" i="33"/>
  <c r="AE3" i="33"/>
  <c r="AD3" i="33"/>
  <c r="AC3" i="33"/>
  <c r="AB3" i="33"/>
  <c r="AA3" i="33"/>
  <c r="Z3" i="33"/>
  <c r="Y3" i="33"/>
  <c r="X3" i="33"/>
  <c r="W3" i="33"/>
  <c r="V3" i="33"/>
  <c r="U3" i="33"/>
  <c r="T3" i="33"/>
  <c r="S3" i="33"/>
  <c r="R3" i="33"/>
  <c r="Q3" i="33"/>
  <c r="P3" i="33"/>
  <c r="O3" i="33"/>
  <c r="N3"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N53" i="31"/>
  <c r="AN52" i="31"/>
  <c r="AN51" i="31"/>
  <c r="AN50" i="31"/>
  <c r="AN49" i="31"/>
  <c r="AN48" i="31"/>
  <c r="AN47" i="31"/>
  <c r="AE47" i="31"/>
  <c r="X47" i="31"/>
  <c r="AN46" i="31"/>
  <c r="AL46" i="31"/>
  <c r="AK46" i="31"/>
  <c r="AN45" i="31"/>
  <c r="AN44" i="31"/>
  <c r="AN43" i="31"/>
  <c r="AN42" i="31"/>
  <c r="AN41" i="31"/>
  <c r="AK41" i="31"/>
  <c r="U40" i="31"/>
  <c r="V40" i="31" s="1"/>
  <c r="W40" i="31" s="1"/>
  <c r="X40" i="31" s="1"/>
  <c r="Y40" i="31" s="1"/>
  <c r="Z40" i="31" s="1"/>
  <c r="AB40" i="31" s="1"/>
  <c r="AC40" i="31" s="1"/>
  <c r="AD40" i="31" s="1"/>
  <c r="AE40" i="31" s="1"/>
  <c r="AF40" i="31" s="1"/>
  <c r="AG40" i="31" s="1"/>
  <c r="AI40" i="31" s="1"/>
  <c r="AJ40" i="31" s="1"/>
  <c r="AK40" i="31" s="1"/>
  <c r="AC33" i="31"/>
  <c r="V33" i="31"/>
  <c r="AC32" i="31"/>
  <c r="V32" i="31"/>
  <c r="AC30" i="31"/>
  <c r="V30" i="31"/>
  <c r="AC29" i="31"/>
  <c r="V29" i="31"/>
  <c r="AC28" i="31"/>
  <c r="V28" i="31"/>
  <c r="AC27" i="31"/>
  <c r="V27" i="31"/>
  <c r="S25" i="31"/>
  <c r="S24" i="31"/>
  <c r="AE16" i="31"/>
  <c r="AN13" i="31"/>
  <c r="AN12" i="31"/>
  <c r="AN11" i="31"/>
  <c r="AN10" i="31"/>
  <c r="AN9" i="31"/>
  <c r="AN8" i="31"/>
  <c r="AE8" i="31"/>
  <c r="X8" i="31"/>
  <c r="AN7" i="31"/>
  <c r="AL7" i="31"/>
  <c r="AK7" i="31"/>
  <c r="AN6" i="31"/>
  <c r="AN5" i="31"/>
  <c r="AN4" i="31"/>
  <c r="AC4" i="31"/>
  <c r="S4" i="31"/>
  <c r="I5" i="31" s="1"/>
  <c r="AN3" i="31"/>
  <c r="AC3" i="31"/>
  <c r="S3" i="31"/>
  <c r="AN2" i="31"/>
  <c r="AK2" i="31"/>
  <c r="AC2" i="31"/>
  <c r="S2" i="31"/>
  <c r="AX54" i="30"/>
  <c r="AX53" i="30"/>
  <c r="AX52" i="30"/>
  <c r="AX51" i="30"/>
  <c r="AX50" i="30"/>
  <c r="AX49" i="30"/>
  <c r="AX48" i="30"/>
  <c r="AX47" i="30"/>
  <c r="AV47" i="30"/>
  <c r="AU47" i="30"/>
  <c r="AX46" i="30"/>
  <c r="AX45" i="30"/>
  <c r="AX44" i="30"/>
  <c r="AX43" i="30"/>
  <c r="AX42" i="30"/>
  <c r="AU42" i="30"/>
  <c r="AP41" i="30"/>
  <c r="AQ41" i="30" s="1"/>
  <c r="AS41" i="30" s="1"/>
  <c r="AT41" i="30" s="1"/>
  <c r="AU41" i="30" s="1"/>
  <c r="AO41" i="30"/>
  <c r="AG41" i="30"/>
  <c r="AH41" i="30" s="1"/>
  <c r="AE41" i="30"/>
  <c r="AD41" i="30"/>
  <c r="V41" i="30"/>
  <c r="U41" i="30"/>
  <c r="AH33" i="30"/>
  <c r="V33" i="30"/>
  <c r="AH32" i="30"/>
  <c r="V32" i="30"/>
  <c r="AH30" i="30"/>
  <c r="V30" i="30"/>
  <c r="AH29" i="30"/>
  <c r="V29" i="30"/>
  <c r="AH28" i="30"/>
  <c r="V28" i="30"/>
  <c r="AH27" i="30"/>
  <c r="V27" i="30"/>
  <c r="S25" i="30"/>
  <c r="S24" i="30"/>
  <c r="AX13" i="30"/>
  <c r="AX12" i="30"/>
  <c r="AX11" i="30"/>
  <c r="AX10" i="30"/>
  <c r="AX9" i="30"/>
  <c r="AX8" i="30"/>
  <c r="AX7" i="30"/>
  <c r="AV7" i="30"/>
  <c r="AU7" i="30"/>
  <c r="AX6" i="30"/>
  <c r="J6" i="30"/>
  <c r="AX5" i="30"/>
  <c r="I5" i="30"/>
  <c r="S5" i="30" s="1"/>
  <c r="AX4" i="30"/>
  <c r="AH4" i="30"/>
  <c r="S4" i="30"/>
  <c r="AX3" i="30"/>
  <c r="AH3" i="30"/>
  <c r="S3" i="30"/>
  <c r="AX2" i="30"/>
  <c r="AU2" i="30"/>
  <c r="AH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Y45" i="29"/>
  <c r="BA45" i="29" s="1"/>
  <c r="BB45" i="29" s="1"/>
  <c r="BC45" i="29" s="1"/>
  <c r="AX45" i="29"/>
  <c r="AW45" i="29"/>
  <c r="X45" i="29"/>
  <c r="Y45" i="29" s="1"/>
  <c r="Z45" i="29" s="1"/>
  <c r="AA45" i="29" s="1"/>
  <c r="AC45" i="29" s="1"/>
  <c r="AD45" i="29" s="1"/>
  <c r="U45" i="29"/>
  <c r="V45" i="29" s="1"/>
  <c r="W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K7" i="28"/>
  <c r="S7" i="28" s="1"/>
  <c r="AN6" i="28"/>
  <c r="J6" i="28"/>
  <c r="S6" i="28" s="1"/>
  <c r="AN5" i="28"/>
  <c r="S5" i="28"/>
  <c r="I5" i="28"/>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9" i="25"/>
  <c r="AN58" i="25"/>
  <c r="AN57" i="25"/>
  <c r="AN56" i="25"/>
  <c r="AN55" i="25"/>
  <c r="AN54" i="25"/>
  <c r="AN53" i="25"/>
  <c r="AN52" i="25"/>
  <c r="AN51" i="25"/>
  <c r="AL51" i="25"/>
  <c r="AN50" i="25"/>
  <c r="AN49" i="25"/>
  <c r="AN48" i="25"/>
  <c r="AN47" i="25"/>
  <c r="AN46" i="25"/>
  <c r="AN45" i="25"/>
  <c r="AK45" i="25"/>
  <c r="AD44" i="25"/>
  <c r="AE44" i="25" s="1"/>
  <c r="AF44" i="25" s="1"/>
  <c r="AG44" i="25" s="1"/>
  <c r="AI44" i="25" s="1"/>
  <c r="AJ44" i="25" s="1"/>
  <c r="AK44" i="25" s="1"/>
  <c r="V44" i="25"/>
  <c r="W44" i="25" s="1"/>
  <c r="X44" i="25" s="1"/>
  <c r="Y44" i="25" s="1"/>
  <c r="AA44" i="25" s="1"/>
  <c r="U44" i="25"/>
  <c r="V36" i="25"/>
  <c r="V35" i="25"/>
  <c r="V33" i="25"/>
  <c r="V32" i="25"/>
  <c r="V31" i="25"/>
  <c r="V30" i="25"/>
  <c r="S28" i="25"/>
  <c r="S27" i="25"/>
  <c r="AN17" i="25"/>
  <c r="AN16" i="25"/>
  <c r="AN15" i="25"/>
  <c r="AN14" i="25"/>
  <c r="AN13" i="25"/>
  <c r="AN12" i="25"/>
  <c r="AN11" i="25"/>
  <c r="AE11" i="25"/>
  <c r="W11" i="25"/>
  <c r="AN8" i="25"/>
  <c r="AL8" i="25"/>
  <c r="S8" i="25"/>
  <c r="K8" i="25"/>
  <c r="AN7" i="25"/>
  <c r="J7" i="25"/>
  <c r="AN6" i="25"/>
  <c r="AN5" i="25"/>
  <c r="S5" i="25"/>
  <c r="I6" i="25" s="1"/>
  <c r="AN4" i="25"/>
  <c r="S4" i="25"/>
  <c r="AN3" i="25"/>
  <c r="S3" i="25"/>
  <c r="AN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K7" i="24"/>
  <c r="S7" i="24" s="1"/>
  <c r="AN6" i="24"/>
  <c r="S6" i="24"/>
  <c r="J6" i="24"/>
  <c r="AN5" i="24"/>
  <c r="S5" i="24"/>
  <c r="I5" i="24"/>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S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Y40" i="22"/>
  <c r="Z40" i="22" s="1"/>
  <c r="AB40" i="22" s="1"/>
  <c r="AC40" i="22" s="1"/>
  <c r="AD40" i="22" s="1"/>
  <c r="AE40" i="22" s="1"/>
  <c r="AF40" i="22" s="1"/>
  <c r="AG40" i="22" s="1"/>
  <c r="AI40" i="22" s="1"/>
  <c r="AJ40" i="22" s="1"/>
  <c r="AK40" i="22" s="1"/>
  <c r="W40" i="22"/>
  <c r="X40" i="22" s="1"/>
  <c r="V40" i="22"/>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S6" i="22"/>
  <c r="J6" i="22"/>
  <c r="K7" i="22" s="1"/>
  <c r="S7" i="22" s="1"/>
  <c r="AN5" i="22"/>
  <c r="I5" i="22"/>
  <c r="S5" i="22" s="1"/>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W40" i="21"/>
  <c r="X40" i="21" s="1"/>
  <c r="Y40" i="21" s="1"/>
  <c r="Z40" i="21" s="1"/>
  <c r="AB40" i="21" s="1"/>
  <c r="AC40" i="21" s="1"/>
  <c r="AD40" i="21" s="1"/>
  <c r="AE40" i="21" s="1"/>
  <c r="AF40" i="21" s="1"/>
  <c r="AG40" i="21" s="1"/>
  <c r="AI40" i="21" s="1"/>
  <c r="AJ40" i="21" s="1"/>
  <c r="AK40" i="21" s="1"/>
  <c r="V40" i="2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S6" i="21"/>
  <c r="AN5" i="21"/>
  <c r="AN4" i="21"/>
  <c r="AC4" i="21"/>
  <c r="S4" i="21"/>
  <c r="I5" i="21" s="1"/>
  <c r="J6" i="21" s="1"/>
  <c r="K7" i="21" s="1"/>
  <c r="S7"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AA44" i="20"/>
  <c r="AB44" i="20" s="1"/>
  <c r="Y44" i="20"/>
  <c r="V44" i="20"/>
  <c r="W44" i="20" s="1"/>
  <c r="X44" i="20" s="1"/>
  <c r="U44"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B48" i="19"/>
  <c r="AC48" i="19" s="1"/>
  <c r="AD48" i="19" s="1"/>
  <c r="AF48" i="19" s="1"/>
  <c r="AG48" i="19" s="1"/>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K8"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Y42" i="18"/>
  <c r="Z42" i="18" s="1"/>
  <c r="AA42" i="18" s="1"/>
  <c r="AC42" i="18" s="1"/>
  <c r="AD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Y42" i="17"/>
  <c r="Z42" i="17" s="1"/>
  <c r="AA42" i="17" s="1"/>
  <c r="AC42" i="17" s="1"/>
  <c r="AD42" i="17" s="1"/>
  <c r="X42" i="17"/>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Y42" i="16"/>
  <c r="Z42" i="16" s="1"/>
  <c r="AA42" i="16" s="1"/>
  <c r="AC42" i="16" s="1"/>
  <c r="AD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Z42" i="15"/>
  <c r="AA42" i="15" s="1"/>
  <c r="AC42" i="15" s="1"/>
  <c r="AD42" i="15" s="1"/>
  <c r="Y42" i="15"/>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D46" i="14"/>
  <c r="AP45" i="14"/>
  <c r="AP44" i="14"/>
  <c r="AP43" i="14"/>
  <c r="AM43" i="14"/>
  <c r="AH42" i="14"/>
  <c r="AI42" i="14" s="1"/>
  <c r="AK42" i="14" s="1"/>
  <c r="AL42" i="14" s="1"/>
  <c r="AM42" i="14" s="1"/>
  <c r="AG42" i="14"/>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S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Z42" i="11"/>
  <c r="AA42" i="11" s="1"/>
  <c r="AC42" i="11" s="1"/>
  <c r="AD42" i="11" s="1"/>
  <c r="Y42" i="1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3" i="7"/>
  <c r="D52" i="7"/>
  <c r="G50" i="7"/>
  <c r="E45" i="7"/>
  <c r="G44" i="7"/>
  <c r="E43" i="7"/>
  <c r="G42" i="7"/>
  <c r="E42" i="7"/>
  <c r="G38" i="7"/>
  <c r="E38" i="7"/>
  <c r="E37" i="7"/>
  <c r="E36" i="7"/>
  <c r="G35" i="7"/>
  <c r="E35" i="7"/>
  <c r="G34" i="7"/>
  <c r="E34" i="7"/>
  <c r="G33" i="7"/>
  <c r="E33" i="7"/>
  <c r="E32" i="7"/>
  <c r="A32" i="7"/>
  <c r="D32" i="7" s="1"/>
  <c r="G28" i="7"/>
  <c r="G27" i="7"/>
  <c r="G26" i="7"/>
  <c r="E18" i="7"/>
  <c r="G17" i="7"/>
  <c r="E17" i="7"/>
  <c r="G16" i="7"/>
  <c r="E16" i="7"/>
  <c r="F15" i="7"/>
  <c r="F14" i="7"/>
  <c r="G13" i="7"/>
  <c r="E13" i="7"/>
  <c r="E12" i="7"/>
  <c r="F11" i="7"/>
  <c r="D5" i="7"/>
  <c r="D4" i="7"/>
  <c r="D5" i="6"/>
  <c r="AQ126" i="5"/>
  <c r="AP126" i="5"/>
  <c r="S48" i="29" s="1"/>
  <c r="K52" i="29" s="1"/>
  <c r="S52" i="29" s="1"/>
  <c r="AO126" i="5"/>
  <c r="S47" i="29" s="1"/>
  <c r="AN126" i="5"/>
  <c r="S46" i="29" s="1"/>
  <c r="AM126" i="5"/>
  <c r="AL126" i="5"/>
  <c r="AD48" i="29" s="1"/>
  <c r="AK126" i="5"/>
  <c r="AD47" i="29" s="1"/>
  <c r="AJ126" i="5"/>
  <c r="AI126" i="5"/>
  <c r="AH126" i="5"/>
  <c r="AQ121" i="5"/>
  <c r="AP121" i="5"/>
  <c r="S43" i="28" s="1"/>
  <c r="I44" i="28" s="1"/>
  <c r="S44" i="28" s="1"/>
  <c r="AO121" i="5"/>
  <c r="S42" i="28" s="1"/>
  <c r="AN121" i="5"/>
  <c r="S41" i="28" s="1"/>
  <c r="AM121" i="5"/>
  <c r="AL121" i="5"/>
  <c r="AC43" i="28" s="1"/>
  <c r="AK121" i="5"/>
  <c r="AC42" i="28" s="1"/>
  <c r="AJ121" i="5"/>
  <c r="AI121" i="5"/>
  <c r="AH121" i="5"/>
  <c r="AQ116" i="5"/>
  <c r="AP116" i="5"/>
  <c r="S43" i="27" s="1"/>
  <c r="I44" i="27" s="1"/>
  <c r="AO116" i="5"/>
  <c r="S42" i="27" s="1"/>
  <c r="AN116" i="5"/>
  <c r="S41" i="27" s="1"/>
  <c r="AM116" i="5"/>
  <c r="AL116" i="5"/>
  <c r="AC43" i="27" s="1"/>
  <c r="AK116" i="5"/>
  <c r="AC42" i="27" s="1"/>
  <c r="AJ116" i="5"/>
  <c r="AI116" i="5"/>
  <c r="AH116" i="5"/>
  <c r="AQ110" i="5"/>
  <c r="AP110" i="5"/>
  <c r="S48" i="32" s="1"/>
  <c r="K52" i="32" s="1"/>
  <c r="S52" i="32" s="1"/>
  <c r="AO110" i="5"/>
  <c r="S47" i="32" s="1"/>
  <c r="AN110" i="5"/>
  <c r="S46" i="32" s="1"/>
  <c r="AM110" i="5"/>
  <c r="AL110" i="5"/>
  <c r="AD48" i="32" s="1"/>
  <c r="AK110" i="5"/>
  <c r="AD47" i="32" s="1"/>
  <c r="AJ110" i="5"/>
  <c r="AI110" i="5"/>
  <c r="AH110" i="5"/>
  <c r="AQ105" i="5"/>
  <c r="AP105" i="5"/>
  <c r="AO105" i="5"/>
  <c r="AN105" i="5"/>
  <c r="AM105" i="5"/>
  <c r="AL105" i="5"/>
  <c r="AK105" i="5"/>
  <c r="AJ105" i="5"/>
  <c r="AI105" i="5"/>
  <c r="AH105" i="5"/>
  <c r="AQ100" i="5"/>
  <c r="AP100" i="5"/>
  <c r="AO100" i="5"/>
  <c r="AN100" i="5"/>
  <c r="S41" i="31" s="1"/>
  <c r="AM100" i="5"/>
  <c r="AL100" i="5"/>
  <c r="AC43" i="31" s="1"/>
  <c r="AK100" i="5"/>
  <c r="AJ100" i="5"/>
  <c r="AI100" i="5"/>
  <c r="AH100" i="5"/>
  <c r="AQ94" i="5"/>
  <c r="AP94" i="5"/>
  <c r="S48" i="26" s="1"/>
  <c r="K52" i="26" s="1"/>
  <c r="S52" i="26" s="1"/>
  <c r="AO94" i="5"/>
  <c r="S47" i="26" s="1"/>
  <c r="AN94" i="5"/>
  <c r="S46" i="26" s="1"/>
  <c r="AM94" i="5"/>
  <c r="AL94" i="5"/>
  <c r="AD48" i="26" s="1"/>
  <c r="AK94" i="5"/>
  <c r="AD47" i="26" s="1"/>
  <c r="AJ94" i="5"/>
  <c r="AI94" i="5"/>
  <c r="AH94" i="5"/>
  <c r="AQ89" i="5"/>
  <c r="AP89" i="5"/>
  <c r="S43" i="24" s="1"/>
  <c r="I44" i="24" s="1"/>
  <c r="J45" i="24" s="1"/>
  <c r="S45" i="24" s="1"/>
  <c r="AO89" i="5"/>
  <c r="S42" i="24" s="1"/>
  <c r="AN89" i="5"/>
  <c r="S41" i="24" s="1"/>
  <c r="AM89" i="5"/>
  <c r="AL89" i="5"/>
  <c r="AC43" i="24" s="1"/>
  <c r="AK89" i="5"/>
  <c r="AC42" i="24" s="1"/>
  <c r="AJ89" i="5"/>
  <c r="AI89" i="5"/>
  <c r="AH89" i="5"/>
  <c r="AQ84" i="5"/>
  <c r="AP84" i="5"/>
  <c r="S43" i="23" s="1"/>
  <c r="I44" i="23" s="1"/>
  <c r="AO84" i="5"/>
  <c r="S42" i="23" s="1"/>
  <c r="AN84" i="5"/>
  <c r="S41" i="23" s="1"/>
  <c r="AM84" i="5"/>
  <c r="AL84" i="5"/>
  <c r="AC43" i="23" s="1"/>
  <c r="AK84" i="5"/>
  <c r="AC42" i="23" s="1"/>
  <c r="AJ84" i="5"/>
  <c r="AI84" i="5"/>
  <c r="AH84" i="5"/>
  <c r="AQ79" i="5"/>
  <c r="AP79" i="5"/>
  <c r="S43" i="22" s="1"/>
  <c r="I44" i="22" s="1"/>
  <c r="AO79" i="5"/>
  <c r="S42" i="22" s="1"/>
  <c r="AN79" i="5"/>
  <c r="S41" i="22" s="1"/>
  <c r="AM79" i="5"/>
  <c r="AL79" i="5"/>
  <c r="AC43" i="22" s="1"/>
  <c r="AK79" i="5"/>
  <c r="AC42" i="22" s="1"/>
  <c r="AJ79" i="5"/>
  <c r="AI79" i="5"/>
  <c r="AH79" i="5"/>
  <c r="AQ74" i="5"/>
  <c r="AP74" i="5"/>
  <c r="S43" i="21" s="1"/>
  <c r="I44" i="21" s="1"/>
  <c r="J45" i="21" s="1"/>
  <c r="K46" i="21" s="1"/>
  <c r="S46" i="21" s="1"/>
  <c r="AO74" i="5"/>
  <c r="S42" i="21" s="1"/>
  <c r="AN74" i="5"/>
  <c r="S41" i="21" s="1"/>
  <c r="AM74" i="5"/>
  <c r="AL74" i="5"/>
  <c r="AC43" i="21" s="1"/>
  <c r="AK74" i="5"/>
  <c r="AC42" i="21" s="1"/>
  <c r="AJ74" i="5"/>
  <c r="AI74" i="5"/>
  <c r="AH74" i="5"/>
  <c r="AQ58" i="5"/>
  <c r="AP58" i="5"/>
  <c r="S45" i="13" s="1"/>
  <c r="AO58" i="5"/>
  <c r="S44" i="13" s="1"/>
  <c r="AN58" i="5"/>
  <c r="S43" i="13" s="1"/>
  <c r="AM58" i="5"/>
  <c r="AD46" i="13" s="1"/>
  <c r="AL58" i="5"/>
  <c r="AD45" i="13" s="1"/>
  <c r="AK58" i="5"/>
  <c r="AD44" i="13" s="1"/>
  <c r="AJ58" i="5"/>
  <c r="AD43" i="14" s="1"/>
  <c r="AI58" i="5"/>
  <c r="AH58" i="5"/>
  <c r="AQ53" i="5"/>
  <c r="S48" i="25" s="1"/>
  <c r="K51" i="25" s="1"/>
  <c r="S51" i="25" s="1"/>
  <c r="AP53" i="5"/>
  <c r="S47" i="25" s="1"/>
  <c r="AO53" i="5"/>
  <c r="S46" i="25" s="1"/>
  <c r="AN53" i="5"/>
  <c r="S45" i="25" s="1"/>
  <c r="AM53" i="5"/>
  <c r="AL53" i="5"/>
  <c r="AK53" i="5"/>
  <c r="AJ53" i="5"/>
  <c r="AI53" i="5"/>
  <c r="AH53" i="5"/>
  <c r="AQ48" i="5"/>
  <c r="S48" i="20" s="1"/>
  <c r="I49" i="20" s="1"/>
  <c r="AP48" i="5"/>
  <c r="S47" i="20" s="1"/>
  <c r="AO48" i="5"/>
  <c r="S46" i="20" s="1"/>
  <c r="AN48" i="5"/>
  <c r="S45" i="20" s="1"/>
  <c r="AM48" i="5"/>
  <c r="AB48" i="20" s="1"/>
  <c r="AL48" i="5"/>
  <c r="AB47" i="20" s="1"/>
  <c r="AK48" i="5"/>
  <c r="AB46" i="20" s="1"/>
  <c r="AJ48" i="5"/>
  <c r="AB45" i="20" s="1"/>
  <c r="AI48" i="5"/>
  <c r="AH48" i="5"/>
  <c r="AQ43" i="5"/>
  <c r="S46" i="15" s="1"/>
  <c r="I47" i="15" s="1"/>
  <c r="AP43" i="5"/>
  <c r="S45" i="15" s="1"/>
  <c r="AO43" i="5"/>
  <c r="S44" i="15" s="1"/>
  <c r="AN43" i="5"/>
  <c r="S43" i="15" s="1"/>
  <c r="AM43" i="5"/>
  <c r="AD46" i="15" s="1"/>
  <c r="AL43" i="5"/>
  <c r="AD45" i="15" s="1"/>
  <c r="AK43" i="5"/>
  <c r="AD44" i="15" s="1"/>
  <c r="AJ43" i="5"/>
  <c r="AI43" i="5"/>
  <c r="AH43" i="5"/>
  <c r="AQ38" i="5"/>
  <c r="S46" i="18" s="1"/>
  <c r="AP38" i="5"/>
  <c r="S45" i="18" s="1"/>
  <c r="AO38" i="5"/>
  <c r="S44" i="18" s="1"/>
  <c r="AN38" i="5"/>
  <c r="S43" i="18" s="1"/>
  <c r="AM38" i="5"/>
  <c r="AD46" i="18" s="1"/>
  <c r="AL38" i="5"/>
  <c r="AD45" i="18" s="1"/>
  <c r="AK38" i="5"/>
  <c r="AD44" i="18" s="1"/>
  <c r="AJ38" i="5"/>
  <c r="AI38" i="5"/>
  <c r="AH38" i="5"/>
  <c r="AQ33" i="5"/>
  <c r="S46" i="17" s="1"/>
  <c r="AP33" i="5"/>
  <c r="S45" i="17" s="1"/>
  <c r="AO33" i="5"/>
  <c r="S44" i="17" s="1"/>
  <c r="AN33" i="5"/>
  <c r="S43" i="17" s="1"/>
  <c r="AM33" i="5"/>
  <c r="AD46" i="17" s="1"/>
  <c r="AL33" i="5"/>
  <c r="AD45" i="17" s="1"/>
  <c r="AK33" i="5"/>
  <c r="AD44" i="17" s="1"/>
  <c r="AJ33" i="5"/>
  <c r="AD43" i="17" s="1"/>
  <c r="AI33" i="5"/>
  <c r="AH33" i="5"/>
  <c r="AQ28" i="5"/>
  <c r="U52" i="19" s="1"/>
  <c r="I53" i="19" s="1"/>
  <c r="J54" i="19" s="1"/>
  <c r="AP28" i="5"/>
  <c r="U51" i="19" s="1"/>
  <c r="AO28" i="5"/>
  <c r="U50" i="19" s="1"/>
  <c r="AN28" i="5"/>
  <c r="U49" i="19" s="1"/>
  <c r="AM28" i="5"/>
  <c r="AG52" i="19" s="1"/>
  <c r="AL28" i="5"/>
  <c r="AG51" i="19" s="1"/>
  <c r="AK28" i="5"/>
  <c r="AG50" i="19" s="1"/>
  <c r="AJ28" i="5"/>
  <c r="AI28" i="5"/>
  <c r="AH28" i="5"/>
  <c r="AQ23" i="5"/>
  <c r="L22" i="62" s="1"/>
  <c r="F23" i="62" s="1"/>
  <c r="AP23" i="5"/>
  <c r="L21" i="62" s="1"/>
  <c r="AO23" i="5"/>
  <c r="AN23" i="5"/>
  <c r="L19" i="62" s="1"/>
  <c r="AM23" i="5"/>
  <c r="O22" i="62" s="1"/>
  <c r="AL23" i="5"/>
  <c r="O21" i="62" s="1"/>
  <c r="AK23" i="5"/>
  <c r="O20" i="62" s="1"/>
  <c r="AJ23" i="5"/>
  <c r="AD43" i="16" s="1"/>
  <c r="AI23" i="5"/>
  <c r="AH23" i="5"/>
  <c r="AQ18" i="5"/>
  <c r="S46" i="12" s="1"/>
  <c r="I47" i="12" s="1"/>
  <c r="AP18" i="5"/>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D43" i="11" s="1"/>
  <c r="AI13" i="5"/>
  <c r="AH13" i="5"/>
  <c r="D6" i="5"/>
  <c r="D5" i="5"/>
  <c r="R105" i="4"/>
  <c r="P105" i="4"/>
  <c r="R104" i="4"/>
  <c r="R103" i="4"/>
  <c r="R102" i="4"/>
  <c r="CT27" i="33" s="1"/>
  <c r="R101" i="4"/>
  <c r="R100" i="4"/>
  <c r="P100" i="4"/>
  <c r="R99" i="4"/>
  <c r="R98" i="4"/>
  <c r="R97" i="4"/>
  <c r="P97" i="4"/>
  <c r="R96" i="4"/>
  <c r="R95" i="4"/>
  <c r="R94" i="4"/>
  <c r="R93" i="4"/>
  <c r="R92" i="4"/>
  <c r="CJ27" i="33" s="1"/>
  <c r="P92" i="4"/>
  <c r="R91" i="4"/>
  <c r="R90" i="4"/>
  <c r="R89" i="4"/>
  <c r="P89" i="4"/>
  <c r="R88" i="4"/>
  <c r="R87" i="4"/>
  <c r="R86" i="4"/>
  <c r="R85" i="4"/>
  <c r="R84" i="4"/>
  <c r="P84" i="4"/>
  <c r="R83" i="4"/>
  <c r="R82" i="4"/>
  <c r="R81" i="4"/>
  <c r="BY27" i="33" s="1"/>
  <c r="P81" i="4"/>
  <c r="R80" i="4"/>
  <c r="R79" i="4"/>
  <c r="R78" i="4"/>
  <c r="R77" i="4"/>
  <c r="R76" i="4"/>
  <c r="P76" i="4"/>
  <c r="R75" i="4"/>
  <c r="R74" i="4"/>
  <c r="R73" i="4"/>
  <c r="P73" i="4"/>
  <c r="R72" i="4"/>
  <c r="R71" i="4"/>
  <c r="R70" i="4"/>
  <c r="R69" i="4"/>
  <c r="R68" i="4"/>
  <c r="P68" i="4"/>
  <c r="R67" i="4"/>
  <c r="R66" i="4"/>
  <c r="R65" i="4"/>
  <c r="P65" i="4"/>
  <c r="R64" i="4"/>
  <c r="R63" i="4"/>
  <c r="R62" i="4"/>
  <c r="R61" i="4"/>
  <c r="R60" i="4"/>
  <c r="P60" i="4"/>
  <c r="R59" i="4"/>
  <c r="R58" i="4"/>
  <c r="R57" i="4"/>
  <c r="P57" i="4"/>
  <c r="R56" i="4"/>
  <c r="R55" i="4"/>
  <c r="R54" i="4"/>
  <c r="R53" i="4"/>
  <c r="R52" i="4"/>
  <c r="P52" i="4"/>
  <c r="R51" i="4"/>
  <c r="R50" i="4"/>
  <c r="R49" i="4"/>
  <c r="P49" i="4"/>
  <c r="R48" i="4"/>
  <c r="R47" i="4"/>
  <c r="R46" i="4"/>
  <c r="R45" i="4"/>
  <c r="R44" i="4"/>
  <c r="P44" i="4"/>
  <c r="R43" i="4"/>
  <c r="R42" i="4"/>
  <c r="R41" i="4"/>
  <c r="P41" i="4"/>
  <c r="R40" i="4"/>
  <c r="R39" i="4"/>
  <c r="R38" i="4"/>
  <c r="R37" i="4"/>
  <c r="R36" i="4"/>
  <c r="P36" i="4"/>
  <c r="R35" i="4"/>
  <c r="R34" i="4"/>
  <c r="R33" i="4"/>
  <c r="P33" i="4"/>
  <c r="R32" i="4"/>
  <c r="R31" i="4"/>
  <c r="R30" i="4"/>
  <c r="R29" i="4"/>
  <c r="R28" i="4"/>
  <c r="P28" i="4"/>
  <c r="R27" i="4"/>
  <c r="R26" i="4"/>
  <c r="R25" i="4"/>
  <c r="P25" i="4"/>
  <c r="R24" i="4"/>
  <c r="T27" i="33" s="1"/>
  <c r="R23" i="4"/>
  <c r="R22" i="4"/>
  <c r="P22" i="4"/>
  <c r="R21" i="4"/>
  <c r="R20" i="4"/>
  <c r="P20" i="4"/>
  <c r="R19" i="4"/>
  <c r="R18" i="4"/>
  <c r="R17" i="4"/>
  <c r="P17" i="4"/>
  <c r="R16" i="4"/>
  <c r="R15" i="4"/>
  <c r="R14" i="4"/>
  <c r="P14" i="4"/>
  <c r="R13" i="4"/>
  <c r="P13" i="4"/>
  <c r="E13" i="4"/>
  <c r="P102" i="4" s="1"/>
  <c r="E7" i="4"/>
  <c r="D5" i="4"/>
  <c r="O13" i="3"/>
  <c r="M13" i="3" a="1"/>
  <c r="M13" i="3"/>
  <c r="J13" i="3"/>
  <c r="E13" i="3"/>
  <c r="G12" i="3"/>
  <c r="I13" i="4" s="1"/>
  <c r="Q102" i="4" s="1"/>
  <c r="E12" i="3"/>
  <c r="E4" i="3"/>
  <c r="E59" i="2"/>
  <c r="E49" i="2"/>
  <c r="E41" i="2"/>
  <c r="E27" i="2"/>
  <c r="E26" i="2"/>
  <c r="F25" i="2"/>
  <c r="E22" i="2"/>
  <c r="E21" i="2"/>
  <c r="F20" i="2"/>
  <c r="E19" i="2"/>
  <c r="I9" i="2"/>
  <c r="E5" i="2"/>
  <c r="D4" i="4" s="1"/>
  <c r="E3" i="2"/>
  <c r="E2" i="2"/>
  <c r="B5" i="1"/>
  <c r="GE10" i="48" l="1"/>
  <c r="CS10" i="43"/>
  <c r="GE27" i="38"/>
  <c r="GE8" i="37"/>
  <c r="H816" i="34"/>
  <c r="CT26" i="33"/>
  <c r="J48" i="18"/>
  <c r="I47" i="18"/>
  <c r="S46" i="14"/>
  <c r="I47" i="14" s="1"/>
  <c r="S46" i="13"/>
  <c r="I47" i="13" s="1"/>
  <c r="S7" i="17"/>
  <c r="K8" i="17"/>
  <c r="S8" i="17" s="1"/>
  <c r="Q38" i="4"/>
  <c r="GK9" i="48"/>
  <c r="GK26" i="38"/>
  <c r="CV9" i="43"/>
  <c r="GK7" i="37"/>
  <c r="H842" i="34"/>
  <c r="CW25" i="33"/>
  <c r="AM9" i="43"/>
  <c r="BS26" i="38"/>
  <c r="BS7" i="37"/>
  <c r="H293" i="34"/>
  <c r="BS9" i="48"/>
  <c r="AN25" i="33"/>
  <c r="Q94" i="4"/>
  <c r="J48" i="15"/>
  <c r="S47" i="15"/>
  <c r="K8" i="12"/>
  <c r="S8" i="12" s="1"/>
  <c r="S7" i="12"/>
  <c r="S7" i="15"/>
  <c r="K8" i="15"/>
  <c r="S8" i="15" s="1"/>
  <c r="K8" i="18"/>
  <c r="S8" i="18" s="1"/>
  <c r="S7" i="18"/>
  <c r="U8" i="19"/>
  <c r="L9" i="19"/>
  <c r="U9" i="19" s="1"/>
  <c r="Q9" i="48"/>
  <c r="L9" i="43"/>
  <c r="Q26" i="38"/>
  <c r="Q7" i="37"/>
  <c r="H50" i="34"/>
  <c r="M25" i="33"/>
  <c r="Q22" i="4"/>
  <c r="AL11" i="43"/>
  <c r="BQ11" i="48"/>
  <c r="BQ28" i="38"/>
  <c r="BQ9" i="37"/>
  <c r="H286" i="34"/>
  <c r="AM27" i="33"/>
  <c r="BB11" i="43"/>
  <c r="CW11" i="48"/>
  <c r="CW28" i="38"/>
  <c r="CW9" i="37"/>
  <c r="H430" i="34"/>
  <c r="BC27" i="33"/>
  <c r="CP11" i="43"/>
  <c r="FY11" i="48"/>
  <c r="FY28" i="38"/>
  <c r="FY9" i="37"/>
  <c r="CQ27" i="33"/>
  <c r="H790" i="34"/>
  <c r="AA11" i="48"/>
  <c r="Q11" i="43"/>
  <c r="AA9" i="37"/>
  <c r="AA28" i="38"/>
  <c r="H97" i="34"/>
  <c r="R27" i="33"/>
  <c r="CM11" i="48"/>
  <c r="AW11" i="43"/>
  <c r="CM9" i="37"/>
  <c r="H385" i="34"/>
  <c r="CM28" i="38"/>
  <c r="AX27" i="33"/>
  <c r="BZ11" i="43"/>
  <c r="ES11" i="48"/>
  <c r="ES9" i="37"/>
  <c r="ES28" i="38"/>
  <c r="CA27" i="33"/>
  <c r="H646" i="34"/>
  <c r="FE9" i="48"/>
  <c r="CF9" i="43"/>
  <c r="FE26" i="38"/>
  <c r="H698" i="34"/>
  <c r="FE7" i="37"/>
  <c r="CG25" i="33"/>
  <c r="J45" i="22"/>
  <c r="S44" i="22"/>
  <c r="K8" i="16"/>
  <c r="S8" i="16" s="1"/>
  <c r="S7" i="16"/>
  <c r="GE9" i="48"/>
  <c r="CS9" i="43"/>
  <c r="GE26" i="38"/>
  <c r="GE7" i="37"/>
  <c r="H815" i="34"/>
  <c r="CT25" i="33"/>
  <c r="L20" i="62"/>
  <c r="S44" i="16"/>
  <c r="Q33" i="4"/>
  <c r="CY9" i="48"/>
  <c r="BC9" i="43"/>
  <c r="CY26" i="38"/>
  <c r="CY7" i="37"/>
  <c r="H437" i="34"/>
  <c r="BD25" i="33"/>
  <c r="N11" i="43"/>
  <c r="U11" i="48"/>
  <c r="U28" i="38"/>
  <c r="U9" i="37"/>
  <c r="H70" i="34"/>
  <c r="O27" i="33"/>
  <c r="BJ11" i="43"/>
  <c r="DM11" i="48"/>
  <c r="DM28" i="38"/>
  <c r="DM9" i="37"/>
  <c r="BK27" i="33"/>
  <c r="H502" i="34"/>
  <c r="DY9" i="48"/>
  <c r="BP9" i="43"/>
  <c r="DY26" i="38"/>
  <c r="H554" i="34"/>
  <c r="DY7" i="37"/>
  <c r="BQ25" i="33"/>
  <c r="Q78" i="4"/>
  <c r="K55" i="19"/>
  <c r="U54" i="19"/>
  <c r="Q70" i="4"/>
  <c r="EO9" i="48"/>
  <c r="BX9" i="43"/>
  <c r="EO26" i="38"/>
  <c r="H626" i="34"/>
  <c r="EO7" i="37"/>
  <c r="BY25" i="33"/>
  <c r="D34" i="7"/>
  <c r="D36" i="7"/>
  <c r="D37" i="7" s="1"/>
  <c r="D38" i="7" s="1"/>
  <c r="D33" i="7"/>
  <c r="D35" i="7"/>
  <c r="Q17" i="4"/>
  <c r="AW9" i="48"/>
  <c r="AB9" i="43"/>
  <c r="AW26" i="38"/>
  <c r="H194" i="34"/>
  <c r="AW7" i="37"/>
  <c r="AC25" i="33"/>
  <c r="CC9" i="48"/>
  <c r="AR9" i="43"/>
  <c r="CC26" i="38"/>
  <c r="H338" i="34"/>
  <c r="CC7" i="37"/>
  <c r="AS25" i="33"/>
  <c r="DS11" i="48"/>
  <c r="BM11" i="43"/>
  <c r="DS9" i="37"/>
  <c r="H529" i="34"/>
  <c r="DS28" i="38"/>
  <c r="BN27" i="33"/>
  <c r="BG11" i="48"/>
  <c r="AG11" i="43"/>
  <c r="BG9" i="37"/>
  <c r="BG28" i="38"/>
  <c r="H241" i="34"/>
  <c r="AH27" i="33"/>
  <c r="Q14" i="4"/>
  <c r="K11" i="48"/>
  <c r="I11" i="43"/>
  <c r="K9" i="37"/>
  <c r="H25" i="34"/>
  <c r="K28" i="38"/>
  <c r="J27" i="33"/>
  <c r="W9" i="48"/>
  <c r="O9" i="43"/>
  <c r="W26" i="38"/>
  <c r="W7" i="37"/>
  <c r="H77" i="34"/>
  <c r="P25" i="33"/>
  <c r="AG9" i="48"/>
  <c r="T9" i="43"/>
  <c r="AG26" i="38"/>
  <c r="H122" i="34"/>
  <c r="AG7" i="37"/>
  <c r="U25" i="33"/>
  <c r="Q30" i="4"/>
  <c r="AD11" i="43"/>
  <c r="BA11" i="48"/>
  <c r="BA28" i="38"/>
  <c r="BA9" i="37"/>
  <c r="H214" i="34"/>
  <c r="AE27" i="33"/>
  <c r="BM9" i="48"/>
  <c r="BM26" i="38"/>
  <c r="H266" i="34"/>
  <c r="AJ9" i="43"/>
  <c r="BM7" i="37"/>
  <c r="AK25" i="33"/>
  <c r="Q46" i="4"/>
  <c r="AT11" i="43"/>
  <c r="CG11" i="48"/>
  <c r="CG28" i="38"/>
  <c r="CG9" i="37"/>
  <c r="H358" i="34"/>
  <c r="AU27" i="33"/>
  <c r="CS9" i="48"/>
  <c r="CS26" i="38"/>
  <c r="AZ9" i="43"/>
  <c r="H410" i="34"/>
  <c r="CS7" i="37"/>
  <c r="BA25" i="33"/>
  <c r="Q62" i="4"/>
  <c r="BK9" i="43"/>
  <c r="DO9" i="48"/>
  <c r="DO26" i="38"/>
  <c r="DO7" i="37"/>
  <c r="H509" i="34"/>
  <c r="BL25" i="33"/>
  <c r="Q73" i="4"/>
  <c r="J45" i="23"/>
  <c r="S44" i="23"/>
  <c r="J7" i="14"/>
  <c r="S6" i="14"/>
  <c r="Q99" i="4"/>
  <c r="Q91" i="4"/>
  <c r="Q83" i="4"/>
  <c r="Q75" i="4"/>
  <c r="Q67" i="4"/>
  <c r="Q59" i="4"/>
  <c r="Q51" i="4"/>
  <c r="Q43" i="4"/>
  <c r="Q35" i="4"/>
  <c r="Q27" i="4"/>
  <c r="Q19" i="4"/>
  <c r="Q104" i="4"/>
  <c r="Q96" i="4"/>
  <c r="Q88" i="4"/>
  <c r="Q80" i="4"/>
  <c r="Q72" i="4"/>
  <c r="Q64" i="4"/>
  <c r="Q56" i="4"/>
  <c r="Q48" i="4"/>
  <c r="Q40" i="4"/>
  <c r="Q32" i="4"/>
  <c r="Q24" i="4"/>
  <c r="Q16" i="4"/>
  <c r="Q34" i="4"/>
  <c r="Q101" i="4"/>
  <c r="Q93" i="4"/>
  <c r="Q85" i="4"/>
  <c r="Q77" i="4"/>
  <c r="Q69" i="4"/>
  <c r="Q61" i="4"/>
  <c r="Q53" i="4"/>
  <c r="Q45" i="4"/>
  <c r="Q37" i="4"/>
  <c r="Q29" i="4"/>
  <c r="Q21" i="4"/>
  <c r="Q13" i="4"/>
  <c r="Q81" i="4"/>
  <c r="Q98" i="4"/>
  <c r="Q90" i="4"/>
  <c r="Q82" i="4"/>
  <c r="Q74" i="4"/>
  <c r="Q66" i="4"/>
  <c r="Q58" i="4"/>
  <c r="Q50" i="4"/>
  <c r="Q42" i="4"/>
  <c r="Q26" i="4"/>
  <c r="Q18" i="4"/>
  <c r="Q65" i="4"/>
  <c r="Q103" i="4"/>
  <c r="Q95" i="4"/>
  <c r="Q87" i="4"/>
  <c r="Q79" i="4"/>
  <c r="Q71" i="4"/>
  <c r="Q63" i="4"/>
  <c r="Q55" i="4"/>
  <c r="Q47" i="4"/>
  <c r="Q39" i="4"/>
  <c r="Q31" i="4"/>
  <c r="Q23" i="4"/>
  <c r="Q15" i="4"/>
  <c r="Q100" i="4"/>
  <c r="Q92" i="4"/>
  <c r="Q84" i="4"/>
  <c r="Q76" i="4"/>
  <c r="Q68" i="4"/>
  <c r="Q60" i="4"/>
  <c r="Q52" i="4"/>
  <c r="Q44" i="4"/>
  <c r="Q36" i="4"/>
  <c r="Q28" i="4"/>
  <c r="Q20" i="4"/>
  <c r="Q105" i="4"/>
  <c r="Q89" i="4"/>
  <c r="Q97" i="4"/>
  <c r="S47" i="12"/>
  <c r="J48" i="12"/>
  <c r="V11" i="43"/>
  <c r="AK11" i="48"/>
  <c r="AK28" i="38"/>
  <c r="AK9" i="37"/>
  <c r="H142" i="34"/>
  <c r="W27" i="33"/>
  <c r="Q54" i="4"/>
  <c r="DI9" i="48"/>
  <c r="BH9" i="43"/>
  <c r="DI26" i="38"/>
  <c r="H482" i="34"/>
  <c r="DI7" i="37"/>
  <c r="BI25" i="33"/>
  <c r="W9" i="43"/>
  <c r="AM9" i="48"/>
  <c r="AM26" i="38"/>
  <c r="AM7" i="37"/>
  <c r="H149" i="34"/>
  <c r="X25" i="33"/>
  <c r="Q49" i="4"/>
  <c r="Q25" i="4"/>
  <c r="AQ11" i="48"/>
  <c r="Y11" i="43"/>
  <c r="AQ9" i="37"/>
  <c r="AQ28" i="38"/>
  <c r="H169" i="34"/>
  <c r="Z27" i="33"/>
  <c r="AE9" i="43"/>
  <c r="BC9" i="48"/>
  <c r="BC26" i="38"/>
  <c r="BC7" i="37"/>
  <c r="H221" i="34"/>
  <c r="AF25" i="33"/>
  <c r="Q41" i="4"/>
  <c r="BW11" i="48"/>
  <c r="AO11" i="43"/>
  <c r="BW9" i="37"/>
  <c r="BW28" i="38"/>
  <c r="H313" i="34"/>
  <c r="AP27" i="33"/>
  <c r="CI9" i="48"/>
  <c r="AU9" i="43"/>
  <c r="CI26" i="38"/>
  <c r="CI7" i="37"/>
  <c r="H365" i="34"/>
  <c r="AV25" i="33"/>
  <c r="Q57" i="4"/>
  <c r="FI11" i="48"/>
  <c r="CH11" i="43"/>
  <c r="FI9" i="37"/>
  <c r="FI28" i="38"/>
  <c r="CI27" i="33"/>
  <c r="H718" i="34"/>
  <c r="FU9" i="48"/>
  <c r="CN9" i="43"/>
  <c r="FU26" i="38"/>
  <c r="H770" i="34"/>
  <c r="FU7" i="37"/>
  <c r="CO25" i="33"/>
  <c r="J48" i="11"/>
  <c r="S47" i="11"/>
  <c r="J48" i="17"/>
  <c r="I47" i="17"/>
  <c r="BR11" i="43"/>
  <c r="EC28" i="38"/>
  <c r="EC9" i="37"/>
  <c r="EC11" i="48"/>
  <c r="BS27" i="33"/>
  <c r="H574" i="34"/>
  <c r="Q86" i="4"/>
  <c r="J7" i="11"/>
  <c r="S6" i="11"/>
  <c r="S6" i="13"/>
  <c r="J7" i="13"/>
  <c r="AD43" i="13"/>
  <c r="S43" i="16"/>
  <c r="AD45" i="16"/>
  <c r="AH44" i="30"/>
  <c r="CT31" i="33"/>
  <c r="CT136" i="33" s="1"/>
  <c r="CG31" i="33"/>
  <c r="CG136" i="33" s="1"/>
  <c r="BU31" i="33"/>
  <c r="BU136" i="33" s="1"/>
  <c r="BI31" i="33"/>
  <c r="BI136" i="33" s="1"/>
  <c r="AX31" i="33"/>
  <c r="AX136" i="33" s="1"/>
  <c r="AM31" i="33"/>
  <c r="AM136" i="33" s="1"/>
  <c r="AC31" i="33"/>
  <c r="AC136" i="33" s="1"/>
  <c r="R31" i="33"/>
  <c r="R136" i="33" s="1"/>
  <c r="CP31" i="33"/>
  <c r="CP136" i="33" s="1"/>
  <c r="CD31" i="33"/>
  <c r="CD136" i="33" s="1"/>
  <c r="BQ31" i="33"/>
  <c r="BQ136" i="33" s="1"/>
  <c r="BF31" i="33"/>
  <c r="BF136" i="33" s="1"/>
  <c r="AU31" i="33"/>
  <c r="AU136" i="33" s="1"/>
  <c r="AK31" i="33"/>
  <c r="AK136" i="33" s="1"/>
  <c r="Z31" i="33"/>
  <c r="Z136" i="33" s="1"/>
  <c r="O31" i="33"/>
  <c r="O136" i="33" s="1"/>
  <c r="CM31" i="33"/>
  <c r="CM136" i="33" s="1"/>
  <c r="BZ31" i="33"/>
  <c r="BZ136" i="33" s="1"/>
  <c r="BN31" i="33"/>
  <c r="BN136" i="33" s="1"/>
  <c r="BC31" i="33"/>
  <c r="BC136" i="33" s="1"/>
  <c r="AS31" i="33"/>
  <c r="AS136" i="33" s="1"/>
  <c r="AH31" i="33"/>
  <c r="AH136" i="33" s="1"/>
  <c r="W31" i="33"/>
  <c r="W136" i="33" s="1"/>
  <c r="M31" i="33"/>
  <c r="M136" i="33" s="1"/>
  <c r="CL31" i="33"/>
  <c r="CL136" i="33" s="1"/>
  <c r="BY31" i="33"/>
  <c r="BY136" i="33" s="1"/>
  <c r="BM31" i="33"/>
  <c r="BM136" i="33" s="1"/>
  <c r="BB31" i="33"/>
  <c r="BB136" i="33" s="1"/>
  <c r="AQ31" i="33"/>
  <c r="AQ136" i="33" s="1"/>
  <c r="AG31" i="33"/>
  <c r="AG136" i="33" s="1"/>
  <c r="V31" i="33"/>
  <c r="V136" i="33" s="1"/>
  <c r="K31" i="33"/>
  <c r="K136" i="33" s="1"/>
  <c r="CW31" i="33"/>
  <c r="CW136" i="33" s="1"/>
  <c r="CK31" i="33"/>
  <c r="CK136" i="33" s="1"/>
  <c r="BW31" i="33"/>
  <c r="BW136" i="33" s="1"/>
  <c r="BK31" i="33"/>
  <c r="BK136" i="33" s="1"/>
  <c r="BA31" i="33"/>
  <c r="BA136" i="33" s="1"/>
  <c r="AP31" i="33"/>
  <c r="AP136" i="33" s="1"/>
  <c r="AE31" i="33"/>
  <c r="AE136" i="33" s="1"/>
  <c r="U31" i="33"/>
  <c r="U136" i="33" s="1"/>
  <c r="J31" i="33"/>
  <c r="J136" i="33" s="1"/>
  <c r="DC11" i="48"/>
  <c r="BE11" i="43"/>
  <c r="DC9" i="37"/>
  <c r="H457" i="34"/>
  <c r="DC28" i="38"/>
  <c r="BF27" i="33"/>
  <c r="EE9" i="48"/>
  <c r="BS9" i="43"/>
  <c r="EE26" i="38"/>
  <c r="EE7" i="37"/>
  <c r="H581" i="34"/>
  <c r="BT25" i="33"/>
  <c r="G261" i="46"/>
  <c r="G203" i="46"/>
  <c r="G145" i="46"/>
  <c r="G87" i="46"/>
  <c r="G27" i="46"/>
  <c r="F294" i="46"/>
  <c r="F178" i="46"/>
  <c r="F120" i="46"/>
  <c r="F60" i="46"/>
  <c r="F236" i="46"/>
  <c r="G303" i="46"/>
  <c r="G245" i="46"/>
  <c r="G187" i="46"/>
  <c r="G129" i="46"/>
  <c r="G69" i="46"/>
  <c r="AD46" i="32"/>
  <c r="F190" i="46"/>
  <c r="F132" i="46"/>
  <c r="F72" i="46"/>
  <c r="F306" i="46"/>
  <c r="F248" i="46"/>
  <c r="J45" i="27"/>
  <c r="S44" i="27"/>
  <c r="S6" i="12"/>
  <c r="S44" i="14"/>
  <c r="I31" i="33"/>
  <c r="I136" i="33" s="1"/>
  <c r="CU31" i="33"/>
  <c r="CU136" i="33" s="1"/>
  <c r="G291" i="46"/>
  <c r="G233" i="46"/>
  <c r="G175" i="46"/>
  <c r="G117" i="46"/>
  <c r="G57" i="46"/>
  <c r="P15" i="4"/>
  <c r="Q11" i="48"/>
  <c r="L11" i="43"/>
  <c r="Q28" i="38"/>
  <c r="Q9" i="37"/>
  <c r="H52" i="34"/>
  <c r="M27" i="33"/>
  <c r="P23" i="4"/>
  <c r="AG11" i="48"/>
  <c r="T11" i="43"/>
  <c r="AG28" i="38"/>
  <c r="AG9" i="37"/>
  <c r="H124" i="34"/>
  <c r="U27" i="33"/>
  <c r="P31" i="4"/>
  <c r="AW11" i="48"/>
  <c r="AB11" i="43"/>
  <c r="AW28" i="38"/>
  <c r="AW9" i="37"/>
  <c r="H196" i="34"/>
  <c r="P39" i="4"/>
  <c r="BM11" i="48"/>
  <c r="AJ11" i="43"/>
  <c r="BM28" i="38"/>
  <c r="BM9" i="37"/>
  <c r="H268" i="34"/>
  <c r="AK27" i="33"/>
  <c r="P47" i="4"/>
  <c r="CC11" i="48"/>
  <c r="AR11" i="43"/>
  <c r="CC28" i="38"/>
  <c r="CC9" i="37"/>
  <c r="H340" i="34"/>
  <c r="AS27" i="33"/>
  <c r="P55" i="4"/>
  <c r="CS11" i="48"/>
  <c r="AZ11" i="43"/>
  <c r="CS28" i="38"/>
  <c r="CS9" i="37"/>
  <c r="H412" i="34"/>
  <c r="BA27" i="33"/>
  <c r="P63" i="4"/>
  <c r="DI11" i="48"/>
  <c r="BH11" i="43"/>
  <c r="DI28" i="38"/>
  <c r="DI9" i="37"/>
  <c r="H484" i="34"/>
  <c r="BI27" i="33"/>
  <c r="P71" i="4"/>
  <c r="DY11" i="48"/>
  <c r="BP11" i="43"/>
  <c r="DY28" i="38"/>
  <c r="DY9" i="37"/>
  <c r="H556" i="34"/>
  <c r="BQ27" i="33"/>
  <c r="P79" i="4"/>
  <c r="EO11" i="48"/>
  <c r="EO28" i="38"/>
  <c r="BX11" i="43"/>
  <c r="EO9" i="37"/>
  <c r="H628" i="34"/>
  <c r="P87" i="4"/>
  <c r="FE11" i="48"/>
  <c r="FE28" i="38"/>
  <c r="CF11" i="43"/>
  <c r="FE9" i="37"/>
  <c r="H700" i="34"/>
  <c r="CG27" i="33"/>
  <c r="P95" i="4"/>
  <c r="FU11" i="48"/>
  <c r="FU28" i="38"/>
  <c r="CN11" i="43"/>
  <c r="FU9" i="37"/>
  <c r="H772" i="34"/>
  <c r="CO27" i="33"/>
  <c r="P103" i="4"/>
  <c r="GK11" i="48"/>
  <c r="GK28" i="38"/>
  <c r="CV11" i="43"/>
  <c r="GK9" i="37"/>
  <c r="H844" i="34"/>
  <c r="CW27" i="33"/>
  <c r="L23" i="62"/>
  <c r="G24" i="62"/>
  <c r="S43" i="30"/>
  <c r="S42" i="31"/>
  <c r="AD43" i="12"/>
  <c r="AD44" i="14"/>
  <c r="S46" i="16"/>
  <c r="K7" i="27"/>
  <c r="S7" i="27" s="1"/>
  <c r="S6" i="27"/>
  <c r="J45" i="28"/>
  <c r="S31" i="33"/>
  <c r="S136" i="33" s="1"/>
  <c r="FK9" i="48"/>
  <c r="CI9" i="43"/>
  <c r="FK26" i="38"/>
  <c r="FK7" i="37"/>
  <c r="H725" i="34"/>
  <c r="CJ25" i="33"/>
  <c r="F166" i="46"/>
  <c r="F108" i="46"/>
  <c r="F48" i="46"/>
  <c r="F224" i="46"/>
  <c r="F282" i="46"/>
  <c r="P18" i="4"/>
  <c r="O11" i="43"/>
  <c r="W11" i="48"/>
  <c r="W9" i="37"/>
  <c r="W28" i="38"/>
  <c r="H79" i="34"/>
  <c r="P27" i="33"/>
  <c r="P26" i="4"/>
  <c r="W11" i="43"/>
  <c r="AM11" i="48"/>
  <c r="AM9" i="37"/>
  <c r="AM28" i="38"/>
  <c r="H151" i="34"/>
  <c r="X27" i="33"/>
  <c r="P34" i="4"/>
  <c r="AE11" i="43"/>
  <c r="BC11" i="48"/>
  <c r="BC9" i="37"/>
  <c r="BC28" i="38"/>
  <c r="H223" i="34"/>
  <c r="AF27" i="33"/>
  <c r="P42" i="4"/>
  <c r="AM11" i="43"/>
  <c r="BS11" i="48"/>
  <c r="BS9" i="37"/>
  <c r="BS28" i="38"/>
  <c r="H295" i="34"/>
  <c r="AN27" i="33"/>
  <c r="P50" i="4"/>
  <c r="AU11" i="43"/>
  <c r="CI11" i="48"/>
  <c r="CI9" i="37"/>
  <c r="CI28" i="38"/>
  <c r="H367" i="34"/>
  <c r="AV27" i="33"/>
  <c r="P58" i="4"/>
  <c r="BC11" i="43"/>
  <c r="CY11" i="48"/>
  <c r="CY9" i="37"/>
  <c r="CY28" i="38"/>
  <c r="H439" i="34"/>
  <c r="P66" i="4"/>
  <c r="BK11" i="43"/>
  <c r="DO11" i="48"/>
  <c r="DO9" i="37"/>
  <c r="DO28" i="38"/>
  <c r="H511" i="34"/>
  <c r="BL27" i="33"/>
  <c r="P74" i="4"/>
  <c r="BS11" i="43"/>
  <c r="EE11" i="48"/>
  <c r="EE28" i="38"/>
  <c r="EE9" i="37"/>
  <c r="H583" i="34"/>
  <c r="BT27" i="33"/>
  <c r="P82" i="4"/>
  <c r="CA11" i="43"/>
  <c r="EU11" i="48"/>
  <c r="EU9" i="37"/>
  <c r="EU28" i="38"/>
  <c r="H655" i="34"/>
  <c r="CB27" i="33"/>
  <c r="P90" i="4"/>
  <c r="FK11" i="48"/>
  <c r="CI11" i="43"/>
  <c r="FK9" i="37"/>
  <c r="FK28" i="38"/>
  <c r="H727" i="34"/>
  <c r="P98" i="4"/>
  <c r="CQ11" i="43"/>
  <c r="GA11" i="48"/>
  <c r="GA28" i="38"/>
  <c r="GA9" i="37"/>
  <c r="H799" i="34"/>
  <c r="CR27" i="33"/>
  <c r="G264" i="46"/>
  <c r="O19" i="62"/>
  <c r="G206" i="46"/>
  <c r="G148" i="46"/>
  <c r="G90" i="46"/>
  <c r="G30" i="46"/>
  <c r="F209" i="46"/>
  <c r="F151" i="46"/>
  <c r="F93" i="46"/>
  <c r="F33" i="46"/>
  <c r="F267" i="46"/>
  <c r="G276" i="46"/>
  <c r="G160" i="46"/>
  <c r="G102" i="46"/>
  <c r="G42" i="46"/>
  <c r="G218" i="46"/>
  <c r="F279" i="46"/>
  <c r="F163" i="46"/>
  <c r="F105" i="46"/>
  <c r="F45" i="46"/>
  <c r="F221" i="46"/>
  <c r="G224" i="46"/>
  <c r="G282" i="46"/>
  <c r="G166" i="46"/>
  <c r="G48" i="46"/>
  <c r="G108" i="46"/>
  <c r="AC41" i="21"/>
  <c r="F227" i="46"/>
  <c r="F285" i="46"/>
  <c r="F169" i="46"/>
  <c r="F111" i="46"/>
  <c r="F51" i="46"/>
  <c r="G236" i="46"/>
  <c r="G294" i="46"/>
  <c r="G60" i="46"/>
  <c r="G178" i="46"/>
  <c r="G120" i="46"/>
  <c r="F239" i="46"/>
  <c r="F297" i="46"/>
  <c r="F181" i="46"/>
  <c r="F123" i="46"/>
  <c r="F63" i="46"/>
  <c r="S44" i="30"/>
  <c r="I45" i="30" s="1"/>
  <c r="S43" i="31"/>
  <c r="I44" i="31" s="1"/>
  <c r="G306" i="46"/>
  <c r="G248" i="46"/>
  <c r="G72" i="46"/>
  <c r="G132" i="46"/>
  <c r="G190" i="46"/>
  <c r="AC41" i="27"/>
  <c r="F251" i="46"/>
  <c r="F193" i="46"/>
  <c r="F135" i="46"/>
  <c r="F75" i="46"/>
  <c r="F309" i="46"/>
  <c r="S6" i="15"/>
  <c r="AD46" i="16"/>
  <c r="U7" i="19"/>
  <c r="S44" i="21"/>
  <c r="AD31" i="33"/>
  <c r="AD136" i="33" s="1"/>
  <c r="CA9" i="43"/>
  <c r="EU9" i="48"/>
  <c r="EU26" i="38"/>
  <c r="EU7" i="37"/>
  <c r="H653" i="34"/>
  <c r="CB25" i="33"/>
  <c r="FO11" i="48"/>
  <c r="FO28" i="38"/>
  <c r="CK11" i="43"/>
  <c r="FO9" i="37"/>
  <c r="H745" i="34"/>
  <c r="CL27" i="33"/>
  <c r="G273" i="46"/>
  <c r="G157" i="46"/>
  <c r="G99" i="46"/>
  <c r="G39" i="46"/>
  <c r="G215" i="46"/>
  <c r="P21" i="4"/>
  <c r="P29" i="4"/>
  <c r="AS11" i="48"/>
  <c r="Z11" i="43"/>
  <c r="AS28" i="38"/>
  <c r="AS9" i="37"/>
  <c r="AA27" i="33"/>
  <c r="H178" i="34"/>
  <c r="P37" i="4"/>
  <c r="P45" i="4"/>
  <c r="BY11" i="48"/>
  <c r="AP11" i="43"/>
  <c r="BY28" i="38"/>
  <c r="AQ27" i="33"/>
  <c r="BY9" i="37"/>
  <c r="H322" i="34"/>
  <c r="P53" i="4"/>
  <c r="CO11" i="48"/>
  <c r="AX11" i="43"/>
  <c r="CO28" i="38"/>
  <c r="AY27" i="33"/>
  <c r="CO9" i="37"/>
  <c r="H394" i="34"/>
  <c r="P61" i="4"/>
  <c r="DE11" i="48"/>
  <c r="BF11" i="43"/>
  <c r="DE28" i="38"/>
  <c r="DE9" i="37"/>
  <c r="BG27" i="33"/>
  <c r="H466" i="34"/>
  <c r="P69" i="4"/>
  <c r="DU11" i="48"/>
  <c r="DU28" i="38"/>
  <c r="BN11" i="43"/>
  <c r="DU9" i="37"/>
  <c r="BO27" i="33"/>
  <c r="H538" i="34"/>
  <c r="P77" i="4"/>
  <c r="EK11" i="48"/>
  <c r="EK28" i="38"/>
  <c r="BV11" i="43"/>
  <c r="EK9" i="37"/>
  <c r="BW27" i="33"/>
  <c r="H610" i="34"/>
  <c r="P85" i="4"/>
  <c r="FA11" i="48"/>
  <c r="FA28" i="38"/>
  <c r="CD11" i="43"/>
  <c r="CE27" i="33"/>
  <c r="FA9" i="37"/>
  <c r="H682" i="34"/>
  <c r="P93" i="4"/>
  <c r="FQ11" i="48"/>
  <c r="FQ28" i="38"/>
  <c r="CL11" i="43"/>
  <c r="CM27" i="33"/>
  <c r="FQ9" i="37"/>
  <c r="H754" i="34"/>
  <c r="P101" i="4"/>
  <c r="GG11" i="48"/>
  <c r="GG28" i="38"/>
  <c r="CT11" i="43"/>
  <c r="CU27" i="33"/>
  <c r="GG9" i="37"/>
  <c r="H826" i="34"/>
  <c r="S45" i="14"/>
  <c r="AD43" i="15"/>
  <c r="S44" i="24"/>
  <c r="K7" i="30"/>
  <c r="S7" i="30" s="1"/>
  <c r="S6" i="30"/>
  <c r="S42" i="30"/>
  <c r="AC27" i="33"/>
  <c r="AO31" i="33"/>
  <c r="AO136" i="33" s="1"/>
  <c r="GA9" i="48"/>
  <c r="CQ9" i="43"/>
  <c r="GA26" i="38"/>
  <c r="GA7" i="37"/>
  <c r="H797" i="34"/>
  <c r="CR25" i="33"/>
  <c r="F264" i="46"/>
  <c r="F206" i="46"/>
  <c r="F148" i="46"/>
  <c r="F90" i="46"/>
  <c r="F30" i="46"/>
  <c r="M11" i="48"/>
  <c r="J11" i="43"/>
  <c r="M28" i="38"/>
  <c r="K27" i="33"/>
  <c r="M9" i="37"/>
  <c r="H34" i="34"/>
  <c r="BI11" i="48"/>
  <c r="AH11" i="43"/>
  <c r="BI28" i="38"/>
  <c r="AI27" i="33"/>
  <c r="BI9" i="37"/>
  <c r="H250" i="34"/>
  <c r="P16" i="4"/>
  <c r="M11" i="43"/>
  <c r="S11" i="48"/>
  <c r="S28" i="38"/>
  <c r="S9" i="37"/>
  <c r="H61" i="34"/>
  <c r="N27" i="33"/>
  <c r="P24" i="4"/>
  <c r="U11" i="43"/>
  <c r="AI28" i="38"/>
  <c r="AI9" i="37"/>
  <c r="AI11" i="48"/>
  <c r="H133" i="34"/>
  <c r="V27" i="33"/>
  <c r="P32" i="4"/>
  <c r="AC11" i="43"/>
  <c r="AY11" i="48"/>
  <c r="AY28" i="38"/>
  <c r="AY9" i="37"/>
  <c r="H205" i="34"/>
  <c r="AD27" i="33"/>
  <c r="P40" i="4"/>
  <c r="AK11" i="43"/>
  <c r="BO28" i="38"/>
  <c r="BO9" i="37"/>
  <c r="BO11" i="48"/>
  <c r="H277" i="34"/>
  <c r="P48" i="4"/>
  <c r="AS11" i="43"/>
  <c r="CE11" i="48"/>
  <c r="CE28" i="38"/>
  <c r="CE9" i="37"/>
  <c r="H349" i="34"/>
  <c r="AT27" i="33"/>
  <c r="P56" i="4"/>
  <c r="BA11" i="43"/>
  <c r="CU28" i="38"/>
  <c r="CU9" i="37"/>
  <c r="CU11" i="48"/>
  <c r="H421" i="34"/>
  <c r="BB27" i="33"/>
  <c r="P64" i="4"/>
  <c r="BI11" i="43"/>
  <c r="DK11" i="48"/>
  <c r="DK28" i="38"/>
  <c r="DK9" i="37"/>
  <c r="H493" i="34"/>
  <c r="BJ27" i="33"/>
  <c r="P72" i="4"/>
  <c r="EA11" i="48"/>
  <c r="BQ11" i="43"/>
  <c r="EA28" i="38"/>
  <c r="EA9" i="37"/>
  <c r="H565" i="34"/>
  <c r="BR27" i="33"/>
  <c r="P80" i="4"/>
  <c r="BY11" i="43"/>
  <c r="EQ11" i="48"/>
  <c r="EQ9" i="37"/>
  <c r="EQ28" i="38"/>
  <c r="H637" i="34"/>
  <c r="BZ27" i="33"/>
  <c r="P88" i="4"/>
  <c r="FG11" i="48"/>
  <c r="CG11" i="43"/>
  <c r="FG9" i="37"/>
  <c r="FG28" i="38"/>
  <c r="H709" i="34"/>
  <c r="CH27" i="33"/>
  <c r="P96" i="4"/>
  <c r="CO11" i="43"/>
  <c r="FW28" i="38"/>
  <c r="FW9" i="37"/>
  <c r="FW11" i="48"/>
  <c r="H781" i="34"/>
  <c r="CP27" i="33"/>
  <c r="P104" i="4"/>
  <c r="F258" i="46"/>
  <c r="F200" i="46"/>
  <c r="F142" i="46"/>
  <c r="F84" i="46"/>
  <c r="F24" i="46"/>
  <c r="G267" i="46"/>
  <c r="G209" i="46"/>
  <c r="G151" i="46"/>
  <c r="G93" i="46"/>
  <c r="G33" i="46"/>
  <c r="F154" i="46"/>
  <c r="F96" i="46"/>
  <c r="F36" i="46"/>
  <c r="F212" i="46"/>
  <c r="F270" i="46"/>
  <c r="G279" i="46"/>
  <c r="G221" i="46"/>
  <c r="G163" i="46"/>
  <c r="G105" i="46"/>
  <c r="G45" i="46"/>
  <c r="G285" i="46"/>
  <c r="G169" i="46"/>
  <c r="G111" i="46"/>
  <c r="G51" i="46"/>
  <c r="G227" i="46"/>
  <c r="AC41" i="22"/>
  <c r="F288" i="46"/>
  <c r="F172" i="46"/>
  <c r="F114" i="46"/>
  <c r="F54" i="46"/>
  <c r="F230" i="46"/>
  <c r="G239" i="46"/>
  <c r="G297" i="46"/>
  <c r="G181" i="46"/>
  <c r="G123" i="46"/>
  <c r="G63" i="46"/>
  <c r="AH42" i="30"/>
  <c r="F300" i="46"/>
  <c r="F184" i="46"/>
  <c r="F126" i="46"/>
  <c r="F66" i="46"/>
  <c r="F242" i="46"/>
  <c r="G251" i="46"/>
  <c r="G193" i="46"/>
  <c r="G135" i="46"/>
  <c r="G75" i="46"/>
  <c r="G309" i="46"/>
  <c r="AC41" i="28"/>
  <c r="F254" i="46"/>
  <c r="F196" i="46"/>
  <c r="F138" i="46"/>
  <c r="F78" i="46"/>
  <c r="F312" i="46"/>
  <c r="S43" i="14"/>
  <c r="AD45" i="14"/>
  <c r="AD44" i="16"/>
  <c r="AG49" i="19"/>
  <c r="J50" i="20"/>
  <c r="S45" i="21"/>
  <c r="J6" i="23"/>
  <c r="AL27" i="33"/>
  <c r="AY31" i="33"/>
  <c r="AY136" i="33" s="1"/>
  <c r="EY11" i="48"/>
  <c r="CC11" i="43"/>
  <c r="EY28" i="38"/>
  <c r="EY9" i="37"/>
  <c r="H673" i="34"/>
  <c r="CD27" i="33"/>
  <c r="GE11" i="48"/>
  <c r="GE28" i="38"/>
  <c r="CS11" i="43"/>
  <c r="GE9" i="37"/>
  <c r="H817" i="34"/>
  <c r="I9" i="48"/>
  <c r="H9" i="43"/>
  <c r="I26" i="38"/>
  <c r="I10" i="35"/>
  <c r="I10" i="36"/>
  <c r="H14" i="34"/>
  <c r="I7" i="37"/>
  <c r="I25" i="33"/>
  <c r="AC11" i="48"/>
  <c r="R11" i="43"/>
  <c r="AC28" i="38"/>
  <c r="S27" i="33"/>
  <c r="AC9" i="37"/>
  <c r="H106" i="34"/>
  <c r="I11" i="48"/>
  <c r="H11" i="43"/>
  <c r="I12" i="36"/>
  <c r="I28" i="38"/>
  <c r="I12" i="35"/>
  <c r="H16" i="34"/>
  <c r="I9" i="37"/>
  <c r="I27" i="33"/>
  <c r="P19" i="4"/>
  <c r="Y11" i="48"/>
  <c r="P11" i="43"/>
  <c r="Y28" i="38"/>
  <c r="Y9" i="37"/>
  <c r="H88" i="34"/>
  <c r="Q27" i="33"/>
  <c r="P27" i="4"/>
  <c r="AO11" i="48"/>
  <c r="AO28" i="38"/>
  <c r="X11" i="43"/>
  <c r="AO9" i="37"/>
  <c r="H160" i="34"/>
  <c r="Y27" i="33"/>
  <c r="P35" i="4"/>
  <c r="BE11" i="48"/>
  <c r="AF11" i="43"/>
  <c r="BE28" i="38"/>
  <c r="BE9" i="37"/>
  <c r="H232" i="34"/>
  <c r="AG27" i="33"/>
  <c r="P43" i="4"/>
  <c r="BU11" i="48"/>
  <c r="BU28" i="38"/>
  <c r="AN11" i="43"/>
  <c r="BU9" i="37"/>
  <c r="H304" i="34"/>
  <c r="AO27" i="33"/>
  <c r="P51" i="4"/>
  <c r="CK11" i="48"/>
  <c r="AV11" i="43"/>
  <c r="CK28" i="38"/>
  <c r="CK9" i="37"/>
  <c r="H376" i="34"/>
  <c r="AW27" i="33"/>
  <c r="P59" i="4"/>
  <c r="DA11" i="48"/>
  <c r="BD11" i="43"/>
  <c r="DA28" i="38"/>
  <c r="DA9" i="37"/>
  <c r="H448" i="34"/>
  <c r="BE27" i="33"/>
  <c r="P67" i="4"/>
  <c r="DQ11" i="48"/>
  <c r="BL11" i="43"/>
  <c r="DQ28" i="38"/>
  <c r="DQ9" i="37"/>
  <c r="H520" i="34"/>
  <c r="BM27" i="33"/>
  <c r="P75" i="4"/>
  <c r="EG11" i="48"/>
  <c r="BT11" i="43"/>
  <c r="EG28" i="38"/>
  <c r="EG9" i="37"/>
  <c r="H592" i="34"/>
  <c r="BU27" i="33"/>
  <c r="P83" i="4"/>
  <c r="EW11" i="48"/>
  <c r="CB11" i="43"/>
  <c r="EW28" i="38"/>
  <c r="EW9" i="37"/>
  <c r="H664" i="34"/>
  <c r="CC27" i="33"/>
  <c r="P91" i="4"/>
  <c r="FM11" i="48"/>
  <c r="FM28" i="38"/>
  <c r="CJ11" i="43"/>
  <c r="FM9" i="37"/>
  <c r="H736" i="34"/>
  <c r="CK27" i="33"/>
  <c r="P99" i="4"/>
  <c r="GC11" i="48"/>
  <c r="GC28" i="38"/>
  <c r="CR11" i="43"/>
  <c r="GC9" i="37"/>
  <c r="H808" i="34"/>
  <c r="CS27" i="33"/>
  <c r="J50" i="25"/>
  <c r="I49" i="25"/>
  <c r="AH43" i="30"/>
  <c r="AC42" i="31"/>
  <c r="AC41" i="24"/>
  <c r="AD46" i="26"/>
  <c r="S5" i="31"/>
  <c r="J6" i="31"/>
  <c r="BJ31" i="33"/>
  <c r="BJ136" i="33" s="1"/>
  <c r="EI11" i="48"/>
  <c r="BU11" i="43"/>
  <c r="EI28" i="38"/>
  <c r="EI9" i="37"/>
  <c r="H601" i="34"/>
  <c r="BV27" i="33"/>
  <c r="F276" i="46"/>
  <c r="F160" i="46"/>
  <c r="F102" i="46"/>
  <c r="F42" i="46"/>
  <c r="F218" i="46"/>
  <c r="K9" i="48"/>
  <c r="I9" i="43"/>
  <c r="K26" i="38"/>
  <c r="K7" i="37"/>
  <c r="H23" i="34"/>
  <c r="J25" i="33"/>
  <c r="O11" i="48"/>
  <c r="K11" i="43"/>
  <c r="O28" i="38"/>
  <c r="O9" i="37"/>
  <c r="H43" i="34"/>
  <c r="L27" i="33"/>
  <c r="Q9" i="43"/>
  <c r="AA9" i="48"/>
  <c r="AA26" i="38"/>
  <c r="AA7" i="37"/>
  <c r="H95" i="34"/>
  <c r="R25" i="33"/>
  <c r="AE11" i="48"/>
  <c r="S11" i="43"/>
  <c r="AE28" i="38"/>
  <c r="AE9" i="37"/>
  <c r="H115" i="34"/>
  <c r="P30" i="4"/>
  <c r="AU11" i="48"/>
  <c r="AA11" i="43"/>
  <c r="AU28" i="38"/>
  <c r="AU9" i="37"/>
  <c r="H187" i="34"/>
  <c r="AB27" i="33"/>
  <c r="P38" i="4"/>
  <c r="BK11" i="48"/>
  <c r="AI11" i="43"/>
  <c r="BK28" i="38"/>
  <c r="BK9" i="37"/>
  <c r="H259" i="34"/>
  <c r="AJ27" i="33"/>
  <c r="P46" i="4"/>
  <c r="CA11" i="48"/>
  <c r="AQ11" i="43"/>
  <c r="CA28" i="38"/>
  <c r="CA9" i="37"/>
  <c r="H331" i="34"/>
  <c r="AR27" i="33"/>
  <c r="P54" i="4"/>
  <c r="CQ11" i="48"/>
  <c r="AY11" i="43"/>
  <c r="CQ28" i="38"/>
  <c r="CQ9" i="37"/>
  <c r="H403" i="34"/>
  <c r="AZ27" i="33"/>
  <c r="P62" i="4"/>
  <c r="DG11" i="48"/>
  <c r="BG11" i="43"/>
  <c r="DG28" i="38"/>
  <c r="DG9" i="37"/>
  <c r="H475" i="34"/>
  <c r="BH27" i="33"/>
  <c r="P70" i="4"/>
  <c r="DW11" i="48"/>
  <c r="BO11" i="43"/>
  <c r="DW28" i="38"/>
  <c r="DW9" i="37"/>
  <c r="H547" i="34"/>
  <c r="BP27" i="33"/>
  <c r="P78" i="4"/>
  <c r="EM11" i="48"/>
  <c r="BW11" i="43"/>
  <c r="EM9" i="37"/>
  <c r="H619" i="34"/>
  <c r="EM28" i="38"/>
  <c r="BX27" i="33"/>
  <c r="P86" i="4"/>
  <c r="FC11" i="48"/>
  <c r="CE11" i="43"/>
  <c r="FC9" i="37"/>
  <c r="FC28" i="38"/>
  <c r="H691" i="34"/>
  <c r="CF27" i="33"/>
  <c r="P94" i="4"/>
  <c r="FS11" i="48"/>
  <c r="CM11" i="43"/>
  <c r="FS28" i="38"/>
  <c r="FS9" i="37"/>
  <c r="H763" i="34"/>
  <c r="CN27" i="33"/>
  <c r="GI11" i="48"/>
  <c r="CU11" i="43"/>
  <c r="GI28" i="38"/>
  <c r="GI9" i="37"/>
  <c r="H835" i="34"/>
  <c r="CV27" i="33"/>
  <c r="G200" i="46"/>
  <c r="G142" i="46"/>
  <c r="G84" i="46"/>
  <c r="G24" i="46"/>
  <c r="G5" i="46"/>
  <c r="G2" i="46"/>
  <c r="G258" i="46"/>
  <c r="F261" i="46"/>
  <c r="F203" i="46"/>
  <c r="F145" i="46"/>
  <c r="F87" i="46"/>
  <c r="F27" i="46"/>
  <c r="G212" i="46"/>
  <c r="G270" i="46"/>
  <c r="G154" i="46"/>
  <c r="G96" i="46"/>
  <c r="G36" i="46"/>
  <c r="F273" i="46"/>
  <c r="F157" i="46"/>
  <c r="F99" i="46"/>
  <c r="F39" i="46"/>
  <c r="F215" i="46"/>
  <c r="G288" i="46"/>
  <c r="G172" i="46"/>
  <c r="G114" i="46"/>
  <c r="G54" i="46"/>
  <c r="G230" i="46"/>
  <c r="F291" i="46"/>
  <c r="F175" i="46"/>
  <c r="F117" i="46"/>
  <c r="F57" i="46"/>
  <c r="F233" i="46"/>
  <c r="G300" i="46"/>
  <c r="G184" i="46"/>
  <c r="G126" i="46"/>
  <c r="G66" i="46"/>
  <c r="G242" i="46"/>
  <c r="F303" i="46"/>
  <c r="F187" i="46"/>
  <c r="F129" i="46"/>
  <c r="F69" i="46"/>
  <c r="F245" i="46"/>
  <c r="G196" i="46"/>
  <c r="G138" i="46"/>
  <c r="G78" i="46"/>
  <c r="G312" i="46"/>
  <c r="G254" i="46"/>
  <c r="AD46" i="29"/>
  <c r="S45" i="16"/>
  <c r="AD43" i="18"/>
  <c r="K51" i="20"/>
  <c r="S51" i="20" s="1"/>
  <c r="S5" i="21"/>
  <c r="AC41" i="23"/>
  <c r="K46" i="24"/>
  <c r="S46" i="24" s="1"/>
  <c r="AC41" i="31"/>
  <c r="BD27" i="33"/>
  <c r="BV31" i="33"/>
  <c r="BV136" i="33" s="1"/>
  <c r="CS31" i="33"/>
  <c r="CS136" i="33" s="1"/>
  <c r="S5" i="27"/>
  <c r="N31" i="33"/>
  <c r="N136" i="33" s="1"/>
  <c r="Y31" i="33"/>
  <c r="Y136" i="33" s="1"/>
  <c r="AI31" i="33"/>
  <c r="AI136" i="33" s="1"/>
  <c r="AT31" i="33"/>
  <c r="AT136" i="33" s="1"/>
  <c r="BE31" i="33"/>
  <c r="BE136" i="33" s="1"/>
  <c r="BO31" i="33"/>
  <c r="BO136" i="33" s="1"/>
  <c r="CC31" i="33"/>
  <c r="CC136" i="33" s="1"/>
  <c r="CO31" i="33"/>
  <c r="CO136" i="33" s="1"/>
  <c r="Q31" i="33"/>
  <c r="Q136" i="33" s="1"/>
  <c r="AA31" i="33"/>
  <c r="AA136" i="33" s="1"/>
  <c r="AL31" i="33"/>
  <c r="AL136" i="33" s="1"/>
  <c r="AW31" i="33"/>
  <c r="AW136" i="33" s="1"/>
  <c r="BG31" i="33"/>
  <c r="BG136" i="33" s="1"/>
  <c r="BR31" i="33"/>
  <c r="BR136" i="33" s="1"/>
  <c r="CE31" i="33"/>
  <c r="CE136" i="33" s="1"/>
  <c r="CR31" i="33"/>
  <c r="CR136" i="33" s="1"/>
  <c r="CJ31" i="33"/>
  <c r="CJ136" i="33" s="1"/>
  <c r="CB31" i="33"/>
  <c r="CB136" i="33" s="1"/>
  <c r="BT31" i="33"/>
  <c r="BT136" i="33" s="1"/>
  <c r="BL31" i="33"/>
  <c r="BL136" i="33" s="1"/>
  <c r="BD31" i="33"/>
  <c r="BD136" i="33" s="1"/>
  <c r="AV31" i="33"/>
  <c r="AV136" i="33" s="1"/>
  <c r="AN31" i="33"/>
  <c r="AN136" i="33" s="1"/>
  <c r="AF31" i="33"/>
  <c r="AF136" i="33" s="1"/>
  <c r="X31" i="33"/>
  <c r="X136" i="33" s="1"/>
  <c r="P31" i="33"/>
  <c r="P136" i="33" s="1"/>
  <c r="H31" i="33"/>
  <c r="H136" i="33" s="1"/>
  <c r="CQ31" i="33"/>
  <c r="CQ136" i="33" s="1"/>
  <c r="CI31" i="33"/>
  <c r="CI136" i="33" s="1"/>
  <c r="CA31" i="33"/>
  <c r="CA136" i="33" s="1"/>
  <c r="BS31" i="33"/>
  <c r="BS136" i="33" s="1"/>
  <c r="CV31" i="33"/>
  <c r="CV136" i="33" s="1"/>
  <c r="CN31" i="33"/>
  <c r="CN136" i="33" s="1"/>
  <c r="CF31" i="33"/>
  <c r="CF136" i="33" s="1"/>
  <c r="BX31" i="33"/>
  <c r="BX136" i="33" s="1"/>
  <c r="BP31" i="33"/>
  <c r="BP136" i="33" s="1"/>
  <c r="BH31" i="33"/>
  <c r="BH136" i="33" s="1"/>
  <c r="AZ31" i="33"/>
  <c r="AZ136" i="33" s="1"/>
  <c r="AR31" i="33"/>
  <c r="AR136" i="33" s="1"/>
  <c r="AJ31" i="33"/>
  <c r="AJ136" i="33" s="1"/>
  <c r="AB31" i="33"/>
  <c r="AB136" i="33" s="1"/>
  <c r="T31" i="33"/>
  <c r="T136" i="33" s="1"/>
  <c r="L31" i="33"/>
  <c r="L136" i="33" s="1"/>
  <c r="I58" i="41"/>
  <c r="H58" i="41" s="1"/>
  <c r="I48" i="41"/>
  <c r="H48" i="41" s="1"/>
  <c r="F10" i="52"/>
  <c r="F2" i="53"/>
  <c r="F2" i="52"/>
  <c r="F10" i="53"/>
  <c r="J49" i="49"/>
  <c r="J51" i="49"/>
  <c r="AA13" i="61"/>
  <c r="AA16" i="61"/>
  <c r="AA11" i="61"/>
  <c r="F29" i="49"/>
  <c r="J50" i="49"/>
  <c r="J52" i="49"/>
  <c r="J46" i="49"/>
  <c r="E3" i="60"/>
  <c r="E32" i="60"/>
  <c r="AA12" i="61"/>
  <c r="D5" i="50"/>
  <c r="U15" i="61"/>
  <c r="E29" i="60"/>
  <c r="EI9" i="48" l="1"/>
  <c r="BU9" i="43"/>
  <c r="EI26" i="38"/>
  <c r="EI7" i="37"/>
  <c r="H599" i="34"/>
  <c r="BV25" i="33"/>
  <c r="DQ9" i="48"/>
  <c r="BL9" i="43"/>
  <c r="DQ26" i="38"/>
  <c r="DQ7" i="37"/>
  <c r="H518" i="34"/>
  <c r="BM25" i="33"/>
  <c r="FG9" i="48"/>
  <c r="CG9" i="43"/>
  <c r="FG7" i="37"/>
  <c r="FG26" i="38"/>
  <c r="H707" i="34"/>
  <c r="CH25" i="33"/>
  <c r="K8" i="13"/>
  <c r="S8" i="13" s="1"/>
  <c r="S7" i="13"/>
  <c r="CC9" i="43"/>
  <c r="EY9" i="48"/>
  <c r="EY26" i="38"/>
  <c r="EY7" i="37"/>
  <c r="H671" i="34"/>
  <c r="CD25" i="33"/>
  <c r="EC9" i="48"/>
  <c r="BR9" i="43"/>
  <c r="EC26" i="38"/>
  <c r="H572" i="34"/>
  <c r="EC7" i="37"/>
  <c r="BS25" i="33"/>
  <c r="CM9" i="43"/>
  <c r="FS9" i="48"/>
  <c r="FS7" i="37"/>
  <c r="FS26" i="38"/>
  <c r="H761" i="34"/>
  <c r="CN25" i="33"/>
  <c r="AI9" i="43"/>
  <c r="BK9" i="48"/>
  <c r="BK26" i="38"/>
  <c r="BK7" i="37"/>
  <c r="H257" i="34"/>
  <c r="AJ25" i="33"/>
  <c r="EG9" i="48"/>
  <c r="BT9" i="43"/>
  <c r="EG26" i="38"/>
  <c r="EG7" i="37"/>
  <c r="H590" i="34"/>
  <c r="BU25" i="33"/>
  <c r="J46" i="30"/>
  <c r="S45" i="30"/>
  <c r="BO9" i="48"/>
  <c r="AK9" i="43"/>
  <c r="BO26" i="38"/>
  <c r="BO7" i="37"/>
  <c r="H275" i="34"/>
  <c r="AL25" i="33"/>
  <c r="FA9" i="48"/>
  <c r="FA26" i="38"/>
  <c r="FA7" i="37"/>
  <c r="CD9" i="43"/>
  <c r="H680" i="34"/>
  <c r="CE25" i="33"/>
  <c r="K46" i="27"/>
  <c r="S46" i="27" s="1"/>
  <c r="S45" i="27"/>
  <c r="BC10" i="48"/>
  <c r="AE10" i="43"/>
  <c r="BC8" i="37"/>
  <c r="H222" i="34"/>
  <c r="BC27" i="38"/>
  <c r="AF26" i="33"/>
  <c r="GA10" i="48"/>
  <c r="CQ10" i="43"/>
  <c r="GA8" i="37"/>
  <c r="H798" i="34"/>
  <c r="GA27" i="38"/>
  <c r="CR26" i="33"/>
  <c r="DU10" i="48"/>
  <c r="BN10" i="43"/>
  <c r="DU27" i="38"/>
  <c r="DU8" i="37"/>
  <c r="H537" i="34"/>
  <c r="BO26" i="33"/>
  <c r="AK10" i="43"/>
  <c r="BO10" i="48"/>
  <c r="BO8" i="37"/>
  <c r="BO27" i="38"/>
  <c r="H276" i="34"/>
  <c r="AL26" i="33"/>
  <c r="BX10" i="43"/>
  <c r="EO10" i="48"/>
  <c r="EO27" i="38"/>
  <c r="EO8" i="37"/>
  <c r="H627" i="34"/>
  <c r="BY26" i="33"/>
  <c r="DQ10" i="48"/>
  <c r="BL10" i="43"/>
  <c r="DQ27" i="38"/>
  <c r="H519" i="34"/>
  <c r="DQ8" i="37"/>
  <c r="BM26" i="33"/>
  <c r="AU10" i="48"/>
  <c r="AA10" i="43"/>
  <c r="AU27" i="38"/>
  <c r="AU8" i="37"/>
  <c r="H186" i="34"/>
  <c r="AB26" i="33"/>
  <c r="CM10" i="43"/>
  <c r="FS10" i="48"/>
  <c r="FS27" i="38"/>
  <c r="FS8" i="37"/>
  <c r="H762" i="34"/>
  <c r="CN26" i="33"/>
  <c r="DM10" i="48"/>
  <c r="DM27" i="38"/>
  <c r="BJ10" i="43"/>
  <c r="H501" i="34"/>
  <c r="DM8" i="37"/>
  <c r="BK26" i="33"/>
  <c r="K46" i="23"/>
  <c r="S46" i="23" s="1"/>
  <c r="S45" i="23"/>
  <c r="BE10" i="43"/>
  <c r="DC27" i="38"/>
  <c r="DC10" i="48"/>
  <c r="DC8" i="37"/>
  <c r="H456" i="34"/>
  <c r="BF26" i="33"/>
  <c r="S48" i="18"/>
  <c r="K49" i="18"/>
  <c r="S49" i="18" s="1"/>
  <c r="AA9" i="43"/>
  <c r="AU9" i="48"/>
  <c r="AU26" i="38"/>
  <c r="AU7" i="37"/>
  <c r="H185" i="34"/>
  <c r="AB25" i="33"/>
  <c r="U10" i="43"/>
  <c r="AI10" i="48"/>
  <c r="AI8" i="37"/>
  <c r="AI27" i="38"/>
  <c r="H132" i="34"/>
  <c r="V26" i="33"/>
  <c r="CE10" i="43"/>
  <c r="FC27" i="38"/>
  <c r="FC10" i="48"/>
  <c r="FC8" i="37"/>
  <c r="H690" i="34"/>
  <c r="CF26" i="33"/>
  <c r="CK9" i="43"/>
  <c r="FO9" i="48"/>
  <c r="FO26" i="38"/>
  <c r="FO7" i="37"/>
  <c r="H743" i="34"/>
  <c r="CL25" i="33"/>
  <c r="Y9" i="43"/>
  <c r="AQ9" i="48"/>
  <c r="AQ26" i="38"/>
  <c r="H167" i="34"/>
  <c r="AQ7" i="37"/>
  <c r="Z25" i="33"/>
  <c r="BZ9" i="43"/>
  <c r="ES9" i="48"/>
  <c r="ES26" i="38"/>
  <c r="ES7" i="37"/>
  <c r="H644" i="34"/>
  <c r="CA25" i="33"/>
  <c r="U9" i="48"/>
  <c r="N9" i="43"/>
  <c r="U26" i="38"/>
  <c r="H68" i="34"/>
  <c r="U7" i="37"/>
  <c r="O25" i="33"/>
  <c r="GI9" i="48"/>
  <c r="CU9" i="43"/>
  <c r="GI7" i="37"/>
  <c r="GI26" i="38"/>
  <c r="H833" i="34"/>
  <c r="CV25" i="33"/>
  <c r="EW9" i="48"/>
  <c r="CB9" i="43"/>
  <c r="EW26" i="38"/>
  <c r="EW7" i="37"/>
  <c r="H662" i="34"/>
  <c r="CC25" i="33"/>
  <c r="FW9" i="48"/>
  <c r="FW7" i="37"/>
  <c r="CO9" i="43"/>
  <c r="FW26" i="38"/>
  <c r="H779" i="34"/>
  <c r="CP25" i="33"/>
  <c r="CE9" i="48"/>
  <c r="AS9" i="43"/>
  <c r="CE26" i="38"/>
  <c r="CE7" i="37"/>
  <c r="H347" i="34"/>
  <c r="AT25" i="33"/>
  <c r="FQ9" i="48"/>
  <c r="FQ26" i="38"/>
  <c r="CL9" i="43"/>
  <c r="FQ7" i="37"/>
  <c r="H752" i="34"/>
  <c r="CM25" i="33"/>
  <c r="BI9" i="48"/>
  <c r="BI26" i="38"/>
  <c r="AH9" i="43"/>
  <c r="H248" i="34"/>
  <c r="BI7" i="37"/>
  <c r="AI25" i="33"/>
  <c r="K49" i="12"/>
  <c r="S49" i="12" s="1"/>
  <c r="S48" i="12"/>
  <c r="BS10" i="48"/>
  <c r="AM10" i="43"/>
  <c r="BS8" i="37"/>
  <c r="H294" i="34"/>
  <c r="BS27" i="38"/>
  <c r="AN26" i="33"/>
  <c r="M10" i="48"/>
  <c r="J10" i="43"/>
  <c r="M27" i="38"/>
  <c r="M8" i="37"/>
  <c r="H33" i="34"/>
  <c r="K26" i="33"/>
  <c r="EK10" i="48"/>
  <c r="BV10" i="43"/>
  <c r="EK27" i="38"/>
  <c r="EK8" i="37"/>
  <c r="H609" i="34"/>
  <c r="BW26" i="33"/>
  <c r="AS10" i="43"/>
  <c r="CE10" i="48"/>
  <c r="CE8" i="37"/>
  <c r="CE27" i="38"/>
  <c r="H348" i="34"/>
  <c r="AT26" i="33"/>
  <c r="H10" i="43"/>
  <c r="I10" i="48"/>
  <c r="I27" i="38"/>
  <c r="I11" i="35"/>
  <c r="H15" i="34"/>
  <c r="I8" i="37"/>
  <c r="I11" i="36"/>
  <c r="I26" i="33"/>
  <c r="BT10" i="43"/>
  <c r="EG10" i="48"/>
  <c r="EG27" i="38"/>
  <c r="H591" i="34"/>
  <c r="EG8" i="37"/>
  <c r="BU26" i="33"/>
  <c r="AI10" i="43"/>
  <c r="BK10" i="48"/>
  <c r="BK27" i="38"/>
  <c r="H258" i="34"/>
  <c r="BK8" i="37"/>
  <c r="AJ26" i="33"/>
  <c r="CU10" i="43"/>
  <c r="GI10" i="48"/>
  <c r="GI27" i="38"/>
  <c r="GI8" i="37"/>
  <c r="H834" i="34"/>
  <c r="CV26" i="33"/>
  <c r="EC10" i="48"/>
  <c r="BR10" i="43"/>
  <c r="EC27" i="38"/>
  <c r="EC8" i="37"/>
  <c r="H573" i="34"/>
  <c r="BS26" i="33"/>
  <c r="DY10" i="48"/>
  <c r="BP10" i="43"/>
  <c r="DY27" i="38"/>
  <c r="DY8" i="37"/>
  <c r="H555" i="34"/>
  <c r="BQ26" i="33"/>
  <c r="D42" i="7"/>
  <c r="D43" i="7" s="1"/>
  <c r="D44" i="7" s="1"/>
  <c r="D40" i="7"/>
  <c r="D39" i="7"/>
  <c r="DS10" i="48"/>
  <c r="BM10" i="43"/>
  <c r="DS27" i="38"/>
  <c r="DS8" i="37"/>
  <c r="H528" i="34"/>
  <c r="BN26" i="33"/>
  <c r="K46" i="22"/>
  <c r="S46" i="22" s="1"/>
  <c r="S45" i="22"/>
  <c r="J45" i="31"/>
  <c r="S44" i="31"/>
  <c r="AS9" i="48"/>
  <c r="AS26" i="38"/>
  <c r="Z9" i="43"/>
  <c r="H176" i="34"/>
  <c r="AS7" i="37"/>
  <c r="AA25" i="33"/>
  <c r="DE10" i="48"/>
  <c r="BF10" i="43"/>
  <c r="DE27" i="38"/>
  <c r="DE8" i="37"/>
  <c r="H465" i="34"/>
  <c r="BG26" i="33"/>
  <c r="S10" i="43"/>
  <c r="AE27" i="38"/>
  <c r="AE10" i="48"/>
  <c r="AE8" i="37"/>
  <c r="H114" i="34"/>
  <c r="T26" i="33"/>
  <c r="AG9" i="43"/>
  <c r="BG9" i="48"/>
  <c r="BG26" i="38"/>
  <c r="H239" i="34"/>
  <c r="BG7" i="37"/>
  <c r="AH25" i="33"/>
  <c r="FI9" i="48"/>
  <c r="CH9" i="43"/>
  <c r="FI26" i="38"/>
  <c r="H716" i="34"/>
  <c r="FI7" i="37"/>
  <c r="CI25" i="33"/>
  <c r="V9" i="43"/>
  <c r="AK9" i="48"/>
  <c r="AK26" i="38"/>
  <c r="AK7" i="37"/>
  <c r="H140" i="34"/>
  <c r="W25" i="33"/>
  <c r="AQ9" i="43"/>
  <c r="CA9" i="48"/>
  <c r="CA26" i="38"/>
  <c r="H329" i="34"/>
  <c r="CA7" i="37"/>
  <c r="AR25" i="33"/>
  <c r="FM9" i="48"/>
  <c r="CJ9" i="43"/>
  <c r="FM26" i="38"/>
  <c r="FM7" i="37"/>
  <c r="H734" i="34"/>
  <c r="CK25" i="33"/>
  <c r="CU9" i="48"/>
  <c r="BA9" i="43"/>
  <c r="H419" i="34"/>
  <c r="CU7" i="37"/>
  <c r="CU26" i="38"/>
  <c r="BB25" i="33"/>
  <c r="K46" i="28"/>
  <c r="S46" i="28" s="1"/>
  <c r="S45" i="28"/>
  <c r="H25" i="62"/>
  <c r="L25" i="62" s="1"/>
  <c r="L24" i="62"/>
  <c r="GG9" i="48"/>
  <c r="GG26" i="38"/>
  <c r="GG7" i="37"/>
  <c r="CT9" i="43"/>
  <c r="H824" i="34"/>
  <c r="CU25" i="33"/>
  <c r="BY9" i="48"/>
  <c r="BY26" i="38"/>
  <c r="AP9" i="43"/>
  <c r="H320" i="34"/>
  <c r="BY7" i="37"/>
  <c r="AQ25" i="33"/>
  <c r="S7" i="11"/>
  <c r="K8" i="11"/>
  <c r="S8" i="11" s="1"/>
  <c r="CS10" i="48"/>
  <c r="CS27" i="38"/>
  <c r="AZ10" i="43"/>
  <c r="CS8" i="37"/>
  <c r="H411" i="34"/>
  <c r="BA26" i="33"/>
  <c r="CM10" i="48"/>
  <c r="AW10" i="43"/>
  <c r="CM27" i="38"/>
  <c r="CM8" i="37"/>
  <c r="H384" i="34"/>
  <c r="AX26" i="33"/>
  <c r="CI10" i="48"/>
  <c r="AU10" i="43"/>
  <c r="CI8" i="37"/>
  <c r="CI27" i="38"/>
  <c r="H366" i="34"/>
  <c r="AV26" i="33"/>
  <c r="AC10" i="48"/>
  <c r="R10" i="43"/>
  <c r="AC27" i="38"/>
  <c r="AC8" i="37"/>
  <c r="H105" i="34"/>
  <c r="S26" i="33"/>
  <c r="FA10" i="48"/>
  <c r="CD10" i="43"/>
  <c r="FA27" i="38"/>
  <c r="FA8" i="37"/>
  <c r="H681" i="34"/>
  <c r="CE26" i="33"/>
  <c r="BA10" i="43"/>
  <c r="CU10" i="48"/>
  <c r="CU8" i="37"/>
  <c r="CU27" i="38"/>
  <c r="H420" i="34"/>
  <c r="BB26" i="33"/>
  <c r="Y10" i="48"/>
  <c r="P10" i="43"/>
  <c r="Y27" i="38"/>
  <c r="H87" i="34"/>
  <c r="Y8" i="37"/>
  <c r="Q26" i="33"/>
  <c r="EW10" i="48"/>
  <c r="CB10" i="43"/>
  <c r="EW27" i="38"/>
  <c r="H663" i="34"/>
  <c r="EW8" i="37"/>
  <c r="CC26" i="33"/>
  <c r="CA10" i="48"/>
  <c r="AQ10" i="43"/>
  <c r="CA27" i="38"/>
  <c r="CA8" i="37"/>
  <c r="H330" i="34"/>
  <c r="AR26" i="33"/>
  <c r="U10" i="48"/>
  <c r="N10" i="43"/>
  <c r="U27" i="38"/>
  <c r="H69" i="34"/>
  <c r="U8" i="37"/>
  <c r="O26" i="33"/>
  <c r="ES10" i="48"/>
  <c r="ES27" i="38"/>
  <c r="H645" i="34"/>
  <c r="ES8" i="37"/>
  <c r="BZ10" i="43"/>
  <c r="CA26" i="33"/>
  <c r="AQ10" i="48"/>
  <c r="Y10" i="43"/>
  <c r="AQ27" i="38"/>
  <c r="AQ8" i="37"/>
  <c r="H168" i="34"/>
  <c r="Z26" i="33"/>
  <c r="AG10" i="43"/>
  <c r="BG10" i="48"/>
  <c r="BG27" i="38"/>
  <c r="BG8" i="37"/>
  <c r="H240" i="34"/>
  <c r="AH26" i="33"/>
  <c r="DM9" i="48"/>
  <c r="BJ9" i="43"/>
  <c r="DM26" i="38"/>
  <c r="DM7" i="37"/>
  <c r="H500" i="34"/>
  <c r="BK25" i="33"/>
  <c r="AY9" i="48"/>
  <c r="AC9" i="43"/>
  <c r="AY26" i="38"/>
  <c r="AY7" i="37"/>
  <c r="H203" i="34"/>
  <c r="AD25" i="33"/>
  <c r="AM10" i="48"/>
  <c r="W10" i="43"/>
  <c r="AM8" i="37"/>
  <c r="H150" i="34"/>
  <c r="AM27" i="38"/>
  <c r="X26" i="33"/>
  <c r="AO9" i="43"/>
  <c r="BW9" i="48"/>
  <c r="BW26" i="38"/>
  <c r="BW7" i="37"/>
  <c r="H311" i="34"/>
  <c r="AP25" i="33"/>
  <c r="FY9" i="48"/>
  <c r="CP9" i="43"/>
  <c r="FY26" i="38"/>
  <c r="H788" i="34"/>
  <c r="FY7" i="37"/>
  <c r="CQ25" i="33"/>
  <c r="AD9" i="43"/>
  <c r="BA26" i="38"/>
  <c r="BA9" i="48"/>
  <c r="BA7" i="37"/>
  <c r="H212" i="34"/>
  <c r="AE25" i="33"/>
  <c r="AY9" i="43"/>
  <c r="CQ9" i="48"/>
  <c r="CQ7" i="37"/>
  <c r="CQ26" i="38"/>
  <c r="H401" i="34"/>
  <c r="AZ25" i="33"/>
  <c r="GC9" i="48"/>
  <c r="CR9" i="43"/>
  <c r="GC26" i="38"/>
  <c r="GC7" i="37"/>
  <c r="H806" i="34"/>
  <c r="CS25" i="33"/>
  <c r="AX9" i="43"/>
  <c r="CO26" i="38"/>
  <c r="CO9" i="48"/>
  <c r="CO7" i="37"/>
  <c r="H392" i="34"/>
  <c r="AY25" i="33"/>
  <c r="EY10" i="48"/>
  <c r="CC10" i="43"/>
  <c r="EY27" i="38"/>
  <c r="EY8" i="37"/>
  <c r="H672" i="34"/>
  <c r="CD26" i="33"/>
  <c r="K49" i="17"/>
  <c r="S49" i="17" s="1"/>
  <c r="S48" i="17"/>
  <c r="CN10" i="43"/>
  <c r="FU10" i="48"/>
  <c r="FU27" i="38"/>
  <c r="FU8" i="37"/>
  <c r="H771" i="34"/>
  <c r="CO26" i="33"/>
  <c r="CY10" i="48"/>
  <c r="BC10" i="43"/>
  <c r="CY8" i="37"/>
  <c r="CY27" i="38"/>
  <c r="H438" i="34"/>
  <c r="BD26" i="33"/>
  <c r="AS10" i="48"/>
  <c r="Z10" i="43"/>
  <c r="AS27" i="38"/>
  <c r="AS8" i="37"/>
  <c r="H177" i="34"/>
  <c r="AA26" i="33"/>
  <c r="FQ10" i="48"/>
  <c r="CL10" i="43"/>
  <c r="FQ27" i="38"/>
  <c r="FQ8" i="37"/>
  <c r="H753" i="34"/>
  <c r="CM26" i="33"/>
  <c r="BI10" i="43"/>
  <c r="DK10" i="48"/>
  <c r="DK8" i="37"/>
  <c r="DK27" i="38"/>
  <c r="H492" i="34"/>
  <c r="BJ26" i="33"/>
  <c r="AO10" i="48"/>
  <c r="X10" i="43"/>
  <c r="AO27" i="38"/>
  <c r="H159" i="34"/>
  <c r="AO8" i="37"/>
  <c r="Y26" i="33"/>
  <c r="FM10" i="48"/>
  <c r="CJ10" i="43"/>
  <c r="FM27" i="38"/>
  <c r="H735" i="34"/>
  <c r="FM8" i="37"/>
  <c r="CK26" i="33"/>
  <c r="AY10" i="43"/>
  <c r="CQ10" i="48"/>
  <c r="CQ27" i="38"/>
  <c r="H402" i="34"/>
  <c r="CQ8" i="37"/>
  <c r="AZ26" i="33"/>
  <c r="AK10" i="48"/>
  <c r="V10" i="43"/>
  <c r="AK27" i="38"/>
  <c r="H141" i="34"/>
  <c r="AK8" i="37"/>
  <c r="W26" i="33"/>
  <c r="FI10" i="48"/>
  <c r="CH10" i="43"/>
  <c r="FI27" i="38"/>
  <c r="H717" i="34"/>
  <c r="FI8" i="37"/>
  <c r="CI26" i="33"/>
  <c r="U55" i="19"/>
  <c r="L56" i="19"/>
  <c r="U56" i="19" s="1"/>
  <c r="BM10" i="48"/>
  <c r="BM27" i="38"/>
  <c r="BM8" i="37"/>
  <c r="H267" i="34"/>
  <c r="AJ10" i="43"/>
  <c r="AK26" i="33"/>
  <c r="FK10" i="48"/>
  <c r="CI10" i="43"/>
  <c r="FK8" i="37"/>
  <c r="H726" i="34"/>
  <c r="FK27" i="38"/>
  <c r="CJ26" i="33"/>
  <c r="DA10" i="48"/>
  <c r="BD10" i="43"/>
  <c r="DA27" i="38"/>
  <c r="H447" i="34"/>
  <c r="DA8" i="37"/>
  <c r="BE26" i="33"/>
  <c r="CM9" i="48"/>
  <c r="AW9" i="43"/>
  <c r="CM26" i="38"/>
  <c r="CM7" i="37"/>
  <c r="H383" i="34"/>
  <c r="AX25" i="33"/>
  <c r="BQ9" i="48"/>
  <c r="AL9" i="43"/>
  <c r="BQ26" i="38"/>
  <c r="H284" i="34"/>
  <c r="BQ7" i="37"/>
  <c r="AM25" i="33"/>
  <c r="BG9" i="43"/>
  <c r="DG9" i="48"/>
  <c r="DG7" i="37"/>
  <c r="DG26" i="38"/>
  <c r="H473" i="34"/>
  <c r="BH25" i="33"/>
  <c r="BU9" i="48"/>
  <c r="AN9" i="43"/>
  <c r="BU26" i="38"/>
  <c r="BU7" i="37"/>
  <c r="H302" i="34"/>
  <c r="AO25" i="33"/>
  <c r="AO9" i="48"/>
  <c r="X9" i="43"/>
  <c r="AO26" i="38"/>
  <c r="H158" i="34"/>
  <c r="AO7" i="37"/>
  <c r="Y25" i="33"/>
  <c r="DK9" i="48"/>
  <c r="BI9" i="43"/>
  <c r="DK7" i="37"/>
  <c r="H491" i="34"/>
  <c r="DK26" i="38"/>
  <c r="BJ25" i="33"/>
  <c r="DE9" i="48"/>
  <c r="DE26" i="38"/>
  <c r="H464" i="34"/>
  <c r="BF9" i="43"/>
  <c r="DE7" i="37"/>
  <c r="BG25" i="33"/>
  <c r="AG10" i="48"/>
  <c r="AG27" i="38"/>
  <c r="T10" i="43"/>
  <c r="AG8" i="37"/>
  <c r="H123" i="34"/>
  <c r="U26" i="33"/>
  <c r="CF10" i="43"/>
  <c r="FE10" i="48"/>
  <c r="FE27" i="38"/>
  <c r="FE8" i="37"/>
  <c r="H699" i="34"/>
  <c r="CG26" i="33"/>
  <c r="DO10" i="48"/>
  <c r="BK10" i="43"/>
  <c r="DO8" i="37"/>
  <c r="DO27" i="38"/>
  <c r="H510" i="34"/>
  <c r="BL26" i="33"/>
  <c r="BI10" i="48"/>
  <c r="AH10" i="43"/>
  <c r="BI27" i="38"/>
  <c r="BI8" i="37"/>
  <c r="H249" i="34"/>
  <c r="AI26" i="33"/>
  <c r="GG10" i="48"/>
  <c r="CT10" i="43"/>
  <c r="GG27" i="38"/>
  <c r="GG8" i="37"/>
  <c r="H825" i="34"/>
  <c r="CU26" i="33"/>
  <c r="BQ10" i="43"/>
  <c r="EA8" i="37"/>
  <c r="EA10" i="48"/>
  <c r="EA27" i="38"/>
  <c r="H564" i="34"/>
  <c r="BR26" i="33"/>
  <c r="AF10" i="43"/>
  <c r="BE27" i="38"/>
  <c r="BE10" i="48"/>
  <c r="H231" i="34"/>
  <c r="BE8" i="37"/>
  <c r="AG26" i="33"/>
  <c r="GC10" i="48"/>
  <c r="CR10" i="43"/>
  <c r="GC27" i="38"/>
  <c r="GC8" i="37"/>
  <c r="H807" i="34"/>
  <c r="CS26" i="33"/>
  <c r="BG10" i="43"/>
  <c r="DG10" i="48"/>
  <c r="DG27" i="38"/>
  <c r="DG8" i="37"/>
  <c r="H474" i="34"/>
  <c r="BH26" i="33"/>
  <c r="BA10" i="48"/>
  <c r="AD10" i="43"/>
  <c r="BA27" i="38"/>
  <c r="H213" i="34"/>
  <c r="BA8" i="37"/>
  <c r="AE26" i="33"/>
  <c r="FY10" i="48"/>
  <c r="CP10" i="43"/>
  <c r="FY27" i="38"/>
  <c r="H789" i="34"/>
  <c r="FY8" i="37"/>
  <c r="CQ26" i="33"/>
  <c r="BU10" i="43"/>
  <c r="EI10" i="48"/>
  <c r="EI27" i="38"/>
  <c r="EI8" i="37"/>
  <c r="H600" i="34"/>
  <c r="BV26" i="33"/>
  <c r="AA10" i="48"/>
  <c r="Q10" i="43"/>
  <c r="AA27" i="38"/>
  <c r="AA8" i="37"/>
  <c r="H96" i="34"/>
  <c r="R26" i="33"/>
  <c r="K49" i="15"/>
  <c r="S49" i="15" s="1"/>
  <c r="S48" i="15"/>
  <c r="CO10" i="43"/>
  <c r="FW10" i="48"/>
  <c r="FW8" i="37"/>
  <c r="FW27" i="38"/>
  <c r="H780" i="34"/>
  <c r="CP26" i="33"/>
  <c r="CW10" i="48"/>
  <c r="BB10" i="43"/>
  <c r="CW27" i="38"/>
  <c r="H429" i="34"/>
  <c r="CW8" i="37"/>
  <c r="BC26" i="33"/>
  <c r="BE9" i="43"/>
  <c r="DC9" i="48"/>
  <c r="DC26" i="38"/>
  <c r="DC7" i="37"/>
  <c r="H455" i="34"/>
  <c r="BF25" i="33"/>
  <c r="K7" i="31"/>
  <c r="S7" i="31" s="1"/>
  <c r="S6" i="31"/>
  <c r="CG9" i="48"/>
  <c r="AT9" i="43"/>
  <c r="CG26" i="38"/>
  <c r="H356" i="34"/>
  <c r="CG7" i="37"/>
  <c r="AU25" i="33"/>
  <c r="K7" i="23"/>
  <c r="S7" i="23" s="1"/>
  <c r="S6" i="23"/>
  <c r="BO9" i="43"/>
  <c r="DW9" i="48"/>
  <c r="DW7" i="37"/>
  <c r="DW26" i="38"/>
  <c r="H545" i="34"/>
  <c r="BP25" i="33"/>
  <c r="O9" i="48"/>
  <c r="K9" i="43"/>
  <c r="O26" i="38"/>
  <c r="O7" i="37"/>
  <c r="H41" i="34"/>
  <c r="L25" i="33"/>
  <c r="CK9" i="48"/>
  <c r="AV9" i="43"/>
  <c r="CK26" i="38"/>
  <c r="H374" i="34"/>
  <c r="CK7" i="37"/>
  <c r="AW25" i="33"/>
  <c r="BE9" i="48"/>
  <c r="AF9" i="43"/>
  <c r="BE26" i="38"/>
  <c r="BE7" i="37"/>
  <c r="H230" i="34"/>
  <c r="AG25" i="33"/>
  <c r="Y9" i="48"/>
  <c r="P9" i="43"/>
  <c r="Y26" i="38"/>
  <c r="H86" i="34"/>
  <c r="Y7" i="37"/>
  <c r="Q25" i="33"/>
  <c r="EA9" i="48"/>
  <c r="BQ9" i="43"/>
  <c r="EA26" i="38"/>
  <c r="EA7" i="37"/>
  <c r="H563" i="34"/>
  <c r="BR25" i="33"/>
  <c r="S9" i="48"/>
  <c r="S7" i="37"/>
  <c r="S26" i="38"/>
  <c r="M9" i="43"/>
  <c r="H59" i="34"/>
  <c r="N25" i="33"/>
  <c r="J48" i="16"/>
  <c r="I47" i="16"/>
  <c r="DU9" i="48"/>
  <c r="DU26" i="38"/>
  <c r="DU7" i="37"/>
  <c r="BN9" i="43"/>
  <c r="H536" i="34"/>
  <c r="BO25" i="33"/>
  <c r="M9" i="48"/>
  <c r="M26" i="38"/>
  <c r="J9" i="43"/>
  <c r="H32" i="34"/>
  <c r="M7" i="37"/>
  <c r="K25" i="33"/>
  <c r="K49" i="11"/>
  <c r="S49" i="11" s="1"/>
  <c r="S48" i="11"/>
  <c r="CC27" i="38"/>
  <c r="CC8" i="37"/>
  <c r="AR10" i="43"/>
  <c r="H339" i="34"/>
  <c r="CC10" i="48"/>
  <c r="AS26" i="33"/>
  <c r="CV10" i="43"/>
  <c r="GK10" i="48"/>
  <c r="GK27" i="38"/>
  <c r="GK8" i="37"/>
  <c r="H843" i="34"/>
  <c r="CW26" i="33"/>
  <c r="EE10" i="48"/>
  <c r="BS10" i="43"/>
  <c r="EE8" i="37"/>
  <c r="EE27" i="38"/>
  <c r="H582" i="34"/>
  <c r="BT26" i="33"/>
  <c r="BY10" i="48"/>
  <c r="AP10" i="43"/>
  <c r="BY27" i="38"/>
  <c r="BY8" i="37"/>
  <c r="H321" i="34"/>
  <c r="AQ26" i="33"/>
  <c r="BH10" i="43"/>
  <c r="DI10" i="48"/>
  <c r="DI27" i="38"/>
  <c r="DI8" i="37"/>
  <c r="H483" i="34"/>
  <c r="BI26" i="33"/>
  <c r="BY10" i="43"/>
  <c r="EQ10" i="48"/>
  <c r="EQ8" i="37"/>
  <c r="EQ27" i="38"/>
  <c r="H636" i="34"/>
  <c r="BZ26" i="33"/>
  <c r="BU10" i="48"/>
  <c r="AN10" i="43"/>
  <c r="BU27" i="38"/>
  <c r="H303" i="34"/>
  <c r="BU8" i="37"/>
  <c r="AO26" i="33"/>
  <c r="AY10" i="48"/>
  <c r="AC10" i="43"/>
  <c r="AY8" i="37"/>
  <c r="AY27" i="38"/>
  <c r="H204" i="34"/>
  <c r="AD26" i="33"/>
  <c r="DW10" i="48"/>
  <c r="BO10" i="43"/>
  <c r="DW27" i="38"/>
  <c r="DW8" i="37"/>
  <c r="H546" i="34"/>
  <c r="BP26" i="33"/>
  <c r="BQ10" i="48"/>
  <c r="AL10" i="43"/>
  <c r="BQ27" i="38"/>
  <c r="H285" i="34"/>
  <c r="BQ8" i="37"/>
  <c r="AM26" i="33"/>
  <c r="BW10" i="48"/>
  <c r="AO10" i="43"/>
  <c r="BW27" i="38"/>
  <c r="BW8" i="37"/>
  <c r="H312" i="34"/>
  <c r="AP26" i="33"/>
  <c r="I10" i="43"/>
  <c r="K10" i="48"/>
  <c r="K27" i="38"/>
  <c r="K8" i="37"/>
  <c r="H24" i="34"/>
  <c r="J26" i="33"/>
  <c r="AW10" i="48"/>
  <c r="AW27" i="38"/>
  <c r="AW8" i="37"/>
  <c r="AB10" i="43"/>
  <c r="H195" i="34"/>
  <c r="AC26" i="33"/>
  <c r="FO10" i="48"/>
  <c r="CK10" i="43"/>
  <c r="FO27" i="38"/>
  <c r="FO8" i="37"/>
  <c r="H744" i="34"/>
  <c r="CL26" i="33"/>
  <c r="J48" i="13"/>
  <c r="S47" i="13"/>
  <c r="CE9" i="43"/>
  <c r="FC9" i="48"/>
  <c r="FC7" i="37"/>
  <c r="FC26" i="38"/>
  <c r="H689" i="34"/>
  <c r="CF25" i="33"/>
  <c r="BM9" i="43"/>
  <c r="DS9" i="48"/>
  <c r="DS26" i="38"/>
  <c r="H527" i="34"/>
  <c r="DS7" i="37"/>
  <c r="BN25" i="33"/>
  <c r="CW9" i="48"/>
  <c r="BB9" i="43"/>
  <c r="CW26" i="38"/>
  <c r="H428" i="34"/>
  <c r="CW7" i="37"/>
  <c r="BC25" i="33"/>
  <c r="BW9" i="43"/>
  <c r="EM7" i="37"/>
  <c r="EM9" i="48"/>
  <c r="EM26" i="38"/>
  <c r="H617" i="34"/>
  <c r="BX25" i="33"/>
  <c r="S9" i="43"/>
  <c r="AE9" i="48"/>
  <c r="AE26" i="38"/>
  <c r="AE7" i="37"/>
  <c r="H113" i="34"/>
  <c r="T25" i="33"/>
  <c r="DA9" i="48"/>
  <c r="BD9" i="43"/>
  <c r="DA26" i="38"/>
  <c r="DA7" i="37"/>
  <c r="H446" i="34"/>
  <c r="BE25" i="33"/>
  <c r="EQ9" i="48"/>
  <c r="EQ7" i="37"/>
  <c r="BY9" i="43"/>
  <c r="EQ26" i="38"/>
  <c r="H635" i="34"/>
  <c r="BZ25" i="33"/>
  <c r="U9" i="43"/>
  <c r="AI9" i="48"/>
  <c r="AI7" i="37"/>
  <c r="AI26" i="38"/>
  <c r="H131" i="34"/>
  <c r="V25" i="33"/>
  <c r="EK9" i="48"/>
  <c r="EK26" i="38"/>
  <c r="EK7" i="37"/>
  <c r="BV9" i="43"/>
  <c r="H608" i="34"/>
  <c r="BW25" i="33"/>
  <c r="AC9" i="48"/>
  <c r="AC26" i="38"/>
  <c r="R9" i="43"/>
  <c r="H104" i="34"/>
  <c r="AC7" i="37"/>
  <c r="S25" i="33"/>
  <c r="W10" i="48"/>
  <c r="O10" i="43"/>
  <c r="W8" i="37"/>
  <c r="W27" i="38"/>
  <c r="H78" i="34"/>
  <c r="P26" i="33"/>
  <c r="EU10" i="48"/>
  <c r="CA10" i="43"/>
  <c r="EU8" i="37"/>
  <c r="EU27" i="38"/>
  <c r="H654" i="34"/>
  <c r="CB26" i="33"/>
  <c r="CO10" i="48"/>
  <c r="AX10" i="43"/>
  <c r="CO27" i="38"/>
  <c r="CO8" i="37"/>
  <c r="H393" i="34"/>
  <c r="AY26" i="33"/>
  <c r="M10" i="43"/>
  <c r="S10" i="48"/>
  <c r="S8" i="37"/>
  <c r="S27" i="38"/>
  <c r="H60" i="34"/>
  <c r="N26" i="33"/>
  <c r="CG10" i="43"/>
  <c r="FG10" i="48"/>
  <c r="FG8" i="37"/>
  <c r="FG27" i="38"/>
  <c r="H708" i="34"/>
  <c r="CH26" i="33"/>
  <c r="CK10" i="48"/>
  <c r="AV10" i="43"/>
  <c r="CK27" i="38"/>
  <c r="CK8" i="37"/>
  <c r="H375" i="34"/>
  <c r="AW26" i="33"/>
  <c r="K10" i="43"/>
  <c r="O10" i="48"/>
  <c r="O27" i="38"/>
  <c r="H42" i="34"/>
  <c r="O8" i="37"/>
  <c r="L26" i="33"/>
  <c r="BW10" i="43"/>
  <c r="EM10" i="48"/>
  <c r="EM27" i="38"/>
  <c r="H618" i="34"/>
  <c r="EM8" i="37"/>
  <c r="BX26" i="33"/>
  <c r="CG10" i="48"/>
  <c r="AT10" i="43"/>
  <c r="CG27" i="38"/>
  <c r="H357" i="34"/>
  <c r="CG8" i="37"/>
  <c r="AU26" i="33"/>
  <c r="K8" i="14"/>
  <c r="S8" i="14" s="1"/>
  <c r="S7" i="14"/>
  <c r="Q10" i="48"/>
  <c r="Q27" i="38"/>
  <c r="Q8" i="37"/>
  <c r="L10" i="43"/>
  <c r="H51" i="34"/>
  <c r="M26" i="33"/>
  <c r="J48" i="14"/>
  <c r="S47" i="14"/>
  <c r="K49" i="13" l="1"/>
  <c r="S49" i="13" s="1"/>
  <c r="S48" i="13"/>
  <c r="K46" i="31"/>
  <c r="S46" i="31" s="1"/>
  <c r="S45" i="31"/>
  <c r="S46" i="30"/>
  <c r="K47" i="30"/>
  <c r="S47" i="30" s="1"/>
  <c r="S48" i="14"/>
  <c r="K49" i="14"/>
  <c r="S49" i="14" s="1"/>
  <c r="K49" i="16"/>
  <c r="S49" i="16" s="1"/>
  <c r="S48" i="16"/>
  <c r="D47" i="7"/>
  <c r="D46" i="7"/>
  <c r="D45" i="7"/>
  <c r="D50" i="7"/>
  <c r="D48"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31" authorId="0" shapeId="0" xr:uid="{00000000-0006-0000-0100-000001000000}">
      <text>
        <r>
          <rPr>
            <sz val="9"/>
            <color indexed="81"/>
            <rFont val="Tahoma"/>
            <family val="2"/>
          </rPr>
          <t>Выбор организации двойным щелчком левой клавиши мыши</t>
        </r>
      </text>
    </comment>
    <comment ref="E37" authorId="0" shapeId="0" xr:uid="{00000000-0006-0000-0100-000002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000-000001000000}">
      <text>
        <r>
          <rPr>
            <sz val="9"/>
            <color indexed="81"/>
            <rFont val="Tahoma"/>
            <family val="2"/>
          </rPr>
          <t>Тип организации</t>
        </r>
      </text>
    </comment>
    <comment ref="L6" authorId="0" shapeId="0" xr:uid="{00000000-0006-0000-30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C00-000001000000}">
      <text>
        <r>
          <rPr>
            <sz val="9"/>
            <color indexed="81"/>
            <rFont val="Arial"/>
            <family val="2"/>
          </rPr>
          <t>сюда же для некоторых формул может входить:
- VOTV
- HOTVSNA</t>
        </r>
      </text>
    </comment>
    <comment ref="U2" authorId="0" shapeId="0" xr:uid="{00000000-0006-0000-3C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<sst xmlns="http://schemas.openxmlformats.org/spreadsheetml/2006/main" count="21903" uniqueCount="3957">
  <si>
    <t xml:space="preserve"> (требуется обновление)</t>
  </si>
  <si>
    <t>Код отчёта: PP110.OPEN.INFO.QUARTER.HEAT.EIAS</t>
  </si>
  <si>
    <t>Версия отчёта: 1.0.6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</si>
  <si>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</si>
  <si>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</si>
  <si>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</si>
  <si>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</si>
  <si>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</si>
  <si>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</si>
  <si>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</si>
  <si>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</si>
  <si>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</si>
  <si>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</si>
  <si>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</si>
  <si>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Орловская область</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</si>
  <si>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</si>
  <si>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</si>
  <si>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</si>
  <si>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</si>
  <si>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</si>
  <si>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</si>
  <si>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</si>
  <si>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</si>
  <si>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</si>
  <si>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</si>
  <si>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</si>
  <si>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</si>
  <si>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</si>
  <si>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</si>
  <si>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</si>
  <si>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</si>
  <si>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</si>
  <si>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</si>
  <si>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</si>
  <si>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</si>
  <si>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</si>
  <si>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</si>
  <si>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</si>
  <si>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</si>
  <si>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</si>
  <si>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</si>
  <si>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</si>
  <si>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</si>
  <si>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АО "Орелгортеплоэнерго"</t>
  </si>
  <si>
    <t>Наименование (описание) обособленного подразделения</t>
  </si>
  <si>
    <t>ИНН</t>
  </si>
  <si>
    <t>5752049900</t>
  </si>
  <si>
    <t>КПП</t>
  </si>
  <si>
    <t>575201001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</si>
  <si>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</si>
  <si>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</si>
  <si>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</si>
  <si>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</si>
  <si>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</si>
  <si>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</si>
  <si>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</si>
  <si>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</si>
  <si>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</si>
  <si>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</si>
  <si>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</si>
  <si>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</si>
  <si>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</si>
  <si>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</si>
  <si>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</si>
  <si>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</si>
  <si>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</si>
  <si>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</si>
  <si>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</si>
  <si>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302010, г. Орел, ул. Авиационная, д.1</t>
  </si>
  <si>
    <t>Фамилия, имя, отчество руководителя</t>
  </si>
  <si>
    <t>Гольцов Олег Александрович</t>
  </si>
  <si>
    <t>Ответственный за заполнение формы</t>
  </si>
  <si>
    <t>Фамилия, имя, отчество</t>
  </si>
  <si>
    <t>Кошелева Елена Сергеевна</t>
  </si>
  <si>
    <t>Должность</t>
  </si>
  <si>
    <t>Начальник ПЭО</t>
  </si>
  <si>
    <t>Контактный телефон</t>
  </si>
  <si>
    <t>(4862)72-33-35 доб.238</t>
  </si>
  <si>
    <t>E-mail</t>
  </si>
  <si>
    <t>kosheleva-elena2022@mail.ru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</si>
  <si>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</si>
  <si>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</si>
  <si>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</si>
  <si>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</si>
  <si>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</si>
  <si>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</si>
  <si>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</si>
  <si>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</si>
  <si>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</si>
  <si>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</si>
  <si>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</si>
  <si>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</si>
  <si>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</si>
  <si>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</si>
  <si>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</si>
  <si>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</si>
  <si>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39</t>
  </si>
  <si>
    <t>Город Орёл</t>
  </si>
  <si>
    <t>54701000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</si>
  <si>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</si>
  <si>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</si>
  <si>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</si>
  <si>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</si>
  <si>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</si>
  <si>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</si>
  <si>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</si>
  <si>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</si>
  <si>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</si>
  <si>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</si>
  <si>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</si>
  <si>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</si>
  <si>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</si>
  <si>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</si>
  <si>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</si>
  <si>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Авиационная, 1</t>
  </si>
  <si>
    <t>diff_1</t>
  </si>
  <si>
    <t>4190064</t>
  </si>
  <si>
    <t>a</t>
  </si>
  <si>
    <t>×</t>
  </si>
  <si>
    <t>Автовокзальная, 77</t>
  </si>
  <si>
    <t>diff_66</t>
  </si>
  <si>
    <t>Бетонный, 4а</t>
  </si>
  <si>
    <t>diff_67</t>
  </si>
  <si>
    <t>Ботанический, 2а</t>
  </si>
  <si>
    <t>diff_68</t>
  </si>
  <si>
    <t>Васильевская, 84б</t>
  </si>
  <si>
    <t>diff_69</t>
  </si>
  <si>
    <t>Васильевская, 138а</t>
  </si>
  <si>
    <t>diff_70</t>
  </si>
  <si>
    <t>Гагарина, 48а</t>
  </si>
  <si>
    <t>diff_71</t>
  </si>
  <si>
    <t>Городская, 98к</t>
  </si>
  <si>
    <t>diff_72</t>
  </si>
  <si>
    <t>9</t>
  </si>
  <si>
    <t>Калинина, 6б</t>
  </si>
  <si>
    <t>diff_73</t>
  </si>
  <si>
    <t>10</t>
  </si>
  <si>
    <t>Карачевская, 29а</t>
  </si>
  <si>
    <t>diff_74</t>
  </si>
  <si>
    <t>11</t>
  </si>
  <si>
    <t>Карачевская, 41б</t>
  </si>
  <si>
    <t>diff_75</t>
  </si>
  <si>
    <t>12</t>
  </si>
  <si>
    <t>Карачвский, 23а</t>
  </si>
  <si>
    <t>diff_76</t>
  </si>
  <si>
    <t>13</t>
  </si>
  <si>
    <t>Карачевское, 5а</t>
  </si>
  <si>
    <t>diff_77</t>
  </si>
  <si>
    <t>14</t>
  </si>
  <si>
    <t>Карачевское, 60а</t>
  </si>
  <si>
    <t>diff_78</t>
  </si>
  <si>
    <t>15</t>
  </si>
  <si>
    <t>Комсомольская, 15а</t>
  </si>
  <si>
    <t>diff_79</t>
  </si>
  <si>
    <t>16</t>
  </si>
  <si>
    <t>Комсомольская, 119а</t>
  </si>
  <si>
    <t>diff_80</t>
  </si>
  <si>
    <t>17</t>
  </si>
  <si>
    <t>Комсомольская, 127а</t>
  </si>
  <si>
    <t>diff_81</t>
  </si>
  <si>
    <t>18</t>
  </si>
  <si>
    <t>Комсомольская, 185а</t>
  </si>
  <si>
    <t>diff_82</t>
  </si>
  <si>
    <t>19</t>
  </si>
  <si>
    <t>Комсомольская, 206а</t>
  </si>
  <si>
    <t>diff_83</t>
  </si>
  <si>
    <t>20</t>
  </si>
  <si>
    <t>Комсомольская, 252а</t>
  </si>
  <si>
    <t>diff_84</t>
  </si>
  <si>
    <t>21</t>
  </si>
  <si>
    <t>Комсомольская, 261а</t>
  </si>
  <si>
    <t>diff_85</t>
  </si>
  <si>
    <t>22</t>
  </si>
  <si>
    <t>Красина, 6а</t>
  </si>
  <si>
    <t>diff_86</t>
  </si>
  <si>
    <t>23</t>
  </si>
  <si>
    <t>Красина, 7а</t>
  </si>
  <si>
    <t>diff_87</t>
  </si>
  <si>
    <t>24</t>
  </si>
  <si>
    <t>Красина, 52</t>
  </si>
  <si>
    <t>diff_88</t>
  </si>
  <si>
    <t>25</t>
  </si>
  <si>
    <t>Кромская, 7а(908кв)</t>
  </si>
  <si>
    <t>diff_89</t>
  </si>
  <si>
    <t>26</t>
  </si>
  <si>
    <t>Кромская, 7а(909кв)</t>
  </si>
  <si>
    <t>diff_90</t>
  </si>
  <si>
    <t>27</t>
  </si>
  <si>
    <t>Кромское шоссе, 13а</t>
  </si>
  <si>
    <t>diff_91</t>
  </si>
  <si>
    <t>28</t>
  </si>
  <si>
    <t>Латышских стрелков, 37а</t>
  </si>
  <si>
    <t>diff_92</t>
  </si>
  <si>
    <t>29</t>
  </si>
  <si>
    <t>Латышских стрелков,98</t>
  </si>
  <si>
    <t>diff_93</t>
  </si>
  <si>
    <t>30</t>
  </si>
  <si>
    <t>Латышских стрелков, 109</t>
  </si>
  <si>
    <t>diff_94</t>
  </si>
  <si>
    <t>31</t>
  </si>
  <si>
    <t>Левый берег р. Оки,23</t>
  </si>
  <si>
    <t>diff_95</t>
  </si>
  <si>
    <t>32</t>
  </si>
  <si>
    <t>ГК "Лесной" с/с Сабуровский</t>
  </si>
  <si>
    <t>diff_96</t>
  </si>
  <si>
    <t>33</t>
  </si>
  <si>
    <t>Машиностроительная, 5а</t>
  </si>
  <si>
    <t>diff_97</t>
  </si>
  <si>
    <t>34</t>
  </si>
  <si>
    <t>Маяковского, 10а</t>
  </si>
  <si>
    <t>diff_98</t>
  </si>
  <si>
    <t>35</t>
  </si>
  <si>
    <t>Маяковского, 55а</t>
  </si>
  <si>
    <t>diff_99</t>
  </si>
  <si>
    <t>36</t>
  </si>
  <si>
    <t>Маяковского, 62а</t>
  </si>
  <si>
    <t>diff_100</t>
  </si>
  <si>
    <t>37</t>
  </si>
  <si>
    <t>Мопра, 28а</t>
  </si>
  <si>
    <t>diff_101</t>
  </si>
  <si>
    <t>38</t>
  </si>
  <si>
    <t>Мопра, 48а</t>
  </si>
  <si>
    <t>diff_102</t>
  </si>
  <si>
    <t>6-й Орловской дивизии,14</t>
  </si>
  <si>
    <t>diff_103</t>
  </si>
  <si>
    <t>40</t>
  </si>
  <si>
    <t>Пищевой, 9а</t>
  </si>
  <si>
    <t>diff_104</t>
  </si>
  <si>
    <t>41</t>
  </si>
  <si>
    <t>2-а Посадская, 19а</t>
  </si>
  <si>
    <t>diff_105</t>
  </si>
  <si>
    <t>42</t>
  </si>
  <si>
    <t>1-я Пушкарная, 20а</t>
  </si>
  <si>
    <t>diff_106</t>
  </si>
  <si>
    <t>43</t>
  </si>
  <si>
    <t>1-я Пушкарная, 21а</t>
  </si>
  <si>
    <t>diff_107</t>
  </si>
  <si>
    <t>44</t>
  </si>
  <si>
    <t>Связистов, 1а</t>
  </si>
  <si>
    <t>diff_108</t>
  </si>
  <si>
    <t>45</t>
  </si>
  <si>
    <t>Спивака, 85</t>
  </si>
  <si>
    <t>diff_109</t>
  </si>
  <si>
    <t>46</t>
  </si>
  <si>
    <t>Федотовой, 12</t>
  </si>
  <si>
    <t>diff_110</t>
  </si>
  <si>
    <t>47</t>
  </si>
  <si>
    <t>Циолковского,1б</t>
  </si>
  <si>
    <t>diff_111</t>
  </si>
  <si>
    <t>48</t>
  </si>
  <si>
    <t>Циолковского,51а</t>
  </si>
  <si>
    <t>diff_112</t>
  </si>
  <si>
    <t>49</t>
  </si>
  <si>
    <t>Черепичная, 24б</t>
  </si>
  <si>
    <t>diff_113</t>
  </si>
  <si>
    <t>50</t>
  </si>
  <si>
    <t>Шпагатный,92</t>
  </si>
  <si>
    <t>diff_114</t>
  </si>
  <si>
    <t>51</t>
  </si>
  <si>
    <t>Шпагатный, 92г</t>
  </si>
  <si>
    <t>diff_115</t>
  </si>
  <si>
    <t>52</t>
  </si>
  <si>
    <t>Щепная, 12б</t>
  </si>
  <si>
    <t>diff_116</t>
  </si>
  <si>
    <t>53</t>
  </si>
  <si>
    <t>Энгельса,88а</t>
  </si>
  <si>
    <t>diff_117</t>
  </si>
  <si>
    <t>54</t>
  </si>
  <si>
    <t>Яблочная, 59а</t>
  </si>
  <si>
    <t>diff_118</t>
  </si>
  <si>
    <t>55</t>
  </si>
  <si>
    <t>Комсомольская, 241б</t>
  </si>
  <si>
    <t>diff_119</t>
  </si>
  <si>
    <t>56</t>
  </si>
  <si>
    <t>Генерала Жадова, 4а</t>
  </si>
  <si>
    <t>diff_120</t>
  </si>
  <si>
    <t>57</t>
  </si>
  <si>
    <t>Генерала Родина, 69а</t>
  </si>
  <si>
    <t>diff_121</t>
  </si>
  <si>
    <t>58</t>
  </si>
  <si>
    <t>Ипподромный,2а</t>
  </si>
  <si>
    <t>diff_122</t>
  </si>
  <si>
    <t>59</t>
  </si>
  <si>
    <t>Лескова, 31а</t>
  </si>
  <si>
    <t>diff_123</t>
  </si>
  <si>
    <t>60</t>
  </si>
  <si>
    <t>Матвеева, 9а</t>
  </si>
  <si>
    <t>diff_124</t>
  </si>
  <si>
    <t>61</t>
  </si>
  <si>
    <t>Матросова, 46б</t>
  </si>
  <si>
    <t>diff_125</t>
  </si>
  <si>
    <t>62</t>
  </si>
  <si>
    <t>Наугорское, 13б</t>
  </si>
  <si>
    <t>diff_126</t>
  </si>
  <si>
    <t>63</t>
  </si>
  <si>
    <t>Наугорское, 27</t>
  </si>
  <si>
    <t>diff_127</t>
  </si>
  <si>
    <t>64</t>
  </si>
  <si>
    <t>Наугорское, 29б</t>
  </si>
  <si>
    <t>diff_128</t>
  </si>
  <si>
    <t>65</t>
  </si>
  <si>
    <t>Октябрьская, 4а</t>
  </si>
  <si>
    <t>diff_129</t>
  </si>
  <si>
    <t>66</t>
  </si>
  <si>
    <t>Октябрьская, 54а</t>
  </si>
  <si>
    <t>diff_130</t>
  </si>
  <si>
    <t>67</t>
  </si>
  <si>
    <t>Трудовые резервы, 32а</t>
  </si>
  <si>
    <t>diff_131</t>
  </si>
  <si>
    <t>68</t>
  </si>
  <si>
    <t>Цветаева, 15б</t>
  </si>
  <si>
    <t>diff_132</t>
  </si>
  <si>
    <t>69</t>
  </si>
  <si>
    <t>Бресткая,6</t>
  </si>
  <si>
    <t>diff_133</t>
  </si>
  <si>
    <t>70</t>
  </si>
  <si>
    <t>Веселая,2</t>
  </si>
  <si>
    <t>diff_134</t>
  </si>
  <si>
    <t>71</t>
  </si>
  <si>
    <t>Огородный,7а</t>
  </si>
  <si>
    <t>diff_135</t>
  </si>
  <si>
    <t>72</t>
  </si>
  <si>
    <t>Пролетарская гора, 1</t>
  </si>
  <si>
    <t>diff_136</t>
  </si>
  <si>
    <t>73</t>
  </si>
  <si>
    <t>Тургенева, 50а</t>
  </si>
  <si>
    <t>diff_137</t>
  </si>
  <si>
    <t>74</t>
  </si>
  <si>
    <t>Абрамова-Соколова, 76б</t>
  </si>
  <si>
    <t>diff_138</t>
  </si>
  <si>
    <t>75</t>
  </si>
  <si>
    <t>5 августа,66а</t>
  </si>
  <si>
    <t>diff_139</t>
  </si>
  <si>
    <t>76</t>
  </si>
  <si>
    <t>Грузовая, 119г</t>
  </si>
  <si>
    <t>diff_140</t>
  </si>
  <si>
    <t>77</t>
  </si>
  <si>
    <t>Деповская, 6а</t>
  </si>
  <si>
    <t>diff_141</t>
  </si>
  <si>
    <t>78</t>
  </si>
  <si>
    <t>3-я Курская, 3а</t>
  </si>
  <si>
    <t>diff_142</t>
  </si>
  <si>
    <t>79</t>
  </si>
  <si>
    <t>Ливенская, 48г</t>
  </si>
  <si>
    <t>diff_143</t>
  </si>
  <si>
    <t>80</t>
  </si>
  <si>
    <t>Лесная, 9а</t>
  </si>
  <si>
    <t>diff_144</t>
  </si>
  <si>
    <t>81</t>
  </si>
  <si>
    <t>Московская, 27а</t>
  </si>
  <si>
    <t>diff_145</t>
  </si>
  <si>
    <t>82</t>
  </si>
  <si>
    <t>Новосильская, 7а пом.1</t>
  </si>
  <si>
    <t>diff_146</t>
  </si>
  <si>
    <t>83</t>
  </si>
  <si>
    <t>Новосильская, 7а пом.2</t>
  </si>
  <si>
    <t>diff_147</t>
  </si>
  <si>
    <t>84</t>
  </si>
  <si>
    <t>Паровозная,64б</t>
  </si>
  <si>
    <t>diff_148</t>
  </si>
  <si>
    <t>85</t>
  </si>
  <si>
    <t>Пушкина, 68а</t>
  </si>
  <si>
    <t>diff_149</t>
  </si>
  <si>
    <t>86</t>
  </si>
  <si>
    <t>Ст. Разина, 11б</t>
  </si>
  <si>
    <t>diff_150</t>
  </si>
  <si>
    <t>87</t>
  </si>
  <si>
    <t>Рельсовая, 7а</t>
  </si>
  <si>
    <t>diff_151</t>
  </si>
  <si>
    <t>88</t>
  </si>
  <si>
    <t>Студенческая, 2а</t>
  </si>
  <si>
    <t>diff_152</t>
  </si>
  <si>
    <t>89</t>
  </si>
  <si>
    <t>Тульская, 24а</t>
  </si>
  <si>
    <t>diff_153</t>
  </si>
  <si>
    <t>90</t>
  </si>
  <si>
    <t>Тульская, 63б</t>
  </si>
  <si>
    <t>diff_154</t>
  </si>
  <si>
    <t>91</t>
  </si>
  <si>
    <t>Южный, 26б</t>
  </si>
  <si>
    <t>diff_155</t>
  </si>
  <si>
    <t>92</t>
  </si>
  <si>
    <t>Металлургов,80б</t>
  </si>
  <si>
    <t>diff_156</t>
  </si>
  <si>
    <t>93</t>
  </si>
  <si>
    <t>Силикатная,28а</t>
  </si>
  <si>
    <t>diff_157</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</si>
  <si>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</si>
  <si>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</si>
  <si>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</si>
  <si>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</si>
  <si>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</si>
  <si>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</si>
  <si>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</si>
  <si>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</si>
  <si>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</si>
  <si>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</si>
  <si>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</si>
  <si>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</si>
  <si>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</si>
  <si>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</si>
  <si>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</si>
  <si>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</si>
  <si>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</si>
  <si>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</si>
  <si>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</si>
  <si>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</si>
  <si>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</si>
  <si>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</si>
  <si>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</si>
  <si>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</si>
  <si>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</si>
  <si>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</si>
  <si>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</si>
  <si>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</si>
  <si>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</si>
  <si>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</si>
  <si>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</si>
  <si>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</si>
  <si>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</si>
  <si>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</si>
  <si>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</si>
  <si>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</si>
  <si>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</si>
  <si>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</si>
  <si>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</si>
  <si>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</si>
  <si>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</si>
  <si>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</si>
  <si>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</si>
  <si>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</si>
  <si>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</si>
  <si>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</si>
  <si>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</si>
  <si>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</si>
  <si>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</si>
  <si>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</si>
  <si>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</si>
  <si>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</si>
  <si>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</si>
  <si>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</si>
  <si>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</si>
  <si>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</si>
  <si>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</si>
  <si>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</si>
  <si>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</si>
  <si>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</si>
  <si>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</si>
  <si>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</si>
  <si>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</si>
  <si>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</si>
  <si>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</si>
  <si>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</si>
  <si>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</si>
  <si>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</si>
  <si>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</si>
  <si>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</si>
  <si>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</si>
  <si>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</si>
  <si>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</si>
  <si>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</si>
  <si>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</si>
  <si>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</si>
  <si>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</si>
  <si>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</si>
  <si>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</si>
  <si>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</si>
  <si>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</si>
  <si>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</si>
  <si>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</si>
  <si>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</si>
  <si>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</si>
  <si>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</si>
  <si>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</si>
  <si>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</si>
  <si>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</si>
  <si>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</si>
  <si>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</si>
  <si>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</si>
  <si>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</si>
  <si>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</si>
  <si>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</si>
  <si>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</si>
  <si>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</si>
  <si>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</si>
  <si>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</si>
  <si>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</si>
  <si>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</si>
  <si>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</si>
  <si>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</si>
  <si>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</si>
  <si>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</si>
  <si>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</si>
  <si>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</si>
  <si>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</si>
  <si>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</si>
  <si>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</si>
  <si>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</si>
  <si>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</si>
  <si>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</si>
  <si>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</si>
  <si>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</si>
  <si>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</si>
  <si>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</si>
  <si>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</si>
  <si>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</si>
  <si>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</si>
  <si>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</si>
  <si>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</si>
  <si>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</si>
  <si>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</si>
  <si>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</si>
  <si>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</si>
  <si>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</si>
  <si>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</si>
  <si>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</si>
  <si>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</si>
  <si>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</si>
  <si>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</si>
  <si>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</si>
  <si>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</si>
  <si>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</si>
  <si>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</si>
  <si>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</si>
  <si>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</si>
  <si>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</si>
  <si>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</si>
  <si>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</si>
  <si>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</si>
  <si>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</si>
  <si>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</si>
  <si>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</si>
  <si>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</si>
  <si>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</si>
  <si>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</si>
  <si>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</si>
  <si>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</si>
  <si>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</si>
  <si>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</si>
  <si>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</si>
  <si>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</si>
  <si>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</si>
  <si>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</si>
  <si>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</si>
  <si>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</si>
  <si>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</si>
  <si>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</si>
  <si>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</si>
  <si>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</si>
  <si>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</si>
  <si>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</si>
  <si>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</si>
  <si>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</si>
  <si>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</si>
  <si>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</si>
  <si>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</si>
  <si>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</si>
  <si>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</si>
  <si>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</si>
  <si>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</si>
  <si>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</si>
  <si>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</si>
  <si>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</si>
  <si>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</si>
  <si>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</si>
  <si>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</si>
  <si>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</si>
  <si>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</si>
  <si>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</si>
  <si>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</si>
  <si>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</si>
  <si>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</si>
  <si>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</si>
  <si>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</si>
  <si>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</si>
  <si>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</si>
  <si>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</si>
  <si>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</si>
  <si>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</si>
  <si>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</si>
  <si>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</si>
  <si>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</si>
  <si>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</si>
  <si>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</si>
  <si>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</si>
  <si>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</si>
  <si>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</si>
  <si>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</si>
  <si>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</si>
  <si>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</si>
  <si>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</si>
  <si>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</si>
  <si>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</si>
  <si>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</si>
  <si>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</si>
  <si>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</si>
  <si>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</si>
  <si>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</si>
  <si>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</si>
  <si>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</si>
  <si>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</si>
  <si>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</si>
  <si>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</si>
  <si>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</si>
  <si>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</si>
  <si>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</si>
  <si>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</si>
  <si>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</si>
  <si>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</si>
  <si>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</si>
  <si>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</si>
  <si>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</si>
  <si>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</si>
  <si>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</si>
  <si>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</si>
  <si>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</si>
  <si>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</si>
  <si>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</si>
  <si>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</si>
  <si>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</si>
  <si>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</si>
  <si>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</si>
  <si>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</si>
  <si>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</si>
  <si>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</si>
  <si>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</si>
  <si>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</si>
  <si>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</si>
  <si>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</si>
  <si>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</si>
  <si>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</si>
  <si>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</si>
  <si>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</si>
  <si>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</si>
  <si>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</si>
  <si>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</si>
  <si>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</si>
  <si>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</si>
  <si>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</si>
  <si>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</si>
  <si>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</si>
  <si>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</si>
  <si>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</si>
  <si>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</si>
  <si>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</si>
  <si>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</si>
  <si>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</si>
  <si>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</si>
  <si>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</si>
  <si>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</si>
  <si>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</si>
  <si>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</si>
  <si>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</si>
  <si>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</si>
  <si>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</si>
  <si>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</si>
  <si>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</si>
  <si>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</si>
  <si>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</si>
  <si>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</si>
  <si>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</si>
  <si>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</si>
  <si>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</si>
  <si>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</si>
  <si>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</si>
  <si>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</si>
  <si>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</si>
  <si>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</si>
  <si>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</si>
  <si>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</si>
  <si>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</si>
  <si>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</si>
  <si>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</si>
  <si>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</si>
  <si>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</si>
  <si>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</si>
  <si>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</si>
  <si>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</si>
  <si>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</si>
  <si>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</si>
  <si>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</si>
  <si>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</si>
  <si>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</si>
  <si>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</si>
  <si>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</si>
  <si>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</si>
  <si>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</si>
  <si>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</si>
  <si>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</si>
  <si>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</si>
  <si>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</si>
  <si>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</si>
  <si>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</si>
  <si>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</si>
  <si>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</si>
  <si>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</si>
  <si>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</si>
  <si>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</si>
  <si>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</si>
  <si>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</si>
  <si>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</si>
  <si>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</si>
  <si>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</si>
  <si>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</si>
  <si>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</si>
  <si>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</si>
  <si>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</si>
  <si>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</si>
  <si>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</si>
  <si>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</si>
  <si>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</si>
  <si>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</si>
  <si>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</si>
  <si>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</si>
  <si>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</si>
  <si>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</si>
  <si>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</si>
  <si>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</si>
  <si>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</si>
  <si>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</si>
  <si>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</si>
  <si>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</si>
  <si>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</si>
  <si>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</si>
  <si>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</si>
  <si>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</si>
  <si>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</si>
  <si>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</si>
  <si>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</si>
  <si>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</si>
  <si>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</si>
  <si>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</si>
  <si>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</si>
  <si>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</si>
  <si>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</si>
  <si>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</si>
  <si>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</si>
  <si>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</si>
  <si>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</si>
  <si>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</si>
  <si>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</si>
  <si>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</si>
  <si>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</si>
  <si>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</si>
  <si>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</si>
  <si>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</si>
  <si>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</si>
  <si>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</si>
  <si>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</si>
  <si>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</si>
  <si>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</si>
  <si>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</si>
  <si>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</si>
  <si>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</si>
  <si>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</si>
  <si>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</si>
  <si>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</si>
  <si>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</si>
  <si>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</si>
  <si>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</si>
  <si>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</si>
  <si>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</si>
  <si>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</si>
  <si>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</si>
  <si>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</si>
  <si>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</si>
  <si>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</si>
  <si>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</si>
  <si>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</si>
  <si>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</si>
  <si>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</si>
  <si>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</si>
  <si>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</si>
  <si>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</si>
  <si>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</si>
  <si>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</si>
  <si>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</si>
  <si>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</si>
  <si>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</si>
  <si>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</si>
  <si>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</si>
  <si>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</si>
  <si>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</si>
  <si>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</si>
  <si>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</si>
  <si>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</si>
  <si>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</si>
  <si>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</si>
  <si>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</si>
  <si>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</si>
  <si>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</si>
  <si>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</si>
  <si>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</si>
  <si>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</si>
  <si>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</si>
  <si>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Однокомпонентный тариф</t>
  </si>
  <si>
    <t>Двухкомпонентный тариф</t>
  </si>
  <si>
    <t>Однокомпонентный тариф,_x000D_
руб./куб. м</t>
  </si>
  <si>
    <t>Ставка платы за потребление горячей воды, руб./куб. м</t>
  </si>
  <si>
    <t>Ставка платы за содержание системы горячего водоснабжения, руб./Гкал в час</t>
  </si>
  <si>
    <t>Компонент на холодную воду, руб./куб.м</t>
  </si>
  <si>
    <t>значение компонента на тепловую энергию при установленном одноставочном тарифе,_x000D_
руб./Гкал</t>
  </si>
  <si>
    <t>Ставка платы за объем поданной холодной воды, руб./куб. м</t>
  </si>
  <si>
    <t>Ставка платы за содержание мощности, руб./куб. м в час</t>
  </si>
  <si>
    <t>значение компонента на тепловую энергию при установленном двухставочном тарифе на тепловую энергию (мощность),_x000D_
руб./Гкал</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</si>
  <si>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</si>
  <si>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</si>
  <si>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</si>
  <si>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 xml:space="preserve">Однокомпонентный тариф </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</si>
  <si>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</si>
  <si>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</si>
  <si>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</si>
  <si>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</si>
  <si>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</si>
  <si>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</si>
  <si>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</si>
  <si>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</si>
  <si>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</si>
  <si>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</si>
  <si>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</si>
  <si>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</si>
  <si>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</si>
  <si>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</si>
  <si>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</si>
  <si>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</si>
  <si>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</si>
  <si>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</si>
  <si>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</si>
  <si>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</si>
  <si>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</si>
  <si>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</si>
  <si>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</si>
  <si>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</si>
  <si>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</si>
  <si>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</si>
  <si>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</si>
  <si>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</si>
  <si>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</si>
  <si>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</si>
  <si>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</si>
  <si>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</si>
  <si>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</si>
  <si>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</si>
  <si>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</si>
  <si>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</si>
  <si>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</si>
  <si>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</si>
  <si>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</si>
  <si>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</si>
  <si>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</si>
  <si>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</si>
  <si>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</si>
  <si>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</si>
  <si>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</si>
  <si>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</si>
  <si>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</si>
  <si>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</si>
  <si>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</si>
  <si>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</si>
  <si>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</si>
  <si>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</si>
  <si>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</si>
  <si>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</si>
  <si>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</si>
  <si>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</si>
  <si>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</si>
  <si>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</si>
  <si>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</si>
  <si>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</si>
  <si>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</si>
  <si>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</si>
  <si>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</si>
  <si>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</si>
  <si>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</si>
  <si>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</si>
  <si>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</si>
  <si>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</si>
  <si>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</si>
  <si>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</si>
  <si>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</si>
  <si>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</si>
  <si>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</si>
  <si>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</si>
  <si>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</si>
  <si>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</si>
  <si>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</si>
  <si>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</si>
  <si>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</si>
  <si>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</si>
  <si>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</si>
  <si>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</si>
  <si>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</si>
  <si>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</si>
  <si>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</si>
  <si>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</si>
  <si>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</si>
  <si>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</si>
  <si>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</si>
  <si>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</si>
  <si>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</si>
  <si>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</si>
  <si>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</si>
  <si>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</si>
  <si>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</si>
  <si>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</si>
  <si>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</si>
  <si>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</si>
  <si>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</si>
  <si>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</si>
  <si>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</si>
  <si>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</si>
  <si>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</si>
  <si>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</si>
  <si>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</si>
  <si>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</si>
  <si>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</si>
  <si>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</si>
  <si>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</si>
  <si>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</si>
  <si>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</si>
  <si>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</si>
  <si>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</si>
  <si>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</si>
  <si>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</si>
  <si>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</si>
  <si>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</si>
  <si>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</si>
  <si>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1111111111111111111111111111111111111111111111111</t>
  </si>
  <si>
    <t>11111111111111111111111111111111111111111111111111</t>
  </si>
  <si>
    <t>111111111111111111111111111111111111111111111111111</t>
  </si>
  <si>
    <t>1111111111111111111111111111111111111111111111111111</t>
  </si>
  <si>
    <t>11111111111111111111111111111111111111111111111111111</t>
  </si>
  <si>
    <t>111111111111111111111111111111111111111111111111111111</t>
  </si>
  <si>
    <t>1111111111111111111111111111111111111111111111111111111</t>
  </si>
  <si>
    <t>11111111111111111111111111111111111111111111111111111111</t>
  </si>
  <si>
    <t>111111111111111111111111111111111111111111111111111111111</t>
  </si>
  <si>
    <t>1111111111111111111111111111111111111111111111111111111111</t>
  </si>
  <si>
    <t>11111111111111111111111111111111111111111111111111111111111</t>
  </si>
  <si>
    <t>111111111111111111111111111111111111111111111111111111111111</t>
  </si>
  <si>
    <t>1111111111111111111111111111111111111111111111111111111111111</t>
  </si>
  <si>
    <t>11111111111111111111111111111111111111111111111111111111111111</t>
  </si>
  <si>
    <t>111111111111111111111111111111111111111111111111111111111111111</t>
  </si>
  <si>
    <t>1111111111111111111111111111111111111111111111111111111111111111</t>
  </si>
  <si>
    <t>11111111111111111111111111111111111111111111111111111111111111111</t>
  </si>
  <si>
    <t>111111111111111111111111111111111111111111111111111111111111111111</t>
  </si>
  <si>
    <t>1111111111111111111111111111111111111111111111111111111111111111111</t>
  </si>
  <si>
    <t>11111111111111111111111111111111111111111111111111111111111111111111</t>
  </si>
  <si>
    <t>111111111111111111111111111111111111111111111111111111111111111111111</t>
  </si>
  <si>
    <t>1111111111111111111111111111111111111111111111111111111111111111111111</t>
  </si>
  <si>
    <t>11111111111111111111111111111111111111111111111111111111111111111111111</t>
  </si>
  <si>
    <t>111111111111111111111111111111111111111111111111111111111111111111111111</t>
  </si>
  <si>
    <t>1111111111111111111111111111111111111111111111111111111111111111111111111</t>
  </si>
  <si>
    <t>11111111111111111111111111111111111111111111111111111111111111111111111111</t>
  </si>
  <si>
    <t>111111111111111111111111111111111111111111111111111111111111111111111111111</t>
  </si>
  <si>
    <t>1111111111111111111111111111111111111111111111111111111111111111111111111111</t>
  </si>
  <si>
    <t>11111111111111111111111111111111111111111111111111111111111111111111111111111</t>
  </si>
  <si>
    <t>111111111111111111111111111111111111111111111111111111111111111111111111111111</t>
  </si>
  <si>
    <t>1111111111111111111111111111111111111111111111111111111111111111111111111111111</t>
  </si>
  <si>
    <t>11111111111111111111111111111111111111111111111111111111111111111111111111111111</t>
  </si>
  <si>
    <t>111111111111111111111111111111111111111111111111111111111111111111111111111111111</t>
  </si>
  <si>
    <t>1111111111111111111111111111111111111111111111111111111111111111111111111111111111</t>
  </si>
  <si>
    <t>11111111111111111111111111111111111111111111111111111111111111111111111111111111111</t>
  </si>
  <si>
    <t>111111111111111111111111111111111111111111111111111111111111111111111111111111111111</t>
  </si>
  <si>
    <t>1111111111111111111111111111111111111111111111111111111111111111111111111111111111111</t>
  </si>
  <si>
    <t>11111111111111111111111111111111111111111111111111111111111111111111111111111111111111</t>
  </si>
  <si>
    <t>111111111111111111111111111111111111111111111111111111111111111111111111111111111111111</t>
  </si>
  <si>
    <t>1111111111111111111111111111111111111111111111111111111111111111111111111111111111111111</t>
  </si>
  <si>
    <t>11111111111111111111111111111111111111111111111111111111111111111111111111111111111111111</t>
  </si>
  <si>
    <t>111111111111111111111111111111111111111111111111111111111111111111111111111111111111111111</t>
  </si>
  <si>
    <t>1111111111111111111111111111111111111111111111111111111111111111111111111111111111111111111</t>
  </si>
  <si>
    <t>11111111111111111111111111111111111111111111111111111111111111111111111111111111111111111111</t>
  </si>
  <si>
    <t>111111111111111111111111111111111111111111111111111111111111111111111111111111111111111111111</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</si>
  <si>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</si>
  <si>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</si>
  <si>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</si>
  <si>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</si>
  <si>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</si>
  <si>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</si>
  <si>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</si>
  <si>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</si>
  <si>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</si>
  <si>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</si>
  <si>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</si>
  <si>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</si>
  <si>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</si>
  <si>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</si>
  <si>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</si>
  <si>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</si>
  <si>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</si>
  <si>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</si>
  <si>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</si>
  <si>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</si>
  <si>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</si>
  <si>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</si>
  <si>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</si>
  <si>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</si>
  <si>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</si>
  <si>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</si>
  <si>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</si>
  <si>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</si>
  <si>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</si>
  <si>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</si>
  <si>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</si>
  <si>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</si>
  <si>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</si>
  <si>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</si>
  <si>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</si>
  <si>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</si>
  <si>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</si>
  <si>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</si>
  <si>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</si>
  <si>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</si>
  <si>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</si>
  <si>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</si>
  <si>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</si>
  <si>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</si>
  <si>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</si>
  <si>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</si>
  <si>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</si>
  <si>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</si>
  <si>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</si>
  <si>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</si>
  <si>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</si>
  <si>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</si>
  <si>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</si>
  <si>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</si>
  <si>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</si>
  <si>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</si>
  <si>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</si>
  <si>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</si>
  <si>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</si>
  <si>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</si>
  <si>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</si>
  <si>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</si>
  <si>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</si>
  <si>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</si>
  <si>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</si>
  <si>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</si>
  <si>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</si>
  <si>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</si>
  <si>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</si>
  <si>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</si>
  <si>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</si>
  <si>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</si>
  <si>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</si>
  <si>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</si>
  <si>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</si>
  <si>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</si>
  <si>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</si>
  <si>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</si>
  <si>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</si>
  <si>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</si>
  <si>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</si>
  <si>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</si>
  <si>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</si>
  <si>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</si>
  <si>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</si>
  <si>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</si>
  <si>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</si>
  <si>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</si>
  <si>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</si>
  <si>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</si>
  <si>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</si>
  <si>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</si>
  <si>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</si>
  <si>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</si>
  <si>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</si>
  <si>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</si>
  <si>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</si>
  <si>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</si>
  <si>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</si>
  <si>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</si>
  <si>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</si>
  <si>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</si>
  <si>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</si>
  <si>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</si>
  <si>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</si>
  <si>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</si>
  <si>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</si>
  <si>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</si>
  <si>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</si>
  <si>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</si>
  <si>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</si>
  <si>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</si>
  <si>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</si>
  <si>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</si>
  <si>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</si>
  <si>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</si>
  <si>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</si>
  <si>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</si>
  <si>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</si>
  <si>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</si>
  <si>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</si>
  <si>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</si>
  <si>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</si>
  <si>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</si>
  <si>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</si>
  <si>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</si>
  <si>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</si>
  <si>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</si>
  <si>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</si>
  <si>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</si>
  <si>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</si>
  <si>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</si>
  <si>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</si>
  <si>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</si>
  <si>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</si>
  <si>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</si>
  <si>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</si>
  <si>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</si>
  <si>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</si>
  <si>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</si>
  <si>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</si>
  <si>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</si>
  <si>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</si>
  <si>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</si>
  <si>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</si>
  <si>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</si>
  <si>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</si>
  <si>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</si>
  <si>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</si>
  <si>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</si>
  <si>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</si>
  <si>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</si>
  <si>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</si>
  <si>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</si>
  <si>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</si>
  <si>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</si>
  <si>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</si>
  <si>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</si>
  <si>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</si>
  <si>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</si>
  <si>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</si>
  <si>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</si>
  <si>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</si>
  <si>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</si>
  <si>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</si>
  <si>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</si>
  <si>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</si>
  <si>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</si>
  <si>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</si>
  <si>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</si>
  <si>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</si>
  <si>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</si>
  <si>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</si>
  <si>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</si>
  <si>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</si>
  <si>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</si>
  <si>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</si>
  <si>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</si>
  <si>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</si>
  <si>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</si>
  <si>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</si>
  <si>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</si>
  <si>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</si>
  <si>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</si>
  <si>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</si>
  <si>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</si>
  <si>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</si>
  <si>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</si>
  <si>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</si>
  <si>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</si>
  <si>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</si>
  <si>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</si>
  <si>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</si>
  <si>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</si>
  <si>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</si>
  <si>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</si>
  <si>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</si>
  <si>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</si>
  <si>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</si>
  <si>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</si>
  <si>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</si>
  <si>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</si>
  <si>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</si>
  <si>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</si>
  <si>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</si>
  <si>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</si>
  <si>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</si>
  <si>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</si>
  <si>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</si>
  <si>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</si>
  <si>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</si>
  <si>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</si>
  <si>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</si>
  <si>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</si>
  <si>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</si>
  <si>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</si>
  <si>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</si>
  <si>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</si>
  <si>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</si>
  <si>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</si>
  <si>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</si>
  <si>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</si>
  <si>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</si>
  <si>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</si>
  <si>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</si>
  <si>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</si>
  <si>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</si>
  <si>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</si>
  <si>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</si>
  <si>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</si>
  <si>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</si>
  <si>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</si>
  <si>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</si>
  <si>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</si>
  <si>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</si>
  <si>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</si>
  <si>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</si>
  <si>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</si>
  <si>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</si>
  <si>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</si>
  <si>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</si>
  <si>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</si>
  <si>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</si>
  <si>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</si>
  <si>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</si>
  <si>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</si>
  <si>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</si>
  <si>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</si>
  <si>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</si>
  <si>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</si>
  <si>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</si>
  <si>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</si>
  <si>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</si>
  <si>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</si>
  <si>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</si>
  <si>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</si>
  <si>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</si>
  <si>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</si>
  <si>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</si>
  <si>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</si>
  <si>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</si>
  <si>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</si>
  <si>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</si>
  <si>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</si>
  <si>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</si>
  <si>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</si>
  <si>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</si>
  <si>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</si>
  <si>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</si>
  <si>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</si>
  <si>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</si>
  <si>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</si>
  <si>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</si>
  <si>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</si>
  <si>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</si>
  <si>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</si>
  <si>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</si>
  <si>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</si>
  <si>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</si>
  <si>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</si>
  <si>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</si>
  <si>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</si>
  <si>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</si>
  <si>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</si>
  <si>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</si>
  <si>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</si>
  <si>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</si>
  <si>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</si>
  <si>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</si>
  <si>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</si>
  <si>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</si>
  <si>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</si>
  <si>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</si>
  <si>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</si>
  <si>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</si>
  <si>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</si>
  <si>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</si>
  <si>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</si>
  <si>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</si>
  <si>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</si>
  <si>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</si>
  <si>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</si>
  <si>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</si>
  <si>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</si>
  <si>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</si>
  <si>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</si>
  <si>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</si>
  <si>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</si>
  <si>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</si>
  <si>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</si>
  <si>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</si>
  <si>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</si>
  <si>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</si>
  <si>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</si>
  <si>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</si>
  <si>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</si>
  <si>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</si>
  <si>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</si>
  <si>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</si>
  <si>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</si>
  <si>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</si>
  <si>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</si>
  <si>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</si>
  <si>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</si>
  <si>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</si>
  <si>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</si>
  <si>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</si>
  <si>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</si>
  <si>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</si>
  <si>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</si>
  <si>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</si>
  <si>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</si>
  <si>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</si>
  <si>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</si>
  <si>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</si>
  <si>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</si>
  <si>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</si>
  <si>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</si>
  <si>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</si>
  <si>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</si>
  <si>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</si>
  <si>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</si>
  <si>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</si>
  <si>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</si>
  <si>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</si>
  <si>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</si>
  <si>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</si>
  <si>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</si>
  <si>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</si>
  <si>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</si>
  <si>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</si>
  <si>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</si>
  <si>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</si>
  <si>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</si>
  <si>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</si>
  <si>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</si>
  <si>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</si>
  <si>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</si>
  <si>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</si>
  <si>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</si>
  <si>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</si>
  <si>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</si>
  <si>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</si>
  <si>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</si>
  <si>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</si>
  <si>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</si>
  <si>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</si>
  <si>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</si>
  <si>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</si>
  <si>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</si>
  <si>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</si>
  <si>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</si>
  <si>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</si>
  <si>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</si>
  <si>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</si>
  <si>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</si>
  <si>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</si>
  <si>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</si>
  <si>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</si>
  <si>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</si>
  <si>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</si>
  <si>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</si>
  <si>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</si>
  <si>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</si>
  <si>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</si>
  <si>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</si>
  <si>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</si>
  <si>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</si>
  <si>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</si>
  <si>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</si>
  <si>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</si>
  <si>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</si>
  <si>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</si>
  <si>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</si>
  <si>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</si>
  <si>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</si>
  <si>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</si>
  <si>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</si>
  <si>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</si>
  <si>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</si>
  <si>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</si>
  <si>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</si>
  <si>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</si>
  <si>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</si>
  <si>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</si>
  <si>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</si>
  <si>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</si>
  <si>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</si>
  <si>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</si>
  <si>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</si>
  <si>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</si>
  <si>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</si>
  <si>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</si>
  <si>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</si>
  <si>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</si>
  <si>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</si>
  <si>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недостаточно мощности</t>
  </si>
  <si>
    <t>5.0</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</si>
  <si>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</si>
  <si>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</si>
  <si>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</si>
  <si>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</si>
  <si>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</si>
  <si>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</si>
  <si>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</si>
  <si>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</si>
  <si>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</si>
  <si>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</si>
  <si>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</si>
  <si>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</si>
  <si>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</si>
  <si>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</si>
  <si>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</si>
  <si>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</si>
  <si>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</si>
  <si>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</si>
  <si>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</si>
  <si>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</si>
  <si>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</si>
  <si>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</si>
  <si>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</si>
  <si>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</si>
  <si>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</si>
  <si>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</si>
  <si>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</si>
  <si>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</si>
  <si>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</si>
  <si>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</si>
  <si>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</si>
  <si>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</si>
  <si>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</si>
  <si>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</si>
  <si>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</si>
  <si>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</si>
  <si>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</si>
  <si>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</si>
  <si>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</si>
  <si>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</si>
  <si>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</si>
  <si>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</si>
  <si>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</si>
  <si>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</si>
  <si>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</si>
  <si>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</si>
  <si>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</si>
  <si>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</si>
  <si>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</si>
  <si>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</si>
  <si>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</si>
  <si>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</si>
  <si>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</si>
  <si>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</si>
  <si>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</si>
  <si>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</si>
  <si>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</si>
  <si>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</si>
  <si>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</si>
  <si>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</si>
  <si>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</si>
  <si>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</si>
  <si>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</si>
  <si>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</si>
  <si>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</si>
  <si>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</si>
  <si>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</si>
  <si>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</si>
  <si>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</si>
  <si>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</si>
  <si>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</si>
  <si>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</si>
  <si>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</si>
  <si>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</si>
  <si>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</si>
  <si>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</si>
  <si>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</si>
  <si>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</si>
  <si>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</si>
  <si>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</si>
  <si>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</si>
  <si>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</si>
  <si>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</si>
  <si>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</si>
  <si>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</si>
  <si>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</si>
  <si>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</si>
  <si>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</si>
  <si>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</si>
  <si>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</si>
  <si>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</si>
  <si>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</si>
  <si>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</si>
  <si>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</si>
  <si>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</si>
  <si>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</si>
  <si>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</si>
  <si>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</si>
  <si>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</si>
  <si>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</si>
  <si>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</si>
  <si>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</si>
  <si>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</si>
  <si>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</si>
  <si>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</si>
  <si>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</si>
  <si>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</si>
  <si>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</si>
  <si>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</si>
  <si>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</si>
  <si>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</si>
  <si>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</si>
  <si>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</si>
  <si>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</si>
  <si>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</si>
  <si>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</si>
  <si>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</si>
  <si>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</si>
  <si>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</si>
  <si>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</si>
  <si>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</si>
  <si>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</si>
  <si>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</si>
  <si>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</si>
  <si>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</si>
  <si>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</si>
  <si>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</si>
  <si>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</si>
  <si>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</si>
  <si>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</si>
  <si>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</si>
  <si>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</si>
  <si>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</si>
  <si>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</si>
  <si>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</si>
  <si>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</si>
  <si>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</si>
  <si>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</si>
  <si>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</si>
  <si>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</si>
  <si>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</si>
  <si>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</si>
  <si>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</si>
  <si>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</si>
  <si>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</si>
  <si>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</si>
  <si>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</si>
  <si>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</si>
  <si>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</si>
  <si>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</si>
  <si>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</si>
  <si>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</si>
  <si>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</si>
  <si>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</si>
  <si>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</si>
  <si>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</si>
  <si>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</si>
  <si>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</si>
  <si>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</si>
  <si>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</si>
  <si>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</si>
  <si>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</si>
  <si>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</si>
  <si>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</si>
  <si>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</si>
  <si>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</si>
  <si>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</si>
  <si>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</si>
  <si>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</si>
  <si>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</si>
  <si>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</si>
  <si>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</si>
  <si>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</si>
  <si>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</si>
  <si>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</si>
  <si>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</si>
  <si>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</si>
  <si>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</si>
  <si>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</si>
  <si>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</si>
  <si>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</si>
  <si>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</si>
  <si>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</si>
  <si>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</si>
  <si>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</si>
  <si>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</si>
  <si>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</si>
  <si>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</si>
  <si>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</si>
  <si>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</si>
  <si>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</si>
  <si>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</si>
  <si>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</si>
  <si>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</si>
  <si>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</si>
  <si>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</si>
  <si>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</si>
  <si>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</si>
  <si>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</si>
  <si>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</si>
  <si>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</si>
  <si>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</si>
  <si>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</si>
  <si>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</si>
  <si>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</si>
  <si>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</si>
  <si>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</si>
  <si>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</si>
  <si>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</si>
  <si>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</si>
  <si>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</si>
  <si>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</si>
  <si>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</si>
  <si>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</si>
  <si>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</si>
  <si>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</si>
  <si>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</si>
  <si>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</si>
  <si>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</si>
  <si>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</si>
  <si>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</si>
  <si>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</si>
  <si>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</si>
  <si>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</si>
  <si>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</si>
  <si>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</si>
  <si>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</si>
  <si>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</si>
  <si>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</si>
  <si>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</si>
  <si>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</si>
  <si>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</si>
  <si>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</si>
  <si>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</si>
  <si>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</si>
  <si>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</si>
  <si>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</si>
  <si>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</si>
  <si>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</si>
  <si>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</si>
  <si>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</si>
  <si>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</si>
  <si>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</si>
  <si>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</si>
  <si>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</si>
  <si>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</si>
  <si>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</si>
  <si>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</si>
  <si>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</si>
  <si>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</si>
  <si>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</si>
  <si>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</si>
  <si>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</si>
  <si>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</si>
  <si>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</si>
  <si>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</si>
  <si>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</si>
  <si>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</si>
  <si>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</si>
  <si>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</si>
  <si>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</si>
  <si>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</si>
  <si>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</si>
  <si>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</si>
  <si>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</si>
  <si>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</si>
  <si>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</si>
  <si>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</si>
  <si>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</si>
  <si>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</si>
  <si>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</si>
  <si>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</si>
  <si>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</si>
  <si>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</si>
  <si>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</si>
  <si>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</si>
  <si>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</si>
  <si>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</si>
  <si>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</si>
  <si>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</si>
  <si>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</si>
  <si>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</si>
  <si>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</si>
  <si>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</si>
  <si>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</si>
  <si>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</si>
  <si>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</si>
  <si>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</si>
  <si>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</si>
  <si>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</si>
  <si>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</si>
  <si>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</si>
  <si>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</si>
  <si>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</si>
  <si>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</si>
  <si>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</si>
  <si>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</si>
  <si>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</si>
  <si>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</si>
  <si>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</si>
  <si>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</si>
  <si>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</si>
  <si>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</si>
  <si>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</si>
  <si>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</si>
  <si>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</si>
  <si>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</si>
  <si>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</si>
  <si>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</si>
  <si>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</si>
  <si>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</si>
  <si>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</si>
  <si>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</si>
  <si>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</si>
  <si>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</si>
  <si>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</si>
  <si>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</si>
  <si>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</si>
  <si>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</si>
  <si>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</si>
  <si>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</si>
  <si>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</si>
  <si>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</si>
  <si>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</si>
  <si>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</si>
  <si>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</si>
  <si>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</si>
  <si>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</si>
  <si>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</si>
  <si>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</si>
  <si>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</si>
  <si>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</si>
  <si>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</si>
  <si>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</si>
  <si>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</si>
  <si>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</si>
  <si>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</si>
  <si>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</si>
  <si>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</si>
  <si>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</si>
  <si>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</si>
  <si>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</si>
  <si>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</si>
  <si>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</si>
  <si>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</si>
  <si>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</si>
  <si>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</si>
  <si>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</si>
  <si>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</si>
  <si>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</si>
  <si>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</si>
  <si>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</si>
  <si>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</si>
  <si>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</si>
  <si>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</si>
  <si>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</si>
  <si>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</si>
  <si>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</si>
  <si>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</si>
  <si>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</si>
  <si>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</si>
  <si>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</si>
  <si>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</si>
  <si>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</si>
  <si>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</si>
  <si>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</si>
  <si>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</si>
  <si>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</si>
  <si>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</si>
  <si>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</si>
  <si>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</si>
  <si>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</si>
  <si>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</si>
  <si>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</si>
  <si>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</si>
  <si>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</si>
  <si>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</si>
  <si>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</si>
  <si>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</si>
  <si>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</si>
  <si>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</si>
  <si>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</si>
  <si>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</si>
  <si>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</si>
  <si>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</si>
  <si>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</si>
  <si>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</si>
  <si>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</si>
  <si>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</si>
  <si>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</si>
  <si>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</si>
  <si>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</si>
  <si>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</si>
  <si>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</si>
  <si>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</si>
  <si>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</si>
  <si>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</si>
  <si>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</si>
  <si>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</si>
  <si>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</si>
  <si>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</si>
  <si>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</si>
  <si>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</si>
  <si>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</si>
  <si>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</si>
  <si>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</si>
  <si>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</si>
  <si>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</si>
  <si>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</si>
  <si>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</si>
  <si>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</si>
  <si>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</si>
  <si>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</si>
  <si>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</si>
  <si>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</si>
  <si>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</si>
  <si>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</si>
  <si>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</si>
  <si>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</si>
  <si>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</si>
  <si>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</si>
  <si>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</si>
  <si>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</si>
  <si>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</si>
  <si>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</si>
  <si>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</si>
  <si>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</si>
  <si>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</si>
  <si>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</si>
  <si>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</si>
  <si>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</si>
  <si>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</si>
  <si>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</si>
  <si>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</si>
  <si>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</si>
  <si>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</si>
  <si>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</si>
  <si>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</si>
  <si>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</si>
  <si>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</si>
  <si>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</si>
  <si>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</si>
  <si>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</si>
  <si>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</si>
  <si>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</si>
  <si>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</si>
  <si>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</si>
  <si>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</si>
  <si>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</si>
  <si>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</si>
  <si>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</si>
  <si>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</si>
  <si>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</si>
  <si>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</si>
  <si>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</si>
  <si>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</si>
  <si>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</si>
  <si>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</si>
  <si>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</si>
  <si>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</si>
  <si>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</si>
  <si>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</si>
  <si>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</si>
  <si>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</si>
  <si>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</si>
  <si>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</si>
  <si>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</si>
  <si>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</si>
  <si>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</si>
  <si>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</si>
  <si>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</si>
  <si>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</si>
  <si>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</si>
  <si>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</si>
  <si>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</si>
  <si>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</si>
  <si>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</si>
  <si>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</si>
  <si>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</si>
  <si>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</si>
  <si>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</si>
  <si>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</si>
  <si>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</si>
  <si>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</si>
  <si>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</si>
  <si>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</si>
  <si>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</si>
  <si>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</si>
  <si>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</si>
  <si>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</si>
  <si>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</si>
  <si>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</si>
  <si>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</si>
  <si>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</si>
  <si>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</si>
  <si>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</si>
  <si>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</si>
  <si>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</si>
  <si>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</si>
  <si>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</si>
  <si>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</si>
  <si>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</si>
  <si>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</si>
  <si>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</si>
  <si>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</si>
  <si>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</si>
  <si>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</si>
  <si>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</si>
  <si>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</si>
  <si>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</si>
  <si>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</si>
  <si>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</si>
  <si>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</si>
  <si>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</si>
  <si>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</si>
  <si>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</si>
  <si>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</si>
  <si>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</si>
  <si>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</si>
  <si>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</si>
  <si>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</si>
  <si>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</si>
  <si>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</si>
  <si>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</si>
  <si>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</si>
  <si>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</si>
  <si>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</si>
  <si>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</si>
  <si>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</si>
  <si>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</si>
  <si>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</si>
  <si>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</si>
  <si>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</si>
  <si>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</si>
  <si>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</si>
  <si>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</si>
  <si>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</si>
  <si>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</si>
  <si>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</si>
  <si>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</si>
  <si>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</si>
  <si>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</si>
  <si>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</si>
  <si>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</si>
  <si>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</si>
  <si>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</si>
  <si>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</si>
  <si>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</si>
  <si>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</si>
  <si>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</si>
  <si>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</si>
  <si>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</si>
  <si>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</si>
  <si>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</si>
  <si>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</si>
  <si>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</si>
  <si>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</si>
  <si>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</si>
  <si>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</si>
  <si>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</si>
  <si>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</si>
  <si>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</si>
  <si>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</si>
  <si>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</si>
  <si>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</si>
  <si>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</si>
  <si>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</si>
  <si>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</si>
  <si>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</si>
  <si>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</si>
  <si>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</si>
  <si>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</si>
  <si>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</si>
  <si>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</si>
  <si>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</si>
  <si>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</si>
  <si>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</si>
  <si>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</si>
  <si>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</si>
  <si>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</si>
  <si>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</si>
  <si>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</si>
  <si>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</si>
  <si>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</si>
  <si>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</si>
  <si>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</si>
  <si>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O</t>
  </si>
  <si>
    <t>Бюджет муниципального образования</t>
  </si>
  <si>
    <t>Пензенская область</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</si>
  <si>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</si>
  <si>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</si>
  <si>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</si>
  <si>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</si>
  <si>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</si>
  <si>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</si>
  <si>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</si>
  <si>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</si>
  <si>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</si>
  <si>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Псковская область</t>
  </si>
  <si>
    <t>INVEST</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</si>
  <si>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</si>
  <si>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</si>
  <si>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</si>
  <si>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</si>
  <si>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</si>
  <si>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</si>
  <si>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</si>
  <si>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</si>
  <si>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</si>
  <si>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</si>
  <si>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Республика Бурятия</t>
  </si>
  <si>
    <t>PT_NETS_LIST</t>
  </si>
  <si>
    <t>Республика Дагестан</t>
  </si>
  <si>
    <t>Республика Ингушетия</t>
  </si>
  <si>
    <t>TERRITORY_ID</t>
  </si>
  <si>
    <t>начинать только с 2, остальное по умолчанию</t>
  </si>
  <si>
    <t>Республика Калмыкия</t>
  </si>
  <si>
    <t>DIFFERENTIATION_ID</t>
  </si>
  <si>
    <t>Республика Карелия</t>
  </si>
  <si>
    <t>IP_ID</t>
  </si>
  <si>
    <t>Республика Коми</t>
  </si>
  <si>
    <t>начинать только с 30, остальное по умолчанию</t>
  </si>
  <si>
    <t>PT_DIAMETERS_LIST</t>
  </si>
  <si>
    <t>Республика Крым</t>
  </si>
  <si>
    <t>VDET_ID</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</si>
  <si>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</si>
  <si>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</si>
  <si>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</si>
  <si>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</si>
  <si>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</si>
  <si>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</si>
  <si>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</si>
  <si>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</si>
  <si>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</si>
  <si>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</si>
  <si>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</si>
  <si>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</si>
  <si>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</si>
  <si>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</si>
  <si>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</si>
  <si>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</si>
  <si>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</si>
  <si>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</si>
  <si>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</si>
  <si>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</si>
  <si>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</si>
  <si>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</si>
  <si>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</si>
  <si>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</si>
  <si>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</si>
  <si>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</si>
  <si>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</si>
  <si>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</si>
  <si>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</si>
  <si>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</si>
  <si>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</si>
  <si>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</si>
  <si>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</si>
  <si>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</si>
  <si>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</si>
  <si>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</si>
  <si>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</si>
  <si>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</si>
  <si>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</si>
  <si>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</si>
  <si>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</si>
  <si>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</si>
  <si>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</si>
  <si>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</si>
  <si>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</si>
  <si>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</si>
  <si>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</si>
  <si>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</si>
  <si>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</si>
  <si>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</si>
  <si>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</si>
  <si>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</si>
  <si>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</si>
  <si>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</si>
  <si>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</si>
  <si>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</si>
  <si>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</si>
  <si>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</si>
  <si>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</si>
  <si>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</si>
  <si>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</si>
  <si>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</si>
  <si>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</si>
  <si>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</si>
  <si>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</si>
  <si>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</si>
  <si>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</si>
  <si>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</si>
  <si>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</si>
  <si>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</si>
  <si>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</si>
  <si>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</si>
  <si>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</si>
  <si>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</si>
  <si>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</si>
  <si>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</si>
  <si>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</si>
  <si>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</si>
  <si>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</si>
  <si>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</si>
  <si>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</si>
  <si>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</si>
  <si>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</si>
  <si>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</si>
  <si>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</si>
  <si>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</si>
  <si>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</si>
  <si>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</si>
  <si>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</si>
  <si>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</si>
  <si>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</si>
  <si>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</si>
  <si>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</si>
  <si>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</si>
  <si>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</si>
  <si>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</si>
  <si>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</si>
  <si>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</si>
  <si>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</si>
  <si>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</si>
  <si>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</si>
  <si>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</si>
  <si>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</si>
  <si>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</si>
  <si>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</si>
  <si>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</si>
  <si>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</si>
  <si>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</si>
  <si>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</si>
  <si>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</si>
  <si>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</si>
  <si>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</si>
  <si>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</si>
  <si>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</si>
  <si>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</si>
  <si>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</si>
  <si>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</si>
  <si>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</si>
  <si>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</si>
  <si>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</si>
  <si>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</si>
  <si>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</si>
  <si>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</si>
  <si>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</si>
  <si>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</si>
  <si>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</si>
  <si>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</si>
  <si>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</si>
  <si>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</si>
  <si>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</si>
  <si>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</si>
  <si>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</si>
  <si>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</si>
  <si>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</si>
  <si>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</si>
  <si>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</si>
  <si>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</si>
  <si>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</si>
  <si>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</si>
  <si>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</si>
  <si>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</si>
  <si>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</si>
  <si>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</si>
  <si>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</si>
  <si>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</si>
  <si>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</si>
  <si>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</si>
  <si>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</si>
  <si>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</si>
  <si>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</si>
  <si>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</si>
  <si>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</si>
  <si>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</si>
  <si>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</si>
  <si>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</si>
  <si>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</si>
  <si>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</si>
  <si>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</si>
  <si>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</si>
  <si>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</si>
  <si>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</si>
  <si>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</si>
  <si>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</si>
  <si>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</si>
  <si>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</si>
  <si>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</si>
  <si>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</si>
  <si>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</si>
  <si>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</si>
  <si>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</si>
  <si>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</si>
  <si>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</si>
  <si>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</si>
  <si>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</si>
  <si>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</si>
  <si>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</si>
  <si>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</si>
  <si>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</si>
  <si>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</si>
  <si>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</si>
  <si>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</si>
  <si>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</si>
  <si>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</si>
  <si>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</si>
  <si>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</si>
  <si>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</si>
  <si>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</si>
  <si>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</si>
  <si>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</si>
  <si>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</si>
  <si>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</si>
  <si>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</si>
  <si>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</si>
  <si>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</si>
  <si>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</si>
  <si>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</si>
  <si>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</si>
  <si>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</si>
  <si>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</si>
  <si>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</si>
  <si>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</si>
  <si>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</si>
  <si>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</si>
  <si>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</si>
  <si>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</si>
  <si>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</si>
  <si>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</si>
  <si>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</si>
  <si>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</si>
  <si>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</si>
  <si>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</si>
  <si>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</si>
  <si>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</si>
  <si>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</si>
  <si>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</si>
  <si>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</si>
  <si>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</si>
  <si>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</si>
  <si>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</si>
  <si>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</si>
  <si>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</si>
  <si>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</si>
  <si>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</si>
  <si>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</si>
  <si>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</si>
  <si>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</si>
  <si>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</si>
  <si>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</si>
  <si>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</si>
  <si>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</si>
  <si>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</si>
  <si>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</si>
  <si>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</si>
  <si>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</si>
  <si>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</si>
  <si>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</si>
  <si>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</si>
  <si>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</si>
  <si>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</si>
  <si>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</si>
  <si>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</si>
  <si>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</si>
  <si>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</si>
  <si>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</si>
  <si>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</si>
  <si>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</si>
  <si>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</si>
  <si>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</si>
  <si>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</si>
  <si>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</si>
  <si>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</si>
  <si>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</si>
  <si>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</si>
  <si>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</si>
  <si>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</si>
  <si>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</si>
  <si>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</si>
  <si>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</si>
  <si>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</si>
  <si>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</si>
  <si>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</si>
  <si>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</si>
  <si>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</si>
  <si>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</si>
  <si>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</si>
  <si>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</si>
  <si>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</si>
  <si>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</si>
  <si>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</si>
  <si>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</si>
  <si>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</si>
  <si>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</si>
  <si>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</si>
  <si>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</si>
  <si>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</si>
  <si>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</si>
  <si>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</si>
  <si>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</si>
  <si>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</si>
  <si>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</si>
  <si>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</si>
  <si>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</si>
  <si>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</si>
  <si>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</si>
  <si>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</si>
  <si>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</si>
  <si>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</si>
  <si>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</si>
  <si>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</si>
  <si>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</si>
  <si>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</si>
  <si>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</si>
  <si>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</si>
  <si>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</si>
  <si>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</si>
  <si>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</si>
  <si>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</si>
  <si>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</si>
  <si>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</si>
  <si>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</si>
  <si>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</si>
  <si>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</si>
  <si>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</si>
  <si>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</si>
  <si>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</si>
  <si>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</si>
  <si>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</si>
  <si>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</si>
  <si>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</si>
  <si>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</si>
  <si>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</si>
  <si>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</si>
  <si>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</si>
  <si>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</si>
  <si>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</si>
  <si>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</si>
  <si>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</si>
  <si>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</si>
  <si>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</si>
  <si>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</si>
  <si>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</si>
  <si>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</si>
  <si>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</si>
  <si>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</si>
  <si>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</si>
  <si>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</si>
  <si>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</si>
  <si>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</si>
  <si>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</si>
  <si>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</si>
  <si>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</si>
  <si>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</si>
  <si>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</si>
  <si>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</si>
  <si>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</si>
  <si>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</si>
  <si>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</si>
  <si>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</si>
  <si>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</si>
  <si>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</si>
  <si>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</si>
  <si>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</si>
  <si>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</si>
  <si>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</si>
  <si>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</si>
  <si>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</si>
  <si>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</si>
  <si>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</si>
  <si>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</si>
  <si>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</si>
  <si>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</si>
  <si>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</si>
  <si>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</si>
  <si>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</si>
  <si>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</si>
  <si>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</si>
  <si>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</si>
  <si>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</si>
  <si>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</si>
  <si>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</si>
  <si>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</si>
  <si>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</si>
  <si>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</si>
  <si>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</si>
  <si>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</si>
  <si>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</si>
  <si>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</si>
  <si>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</si>
  <si>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</si>
  <si>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</si>
  <si>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</si>
  <si>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</si>
  <si>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</si>
  <si>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</si>
  <si>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</si>
  <si>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</si>
  <si>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</si>
  <si>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</si>
  <si>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</si>
  <si>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</si>
  <si>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</si>
  <si>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</si>
  <si>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</si>
  <si>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</si>
  <si>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</si>
  <si>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</si>
  <si>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</si>
  <si>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</si>
  <si>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</si>
  <si>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</si>
  <si>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</si>
  <si>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</si>
  <si>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</si>
  <si>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</si>
  <si>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</si>
  <si>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</si>
  <si>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</si>
  <si>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</si>
  <si>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</si>
  <si>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</si>
  <si>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</si>
  <si>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</si>
  <si>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</si>
  <si>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</si>
  <si>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</si>
  <si>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</si>
  <si>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</si>
  <si>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</si>
  <si>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</si>
  <si>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</si>
  <si>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</si>
  <si>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</si>
  <si>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</si>
  <si>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</si>
  <si>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</si>
  <si>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</si>
  <si>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</si>
  <si>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</si>
  <si>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</si>
  <si>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</si>
  <si>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</si>
  <si>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</si>
  <si>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</si>
  <si>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</si>
  <si>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</si>
  <si>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</si>
  <si>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</si>
  <si>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</si>
  <si>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</si>
  <si>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</si>
  <si>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</si>
  <si>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</si>
  <si>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</si>
  <si>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</si>
  <si>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</si>
  <si>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</si>
  <si>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</si>
  <si>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</si>
  <si>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</si>
  <si>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</si>
  <si>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</si>
  <si>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</si>
  <si>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</si>
  <si>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</si>
  <si>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</si>
  <si>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</si>
  <si>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</si>
  <si>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</si>
  <si>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</si>
  <si>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</si>
  <si>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</si>
  <si>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</si>
  <si>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</si>
  <si>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</si>
  <si>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</si>
  <si>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</si>
  <si>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</si>
  <si>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</si>
  <si>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</si>
  <si>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</si>
  <si>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</si>
  <si>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</si>
  <si>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</si>
  <si>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</si>
  <si>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</si>
  <si>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</si>
  <si>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</si>
  <si>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</si>
  <si>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</si>
  <si>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</si>
  <si>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</si>
  <si>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</si>
  <si>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</si>
  <si>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</si>
  <si>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</si>
  <si>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</si>
  <si>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</si>
  <si>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</si>
  <si>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</si>
  <si>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</si>
  <si>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</si>
  <si>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</si>
  <si>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</si>
  <si>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</si>
  <si>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</si>
  <si>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</si>
  <si>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</si>
  <si>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</si>
  <si>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</si>
  <si>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</si>
  <si>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</si>
  <si>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</si>
  <si>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</si>
  <si>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</si>
  <si>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</si>
  <si>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</si>
  <si>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</si>
  <si>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</si>
  <si>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</si>
  <si>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</si>
  <si>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</si>
  <si>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</si>
  <si>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</si>
  <si>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</si>
  <si>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</si>
  <si>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</si>
  <si>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</si>
  <si>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</si>
  <si>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</si>
  <si>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</si>
  <si>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</si>
  <si>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</si>
  <si>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</si>
  <si>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</si>
  <si>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</si>
  <si>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</si>
  <si>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</si>
  <si>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</si>
  <si>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</si>
  <si>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</si>
  <si>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</si>
  <si>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</si>
  <si>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</si>
  <si>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</si>
  <si>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</si>
  <si>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</si>
  <si>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</si>
  <si>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</si>
  <si>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</si>
  <si>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</si>
  <si>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</si>
  <si>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</si>
  <si>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</si>
  <si>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</si>
  <si>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</si>
  <si>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</si>
  <si>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</si>
  <si>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</si>
  <si>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</si>
  <si>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</si>
  <si>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</si>
  <si>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</si>
  <si>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</si>
  <si>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</si>
  <si>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</si>
  <si>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</si>
  <si>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</si>
  <si>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</si>
  <si>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</si>
  <si>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</si>
  <si>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2597</t>
  </si>
  <si>
    <t>АДМИНИСТРАЦИЯ ГОРОДА БУЗУЛУКА</t>
  </si>
  <si>
    <t>5603005424</t>
  </si>
  <si>
    <t>560301001</t>
  </si>
  <si>
    <t>26359149</t>
  </si>
  <si>
    <t>АО "Верховский молочно-консервный завод"</t>
  </si>
  <si>
    <t>5705002782</t>
  </si>
  <si>
    <t>570545001</t>
  </si>
  <si>
    <t>28796046</t>
  </si>
  <si>
    <t>АО "ГТ Энерго"</t>
  </si>
  <si>
    <t>7703806647</t>
  </si>
  <si>
    <t>772801001</t>
  </si>
  <si>
    <t>30356335</t>
  </si>
  <si>
    <t>АО "ГУ ЖКХ"</t>
  </si>
  <si>
    <t>5116000922</t>
  </si>
  <si>
    <t>511601005</t>
  </si>
  <si>
    <t>31616395</t>
  </si>
  <si>
    <t>31455637</t>
  </si>
  <si>
    <t>АО "Почта России" -  УФПС Орловской области</t>
  </si>
  <si>
    <t>7724490000</t>
  </si>
  <si>
    <t>575343001</t>
  </si>
  <si>
    <t>26416780</t>
  </si>
  <si>
    <t>АО "Протон"</t>
  </si>
  <si>
    <t>5753018359</t>
  </si>
  <si>
    <t>575301001</t>
  </si>
  <si>
    <t>26838066</t>
  </si>
  <si>
    <t>АО "РЭУ"</t>
  </si>
  <si>
    <t>7714783092</t>
  </si>
  <si>
    <t>770401001</t>
  </si>
  <si>
    <t>28451411</t>
  </si>
  <si>
    <t>АО "Транснефть - Дружба"</t>
  </si>
  <si>
    <t>3235002178</t>
  </si>
  <si>
    <t>325701001</t>
  </si>
  <si>
    <t>28263808</t>
  </si>
  <si>
    <t>АО «ОВРК»</t>
  </si>
  <si>
    <t>7702718564</t>
  </si>
  <si>
    <t>575145001</t>
  </si>
  <si>
    <t>ДЕПАРТАМЕНТ ГОСУДАРСТВЕННОГО РЕГУЛИРОВАНИЯ ЦЕН И ТАРИФОВ ОРЛОВСКОЙ ОБЛАСТИ</t>
  </si>
  <si>
    <t>5753026800</t>
  </si>
  <si>
    <t>31690691</t>
  </si>
  <si>
    <t>МБУ «Спецавтобаза»</t>
  </si>
  <si>
    <t>5700002154</t>
  </si>
  <si>
    <t>570001001</t>
  </si>
  <si>
    <t>26359152</t>
  </si>
  <si>
    <t>МУЖКП Глазуновского района</t>
  </si>
  <si>
    <t>5706000442</t>
  </si>
  <si>
    <t>570601001</t>
  </si>
  <si>
    <t>26440191</t>
  </si>
  <si>
    <t>МУЖКП Троснянского района</t>
  </si>
  <si>
    <t>5724001583</t>
  </si>
  <si>
    <t>572401001</t>
  </si>
  <si>
    <t>30983884</t>
  </si>
  <si>
    <t>МУП "Благоустройство г. Болхова"</t>
  </si>
  <si>
    <t>5704004988</t>
  </si>
  <si>
    <t>570401001</t>
  </si>
  <si>
    <t>26359154</t>
  </si>
  <si>
    <t>МУП "ЖКХ п. Залегощь"</t>
  </si>
  <si>
    <t>5709003843</t>
  </si>
  <si>
    <t>570901001</t>
  </si>
  <si>
    <t>26440197</t>
  </si>
  <si>
    <t>МУП "Жилищно-коммунальное хозяйство Шаблыкинского района Орловской области"</t>
  </si>
  <si>
    <t>5727002144</t>
  </si>
  <si>
    <t>572701001</t>
  </si>
  <si>
    <t>30980943</t>
  </si>
  <si>
    <t>МУП "Зеленстрой"</t>
  </si>
  <si>
    <t>5752059578</t>
  </si>
  <si>
    <t>28980185</t>
  </si>
  <si>
    <t>МУП "Коммунальник" Краснозоренского района</t>
  </si>
  <si>
    <t>5713002698</t>
  </si>
  <si>
    <t>571301001</t>
  </si>
  <si>
    <t>30807417</t>
  </si>
  <si>
    <t>МУП "Коммунальщик"</t>
  </si>
  <si>
    <t>5722004243</t>
  </si>
  <si>
    <t>572201001</t>
  </si>
  <si>
    <t>12-07-2016 00:00:00</t>
  </si>
  <si>
    <t>31169675</t>
  </si>
  <si>
    <t>МУП "Мценск-Тепло" города Мценска</t>
  </si>
  <si>
    <t>5703008066</t>
  </si>
  <si>
    <t>570301001</t>
  </si>
  <si>
    <t>31291319</t>
  </si>
  <si>
    <t>МУП "Орловский теплосервис"</t>
  </si>
  <si>
    <t>5720023995</t>
  </si>
  <si>
    <t>572001001</t>
  </si>
  <si>
    <t>28111951</t>
  </si>
  <si>
    <t>МУП "Посад"</t>
  </si>
  <si>
    <t>5718004522</t>
  </si>
  <si>
    <t>571801001</t>
  </si>
  <si>
    <t>28976639</t>
  </si>
  <si>
    <t>МУП "Свердловский"</t>
  </si>
  <si>
    <t>5722004229</t>
  </si>
  <si>
    <t>30847587</t>
  </si>
  <si>
    <t>МУП "Тепловик"</t>
  </si>
  <si>
    <t>5722004275</t>
  </si>
  <si>
    <t>26359164</t>
  </si>
  <si>
    <t>МУП "Тепловодсервис"</t>
  </si>
  <si>
    <t>5719003000</t>
  </si>
  <si>
    <t>571901001</t>
  </si>
  <si>
    <t>26440167</t>
  </si>
  <si>
    <t>МУП "Теплогаз Мценского района"</t>
  </si>
  <si>
    <t>5717002353</t>
  </si>
  <si>
    <t>571701001</t>
  </si>
  <si>
    <t>26359150</t>
  </si>
  <si>
    <t>МУП "Теплосервис"</t>
  </si>
  <si>
    <t>5705003151</t>
  </si>
  <si>
    <t>570501001</t>
  </si>
  <si>
    <t>30370285</t>
  </si>
  <si>
    <t>МУП «Ливенские тепловые сети»</t>
  </si>
  <si>
    <t>5702012944</t>
  </si>
  <si>
    <t>570201001</t>
  </si>
  <si>
    <t>31438165</t>
  </si>
  <si>
    <t>МУП «Орловские тепловые сети»</t>
  </si>
  <si>
    <t>5720023900</t>
  </si>
  <si>
    <t>26425507</t>
  </si>
  <si>
    <t>МУП Малоархангельский тепловодсервис</t>
  </si>
  <si>
    <t>5716001798</t>
  </si>
  <si>
    <t>571601001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</si>
  <si>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</si>
  <si>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</si>
  <si>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</si>
  <si>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</si>
  <si>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28981467</t>
  </si>
  <si>
    <t>Муниципальное унитарное предприятие Орловского района Орловской области "Коммунальник"</t>
  </si>
  <si>
    <t>5720021250</t>
  </si>
  <si>
    <t>30366436</t>
  </si>
  <si>
    <t>ОАО "Автоагрегат"</t>
  </si>
  <si>
    <t>5702000280</t>
  </si>
  <si>
    <t>26550140</t>
  </si>
  <si>
    <t>ОАО "Гамма"</t>
  </si>
  <si>
    <t>5752006640</t>
  </si>
  <si>
    <t>28015153</t>
  </si>
  <si>
    <t>ОАО "ОЗСК" Ливенский филиал</t>
  </si>
  <si>
    <t>5751006541</t>
  </si>
  <si>
    <t>571543001</t>
  </si>
  <si>
    <t>31473580</t>
  </si>
  <si>
    <t>ОАО "Орелтеплосервис"</t>
  </si>
  <si>
    <t>5752050039</t>
  </si>
  <si>
    <t>575101001</t>
  </si>
  <si>
    <t>26550312</t>
  </si>
  <si>
    <t>ОАО "Северсталь - метиз" филиал "Орловский</t>
  </si>
  <si>
    <t>3528090760</t>
  </si>
  <si>
    <t>575403001</t>
  </si>
  <si>
    <t>26440177</t>
  </si>
  <si>
    <t>ОАО "Юго - Запад транснефтепродукт" - ЛПДС "Стальной конь"</t>
  </si>
  <si>
    <t>6317026217</t>
  </si>
  <si>
    <t>631050001</t>
  </si>
  <si>
    <t>26425570</t>
  </si>
  <si>
    <t>ООО  "Орловский теплосервис"</t>
  </si>
  <si>
    <t>5720016814</t>
  </si>
  <si>
    <t>28423073</t>
  </si>
  <si>
    <t>ООО "Аквасервис"</t>
  </si>
  <si>
    <t>5702011563</t>
  </si>
  <si>
    <t>31160333</t>
  </si>
  <si>
    <t>ООО "ВКХ Орловское"</t>
  </si>
  <si>
    <t>5720022960</t>
  </si>
  <si>
    <t>26550422</t>
  </si>
  <si>
    <t>ООО "Водосервис"</t>
  </si>
  <si>
    <t>5752047822</t>
  </si>
  <si>
    <t>26441659</t>
  </si>
  <si>
    <t>ООО "Глазуновская управляющая компания"</t>
  </si>
  <si>
    <t>5706005088</t>
  </si>
  <si>
    <t>28444051</t>
  </si>
  <si>
    <t>ООО "Жилстройсервис плюс"</t>
  </si>
  <si>
    <t>5707004094</t>
  </si>
  <si>
    <t>570701001</t>
  </si>
  <si>
    <t>26425454</t>
  </si>
  <si>
    <t>ООО "Коммунсервис" Знаменского района</t>
  </si>
  <si>
    <t>5710001872</t>
  </si>
  <si>
    <t>571001001</t>
  </si>
  <si>
    <t>14-09-2012 00:00:00</t>
  </si>
  <si>
    <t>26359155</t>
  </si>
  <si>
    <t>ООО "Коммунсервис-Колпна"</t>
  </si>
  <si>
    <t>5711003022</t>
  </si>
  <si>
    <t>571101001</t>
  </si>
  <si>
    <t>26440151</t>
  </si>
  <si>
    <t>ООО "Ливныстрой"</t>
  </si>
  <si>
    <t>5702008698</t>
  </si>
  <si>
    <t>571501001</t>
  </si>
  <si>
    <t>30836802</t>
  </si>
  <si>
    <t>ООО "ОСПАЗ"</t>
  </si>
  <si>
    <t>5720022487</t>
  </si>
  <si>
    <t>28871207</t>
  </si>
  <si>
    <t>ООО "Орловские тепловые магистрали"</t>
  </si>
  <si>
    <t>5753059612</t>
  </si>
  <si>
    <t>30474662</t>
  </si>
  <si>
    <t>ООО "Связьинформ"</t>
  </si>
  <si>
    <t>5753038130</t>
  </si>
  <si>
    <t>26359174</t>
  </si>
  <si>
    <t>ООО "СтройПарк"</t>
  </si>
  <si>
    <t>5753037217</t>
  </si>
  <si>
    <t>28457043</t>
  </si>
  <si>
    <t>ООО "ТСК-Орел"</t>
  </si>
  <si>
    <t>5754022238</t>
  </si>
  <si>
    <t>575401001</t>
  </si>
  <si>
    <t>26550310</t>
  </si>
  <si>
    <t>ООО "Текстильщик"</t>
  </si>
  <si>
    <t>5752202034</t>
  </si>
  <si>
    <t>28830238</t>
  </si>
  <si>
    <t>ООО "ТеплоГазПрибор"</t>
  </si>
  <si>
    <t>5702010182</t>
  </si>
  <si>
    <t>26439995</t>
  </si>
  <si>
    <t>ООО "ТеплоМир" Кромского района</t>
  </si>
  <si>
    <t>5714005204</t>
  </si>
  <si>
    <t>571401001</t>
  </si>
  <si>
    <t>31511472</t>
  </si>
  <si>
    <t>ООО "Теплоавтоматика"</t>
  </si>
  <si>
    <t>5753075847</t>
  </si>
  <si>
    <t>30387267</t>
  </si>
  <si>
    <t>ООО "Теплогазсистем"</t>
  </si>
  <si>
    <t>5710002259</t>
  </si>
  <si>
    <t>31041632</t>
  </si>
  <si>
    <t>ООО "Теплоком"</t>
  </si>
  <si>
    <t>5754022245</t>
  </si>
  <si>
    <t>06-02-2018 00:00:00</t>
  </si>
  <si>
    <t>26549739</t>
  </si>
  <si>
    <t>ООО "Теплосервис Образцовский"</t>
  </si>
  <si>
    <t>5720017208</t>
  </si>
  <si>
    <t>27517616</t>
  </si>
  <si>
    <t>ООО "Теплосеть"</t>
  </si>
  <si>
    <t>5705003419</t>
  </si>
  <si>
    <t>31456014</t>
  </si>
  <si>
    <t>ООО "Управляющая компания "Жилкомплекс"</t>
  </si>
  <si>
    <t>5754021379</t>
  </si>
  <si>
    <t>26442114</t>
  </si>
  <si>
    <t>ООО «Водсервис Пахомовский»</t>
  </si>
  <si>
    <t>5720016959</t>
  </si>
  <si>
    <t>28828641</t>
  </si>
  <si>
    <t>ООО «Газпром Теплоэнерго Орел»</t>
  </si>
  <si>
    <t>5720997878</t>
  </si>
  <si>
    <t>28983518</t>
  </si>
  <si>
    <t>ООО «Теплосервис Орловский»</t>
  </si>
  <si>
    <t>5720997028</t>
  </si>
  <si>
    <t>26442190</t>
  </si>
  <si>
    <t>ООО «Теплосервис Пахомовский»</t>
  </si>
  <si>
    <t>5720016934</t>
  </si>
  <si>
    <t>26442351</t>
  </si>
  <si>
    <t>ООО «Теплосервис» Ливенского района</t>
  </si>
  <si>
    <t>5715005366</t>
  </si>
  <si>
    <t>26438743</t>
  </si>
  <si>
    <t>Отделение по Орловской области Главного управления Центрального банка Российской Федерации по Центральному федеральному округу</t>
  </si>
  <si>
    <t>7702235133</t>
  </si>
  <si>
    <t>575245005</t>
  </si>
  <si>
    <t>27051136</t>
  </si>
  <si>
    <t>ПАО "Квадра - Генерирующая компания"</t>
  </si>
  <si>
    <t>6829012680</t>
  </si>
  <si>
    <t>710701001</t>
  </si>
  <si>
    <t>26428472</t>
  </si>
  <si>
    <t>ПАО "Наугорский"</t>
  </si>
  <si>
    <t>5753000591</t>
  </si>
  <si>
    <t>26438736</t>
  </si>
  <si>
    <t>ФГБОУ ВО "Орловский государственный аграрный Университет"</t>
  </si>
  <si>
    <t>5753000457</t>
  </si>
  <si>
    <t>30903763</t>
  </si>
  <si>
    <t>ФГБУ "ЦЖКУ" МИНОБОРОНЫ РОССИИ</t>
  </si>
  <si>
    <t>7729314745</t>
  </si>
  <si>
    <t>770101001</t>
  </si>
  <si>
    <t>26359157</t>
  </si>
  <si>
    <t>ФГУ ИК-6 УФСИН РФ по Орловской области</t>
  </si>
  <si>
    <t>5714004313</t>
  </si>
  <si>
    <t>30378002</t>
  </si>
  <si>
    <t>Филиал АО "Квадра" - "Орловская генерация"</t>
  </si>
  <si>
    <t>575143001</t>
  </si>
  <si>
    <t>27135237</t>
  </si>
  <si>
    <t>Филиал ОАО "РЭУ" "Курский"</t>
  </si>
  <si>
    <t>463243001</t>
  </si>
  <si>
    <t>30941480</t>
  </si>
  <si>
    <t>Филиал ФГБУ "ЦЖКУ" Минобороны России по ЗВО</t>
  </si>
  <si>
    <t>784243001</t>
  </si>
  <si>
    <t>31390956</t>
  </si>
  <si>
    <t>Филиал ФГУП «РТРС» «Орловский ОРТПЦ»</t>
  </si>
  <si>
    <t>7717127211</t>
  </si>
  <si>
    <t>572002001</t>
  </si>
  <si>
    <t>26513518</t>
  </si>
  <si>
    <t>Центральный филиал ООО «Газпром энерго»</t>
  </si>
  <si>
    <t>7736186950</t>
  </si>
  <si>
    <t>504343001</t>
  </si>
  <si>
    <t>07-02-2006 00:00:00</t>
  </si>
  <si>
    <t>28984990</t>
  </si>
  <si>
    <t>АО "Болховский сыродельный завод"</t>
  </si>
  <si>
    <t>5704006199</t>
  </si>
  <si>
    <t>463201001</t>
  </si>
  <si>
    <t>28860942</t>
  </si>
  <si>
    <t>АО "Корпорация развития Орловской области"</t>
  </si>
  <si>
    <t>5753056072</t>
  </si>
  <si>
    <t>26428476</t>
  </si>
  <si>
    <t>АО "ОТМ"</t>
  </si>
  <si>
    <t>5701000047</t>
  </si>
  <si>
    <t>26428677</t>
  </si>
  <si>
    <t>АО "Орловский завод силикатного кирпича"</t>
  </si>
  <si>
    <t>27887252</t>
  </si>
  <si>
    <t>АО "Племенной завод имени А.С. Георгиевского"</t>
  </si>
  <si>
    <t>5715004620</t>
  </si>
  <si>
    <t>26761978</t>
  </si>
  <si>
    <t>ИП "Андронников П. Н."</t>
  </si>
  <si>
    <t>362900884779</t>
  </si>
  <si>
    <t>31591341</t>
  </si>
  <si>
    <t>МКП "ВодСервис"</t>
  </si>
  <si>
    <t>5725005380</t>
  </si>
  <si>
    <t>572500100</t>
  </si>
  <si>
    <t>31261133</t>
  </si>
  <si>
    <t>МКП "Коммунальные системы" Шаховского с/п</t>
  </si>
  <si>
    <t>5714006494</t>
  </si>
  <si>
    <t>31207679</t>
  </si>
  <si>
    <t>МКП "Сервис -Стандарт"</t>
  </si>
  <si>
    <t>5711000550</t>
  </si>
  <si>
    <t>31523567</t>
  </si>
  <si>
    <t>МКП "Эконом-Сервис"</t>
  </si>
  <si>
    <t>5706004214</t>
  </si>
  <si>
    <t>31305195</t>
  </si>
  <si>
    <t>МКП "Экостандарт"</t>
  </si>
  <si>
    <t>5709004808</t>
  </si>
  <si>
    <t>31469669</t>
  </si>
  <si>
    <t>МКП КР ОО «Кромской Акваснаб»</t>
  </si>
  <si>
    <t>5714006568</t>
  </si>
  <si>
    <t>26425517</t>
  </si>
  <si>
    <t>МП "Водоканал" Болховского района</t>
  </si>
  <si>
    <t>5704000045</t>
  </si>
  <si>
    <t>26428838</t>
  </si>
  <si>
    <t>МПП ВКХ "Орелводоканал"</t>
  </si>
  <si>
    <t>5701000368</t>
  </si>
  <si>
    <t>31305183</t>
  </si>
  <si>
    <t>МУП "Водоканал Шаблыкинского района"</t>
  </si>
  <si>
    <t>5727002345</t>
  </si>
  <si>
    <t>26425497</t>
  </si>
  <si>
    <t>МУП "Водоканал" г. Ливны</t>
  </si>
  <si>
    <t>5702000554</t>
  </si>
  <si>
    <t>26428864</t>
  </si>
  <si>
    <t>МУП "Водоканал" г. Мценск</t>
  </si>
  <si>
    <t>5703001381</t>
  </si>
  <si>
    <t>26425533</t>
  </si>
  <si>
    <t>МУП "Дружба"</t>
  </si>
  <si>
    <t>5718003800</t>
  </si>
  <si>
    <t>28980491</t>
  </si>
  <si>
    <t>МУП "ЖКХ "Новосильское"</t>
  </si>
  <si>
    <t>5719003673</t>
  </si>
  <si>
    <t>26425687</t>
  </si>
  <si>
    <t>МУП "Жилводоканалсервис"</t>
  </si>
  <si>
    <t>5705003183</t>
  </si>
  <si>
    <t>26428872</t>
  </si>
  <si>
    <t>МУП "Жилкомхоз" Должанского района</t>
  </si>
  <si>
    <t>5708003287</t>
  </si>
  <si>
    <t>570801001</t>
  </si>
  <si>
    <t>31346108</t>
  </si>
  <si>
    <t>572202001</t>
  </si>
  <si>
    <t>31154930</t>
  </si>
  <si>
    <t>МУП "Комхоз"</t>
  </si>
  <si>
    <t>5718004730</t>
  </si>
  <si>
    <t>30371309</t>
  </si>
  <si>
    <t>МУП "ПАССАЖИРСКИЕ АВТОПЕРЕВОЗКИ"</t>
  </si>
  <si>
    <t>5721006061</t>
  </si>
  <si>
    <t>572101001</t>
  </si>
  <si>
    <t>31269466</t>
  </si>
  <si>
    <t>МУП "Ресурс"</t>
  </si>
  <si>
    <t>5720024004</t>
  </si>
  <si>
    <t>31433959</t>
  </si>
  <si>
    <t>МУП «ЖЭУ д. Протасово»</t>
  </si>
  <si>
    <t>5717002018</t>
  </si>
  <si>
    <t>31392571</t>
  </si>
  <si>
    <t>МУП «Комхоз»</t>
  </si>
  <si>
    <t>5712006509</t>
  </si>
  <si>
    <t>571201001</t>
  </si>
  <si>
    <t>28983892</t>
  </si>
  <si>
    <t>МУП Сосковского района "Парус"</t>
  </si>
  <si>
    <t>5723002697</t>
  </si>
  <si>
    <t>572301001</t>
  </si>
  <si>
    <t>26519580</t>
  </si>
  <si>
    <t>ОАО "МЛЗ"</t>
  </si>
  <si>
    <t>5703008860</t>
  </si>
  <si>
    <t>31402409</t>
  </si>
  <si>
    <t>ООО  "Орелжилэксплуатация"</t>
  </si>
  <si>
    <t>5751064222</t>
  </si>
  <si>
    <t>26762698</t>
  </si>
  <si>
    <t>ООО "Борть" Кромский муниципальный район</t>
  </si>
  <si>
    <t>5714005613</t>
  </si>
  <si>
    <t>28799396</t>
  </si>
  <si>
    <t>ООО "ВСО Стройиндустрия"</t>
  </si>
  <si>
    <t>5713002338</t>
  </si>
  <si>
    <t>28829841</t>
  </si>
  <si>
    <t>ООО "Водоканал и Компания"</t>
  </si>
  <si>
    <t>5714997083</t>
  </si>
  <si>
    <t>26762505</t>
  </si>
  <si>
    <t>ООО "Водоканал"</t>
  </si>
  <si>
    <t>5711003583</t>
  </si>
  <si>
    <t>26610775</t>
  </si>
  <si>
    <t>ООО "Водсервис" п. Сахзаводской</t>
  </si>
  <si>
    <t>5715005359</t>
  </si>
  <si>
    <t>28957710</t>
  </si>
  <si>
    <t>ООО "ЖИЛИНСКОЕ"</t>
  </si>
  <si>
    <t>5717009197</t>
  </si>
  <si>
    <t>26550331</t>
  </si>
  <si>
    <t>ООО "ЖЭУ с. Тельчье"</t>
  </si>
  <si>
    <t>5717003276</t>
  </si>
  <si>
    <t>26425671</t>
  </si>
  <si>
    <t>ООО "Жилводсервис" Урицкого района</t>
  </si>
  <si>
    <t>5725003713</t>
  </si>
  <si>
    <t>572501001</t>
  </si>
  <si>
    <t>28829555</t>
  </si>
  <si>
    <t>ООО "Жилсервис" Орловского района</t>
  </si>
  <si>
    <t>5720013387</t>
  </si>
  <si>
    <t>31408797</t>
  </si>
  <si>
    <t>ООО "Коликом"</t>
  </si>
  <si>
    <t>5752021655</t>
  </si>
  <si>
    <t>30811660</t>
  </si>
  <si>
    <t>ООО "Коммунсервис"</t>
  </si>
  <si>
    <t>5720022350</t>
  </si>
  <si>
    <t>28143146</t>
  </si>
  <si>
    <t>ООО "Протасово"</t>
  </si>
  <si>
    <t>5717003565</t>
  </si>
  <si>
    <t>28545960</t>
  </si>
  <si>
    <t>ООО «Газсервис»</t>
  </si>
  <si>
    <t>5707004055</t>
  </si>
  <si>
    <t>30378245</t>
  </si>
  <si>
    <t>Урицкое МУП "Жилводсервис"</t>
  </si>
  <si>
    <t>5725003248</t>
  </si>
  <si>
    <t>27792320</t>
  </si>
  <si>
    <t>ООО "Жилфонд"</t>
  </si>
  <si>
    <t>5716002858</t>
  </si>
  <si>
    <t>31541686</t>
  </si>
  <si>
    <t>ООО "Мессина"</t>
  </si>
  <si>
    <t>4632274853</t>
  </si>
  <si>
    <t>30958311</t>
  </si>
  <si>
    <t>АО "ЭкоСити"</t>
  </si>
  <si>
    <t>5753044091</t>
  </si>
  <si>
    <t>31713033</t>
  </si>
  <si>
    <t>ЗАО "Чистый город"</t>
  </si>
  <si>
    <t>5753055897</t>
  </si>
  <si>
    <t>31713257</t>
  </si>
  <si>
    <t>ИП Невров Н.В.</t>
  </si>
  <si>
    <t>570304964478</t>
  </si>
  <si>
    <t>26425425</t>
  </si>
  <si>
    <t>МУП Коммунальный Сервис</t>
  </si>
  <si>
    <t>5702008377</t>
  </si>
  <si>
    <t>30958300</t>
  </si>
  <si>
    <t>ООО "Русресурс"</t>
  </si>
  <si>
    <t>5036120702</t>
  </si>
  <si>
    <t>31713164</t>
  </si>
  <si>
    <t>ООО "Эко-Транс"</t>
  </si>
  <si>
    <t>5751034740</t>
  </si>
  <si>
    <t>31721093</t>
  </si>
  <si>
    <t>ООО "ЭкоПолис"</t>
  </si>
  <si>
    <t>5753203739</t>
  </si>
  <si>
    <t>30958305</t>
  </si>
  <si>
    <t>ООО "Экоград"</t>
  </si>
  <si>
    <t>5752201640</t>
  </si>
  <si>
    <t>31713027</t>
  </si>
  <si>
    <t>ООО "Экологистик"</t>
  </si>
  <si>
    <t>5753070060</t>
  </si>
  <si>
    <t>31713287</t>
  </si>
  <si>
    <t>ООО "Экология"</t>
  </si>
  <si>
    <t>5754200963</t>
  </si>
  <si>
    <t>31232047</t>
  </si>
  <si>
    <t>ООО "Экопласт"</t>
  </si>
  <si>
    <t>4027136736</t>
  </si>
  <si>
    <t>402701001</t>
  </si>
  <si>
    <t>31713220</t>
  </si>
  <si>
    <t>ООО "Экополис"</t>
  </si>
  <si>
    <t>5753076336</t>
  </si>
  <si>
    <t>26425427</t>
  </si>
  <si>
    <t>ООО "Экостройсервис"</t>
  </si>
  <si>
    <t>5703009768</t>
  </si>
  <si>
    <t>31694107</t>
  </si>
  <si>
    <t>ООО "Экотексити"</t>
  </si>
  <si>
    <t>5753067821</t>
  </si>
  <si>
    <t>31233360</t>
  </si>
  <si>
    <t>ООО УК "Зеленая роща"</t>
  </si>
  <si>
    <t>5753062527</t>
  </si>
  <si>
    <t>NSRF</t>
  </si>
  <si>
    <t>MR_NAME</t>
  </si>
  <si>
    <t>OKTMO_MR_NAME</t>
  </si>
  <si>
    <t>MO_NAME</t>
  </si>
  <si>
    <t>OKTMO_NAME</t>
  </si>
  <si>
    <t>TYPE</t>
  </si>
  <si>
    <t>MR_ID</t>
  </si>
  <si>
    <t>Болховский муниципальный район</t>
  </si>
  <si>
    <t>54604000</t>
  </si>
  <si>
    <t>Багриновское сельское поселение</t>
  </si>
  <si>
    <t>54604402</t>
  </si>
  <si>
    <t>сельское поселение</t>
  </si>
  <si>
    <t>Болхов городское поселение</t>
  </si>
  <si>
    <t>54604101</t>
  </si>
  <si>
    <t>городское поселение, в состав которого входит город</t>
  </si>
  <si>
    <t>муниципальный район</t>
  </si>
  <si>
    <t>Бориловское сельское поселение</t>
  </si>
  <si>
    <t>54604406</t>
  </si>
  <si>
    <t>Боровское сельское поселение</t>
  </si>
  <si>
    <t>54604408</t>
  </si>
  <si>
    <t>Герасимовское сельское поселение</t>
  </si>
  <si>
    <t>54604410</t>
  </si>
  <si>
    <t>Гнездиловское сельское поселение</t>
  </si>
  <si>
    <t>54604413</t>
  </si>
  <si>
    <t>Злынское сельское поселение</t>
  </si>
  <si>
    <t>54604416</t>
  </si>
  <si>
    <t>Медведковское сельское поселение</t>
  </si>
  <si>
    <t>54604422</t>
  </si>
  <si>
    <t>Михневское сельское поселение</t>
  </si>
  <si>
    <t>54604425</t>
  </si>
  <si>
    <t>Новосинецкое сельское поселение</t>
  </si>
  <si>
    <t>54604428</t>
  </si>
  <si>
    <t>Однолуцкое сельское поселение</t>
  </si>
  <si>
    <t>54604431</t>
  </si>
  <si>
    <t>Сурьянинское сельское поселение</t>
  </si>
  <si>
    <t>54604434</t>
  </si>
  <si>
    <t>Хуторское сельское поселение</t>
  </si>
  <si>
    <t>54604437</t>
  </si>
  <si>
    <t>Ямское сельское поселение</t>
  </si>
  <si>
    <t>54604440</t>
  </si>
  <si>
    <t>Верховский муниципальный район</t>
  </si>
  <si>
    <t>54608000</t>
  </si>
  <si>
    <t>Васильевское сельское поселение</t>
  </si>
  <si>
    <t>54608402</t>
  </si>
  <si>
    <t>Верховье городское поселение</t>
  </si>
  <si>
    <t>54608151</t>
  </si>
  <si>
    <t>городское поселение, в состав которого входит поселок</t>
  </si>
  <si>
    <t>Галичинское</t>
  </si>
  <si>
    <t>54608404</t>
  </si>
  <si>
    <t>Коньшинское сельское поселение</t>
  </si>
  <si>
    <t>54608407</t>
  </si>
  <si>
    <t>Корсунское сельское поселение</t>
  </si>
  <si>
    <t>54608410</t>
  </si>
  <si>
    <t>Нижне-Жерновское сельское поселение</t>
  </si>
  <si>
    <t>54608413</t>
  </si>
  <si>
    <t>Песоченское сельское поселение</t>
  </si>
  <si>
    <t>54608416</t>
  </si>
  <si>
    <t>Русско-Бродское сельское поселение</t>
  </si>
  <si>
    <t>54608419</t>
  </si>
  <si>
    <t>Скородненское сельское поселение</t>
  </si>
  <si>
    <t>54608422</t>
  </si>
  <si>
    <t>Теляженское сельское поселение</t>
  </si>
  <si>
    <t>54608428</t>
  </si>
  <si>
    <t>Туровское сельское поселение</t>
  </si>
  <si>
    <t>54608431</t>
  </si>
  <si>
    <t>Глазуновский муниципальный район</t>
  </si>
  <si>
    <t>54610000</t>
  </si>
  <si>
    <t>Богородское сельское поселение</t>
  </si>
  <si>
    <t>54610402</t>
  </si>
  <si>
    <t>Глазуновка городское поселение</t>
  </si>
  <si>
    <t>54610151</t>
  </si>
  <si>
    <t>Краснослободское сельское поселение</t>
  </si>
  <si>
    <t>54610404</t>
  </si>
  <si>
    <t>Медведевское сельское поселение</t>
  </si>
  <si>
    <t>54610407</t>
  </si>
  <si>
    <t>Отрадинское сельское поселение</t>
  </si>
  <si>
    <t>54610410</t>
  </si>
  <si>
    <t>Очкинское сельское поселение</t>
  </si>
  <si>
    <t>54610413</t>
  </si>
  <si>
    <t>Сеньковское сельское поселение</t>
  </si>
  <si>
    <t>54610416</t>
  </si>
  <si>
    <t>Тагинское сельское поселение</t>
  </si>
  <si>
    <t>54610419</t>
  </si>
  <si>
    <t>Город Ливны</t>
  </si>
  <si>
    <t>54705000</t>
  </si>
  <si>
    <t>городской округ</t>
  </si>
  <si>
    <t>Город Мценск</t>
  </si>
  <si>
    <t>54710000</t>
  </si>
  <si>
    <t>Дмитровский муниципальный район</t>
  </si>
  <si>
    <t>54612000</t>
  </si>
  <si>
    <t>Алешинское сельское поселение</t>
  </si>
  <si>
    <t>54612402</t>
  </si>
  <si>
    <t>Березовское сельское поселение</t>
  </si>
  <si>
    <t>54612404</t>
  </si>
  <si>
    <t>Бородинское сельское поселение</t>
  </si>
  <si>
    <t>54612407</t>
  </si>
  <si>
    <t>Горбуновское сельское поселение</t>
  </si>
  <si>
    <t>54612410</t>
  </si>
  <si>
    <t>Дмитровск городское поселение</t>
  </si>
  <si>
    <t>54612101</t>
  </si>
  <si>
    <t>Долбенкинское сельское поселение</t>
  </si>
  <si>
    <t>54612413</t>
  </si>
  <si>
    <t>Домаховское сельское поселение</t>
  </si>
  <si>
    <t>54612416</t>
  </si>
  <si>
    <t>Друженское сельское поселение</t>
  </si>
  <si>
    <t>54612428</t>
  </si>
  <si>
    <t>Лубянское сельское поселение</t>
  </si>
  <si>
    <t>54612419</t>
  </si>
  <si>
    <t>Малобобровское сельское поселение</t>
  </si>
  <si>
    <t>54612422</t>
  </si>
  <si>
    <t>Плосковское сельское поселение</t>
  </si>
  <si>
    <t>54612425</t>
  </si>
  <si>
    <t>Соломинское</t>
  </si>
  <si>
    <t>54612431</t>
  </si>
  <si>
    <t>Столбищенское сельское поселение</t>
  </si>
  <si>
    <t>54612434</t>
  </si>
  <si>
    <t>Должанский муниципальный район</t>
  </si>
  <si>
    <t>54615000</t>
  </si>
  <si>
    <t>Вышнее Ольшанское сельское поселение</t>
  </si>
  <si>
    <t>54615402</t>
  </si>
  <si>
    <t>Долгое городское поселение</t>
  </si>
  <si>
    <t>54615151</t>
  </si>
  <si>
    <t>Дубровское сельское поселение</t>
  </si>
  <si>
    <t>54615405</t>
  </si>
  <si>
    <t>Козьма-Демьяновское сельское поселение</t>
  </si>
  <si>
    <t>54615407</t>
  </si>
  <si>
    <t>Кудиновское сельское поселение</t>
  </si>
  <si>
    <t>54615410</t>
  </si>
  <si>
    <t>Рогатинское сельское поселение</t>
  </si>
  <si>
    <t>54615413</t>
  </si>
  <si>
    <t>Урыновское сельское поселение</t>
  </si>
  <si>
    <t>54615416</t>
  </si>
  <si>
    <t>Успенское сельское поселение</t>
  </si>
  <si>
    <t>54615419</t>
  </si>
  <si>
    <t>Залегощенский муниципальный район</t>
  </si>
  <si>
    <t>54618000</t>
  </si>
  <si>
    <t>Бортновское сельское поселение</t>
  </si>
  <si>
    <t>54618402</t>
  </si>
  <si>
    <t>Верхнескворченское сельское поселение</t>
  </si>
  <si>
    <t>54618404</t>
  </si>
  <si>
    <t>Грачевское сельское поселение</t>
  </si>
  <si>
    <t>54618407</t>
  </si>
  <si>
    <t>Залегощь городское поселение</t>
  </si>
  <si>
    <t>54618151</t>
  </si>
  <si>
    <t>Золотаревское сельское поселение</t>
  </si>
  <si>
    <t>54618410</t>
  </si>
  <si>
    <t>Красненское сельское поселение</t>
  </si>
  <si>
    <t>54618413</t>
  </si>
  <si>
    <t>Ломовское сельское поселение</t>
  </si>
  <si>
    <t>54618416</t>
  </si>
  <si>
    <t>Моховское сельское поселение</t>
  </si>
  <si>
    <t>54618419</t>
  </si>
  <si>
    <t>Нижнезалегощенское сельское поселение</t>
  </si>
  <si>
    <t>54618422</t>
  </si>
  <si>
    <t>Октябрьское сельское поселение</t>
  </si>
  <si>
    <t>54618425</t>
  </si>
  <si>
    <t>Прилепское сельское поселение</t>
  </si>
  <si>
    <t>54618428</t>
  </si>
  <si>
    <t>Знаменский муниципальный район</t>
  </si>
  <si>
    <t>54620000</t>
  </si>
  <si>
    <t>Глотовское сельское поселение</t>
  </si>
  <si>
    <t>54620405</t>
  </si>
  <si>
    <t>Ждимирское сельское поселение</t>
  </si>
  <si>
    <t>54620408</t>
  </si>
  <si>
    <t>Знаменское сельское поселение</t>
  </si>
  <si>
    <t>54620412</t>
  </si>
  <si>
    <t>Коптевское сельское поселение</t>
  </si>
  <si>
    <t>54620420</t>
  </si>
  <si>
    <t>Красниковское сельское поселение</t>
  </si>
  <si>
    <t>54620422</t>
  </si>
  <si>
    <t>Селиховское сельское поселение</t>
  </si>
  <si>
    <t>54620428</t>
  </si>
  <si>
    <t>Узкинское сельское поселение</t>
  </si>
  <si>
    <t>54620432</t>
  </si>
  <si>
    <t>Колпнянский муниципальный район</t>
  </si>
  <si>
    <t>54623000</t>
  </si>
  <si>
    <t>Ахтырское сельское поселение</t>
  </si>
  <si>
    <t>54623402</t>
  </si>
  <si>
    <t>Белоколодезьское сельское поселение</t>
  </si>
  <si>
    <t>54623404</t>
  </si>
  <si>
    <t>54623407</t>
  </si>
  <si>
    <t>Карловское сельское поселение</t>
  </si>
  <si>
    <t>54623410</t>
  </si>
  <si>
    <t>Колпна городское поселение</t>
  </si>
  <si>
    <t>54623151</t>
  </si>
  <si>
    <t>Краснянское сельское поселение</t>
  </si>
  <si>
    <t>54623413</t>
  </si>
  <si>
    <t>Крутовское сельское поселение</t>
  </si>
  <si>
    <t>54623416</t>
  </si>
  <si>
    <t>Тимирязевское сельское поселение</t>
  </si>
  <si>
    <t>54623419</t>
  </si>
  <si>
    <t>Ушаковское сельское поселение</t>
  </si>
  <si>
    <t>54623422</t>
  </si>
  <si>
    <t>Ярищенское сельское поселение</t>
  </si>
  <si>
    <t>54623425</t>
  </si>
  <si>
    <t>Корсаковский муниципальный район</t>
  </si>
  <si>
    <t>54626000</t>
  </si>
  <si>
    <t>Гагаринское сельское поселение</t>
  </si>
  <si>
    <t>54626405</t>
  </si>
  <si>
    <t>94</t>
  </si>
  <si>
    <t>95</t>
  </si>
  <si>
    <t>Корсаковское сельское поселение</t>
  </si>
  <si>
    <t>54626410</t>
  </si>
  <si>
    <t>96</t>
  </si>
  <si>
    <t>Марьинское сельское поселение</t>
  </si>
  <si>
    <t>54626413</t>
  </si>
  <si>
    <t>97</t>
  </si>
  <si>
    <t>Нечаевское сельское поселение</t>
  </si>
  <si>
    <t>54626417</t>
  </si>
  <si>
    <t>98</t>
  </si>
  <si>
    <t>Новомихайловское сельское поселение</t>
  </si>
  <si>
    <t>54626420</t>
  </si>
  <si>
    <t>99</t>
  </si>
  <si>
    <t>Парамоновское сельское поселение</t>
  </si>
  <si>
    <t>54626425</t>
  </si>
  <si>
    <t>100</t>
  </si>
  <si>
    <t>Спешневское сельское поселение</t>
  </si>
  <si>
    <t>54626430</t>
  </si>
  <si>
    <t>101</t>
  </si>
  <si>
    <t>Краснозоренский муниципальный район</t>
  </si>
  <si>
    <t>54624000</t>
  </si>
  <si>
    <t>102</t>
  </si>
  <si>
    <t>Краснозоренское сельское поселение</t>
  </si>
  <si>
    <t>54624407</t>
  </si>
  <si>
    <t>103</t>
  </si>
  <si>
    <t>Покровское сельское поселение</t>
  </si>
  <si>
    <t>54624412</t>
  </si>
  <si>
    <t>104</t>
  </si>
  <si>
    <t>Россошенское сельское поселение</t>
  </si>
  <si>
    <t>54624417</t>
  </si>
  <si>
    <t>105</t>
  </si>
  <si>
    <t>Труновское сельское поселение</t>
  </si>
  <si>
    <t>54624420</t>
  </si>
  <si>
    <t>106</t>
  </si>
  <si>
    <t>54624425</t>
  </si>
  <si>
    <t>107</t>
  </si>
  <si>
    <t>Кромской муниципальный район</t>
  </si>
  <si>
    <t>54625000</t>
  </si>
  <si>
    <t>Апальковское сельское поселение</t>
  </si>
  <si>
    <t>54625402</t>
  </si>
  <si>
    <t>108</t>
  </si>
  <si>
    <t>Бельдяжское сельское поселение</t>
  </si>
  <si>
    <t>54625404</t>
  </si>
  <si>
    <t>109</t>
  </si>
  <si>
    <t>Большеколчевское сельское поселение</t>
  </si>
  <si>
    <t>54625407</t>
  </si>
  <si>
    <t>110</t>
  </si>
  <si>
    <t>Городское поселение Кромы</t>
  </si>
  <si>
    <t>54625151</t>
  </si>
  <si>
    <t>Гостомльское сельское поселение</t>
  </si>
  <si>
    <t>54625413</t>
  </si>
  <si>
    <t>112</t>
  </si>
  <si>
    <t>Гуторовское сельское поселение</t>
  </si>
  <si>
    <t>54625416</t>
  </si>
  <si>
    <t>113</t>
  </si>
  <si>
    <t>Короськовское сельское поселение</t>
  </si>
  <si>
    <t>54625422</t>
  </si>
  <si>
    <t>114</t>
  </si>
  <si>
    <t>54625425</t>
  </si>
  <si>
    <t>115</t>
  </si>
  <si>
    <t>Кривчиковское сельское поселение</t>
  </si>
  <si>
    <t>54625428</t>
  </si>
  <si>
    <t>116</t>
  </si>
  <si>
    <t>117</t>
  </si>
  <si>
    <t>Кутафинское сельское поселение</t>
  </si>
  <si>
    <t>54625431</t>
  </si>
  <si>
    <t>118</t>
  </si>
  <si>
    <t>Ретяжское сельское поселение</t>
  </si>
  <si>
    <t>54625449</t>
  </si>
  <si>
    <t>119</t>
  </si>
  <si>
    <t>Стрелецкое сельское поселение</t>
  </si>
  <si>
    <t>54625452</t>
  </si>
  <si>
    <t>120</t>
  </si>
  <si>
    <t>Шаховское сельское поселение</t>
  </si>
  <si>
    <t>54625458</t>
  </si>
  <si>
    <t>121</t>
  </si>
  <si>
    <t>Ливенский муниципальный район</t>
  </si>
  <si>
    <t>54629000</t>
  </si>
  <si>
    <t>Беломестненское сельское поселение</t>
  </si>
  <si>
    <t>54629402</t>
  </si>
  <si>
    <t>122</t>
  </si>
  <si>
    <t>Вахновское сельское поселение</t>
  </si>
  <si>
    <t>54629404</t>
  </si>
  <si>
    <t>123</t>
  </si>
  <si>
    <t>Галическое сельское поселение</t>
  </si>
  <si>
    <t>54629407</t>
  </si>
  <si>
    <t>124</t>
  </si>
  <si>
    <t>Дутовское сельское поселение</t>
  </si>
  <si>
    <t>54629410</t>
  </si>
  <si>
    <t>125</t>
  </si>
  <si>
    <t>Здоровецкое сельское поселение</t>
  </si>
  <si>
    <t>54629413</t>
  </si>
  <si>
    <t>126</t>
  </si>
  <si>
    <t>Казанское сельское поселение</t>
  </si>
  <si>
    <t>54629416</t>
  </si>
  <si>
    <t>127</t>
  </si>
  <si>
    <t>Козьминское сельское поселение</t>
  </si>
  <si>
    <t>54629419</t>
  </si>
  <si>
    <t>128</t>
  </si>
  <si>
    <t>Коротышское сельское поселение</t>
  </si>
  <si>
    <t>54629422</t>
  </si>
  <si>
    <t>129</t>
  </si>
  <si>
    <t>54629425</t>
  </si>
  <si>
    <t>130</t>
  </si>
  <si>
    <t>131</t>
  </si>
  <si>
    <t>Лютовское сельское поселение</t>
  </si>
  <si>
    <t>54629428</t>
  </si>
  <si>
    <t>132</t>
  </si>
  <si>
    <t>Навесненское сельское поселение</t>
  </si>
  <si>
    <t>54629431</t>
  </si>
  <si>
    <t>133</t>
  </si>
  <si>
    <t>Никольское сельское поселение</t>
  </si>
  <si>
    <t>54629434</t>
  </si>
  <si>
    <t>134</t>
  </si>
  <si>
    <t>Островское сельское поселение</t>
  </si>
  <si>
    <t>54629440</t>
  </si>
  <si>
    <t>135</t>
  </si>
  <si>
    <t>Речицкое сельское поселение</t>
  </si>
  <si>
    <t>54629443</t>
  </si>
  <si>
    <t>136</t>
  </si>
  <si>
    <t>Сергиевское</t>
  </si>
  <si>
    <t>54629446</t>
  </si>
  <si>
    <t>137</t>
  </si>
  <si>
    <t>Сосновское сельское поселение</t>
  </si>
  <si>
    <t>54629449</t>
  </si>
  <si>
    <t>138</t>
  </si>
  <si>
    <t>Малоархангельский муниципальный район</t>
  </si>
  <si>
    <t>54632000</t>
  </si>
  <si>
    <t>Губкинское сельское поселение</t>
  </si>
  <si>
    <t>54632402</t>
  </si>
  <si>
    <t>139</t>
  </si>
  <si>
    <t>Дубовицкое сельское поселение</t>
  </si>
  <si>
    <t>54632404</t>
  </si>
  <si>
    <t>140</t>
  </si>
  <si>
    <t>Ленинское сельское поселение</t>
  </si>
  <si>
    <t>54632407</t>
  </si>
  <si>
    <t>141</t>
  </si>
  <si>
    <t>Луковское сельское поселение</t>
  </si>
  <si>
    <t>54632410</t>
  </si>
  <si>
    <t>142</t>
  </si>
  <si>
    <t>Малоархангельск городское поселение</t>
  </si>
  <si>
    <t>54632101</t>
  </si>
  <si>
    <t>143</t>
  </si>
  <si>
    <t>144</t>
  </si>
  <si>
    <t>54632413</t>
  </si>
  <si>
    <t>145</t>
  </si>
  <si>
    <t>Первомайское сельское поселение</t>
  </si>
  <si>
    <t>54632416</t>
  </si>
  <si>
    <t>146</t>
  </si>
  <si>
    <t>Подгородненское сельское поселение</t>
  </si>
  <si>
    <t>54632419</t>
  </si>
  <si>
    <t>147</t>
  </si>
  <si>
    <t>Мценский муниципальный район</t>
  </si>
  <si>
    <t>54636000</t>
  </si>
  <si>
    <t>Алябьевское сельское поселение</t>
  </si>
  <si>
    <t>54636402</t>
  </si>
  <si>
    <t>148</t>
  </si>
  <si>
    <t>Аникановское сельское поселение</t>
  </si>
  <si>
    <t>54636407</t>
  </si>
  <si>
    <t>149</t>
  </si>
  <si>
    <t>Башкатовское сельское поселение</t>
  </si>
  <si>
    <t>54636404</t>
  </si>
  <si>
    <t>150</t>
  </si>
  <si>
    <t>Воинское сельское поселение</t>
  </si>
  <si>
    <t>54636410</t>
  </si>
  <si>
    <t>151</t>
  </si>
  <si>
    <t>Высокинское сельское поселение</t>
  </si>
  <si>
    <t>54636413</t>
  </si>
  <si>
    <t>152</t>
  </si>
  <si>
    <t>Карандаковское сельское поселение</t>
  </si>
  <si>
    <t>54636416</t>
  </si>
  <si>
    <t>153</t>
  </si>
  <si>
    <t>154</t>
  </si>
  <si>
    <t>Отрадинское</t>
  </si>
  <si>
    <t>54636418</t>
  </si>
  <si>
    <t>155</t>
  </si>
  <si>
    <t>Подберезовское сельское поселение</t>
  </si>
  <si>
    <t>54636428</t>
  </si>
  <si>
    <t>156</t>
  </si>
  <si>
    <t>Подмокринское сельское поселение</t>
  </si>
  <si>
    <t>54636419</t>
  </si>
  <si>
    <t>157</t>
  </si>
  <si>
    <t>Протасовское сельское поселение</t>
  </si>
  <si>
    <t>54636422</t>
  </si>
  <si>
    <t>158</t>
  </si>
  <si>
    <t>Спасско-Лутовиновское</t>
  </si>
  <si>
    <t>54636425</t>
  </si>
  <si>
    <t>159</t>
  </si>
  <si>
    <t>Тельченское сельское поселение</t>
  </si>
  <si>
    <t>54636431</t>
  </si>
  <si>
    <t>160</t>
  </si>
  <si>
    <t>Чахинское сельское поселение</t>
  </si>
  <si>
    <t>54636434</t>
  </si>
  <si>
    <t>161</t>
  </si>
  <si>
    <t>Черемошенское сельское поселение</t>
  </si>
  <si>
    <t>54636437</t>
  </si>
  <si>
    <t>162</t>
  </si>
  <si>
    <t>Новодеревеньковский муниципальный район</t>
  </si>
  <si>
    <t>54639000</t>
  </si>
  <si>
    <t>Глебовское сельское поселение</t>
  </si>
  <si>
    <t>54639404</t>
  </si>
  <si>
    <t>163</t>
  </si>
  <si>
    <t>Никитинское сельское поселение</t>
  </si>
  <si>
    <t>54639409</t>
  </si>
  <si>
    <t>164</t>
  </si>
  <si>
    <t>165</t>
  </si>
  <si>
    <t>Новодеревеньковское сельское поселение</t>
  </si>
  <si>
    <t>54639410</t>
  </si>
  <si>
    <t>166</t>
  </si>
  <si>
    <t>Паньковское сельское поселение</t>
  </si>
  <si>
    <t>54639413</t>
  </si>
  <si>
    <t>167</t>
  </si>
  <si>
    <t>Старогольское сельское поселение</t>
  </si>
  <si>
    <t>54639419</t>
  </si>
  <si>
    <t>168</t>
  </si>
  <si>
    <t>Судбищенское</t>
  </si>
  <si>
    <t>54639422</t>
  </si>
  <si>
    <t>169</t>
  </si>
  <si>
    <t>Суровское сельское поселение</t>
  </si>
  <si>
    <t>54639425</t>
  </si>
  <si>
    <t>170</t>
  </si>
  <si>
    <t>Хомутово городское поселение</t>
  </si>
  <si>
    <t>54639151</t>
  </si>
  <si>
    <t>171</t>
  </si>
  <si>
    <t>Новосильский муниципальный район</t>
  </si>
  <si>
    <t>54643000</t>
  </si>
  <si>
    <t>Вяжевское сельское поселение</t>
  </si>
  <si>
    <t>54643402</t>
  </si>
  <si>
    <t>172</t>
  </si>
  <si>
    <t>Глубковское сельское поселение</t>
  </si>
  <si>
    <t>54643404</t>
  </si>
  <si>
    <t>173</t>
  </si>
  <si>
    <t>Голунское сельское поселение</t>
  </si>
  <si>
    <t>54643410</t>
  </si>
  <si>
    <t>174</t>
  </si>
  <si>
    <t>Зареченское сельское поселение</t>
  </si>
  <si>
    <t>54643413</t>
  </si>
  <si>
    <t>175</t>
  </si>
  <si>
    <t>Новосиль городское поселение</t>
  </si>
  <si>
    <t>54643101</t>
  </si>
  <si>
    <t>176</t>
  </si>
  <si>
    <t>177</t>
  </si>
  <si>
    <t>Петушенское сельское поселение</t>
  </si>
  <si>
    <t>54643431</t>
  </si>
  <si>
    <t>178</t>
  </si>
  <si>
    <t>Прудовское сельское поселение</t>
  </si>
  <si>
    <t>54643434</t>
  </si>
  <si>
    <t>179</t>
  </si>
  <si>
    <t>Хворостянское сельское поселение</t>
  </si>
  <si>
    <t>54643440</t>
  </si>
  <si>
    <t>180</t>
  </si>
  <si>
    <t>Орловский муниципальный округ</t>
  </si>
  <si>
    <t>54501000</t>
  </si>
  <si>
    <t>муниципальный округ</t>
  </si>
  <si>
    <t>181</t>
  </si>
  <si>
    <t>Орловский муниципальный район</t>
  </si>
  <si>
    <t>54647000</t>
  </si>
  <si>
    <t>Большекуликовское сельское поселение</t>
  </si>
  <si>
    <t>54647402</t>
  </si>
  <si>
    <t>182</t>
  </si>
  <si>
    <t>Голохвастовское сельское поселение</t>
  </si>
  <si>
    <t>54647404</t>
  </si>
  <si>
    <t>183</t>
  </si>
  <si>
    <t>Жиляевское сельское поселение</t>
  </si>
  <si>
    <t>54647407</t>
  </si>
  <si>
    <t>184</t>
  </si>
  <si>
    <t>Знаменка городское поселение</t>
  </si>
  <si>
    <t>54647152</t>
  </si>
  <si>
    <t>185</t>
  </si>
  <si>
    <t>Лавровское сельское поселение</t>
  </si>
  <si>
    <t>54647410</t>
  </si>
  <si>
    <t>186</t>
  </si>
  <si>
    <t>Лошаковское сельское поселение</t>
  </si>
  <si>
    <t>54647413</t>
  </si>
  <si>
    <t>187</t>
  </si>
  <si>
    <t>Масловское сельское поселение</t>
  </si>
  <si>
    <t>54647416</t>
  </si>
  <si>
    <t>188</t>
  </si>
  <si>
    <t>Моховицкое сельское поселение</t>
  </si>
  <si>
    <t>54647419</t>
  </si>
  <si>
    <t>189</t>
  </si>
  <si>
    <t>Неполодское сельское поселение</t>
  </si>
  <si>
    <t>54647422</t>
  </si>
  <si>
    <t>190</t>
  </si>
  <si>
    <t>Образцовское сельское поселение</t>
  </si>
  <si>
    <t>54647425</t>
  </si>
  <si>
    <t>191</t>
  </si>
  <si>
    <t>192</t>
  </si>
  <si>
    <t>Пахомовское сельское поселение</t>
  </si>
  <si>
    <t>54647428</t>
  </si>
  <si>
    <t>193</t>
  </si>
  <si>
    <t>Платоновское сельское поселение</t>
  </si>
  <si>
    <t>54647431</t>
  </si>
  <si>
    <t>194</t>
  </si>
  <si>
    <t>Сабуровское сельское поселение</t>
  </si>
  <si>
    <t>54647434</t>
  </si>
  <si>
    <t>195</t>
  </si>
  <si>
    <t>Спасское сельское поселение</t>
  </si>
  <si>
    <t>54647437</t>
  </si>
  <si>
    <t>196</t>
  </si>
  <si>
    <t>Станово-Колодезьское сельское поселение</t>
  </si>
  <si>
    <t>54647443</t>
  </si>
  <si>
    <t>197</t>
  </si>
  <si>
    <t>Становское сельское поселение</t>
  </si>
  <si>
    <t>54647440</t>
  </si>
  <si>
    <t>198</t>
  </si>
  <si>
    <t>Троицкое сельское поселение</t>
  </si>
  <si>
    <t>54647446</t>
  </si>
  <si>
    <t>199</t>
  </si>
  <si>
    <t>Покровский муниципальный район</t>
  </si>
  <si>
    <t>54650000</t>
  </si>
  <si>
    <t>54650402</t>
  </si>
  <si>
    <t>200</t>
  </si>
  <si>
    <t>Верхнежерновское сельское поселение</t>
  </si>
  <si>
    <t>54650404</t>
  </si>
  <si>
    <t>201</t>
  </si>
  <si>
    <t>Верхососенское сельское поселение</t>
  </si>
  <si>
    <t>54650405</t>
  </si>
  <si>
    <t>202</t>
  </si>
  <si>
    <t>Владимирское сельское поселение</t>
  </si>
  <si>
    <t>54650407</t>
  </si>
  <si>
    <t>203</t>
  </si>
  <si>
    <t>Вышнетуровецкое сельское поселение</t>
  </si>
  <si>
    <t>54650410</t>
  </si>
  <si>
    <t>204</t>
  </si>
  <si>
    <t>Даниловское сельское поселение</t>
  </si>
  <si>
    <t>54650413</t>
  </si>
  <si>
    <t>205</t>
  </si>
  <si>
    <t>Дросковское сельское поселение</t>
  </si>
  <si>
    <t>54650416</t>
  </si>
  <si>
    <t>206</t>
  </si>
  <si>
    <t>Журавецкое сельское поселение</t>
  </si>
  <si>
    <t>54650419</t>
  </si>
  <si>
    <t>207</t>
  </si>
  <si>
    <t>Ивановское сельское поселение</t>
  </si>
  <si>
    <t>54650422</t>
  </si>
  <si>
    <t>208</t>
  </si>
  <si>
    <t>54650425</t>
  </si>
  <si>
    <t>209</t>
  </si>
  <si>
    <t>210</t>
  </si>
  <si>
    <t>Покровское городское поселение</t>
  </si>
  <si>
    <t>54650151</t>
  </si>
  <si>
    <t>211</t>
  </si>
  <si>
    <t>Ретинское сельское поселение</t>
  </si>
  <si>
    <t>54650431</t>
  </si>
  <si>
    <t>212</t>
  </si>
  <si>
    <t>Столбецкое сельское поселение</t>
  </si>
  <si>
    <t>54650434</t>
  </si>
  <si>
    <t>213</t>
  </si>
  <si>
    <t>Топковское сельское поселение</t>
  </si>
  <si>
    <t>54650437</t>
  </si>
  <si>
    <t>214</t>
  </si>
  <si>
    <t>Свердловский муниципальный район</t>
  </si>
  <si>
    <t>54652000</t>
  </si>
  <si>
    <t>Богодуховское сельское поселение</t>
  </si>
  <si>
    <t>54652402</t>
  </si>
  <si>
    <t>215</t>
  </si>
  <si>
    <t>Змиевка городское поселение</t>
  </si>
  <si>
    <t>54652151</t>
  </si>
  <si>
    <t>216</t>
  </si>
  <si>
    <t>Котовское сельское поселение</t>
  </si>
  <si>
    <t>54652404</t>
  </si>
  <si>
    <t>217</t>
  </si>
  <si>
    <t>Кошелевское сельское поселение</t>
  </si>
  <si>
    <t>54652407</t>
  </si>
  <si>
    <t>218</t>
  </si>
  <si>
    <t>Красноармейское сельское поселение</t>
  </si>
  <si>
    <t>54652410</t>
  </si>
  <si>
    <t>219</t>
  </si>
  <si>
    <t>54652413</t>
  </si>
  <si>
    <t>220</t>
  </si>
  <si>
    <t>Новопетровское сельское поселение</t>
  </si>
  <si>
    <t>54652416</t>
  </si>
  <si>
    <t>221</t>
  </si>
  <si>
    <t>222</t>
  </si>
  <si>
    <t>Яковлевское сельское поселение</t>
  </si>
  <si>
    <t>54652419</t>
  </si>
  <si>
    <t>223</t>
  </si>
  <si>
    <t>Сосковский муниципальный район</t>
  </si>
  <si>
    <t>54653000</t>
  </si>
  <si>
    <t>Алмазовское сельское поселение</t>
  </si>
  <si>
    <t>54653403</t>
  </si>
  <si>
    <t>224</t>
  </si>
  <si>
    <t>Алпеевское сельское поселение</t>
  </si>
  <si>
    <t>54653405</t>
  </si>
  <si>
    <t>225</t>
  </si>
  <si>
    <t>Кировское сельское поселение</t>
  </si>
  <si>
    <t>54653415</t>
  </si>
  <si>
    <t>226</t>
  </si>
  <si>
    <t>Лобынцевское сельское поселение</t>
  </si>
  <si>
    <t>54653417</t>
  </si>
  <si>
    <t>227</t>
  </si>
  <si>
    <t>Мураевское сельское поселение</t>
  </si>
  <si>
    <t>54653419</t>
  </si>
  <si>
    <t>228</t>
  </si>
  <si>
    <t>Рыжковское сельское поселение</t>
  </si>
  <si>
    <t>54653422</t>
  </si>
  <si>
    <t>229</t>
  </si>
  <si>
    <t>230</t>
  </si>
  <si>
    <t>Сосковское сельское поселение</t>
  </si>
  <si>
    <t>54653425</t>
  </si>
  <si>
    <t>231</t>
  </si>
  <si>
    <t>Троснянский муниципальный район</t>
  </si>
  <si>
    <t>54654000</t>
  </si>
  <si>
    <t>Воронецкое сельское поселение</t>
  </si>
  <si>
    <t>54654405</t>
  </si>
  <si>
    <t>232</t>
  </si>
  <si>
    <t>Жерновецкое сельское поселение</t>
  </si>
  <si>
    <t>54654408</t>
  </si>
  <si>
    <t>233</t>
  </si>
  <si>
    <t>Ломовецкое сельское поселение</t>
  </si>
  <si>
    <t>54654415</t>
  </si>
  <si>
    <t>234</t>
  </si>
  <si>
    <t>Малахово-Слободское сельское поселение</t>
  </si>
  <si>
    <t>54654417</t>
  </si>
  <si>
    <t>235</t>
  </si>
  <si>
    <t>Муравльское сельское поселение</t>
  </si>
  <si>
    <t>54654419</t>
  </si>
  <si>
    <t>236</t>
  </si>
  <si>
    <t>54654422</t>
  </si>
  <si>
    <t>237</t>
  </si>
  <si>
    <t>Пенновское сельское поселение</t>
  </si>
  <si>
    <t>54654425</t>
  </si>
  <si>
    <t>238</t>
  </si>
  <si>
    <t>239</t>
  </si>
  <si>
    <t>Троснянское сельское поселение</t>
  </si>
  <si>
    <t>54654430</t>
  </si>
  <si>
    <t>240</t>
  </si>
  <si>
    <t>Урицкий муниципальный район</t>
  </si>
  <si>
    <t>54655000</t>
  </si>
  <si>
    <t>Архангельское сельское поселение</t>
  </si>
  <si>
    <t>54655407</t>
  </si>
  <si>
    <t>241</t>
  </si>
  <si>
    <t>Богдановское сельское поселение</t>
  </si>
  <si>
    <t>54655410</t>
  </si>
  <si>
    <t>242</t>
  </si>
  <si>
    <t>Бунинское сельское поселение</t>
  </si>
  <si>
    <t>54655413</t>
  </si>
  <si>
    <t>243</t>
  </si>
  <si>
    <t>Городищенское сельское поселение</t>
  </si>
  <si>
    <t>54655416</t>
  </si>
  <si>
    <t>244</t>
  </si>
  <si>
    <t>54655422</t>
  </si>
  <si>
    <t>245</t>
  </si>
  <si>
    <t>Луначарское сельское поселение</t>
  </si>
  <si>
    <t>54655428</t>
  </si>
  <si>
    <t>246</t>
  </si>
  <si>
    <t>Нарышкино городское поселение</t>
  </si>
  <si>
    <t>54655151</t>
  </si>
  <si>
    <t>247</t>
  </si>
  <si>
    <t>Подзаваловское сельское поселение</t>
  </si>
  <si>
    <t>54655437</t>
  </si>
  <si>
    <t>248</t>
  </si>
  <si>
    <t>249</t>
  </si>
  <si>
    <t>Хотынецкий муниципальный район</t>
  </si>
  <si>
    <t>54657000</t>
  </si>
  <si>
    <t>Аболмасовское сельское поселение</t>
  </si>
  <si>
    <t>54657402</t>
  </si>
  <si>
    <t>250</t>
  </si>
  <si>
    <t>Алехинское сельское поселение</t>
  </si>
  <si>
    <t>54657404</t>
  </si>
  <si>
    <t>251</t>
  </si>
  <si>
    <t>Богородицкое сельское поселение</t>
  </si>
  <si>
    <t>54657407</t>
  </si>
  <si>
    <t>252</t>
  </si>
  <si>
    <t>Ильинское сельское поселение</t>
  </si>
  <si>
    <t>54657419</t>
  </si>
  <si>
    <t>253</t>
  </si>
  <si>
    <t>Краснорябинское</t>
  </si>
  <si>
    <t>54657424</t>
  </si>
  <si>
    <t>254</t>
  </si>
  <si>
    <t>Меловское сельское поселение</t>
  </si>
  <si>
    <t>54657426</t>
  </si>
  <si>
    <t>255</t>
  </si>
  <si>
    <t>Студеновское сельское поселение</t>
  </si>
  <si>
    <t>54657431</t>
  </si>
  <si>
    <t>256</t>
  </si>
  <si>
    <t>Хотимль-Кузменковское</t>
  </si>
  <si>
    <t>54657437</t>
  </si>
  <si>
    <t>257</t>
  </si>
  <si>
    <t>Хотынец городское поселение</t>
  </si>
  <si>
    <t>54657151</t>
  </si>
  <si>
    <t>258</t>
  </si>
  <si>
    <t>259</t>
  </si>
  <si>
    <t>Шаблыкинский муниципальный район</t>
  </si>
  <si>
    <t>54659000</t>
  </si>
  <si>
    <t>54659402</t>
  </si>
  <si>
    <t>260</t>
  </si>
  <si>
    <t>Косулическое сельское поселение</t>
  </si>
  <si>
    <t>54659404</t>
  </si>
  <si>
    <t>261</t>
  </si>
  <si>
    <t>Молодовское сельское поселение</t>
  </si>
  <si>
    <t>54659406</t>
  </si>
  <si>
    <t>262</t>
  </si>
  <si>
    <t>Навлинское сельское поселение</t>
  </si>
  <si>
    <t>54659408</t>
  </si>
  <si>
    <t>263</t>
  </si>
  <si>
    <t>Сомовское сельское поселение</t>
  </si>
  <si>
    <t>54659410</t>
  </si>
  <si>
    <t>264</t>
  </si>
  <si>
    <t>Титовское сельское поселение</t>
  </si>
  <si>
    <t>54659413</t>
  </si>
  <si>
    <t>265</t>
  </si>
  <si>
    <t>Хотьковское сельское поселение</t>
  </si>
  <si>
    <t>54659416</t>
  </si>
  <si>
    <t>266</t>
  </si>
  <si>
    <t>Шаблыкино городское поселение</t>
  </si>
  <si>
    <t>54659151</t>
  </si>
  <si>
    <t>267</t>
  </si>
  <si>
    <t>268</t>
  </si>
  <si>
    <t>NUMBER_POINT</t>
  </si>
  <si>
    <t>L_NAME</t>
  </si>
  <si>
    <t>L_START_DATE</t>
  </si>
  <si>
    <t>L_END_DATE</t>
  </si>
  <si>
    <t>Инвестиционная программа № 117-т от 27.10.2023 ООО "Орловские тепловые магистрали" в сфере теплоснабжения по модернизации, реконструкции и техническому перевооружению котельных и тепловых сетей, на территории городского округа Орёл на 2024-2027 годы</t>
  </si>
  <si>
    <t>01.01.2024</t>
  </si>
  <si>
    <t>31.12.2027</t>
  </si>
  <si>
    <t>Инвестиционная программа от 09.08.2022 ООО "Теплосеть" в сфере теплоснабжения по модернизации и реконструкции единого комплекса объектов, на территории городского поселения Болхов, Болховский муниципальный район на 2023-2030 годы</t>
  </si>
  <si>
    <t>01.01.2023</t>
  </si>
  <si>
    <t>31.12.2030</t>
  </si>
  <si>
    <t>Инвестиционная программа от 27.10.2023 МУП "Орловский теплосервис" в сфере теплоснабжения по модернизации, реконструкции и техническому перевооружению котельных, на территории муниципального округа Орловский на 2024-2027 годы</t>
  </si>
  <si>
    <t>Инвестиционная программа от 27.10.2023 ООО "Орловские тепловые магистрали" в сфере теплоснабжения по модернизации, реконструкции и техническому перевооружению котельных и тепловых сетей, на территории городского округа Орёл на 2024-2027 годы</t>
  </si>
  <si>
    <t>31.01.2027</t>
  </si>
  <si>
    <t>Инвестиционная программа от 28.10.2022 АО "Орелгортеплоэнерго" в сфере теплоснабжения по модернизации и реконструкции систем теплоснабжения, на территории городского округа Орёл на 2023-2024 годы</t>
  </si>
  <si>
    <t>31.12.2024</t>
  </si>
  <si>
    <t>Инвестиционная программа от 28.10.2022 МУП «Ливенские тепловые сети» в сфере теплоснабжения по модернизации и реконструкции систем теплоснабжения, на территории городского округа Ливны на 2023-2025 годы</t>
  </si>
  <si>
    <t>31.12.2025</t>
  </si>
  <si>
    <t>Инвестиционная программа от 29.10.2019 Филиал ПАО "Квадра" - "Орловская генерация" в сфере теплоснабжения по модернизации и реконструкции единого комплекса объектов, на территории городского округа Орёл на 2020-2024 годы</t>
  </si>
  <si>
    <t>01.01.2020</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</si>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</sst>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8" formatCode="000000"/>
    <numFmt numFmtId="169" formatCode="#,##0.000"/>
    <numFmt numFmtId="170" formatCode="#,##0.0000"/>
    <numFmt numFmtId="171" formatCode="dd\.mm\.yyyy"/>
    <numFmt numFmtId="172" formatCode="h:mm;@"/>
  </numFmts>
  <fonts count="106">
    <font>
      <sz val="9"/>
      <color rgb="FF000000"/>
      <name val="Tahoma"/>
    </font>
    <font>
      <sz val="11"/>
      <color theme="1"/>
      <name val="Calibri"/>
      <scheme val="minor"/>
    </font>
    <font>
      <sz val="11"/>
      <color rgb="FF000000"/>
      <name val="Calibri"/>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name val="Tahoma"/>
    </font>
    <font>
      <u/>
      <sz val="9"/>
      <color theme="10"/>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2">
    <xf numFmtId="49" fontId="0" fillId="0" borderId="0" applyFill="0" applyBorder="0">
      <alignment vertical="top"/>
    </xf>
    <xf numFmtId="49" fontId="100" fillId="0" borderId="0" applyFill="0" applyBorder="0">
      <alignment vertical="top"/>
    </xf>
  </cellStyleXfs>
  <cellXfs count="3799">
    <xf numFmtId="49" fontId="0" fillId="0" borderId="0" xfId="0" applyNumberFormat="1" applyFont="1">
      <alignment vertical="top"/>
    </xf>
    <xf numFmtId="49" fontId="0" fillId="0" borderId="0" xfId="1" applyNumberFormat="1" applyFont="1">
      <alignment vertical="top"/>
    </xf>
    <xf numFmtId="0" fontId="3" fillId="0" borderId="0" xfId="0" applyNumberFormat="1" applyFont="1" applyAlignment="1">
      <alignment vertical="top" wrapText="1"/>
    </xf>
    <xf numFmtId="49" fontId="3" fillId="5" borderId="1" xfId="0" applyNumberFormat="1" applyFont="1" applyFill="1" applyBorder="1" applyAlignment="1">
      <alignment horizontal="center" vertical="top"/>
    </xf>
    <xf numFmtId="0" fontId="3" fillId="6" borderId="0" xfId="0" applyNumberFormat="1" applyFont="1" applyFill="1" applyAlignment="1"/>
    <xf numFmtId="0" fontId="4" fillId="0" borderId="0" xfId="0" applyNumberFormat="1" applyFont="1" applyAlignment="1">
      <alignment vertical="center" wrapText="1"/>
    </xf>
    <xf numFmtId="0" fontId="3" fillId="6" borderId="0" xfId="0" applyNumberFormat="1" applyFont="1" applyFill="1" applyAlignment="1">
      <alignment vertical="center" wrapText="1"/>
    </xf>
    <xf numFmtId="0" fontId="6" fillId="6" borderId="0" xfId="0" applyNumberFormat="1" applyFont="1" applyFill="1" applyAlignment="1">
      <alignment vertical="center" wrapText="1"/>
    </xf>
    <xf numFmtId="0" fontId="3" fillId="6" borderId="0" xfId="0" applyNumberFormat="1" applyFont="1" applyFill="1" applyAlignment="1">
      <alignment horizontal="right" vertical="center" wrapText="1" indent="1"/>
    </xf>
    <xf numFmtId="0" fontId="3" fillId="6" borderId="0" xfId="0" applyNumberFormat="1" applyFont="1" applyFill="1" applyAlignment="1">
      <alignment horizontal="center" vertical="center" wrapText="1"/>
    </xf>
    <xf numFmtId="0" fontId="5" fillId="0" borderId="0" xfId="0" applyNumberFormat="1" applyFont="1" applyAlignment="1">
      <alignment horizontal="center" vertical="center" wrapText="1"/>
    </xf>
    <xf numFmtId="0" fontId="7" fillId="6" borderId="0" xfId="0" applyNumberFormat="1" applyFont="1" applyFill="1" applyAlignment="1">
      <alignment horizontal="center" vertical="center" wrapText="1"/>
    </xf>
    <xf numFmtId="0" fontId="3" fillId="0" borderId="0" xfId="0" applyNumberFormat="1" applyFont="1" applyAlignment="1">
      <alignment vertical="center"/>
    </xf>
    <xf numFmtId="49" fontId="3" fillId="6" borderId="0" xfId="0" applyNumberFormat="1" applyFont="1" applyFill="1" applyAlignment="1">
      <alignment horizontal="right" vertical="center" wrapText="1" indent="1"/>
    </xf>
    <xf numFmtId="49" fontId="6" fillId="6" borderId="0" xfId="0" applyNumberFormat="1" applyFont="1" applyFill="1" applyAlignment="1">
      <alignment horizontal="center" vertical="center" wrapText="1"/>
    </xf>
    <xf numFmtId="0" fontId="3" fillId="0" borderId="0" xfId="0" applyNumberFormat="1" applyFont="1" applyAlignment="1">
      <alignment vertical="center" wrapText="1"/>
    </xf>
    <xf numFmtId="0" fontId="3" fillId="6" borderId="0" xfId="0" applyNumberFormat="1" applyFont="1" applyFill="1" applyAlignment="1">
      <alignment vertical="center" wrapText="1"/>
    </xf>
    <xf numFmtId="0" fontId="3"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8" fillId="6" borderId="0" xfId="0" applyNumberFormat="1" applyFont="1" applyFill="1" applyAlignment="1">
      <alignment horizontal="center" vertical="center" wrapText="1"/>
    </xf>
    <xf numFmtId="0" fontId="9" fillId="6" borderId="0" xfId="0" applyNumberFormat="1" applyFont="1" applyFill="1" applyAlignment="1">
      <alignment horizontal="center" vertical="center" wrapText="1"/>
    </xf>
    <xf numFmtId="0" fontId="9" fillId="6" borderId="0" xfId="0" applyNumberFormat="1" applyFont="1" applyFill="1" applyAlignment="1">
      <alignment horizontal="center" vertical="center"/>
    </xf>
    <xf numFmtId="49" fontId="10" fillId="0" borderId="2" xfId="0" applyNumberFormat="1" applyFont="1" applyBorder="1" applyAlignment="1">
      <alignment vertical="top" wrapText="1"/>
    </xf>
    <xf numFmtId="0" fontId="0" fillId="0" borderId="2" xfId="0" applyNumberFormat="1" applyFont="1" applyBorder="1" applyAlignment="1">
      <alignment vertical="top" wrapText="1"/>
    </xf>
    <xf numFmtId="0" fontId="11" fillId="0" borderId="0" xfId="0" applyNumberFormat="1" applyFont="1" applyAlignment="1"/>
    <xf numFmtId="0" fontId="3" fillId="6" borderId="0" xfId="0" applyNumberFormat="1" applyFont="1" applyFill="1" applyAlignment="1">
      <alignment horizontal="center" vertical="center" wrapText="1"/>
    </xf>
    <xf numFmtId="0" fontId="12" fillId="6" borderId="0" xfId="0" applyNumberFormat="1" applyFont="1" applyFill="1" applyAlignment="1">
      <alignment vertical="center" wrapText="1"/>
    </xf>
    <xf numFmtId="0" fontId="4" fillId="0" borderId="0" xfId="0" applyNumberFormat="1" applyFont="1" applyAlignment="1">
      <alignment horizontal="left" vertical="center" wrapText="1"/>
    </xf>
    <xf numFmtId="49" fontId="4" fillId="0" borderId="0" xfId="0" applyNumberFormat="1" applyFont="1" applyAlignment="1">
      <alignment horizontal="left" vertical="center" wrapText="1"/>
    </xf>
    <xf numFmtId="0" fontId="0" fillId="0" borderId="0" xfId="0" applyNumberFormat="1" applyFont="1">
      <alignment vertical="top"/>
    </xf>
    <xf numFmtId="49" fontId="3" fillId="0" borderId="0" xfId="0" applyNumberFormat="1" applyFont="1">
      <alignment vertical="top"/>
    </xf>
    <xf numFmtId="0" fontId="3" fillId="0" borderId="0" xfId="0" applyNumberFormat="1" applyFont="1" applyAlignment="1">
      <alignment vertical="center" wrapText="1"/>
    </xf>
    <xf numFmtId="0" fontId="3" fillId="6" borderId="3" xfId="0" applyNumberFormat="1" applyFont="1" applyFill="1" applyBorder="1" applyAlignment="1">
      <alignment horizontal="center" vertical="center" wrapText="1"/>
    </xf>
    <xf numFmtId="49" fontId="3" fillId="7" borderId="3" xfId="0" applyNumberFormat="1" applyFont="1" applyFill="1" applyBorder="1" applyAlignment="1" applyProtection="1">
      <alignment horizontal="left" vertical="center" wrapText="1"/>
      <protection locked="0"/>
    </xf>
    <xf numFmtId="49" fontId="13"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3" fillId="8" borderId="5" xfId="0" applyNumberFormat="1" applyFont="1" applyFill="1" applyBorder="1" applyAlignment="1">
      <alignment vertical="center" wrapText="1"/>
    </xf>
    <xf numFmtId="0" fontId="3" fillId="0" borderId="3"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0" fontId="3" fillId="6" borderId="3" xfId="0" applyNumberFormat="1" applyFont="1" applyFill="1" applyBorder="1" applyAlignment="1">
      <alignment horizontal="center" vertical="center"/>
    </xf>
    <xf numFmtId="49" fontId="3" fillId="7" borderId="3" xfId="0" applyNumberFormat="1" applyFont="1" applyFill="1" applyBorder="1" applyAlignment="1" applyProtection="1">
      <alignment horizontal="left" vertical="center" wrapText="1"/>
      <protection locked="0"/>
    </xf>
    <xf numFmtId="0" fontId="4" fillId="0" borderId="0" xfId="0" applyNumberFormat="1" applyFont="1" applyAlignment="1">
      <alignment vertical="center" wrapText="1"/>
    </xf>
    <xf numFmtId="49" fontId="3" fillId="0" borderId="0" xfId="0" applyNumberFormat="1" applyFont="1">
      <alignment vertical="top"/>
    </xf>
    <xf numFmtId="49" fontId="9" fillId="0" borderId="0" xfId="0" applyNumberFormat="1" applyFont="1" applyAlignment="1">
      <alignment horizontal="center" vertical="center"/>
    </xf>
    <xf numFmtId="49" fontId="3" fillId="0" borderId="0" xfId="0" applyNumberFormat="1" applyFont="1">
      <alignment vertical="top"/>
    </xf>
    <xf numFmtId="0" fontId="3" fillId="6" borderId="0" xfId="0" applyNumberFormat="1" applyFont="1" applyFill="1" applyAlignment="1"/>
    <xf numFmtId="0" fontId="16" fillId="6" borderId="0" xfId="0" applyNumberFormat="1" applyFont="1" applyFill="1" applyAlignment="1">
      <alignment horizontal="center" vertical="center" wrapText="1"/>
    </xf>
    <xf numFmtId="0" fontId="4" fillId="6" borderId="0" xfId="0" applyNumberFormat="1" applyFont="1" applyFill="1" applyAlignment="1"/>
    <xf numFmtId="49" fontId="3" fillId="0" borderId="0" xfId="0" applyNumberFormat="1" applyFont="1">
      <alignment vertical="top"/>
    </xf>
    <xf numFmtId="49" fontId="9" fillId="0" borderId="0" xfId="0" applyNumberFormat="1" applyFont="1" applyAlignment="1">
      <alignment horizontal="center" vertical="center" wrapText="1"/>
    </xf>
    <xf numFmtId="0" fontId="3" fillId="6" borderId="3" xfId="0" applyNumberFormat="1" applyFont="1" applyFill="1" applyBorder="1" applyAlignment="1">
      <alignment horizontal="center" vertical="center" wrapText="1"/>
    </xf>
    <xf numFmtId="49" fontId="3" fillId="0" borderId="3" xfId="0" applyNumberFormat="1" applyFont="1" applyBorder="1" applyAlignment="1">
      <alignment horizontal="center" vertical="center" wrapText="1"/>
    </xf>
    <xf numFmtId="49" fontId="17" fillId="8" borderId="6" xfId="0" applyNumberFormat="1" applyFont="1" applyFill="1" applyBorder="1" applyAlignment="1">
      <alignment horizontal="center" vertical="top"/>
    </xf>
    <xf numFmtId="49" fontId="13" fillId="8" borderId="6" xfId="0" applyNumberFormat="1" applyFont="1" applyFill="1" applyBorder="1" applyAlignment="1">
      <alignment horizontal="left" vertical="center"/>
    </xf>
    <xf numFmtId="0" fontId="14" fillId="0" borderId="0" xfId="0" applyNumberFormat="1" applyFont="1" applyAlignment="1">
      <alignment vertical="center"/>
    </xf>
    <xf numFmtId="0" fontId="0"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9" fontId="3" fillId="0" borderId="0" xfId="0" applyNumberFormat="1" applyFont="1" applyAlignment="1">
      <alignment vertical="center" wrapText="1"/>
    </xf>
    <xf numFmtId="0" fontId="9" fillId="6" borderId="0" xfId="0" applyNumberFormat="1" applyFont="1" applyFill="1" applyAlignment="1">
      <alignment horizontal="center" vertical="center" wrapText="1"/>
    </xf>
    <xf numFmtId="49" fontId="18" fillId="0" borderId="0" xfId="0" applyNumberFormat="1" applyFont="1" applyAlignment="1">
      <alignment horizontal="right" vertical="top"/>
    </xf>
    <xf numFmtId="49" fontId="18" fillId="0" borderId="0" xfId="0" applyNumberFormat="1" applyFont="1">
      <alignment vertical="top"/>
    </xf>
    <xf numFmtId="0" fontId="3" fillId="0" borderId="0" xfId="0" applyNumberFormat="1" applyFont="1" applyAlignment="1">
      <alignment horizontal="center" vertical="center" wrapText="1"/>
    </xf>
    <xf numFmtId="0" fontId="0" fillId="0" borderId="0" xfId="0" applyNumberFormat="1" applyFont="1" applyAlignment="1">
      <alignment vertical="center"/>
    </xf>
    <xf numFmtId="0" fontId="19" fillId="0" borderId="0" xfId="0" applyNumberFormat="1" applyFont="1" applyAlignment="1">
      <alignment vertical="center" wrapText="1"/>
    </xf>
    <xf numFmtId="49" fontId="3" fillId="0" borderId="7" xfId="0" applyNumberFormat="1" applyFont="1" applyBorder="1">
      <alignment vertical="top"/>
    </xf>
    <xf numFmtId="49" fontId="20" fillId="0" borderId="0" xfId="0" applyNumberFormat="1" applyFont="1">
      <alignment vertical="top"/>
    </xf>
    <xf numFmtId="0" fontId="20"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4" fillId="0" borderId="0" xfId="0" applyNumberFormat="1" applyFont="1" applyAlignment="1">
      <alignment horizontal="left" vertical="center" wrapText="1"/>
    </xf>
    <xf numFmtId="49" fontId="3" fillId="0" borderId="3" xfId="0" applyNumberFormat="1" applyFont="1" applyBorder="1" applyAlignment="1">
      <alignment horizontal="left" vertical="center" wrapText="1"/>
    </xf>
    <xf numFmtId="0" fontId="3" fillId="6" borderId="8" xfId="0" applyNumberFormat="1" applyFont="1" applyFill="1" applyBorder="1" applyAlignment="1">
      <alignment horizontal="center" vertical="center"/>
    </xf>
    <xf numFmtId="0" fontId="3" fillId="0" borderId="3" xfId="0" applyNumberFormat="1" applyFont="1" applyBorder="1" applyAlignment="1">
      <alignment vertical="center" wrapText="1"/>
    </xf>
    <xf numFmtId="0" fontId="22" fillId="0" borderId="0" xfId="0" applyNumberFormat="1" applyFont="1" applyAlignment="1">
      <alignment vertical="center"/>
    </xf>
    <xf numFmtId="0" fontId="21" fillId="0" borderId="0" xfId="0" applyNumberFormat="1" applyFont="1" applyAlignment="1">
      <alignment vertical="center"/>
    </xf>
    <xf numFmtId="0" fontId="21" fillId="0" borderId="0" xfId="0" applyNumberFormat="1" applyFont="1" applyAlignment="1">
      <alignment vertical="center"/>
    </xf>
    <xf numFmtId="0" fontId="0" fillId="0" borderId="0" xfId="0" applyNumberFormat="1" applyFont="1" applyAlignment="1">
      <alignment vertical="top" wrapText="1"/>
    </xf>
    <xf numFmtId="49" fontId="3" fillId="0" borderId="3" xfId="0" applyNumberFormat="1" applyFont="1" applyBorder="1" applyAlignment="1">
      <alignment horizontal="center" vertical="center" wrapText="1"/>
    </xf>
    <xf numFmtId="0" fontId="19"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9" fillId="0" borderId="0" xfId="0" applyNumberFormat="1" applyFont="1" applyAlignment="1">
      <alignment horizontal="center" vertical="center" wrapText="1"/>
    </xf>
    <xf numFmtId="0" fontId="9" fillId="0" borderId="0" xfId="0" applyNumberFormat="1" applyFont="1" applyAlignment="1">
      <alignment horizontal="center" vertical="center" wrapText="1"/>
    </xf>
    <xf numFmtId="0" fontId="3" fillId="0" borderId="0" xfId="0" applyNumberFormat="1" applyFont="1" applyAlignment="1">
      <alignment horizontal="right" vertical="center" wrapText="1"/>
    </xf>
    <xf numFmtId="4" fontId="3" fillId="0" borderId="0" xfId="0" applyNumberFormat="1" applyFont="1" applyAlignment="1">
      <alignment horizontal="right" vertical="center" wrapText="1"/>
    </xf>
    <xf numFmtId="0" fontId="3" fillId="0" borderId="0" xfId="0" applyNumberFormat="1" applyFont="1" applyAlignment="1">
      <alignment horizontal="left" vertical="center" wrapText="1" indent="1"/>
    </xf>
    <xf numFmtId="49" fontId="3" fillId="0" borderId="0" xfId="0" applyNumberFormat="1" applyFont="1">
      <alignment vertical="top"/>
    </xf>
    <xf numFmtId="4" fontId="3" fillId="0" borderId="0" xfId="0" applyNumberFormat="1" applyFont="1" applyAlignment="1">
      <alignment horizontal="center" vertical="center" wrapText="1"/>
    </xf>
    <xf numFmtId="0" fontId="20" fillId="0" borderId="0" xfId="0" applyNumberFormat="1" applyFont="1" applyAlignment="1">
      <alignment vertical="center"/>
    </xf>
    <xf numFmtId="168" fontId="3" fillId="0" borderId="3" xfId="0" applyNumberFormat="1" applyFont="1" applyBorder="1" applyAlignment="1">
      <alignment horizontal="center" vertical="center" wrapText="1"/>
    </xf>
    <xf numFmtId="49" fontId="20"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20" fillId="8" borderId="11" xfId="0" applyNumberFormat="1" applyFont="1" applyFill="1" applyBorder="1" applyAlignment="1">
      <alignment horizontal="left" vertical="center" wrapText="1"/>
    </xf>
    <xf numFmtId="0" fontId="8" fillId="0" borderId="0" xfId="0" applyNumberFormat="1" applyFont="1" applyAlignment="1">
      <alignment horizontal="center" vertical="center" wrapText="1"/>
    </xf>
    <xf numFmtId="49" fontId="23" fillId="8" borderId="6" xfId="0" applyNumberFormat="1" applyFont="1" applyFill="1" applyBorder="1" applyAlignment="1">
      <alignment horizontal="right" vertical="center" wrapText="1"/>
    </xf>
    <xf numFmtId="49" fontId="3" fillId="8" borderId="6" xfId="0" applyNumberFormat="1" applyFont="1" applyFill="1" applyBorder="1" applyAlignment="1">
      <alignment horizontal="right" vertical="center" wrapText="1"/>
    </xf>
    <xf numFmtId="49" fontId="3" fillId="8" borderId="4" xfId="0" applyNumberFormat="1" applyFont="1" applyFill="1" applyBorder="1" applyAlignment="1">
      <alignment horizontal="right" vertical="center" wrapText="1"/>
    </xf>
    <xf numFmtId="0" fontId="3" fillId="0" borderId="12" xfId="0" applyNumberFormat="1" applyFont="1" applyBorder="1" applyAlignment="1">
      <alignment vertical="center" wrapText="1"/>
    </xf>
    <xf numFmtId="0" fontId="18" fillId="0" borderId="0" xfId="0" applyNumberFormat="1" applyFont="1" applyAlignment="1">
      <alignment vertical="center" wrapText="1"/>
    </xf>
    <xf numFmtId="0" fontId="24" fillId="0" borderId="0" xfId="0" applyNumberFormat="1" applyFont="1" applyAlignment="1">
      <alignment horizontal="center" vertical="center" wrapText="1"/>
    </xf>
    <xf numFmtId="49" fontId="0" fillId="6" borderId="0" xfId="0" applyNumberFormat="1" applyFont="1" applyFill="1">
      <alignment vertical="top"/>
    </xf>
    <xf numFmtId="49" fontId="25" fillId="9" borderId="0" xfId="0" applyNumberFormat="1" applyFont="1" applyFill="1">
      <alignment vertical="top"/>
    </xf>
    <xf numFmtId="49" fontId="25" fillId="0" borderId="0" xfId="0" applyNumberFormat="1" applyFont="1">
      <alignment vertical="top"/>
    </xf>
    <xf numFmtId="0" fontId="20"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0" fontId="23" fillId="0" borderId="2" xfId="0" applyNumberFormat="1" applyFont="1" applyBorder="1" applyAlignment="1">
      <alignment vertical="center" wrapText="1"/>
    </xf>
    <xf numFmtId="0" fontId="19" fillId="0" borderId="0" xfId="0" applyNumberFormat="1" applyFont="1" applyAlignment="1">
      <alignment vertical="top" wrapText="1"/>
    </xf>
    <xf numFmtId="0" fontId="3" fillId="0" borderId="2" xfId="0" applyNumberFormat="1" applyFont="1" applyBorder="1" applyAlignment="1">
      <alignment vertical="center" wrapText="1"/>
    </xf>
    <xf numFmtId="49" fontId="3" fillId="0" borderId="0" xfId="0" applyNumberFormat="1" applyFont="1">
      <alignment vertical="top"/>
    </xf>
    <xf numFmtId="0" fontId="3"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1"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3" fillId="8" borderId="6" xfId="0" applyNumberFormat="1" applyFont="1" applyFill="1" applyBorder="1" applyAlignment="1">
      <alignment horizontal="left" vertical="center" indent="3"/>
    </xf>
    <xf numFmtId="49" fontId="17" fillId="8" borderId="4" xfId="0" applyNumberFormat="1" applyFont="1" applyFill="1" applyBorder="1" applyAlignment="1">
      <alignment horizontal="center" vertical="top"/>
    </xf>
    <xf numFmtId="0" fontId="19" fillId="0" borderId="0" xfId="0" applyNumberFormat="1" applyFont="1" applyAlignment="1">
      <alignment horizontal="right" vertical="top" wrapText="1"/>
    </xf>
    <xf numFmtId="49" fontId="13" fillId="8" borderId="6" xfId="0" applyNumberFormat="1" applyFont="1" applyFill="1" applyBorder="1" applyAlignment="1">
      <alignment horizontal="left" vertical="center" indent="1"/>
    </xf>
    <xf numFmtId="49" fontId="13"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3" fillId="11" borderId="3" xfId="0" applyNumberFormat="1" applyFont="1" applyFill="1" applyBorder="1" applyAlignment="1">
      <alignment horizontal="left" vertical="center" wrapText="1"/>
    </xf>
    <xf numFmtId="0" fontId="3" fillId="0" borderId="3" xfId="0" applyNumberFormat="1" applyFont="1" applyBorder="1" applyAlignment="1">
      <alignment vertical="top" wrapText="1"/>
    </xf>
    <xf numFmtId="0" fontId="9" fillId="0" borderId="0" xfId="0" applyNumberFormat="1" applyFont="1" applyAlignment="1">
      <alignment horizontal="center" vertical="center" wrapText="1"/>
    </xf>
    <xf numFmtId="49" fontId="0" fillId="0" borderId="8" xfId="0" applyNumberFormat="1" applyFont="1" applyBorder="1">
      <alignment vertical="top"/>
    </xf>
    <xf numFmtId="0" fontId="21" fillId="0" borderId="0" xfId="0" applyNumberFormat="1" applyFont="1" applyAlignment="1">
      <alignment vertical="center"/>
    </xf>
    <xf numFmtId="0" fontId="2"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7"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3" fillId="10" borderId="3" xfId="0" applyNumberFormat="1" applyFont="1" applyFill="1" applyBorder="1" applyAlignment="1" applyProtection="1">
      <alignment horizontal="left" vertical="center" wrapText="1" indent="1"/>
      <protection locked="0"/>
    </xf>
    <xf numFmtId="49" fontId="3" fillId="5" borderId="3" xfId="0" applyNumberFormat="1" applyFont="1" applyFill="1" applyBorder="1" applyAlignment="1">
      <alignment horizontal="left" vertical="center" wrapText="1" indent="1"/>
    </xf>
    <xf numFmtId="49" fontId="3" fillId="0" borderId="3" xfId="0" applyNumberFormat="1" applyFont="1" applyBorder="1" applyAlignment="1">
      <alignment horizontal="left" vertical="center" wrapText="1" indent="1"/>
    </xf>
    <xf numFmtId="0" fontId="3" fillId="0" borderId="3" xfId="0" applyNumberFormat="1" applyFont="1" applyBorder="1" applyAlignment="1">
      <alignment horizontal="center" vertical="center" wrapText="1"/>
    </xf>
    <xf numFmtId="0" fontId="19" fillId="0" borderId="0" xfId="0" applyNumberFormat="1" applyFont="1" applyAlignment="1">
      <alignment vertical="center" wrapText="1"/>
    </xf>
    <xf numFmtId="0" fontId="21"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8"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1" fillId="0" borderId="0" xfId="0" applyNumberFormat="1" applyFont="1" applyAlignment="1">
      <alignment vertical="center"/>
    </xf>
    <xf numFmtId="0" fontId="21"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3" fillId="0" borderId="0" xfId="0" applyNumberFormat="1" applyFont="1" applyAlignment="1">
      <alignment vertical="center" wrapText="1"/>
    </xf>
    <xf numFmtId="0" fontId="0" fillId="0" borderId="0" xfId="0" applyNumberFormat="1" applyFont="1" applyAlignment="1">
      <alignment horizontal="left" vertical="center" indent="1"/>
    </xf>
    <xf numFmtId="0" fontId="21" fillId="0" borderId="0" xfId="0" applyNumberFormat="1" applyFont="1" applyAlignment="1">
      <alignment horizontal="left" vertical="center" indent="1"/>
    </xf>
    <xf numFmtId="0" fontId="21" fillId="0" borderId="0" xfId="0" applyNumberFormat="1" applyFont="1" applyAlignment="1">
      <alignment horizontal="left" vertical="center" indent="1"/>
    </xf>
    <xf numFmtId="0" fontId="21" fillId="0" borderId="13" xfId="0" applyNumberFormat="1" applyFont="1" applyBorder="1" applyAlignment="1">
      <alignment vertical="center"/>
    </xf>
    <xf numFmtId="0" fontId="3"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3" fillId="0" borderId="0" xfId="0" applyNumberFormat="1" applyFont="1">
      <alignment vertical="top"/>
    </xf>
    <xf numFmtId="0" fontId="3" fillId="0" borderId="0" xfId="0" applyNumberFormat="1" applyFont="1" applyAlignment="1">
      <alignment horizontal="left" vertical="center" wrapText="1" indent="2"/>
    </xf>
    <xf numFmtId="0" fontId="3"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3" fillId="0" borderId="3" xfId="0" applyNumberFormat="1" applyFont="1" applyBorder="1" applyAlignment="1">
      <alignment horizontal="left" vertical="top" wrapText="1"/>
    </xf>
    <xf numFmtId="0" fontId="3" fillId="0" borderId="3" xfId="0" applyNumberFormat="1" applyFont="1" applyBorder="1" applyAlignment="1">
      <alignment horizontal="left" vertical="center" wrapText="1"/>
    </xf>
    <xf numFmtId="0" fontId="3" fillId="0" borderId="3" xfId="0" applyNumberFormat="1" applyFont="1" applyBorder="1" applyAlignment="1">
      <alignment horizontal="center" vertical="center" wrapText="1"/>
    </xf>
    <xf numFmtId="49" fontId="3" fillId="0" borderId="8" xfId="0" applyNumberFormat="1" applyFont="1" applyBorder="1" applyAlignment="1">
      <alignment horizontal="left" vertical="center" wrapText="1"/>
    </xf>
    <xf numFmtId="49" fontId="23" fillId="8" borderId="5" xfId="0" applyNumberFormat="1" applyFont="1" applyFill="1" applyBorder="1" applyAlignment="1">
      <alignment horizontal="center" vertical="center"/>
    </xf>
    <xf numFmtId="49" fontId="13" fillId="8" borderId="4" xfId="0" applyNumberFormat="1" applyFont="1" applyFill="1" applyBorder="1" applyAlignment="1">
      <alignment horizontal="left" vertical="center"/>
    </xf>
    <xf numFmtId="0" fontId="3"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3" fillId="0" borderId="0" xfId="0" applyNumberFormat="1" applyFont="1" applyAlignment="1">
      <alignment horizontal="center" vertical="center" wrapText="1"/>
    </xf>
    <xf numFmtId="49" fontId="3" fillId="10" borderId="3" xfId="0" applyNumberFormat="1" applyFont="1" applyFill="1" applyBorder="1" applyAlignment="1" applyProtection="1">
      <alignment horizontal="left" vertical="center" wrapText="1" indent="1"/>
      <protection locked="0"/>
    </xf>
    <xf numFmtId="0" fontId="21" fillId="0" borderId="0" xfId="0" applyNumberFormat="1" applyFont="1">
      <alignment vertical="top"/>
    </xf>
    <xf numFmtId="49" fontId="21" fillId="0" borderId="0" xfId="0" applyNumberFormat="1" applyFont="1">
      <alignment vertical="top"/>
    </xf>
    <xf numFmtId="0" fontId="0" fillId="0" borderId="0" xfId="0" applyNumberFormat="1" applyFont="1">
      <alignment vertical="top"/>
    </xf>
    <xf numFmtId="49" fontId="3" fillId="0" borderId="3" xfId="0" applyNumberFormat="1" applyFont="1" applyBorder="1" applyAlignment="1">
      <alignment horizontal="right" vertical="center"/>
    </xf>
    <xf numFmtId="0" fontId="21" fillId="0" borderId="0" xfId="0" applyNumberFormat="1" applyFont="1" applyAlignment="1">
      <alignment vertical="center"/>
    </xf>
    <xf numFmtId="0" fontId="21" fillId="0" borderId="0" xfId="0" applyNumberFormat="1" applyFont="1" applyAlignment="1">
      <alignment vertical="center" wrapText="1"/>
    </xf>
    <xf numFmtId="0" fontId="3" fillId="0" borderId="3" xfId="0" applyNumberFormat="1" applyFont="1" applyBorder="1" applyAlignment="1">
      <alignment horizontal="left" vertical="center" wrapText="1"/>
    </xf>
    <xf numFmtId="0" fontId="41" fillId="0" borderId="0" xfId="0" applyNumberFormat="1" applyFont="1" applyAlignment="1">
      <alignment vertical="center"/>
    </xf>
    <xf numFmtId="49" fontId="8" fillId="6" borderId="0" xfId="0" applyNumberFormat="1" applyFont="1" applyFill="1" applyAlignment="1">
      <alignment horizontal="center" vertical="center" wrapText="1"/>
    </xf>
    <xf numFmtId="0" fontId="3" fillId="0" borderId="3"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indent="4"/>
    </xf>
    <xf numFmtId="0" fontId="3" fillId="6" borderId="3" xfId="0" applyNumberFormat="1" applyFont="1" applyFill="1" applyBorder="1" applyAlignment="1">
      <alignment horizontal="left" vertical="center" wrapText="1" indent="5"/>
    </xf>
    <xf numFmtId="49" fontId="13" fillId="8" borderId="6" xfId="0" applyNumberFormat="1" applyFont="1" applyFill="1" applyBorder="1" applyAlignment="1">
      <alignment horizontal="left" vertical="center" indent="5"/>
    </xf>
    <xf numFmtId="49" fontId="13" fillId="8" borderId="6" xfId="0" applyNumberFormat="1" applyFont="1" applyFill="1" applyBorder="1" applyAlignment="1">
      <alignment horizontal="left" vertical="center" indent="6"/>
    </xf>
    <xf numFmtId="0" fontId="3" fillId="0" borderId="3" xfId="0" applyNumberFormat="1" applyFont="1" applyBorder="1" applyAlignment="1">
      <alignment vertical="center" wrapText="1"/>
    </xf>
    <xf numFmtId="0" fontId="19" fillId="0" borderId="0" xfId="0" applyNumberFormat="1" applyFont="1" applyAlignment="1">
      <alignment vertical="center" wrapText="1"/>
    </xf>
    <xf numFmtId="0" fontId="42" fillId="6" borderId="0" xfId="0" applyNumberFormat="1" applyFont="1" applyFill="1" applyAlignment="1">
      <alignment vertical="center" wrapText="1"/>
    </xf>
    <xf numFmtId="49" fontId="3" fillId="0" borderId="3" xfId="0" applyNumberFormat="1" applyFont="1" applyBorder="1" applyAlignment="1">
      <alignment horizontal="center" vertical="center" wrapText="1"/>
    </xf>
    <xf numFmtId="49" fontId="13"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3" fillId="0" borderId="3" xfId="0" applyNumberFormat="1" applyFont="1" applyBorder="1" applyAlignment="1">
      <alignment vertical="top" wrapText="1"/>
    </xf>
    <xf numFmtId="0" fontId="3" fillId="0" borderId="3" xfId="0" applyNumberFormat="1" applyFont="1" applyBorder="1" applyAlignment="1">
      <alignment vertical="center" wrapText="1"/>
    </xf>
    <xf numFmtId="0" fontId="40" fillId="0" borderId="0" xfId="0" applyNumberFormat="1" applyFont="1" applyAlignment="1">
      <alignment vertical="center"/>
    </xf>
    <xf numFmtId="0" fontId="3" fillId="0" borderId="3" xfId="0" applyNumberFormat="1" applyFont="1" applyBorder="1" applyAlignment="1">
      <alignment horizontal="left" vertical="center" wrapText="1" indent="6"/>
    </xf>
    <xf numFmtId="0" fontId="3" fillId="0" borderId="8" xfId="0" applyNumberFormat="1" applyFont="1" applyBorder="1" applyAlignment="1">
      <alignment vertical="center" wrapText="1"/>
    </xf>
    <xf numFmtId="0" fontId="3"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6" borderId="5" xfId="0" applyNumberFormat="1" applyFont="1" applyFill="1" applyBorder="1" applyAlignment="1">
      <alignment horizontal="right" vertical="center" wrapText="1" indent="1"/>
    </xf>
    <xf numFmtId="49" fontId="4" fillId="0" borderId="0" xfId="0" applyNumberFormat="1" applyFont="1">
      <alignment vertical="top"/>
    </xf>
    <xf numFmtId="0" fontId="12" fillId="6" borderId="0" xfId="0" applyNumberFormat="1" applyFont="1" applyFill="1" applyAlignment="1">
      <alignment vertical="center" wrapText="1"/>
    </xf>
    <xf numFmtId="0" fontId="3" fillId="6" borderId="3" xfId="0" applyNumberFormat="1" applyFont="1" applyFill="1" applyBorder="1" applyAlignment="1">
      <alignment horizontal="left" vertical="center" wrapText="1" indent="1"/>
    </xf>
    <xf numFmtId="0" fontId="3" fillId="6" borderId="3" xfId="0" applyNumberFormat="1" applyFont="1" applyFill="1" applyBorder="1" applyAlignment="1">
      <alignment horizontal="left" vertical="center" wrapText="1" indent="2"/>
    </xf>
    <xf numFmtId="0" fontId="3" fillId="6" borderId="3" xfId="0" applyNumberFormat="1" applyFont="1" applyFill="1" applyBorder="1" applyAlignment="1">
      <alignment horizontal="left" vertical="center" wrapText="1" indent="3"/>
    </xf>
    <xf numFmtId="0" fontId="3" fillId="0" borderId="3" xfId="0" applyNumberFormat="1" applyFont="1" applyBorder="1" applyAlignment="1">
      <alignment horizontal="left" vertical="center" wrapText="1" indent="4"/>
    </xf>
    <xf numFmtId="49" fontId="13" fillId="8" borderId="5" xfId="0" applyNumberFormat="1" applyFont="1" applyFill="1" applyBorder="1" applyAlignment="1">
      <alignment vertical="center" wrapText="1"/>
    </xf>
    <xf numFmtId="49" fontId="13" fillId="8" borderId="6" xfId="0" applyNumberFormat="1" applyFont="1" applyFill="1" applyBorder="1" applyAlignment="1">
      <alignment vertical="center"/>
    </xf>
    <xf numFmtId="49" fontId="13" fillId="8" borderId="6" xfId="0" applyNumberFormat="1" applyFont="1" applyFill="1" applyBorder="1" applyAlignment="1">
      <alignment vertical="center" wrapText="1"/>
    </xf>
    <xf numFmtId="0" fontId="3" fillId="0" borderId="0" xfId="0" applyNumberFormat="1" applyFont="1" applyAlignment="1">
      <alignment vertical="top" wrapText="1"/>
    </xf>
    <xf numFmtId="49" fontId="13" fillId="8" borderId="5" xfId="0" applyNumberFormat="1" applyFont="1" applyFill="1" applyBorder="1" applyAlignment="1">
      <alignment horizontal="left" vertical="center"/>
    </xf>
    <xf numFmtId="0" fontId="13" fillId="8" borderId="5" xfId="0" applyNumberFormat="1" applyFont="1" applyFill="1" applyBorder="1" applyAlignment="1">
      <alignment horizontal="left" vertical="center"/>
    </xf>
    <xf numFmtId="0" fontId="13" fillId="8" borderId="6" xfId="0" applyNumberFormat="1" applyFont="1" applyFill="1" applyBorder="1" applyAlignment="1">
      <alignment horizontal="left" vertical="center"/>
    </xf>
    <xf numFmtId="0" fontId="13"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23" fillId="6" borderId="0" xfId="0" applyNumberFormat="1" applyFont="1" applyFill="1" applyAlignment="1">
      <alignment horizontal="center" vertical="center" wrapText="1"/>
    </xf>
    <xf numFmtId="0" fontId="3" fillId="0" borderId="0" xfId="0" applyNumberFormat="1" applyFont="1" applyAlignment="1">
      <alignment vertical="center" wrapText="1"/>
    </xf>
    <xf numFmtId="49" fontId="3" fillId="8" borderId="4" xfId="0" applyNumberFormat="1" applyFont="1" applyFill="1" applyBorder="1" applyAlignment="1">
      <alignment horizontal="center" vertical="center" wrapText="1"/>
    </xf>
    <xf numFmtId="4" fontId="3" fillId="0" borderId="3" xfId="0" applyNumberFormat="1" applyFont="1" applyBorder="1" applyAlignment="1">
      <alignment horizontal="right" vertical="center" wrapText="1"/>
    </xf>
    <xf numFmtId="0" fontId="3" fillId="0" borderId="0" xfId="0" applyNumberFormat="1" applyFont="1" applyAlignment="1">
      <alignment vertical="center" wrapText="1"/>
    </xf>
    <xf numFmtId="0" fontId="3" fillId="0" borderId="0" xfId="0" applyNumberFormat="1" applyFont="1" applyAlignment="1">
      <alignment vertical="center" wrapText="1"/>
    </xf>
    <xf numFmtId="4" fontId="21"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3"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4" fillId="0" borderId="0" xfId="0" applyNumberFormat="1" applyFont="1" applyAlignment="1">
      <alignment vertical="center" wrapText="1"/>
    </xf>
    <xf numFmtId="0" fontId="3" fillId="0" borderId="0" xfId="0" applyNumberFormat="1" applyFont="1">
      <alignment vertical="top"/>
    </xf>
    <xf numFmtId="0" fontId="3" fillId="0" borderId="0" xfId="0" applyNumberFormat="1" applyFont="1" applyAlignment="1">
      <alignment horizontal="right" vertical="top" wrapText="1"/>
    </xf>
    <xf numFmtId="0" fontId="3" fillId="0" borderId="8" xfId="0" applyNumberFormat="1" applyFont="1" applyBorder="1" applyAlignment="1">
      <alignment vertical="center" wrapText="1"/>
    </xf>
    <xf numFmtId="49" fontId="17" fillId="8" borderId="6" xfId="0" applyNumberFormat="1" applyFont="1" applyFill="1" applyBorder="1" applyAlignment="1">
      <alignment horizontal="center" vertical="top"/>
    </xf>
    <xf numFmtId="0" fontId="3"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3" fillId="0" borderId="8" xfId="0" applyNumberFormat="1" applyFont="1" applyBorder="1" applyAlignment="1">
      <alignment vertical="top" wrapText="1"/>
    </xf>
    <xf numFmtId="49" fontId="3" fillId="0" borderId="0" xfId="0" applyNumberFormat="1" applyFont="1">
      <alignment vertical="top"/>
    </xf>
    <xf numFmtId="0" fontId="12" fillId="0" borderId="0" xfId="0" applyNumberFormat="1" applyFont="1" applyAlignment="1">
      <alignment vertical="center" wrapText="1"/>
    </xf>
    <xf numFmtId="0" fontId="3" fillId="0" borderId="3" xfId="0" applyNumberFormat="1" applyFont="1" applyBorder="1" applyAlignment="1">
      <alignment vertical="center" wrapText="1"/>
    </xf>
    <xf numFmtId="49" fontId="3" fillId="0" borderId="0" xfId="0" applyNumberFormat="1" applyFont="1" applyAlignment="1">
      <alignment horizontal="center" vertical="center" wrapText="1"/>
    </xf>
    <xf numFmtId="0" fontId="3" fillId="8" borderId="5" xfId="0" applyNumberFormat="1" applyFont="1" applyFill="1" applyBorder="1" applyAlignment="1">
      <alignment vertical="center" wrapText="1"/>
    </xf>
    <xf numFmtId="49" fontId="13" fillId="8" borderId="6" xfId="0" applyNumberFormat="1" applyFont="1" applyFill="1" applyBorder="1" applyAlignment="1">
      <alignment horizontal="left" vertical="center" indent="2"/>
    </xf>
    <xf numFmtId="0" fontId="21" fillId="0" borderId="0" xfId="0" applyNumberFormat="1" applyFont="1" applyAlignment="1">
      <alignment vertical="center"/>
    </xf>
    <xf numFmtId="0" fontId="45" fillId="0" borderId="0" xfId="0" applyNumberFormat="1" applyFont="1" applyAlignment="1">
      <alignment vertical="center" wrapText="1"/>
    </xf>
    <xf numFmtId="0" fontId="15" fillId="6" borderId="0" xfId="0" applyNumberFormat="1" applyFont="1" applyFill="1" applyAlignment="1">
      <alignment horizontal="center" vertical="center" wrapText="1"/>
    </xf>
    <xf numFmtId="0" fontId="3" fillId="0" borderId="15" xfId="0" applyNumberFormat="1" applyFont="1" applyBorder="1" applyAlignment="1">
      <alignment vertical="center" wrapText="1"/>
    </xf>
    <xf numFmtId="0" fontId="9" fillId="0" borderId="0" xfId="0" applyNumberFormat="1" applyFont="1" applyAlignment="1">
      <alignment vertical="center" wrapText="1"/>
    </xf>
    <xf numFmtId="49" fontId="3" fillId="0" borderId="15" xfId="0" applyNumberFormat="1" applyFont="1" applyBorder="1">
      <alignment vertical="top"/>
    </xf>
    <xf numFmtId="0" fontId="21" fillId="0" borderId="15" xfId="0" applyNumberFormat="1" applyFont="1" applyBorder="1" applyAlignment="1">
      <alignment horizontal="center" vertical="center" wrapText="1"/>
    </xf>
    <xf numFmtId="0" fontId="21" fillId="0" borderId="15" xfId="0" applyNumberFormat="1" applyFont="1" applyBorder="1" applyAlignment="1">
      <alignment vertical="center" wrapText="1"/>
    </xf>
    <xf numFmtId="49" fontId="4" fillId="0" borderId="0" xfId="0" applyNumberFormat="1" applyFont="1">
      <alignment vertical="top"/>
    </xf>
    <xf numFmtId="49" fontId="0" fillId="0" borderId="15" xfId="0" applyNumberFormat="1" applyFont="1" applyBorder="1">
      <alignment vertical="top"/>
    </xf>
    <xf numFmtId="49" fontId="3" fillId="0" borderId="0" xfId="0" applyNumberFormat="1" applyFont="1">
      <alignment vertical="top"/>
    </xf>
    <xf numFmtId="49" fontId="3" fillId="0" borderId="0" xfId="0" applyNumberFormat="1" applyFont="1" applyAlignment="1">
      <alignment vertical="center" wrapText="1"/>
    </xf>
    <xf numFmtId="0" fontId="4" fillId="0" borderId="0" xfId="0" applyNumberFormat="1" applyFont="1" applyAlignment="1">
      <alignment vertical="center" wrapText="1"/>
    </xf>
    <xf numFmtId="0" fontId="3" fillId="6" borderId="0" xfId="0" applyNumberFormat="1" applyFont="1" applyFill="1" applyAlignment="1">
      <alignment vertical="center" wrapText="1"/>
    </xf>
    <xf numFmtId="49" fontId="13" fillId="8" borderId="6" xfId="0" applyNumberFormat="1" applyFont="1" applyFill="1" applyBorder="1" applyAlignment="1">
      <alignment horizontal="left" vertical="center" indent="4"/>
    </xf>
    <xf numFmtId="49" fontId="0" fillId="8" borderId="6" xfId="0" applyNumberFormat="1" applyFont="1" applyFill="1" applyBorder="1" applyAlignment="1">
      <alignment horizontal="center" vertical="center" wrapText="1"/>
    </xf>
    <xf numFmtId="49" fontId="3" fillId="8" borderId="6" xfId="0" applyNumberFormat="1" applyFont="1" applyFill="1" applyBorder="1" applyAlignment="1">
      <alignment horizontal="center" vertical="center" wrapText="1"/>
    </xf>
    <xf numFmtId="0" fontId="21" fillId="0" borderId="0" xfId="0" applyNumberFormat="1" applyFont="1" applyAlignment="1">
      <alignment vertical="center"/>
    </xf>
    <xf numFmtId="0" fontId="3" fillId="0" borderId="0" xfId="0" applyNumberFormat="1" applyFont="1" applyAlignment="1">
      <alignment vertical="top" wrapText="1"/>
    </xf>
    <xf numFmtId="49" fontId="3" fillId="0" borderId="3" xfId="0" applyNumberFormat="1" applyFont="1" applyBorder="1" applyAlignment="1">
      <alignment horizontal="right" vertical="top"/>
    </xf>
    <xf numFmtId="49" fontId="3" fillId="0" borderId="8" xfId="0" applyNumberFormat="1" applyFont="1" applyBorder="1" applyAlignment="1">
      <alignment horizontal="right" vertical="top"/>
    </xf>
    <xf numFmtId="49" fontId="13" fillId="8" borderId="6" xfId="0" applyNumberFormat="1" applyFont="1" applyFill="1" applyBorder="1" applyAlignment="1">
      <alignment horizontal="left" vertical="center" indent="3"/>
    </xf>
    <xf numFmtId="0" fontId="3" fillId="0" borderId="0" xfId="0" applyNumberFormat="1" applyFont="1" applyAlignment="1">
      <alignment vertical="center" wrapText="1"/>
    </xf>
    <xf numFmtId="49" fontId="12" fillId="0" borderId="0" xfId="0" applyNumberFormat="1" applyFont="1">
      <alignment vertical="top"/>
    </xf>
    <xf numFmtId="0" fontId="12" fillId="6" borderId="0" xfId="0" applyNumberFormat="1" applyFont="1" applyFill="1" applyAlignment="1">
      <alignment vertical="center" wrapText="1"/>
    </xf>
    <xf numFmtId="49" fontId="3" fillId="10" borderId="3" xfId="0" applyNumberFormat="1" applyFont="1" applyFill="1" applyBorder="1" applyAlignment="1" applyProtection="1">
      <alignment horizontal="left" vertical="center" wrapText="1"/>
      <protection locked="0"/>
    </xf>
    <xf numFmtId="49" fontId="3" fillId="7" borderId="3" xfId="0" applyNumberFormat="1" applyFont="1" applyFill="1" applyBorder="1" applyAlignment="1" applyProtection="1">
      <alignment horizontal="left" vertical="center" wrapText="1"/>
      <protection locked="0"/>
    </xf>
    <xf numFmtId="49" fontId="21" fillId="0" borderId="0" xfId="0" applyNumberFormat="1" applyFont="1">
      <alignment vertical="top"/>
    </xf>
    <xf numFmtId="49" fontId="21" fillId="0" borderId="0" xfId="0" applyNumberFormat="1" applyFont="1">
      <alignment vertical="top"/>
    </xf>
    <xf numFmtId="49" fontId="3"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3"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3" fillId="6" borderId="3" xfId="0" applyNumberFormat="1" applyFont="1" applyFill="1" applyBorder="1" applyAlignment="1">
      <alignment horizontal="center" vertical="center" wrapText="1"/>
    </xf>
    <xf numFmtId="0" fontId="9"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3" fillId="6" borderId="0" xfId="0" applyNumberFormat="1" applyFont="1" applyFill="1" applyAlignment="1">
      <alignment horizontal="center" vertical="center" wrapText="1"/>
    </xf>
    <xf numFmtId="0" fontId="23" fillId="0" borderId="0" xfId="0" applyNumberFormat="1" applyFont="1" applyAlignment="1">
      <alignment vertical="top" wrapText="1"/>
    </xf>
    <xf numFmtId="0" fontId="3"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3" fillId="0" borderId="0" xfId="0" applyNumberFormat="1" applyFont="1" applyAlignment="1">
      <alignment horizontal="left" vertical="center" wrapText="1" indent="4"/>
    </xf>
    <xf numFmtId="0" fontId="3" fillId="6" borderId="0" xfId="0" applyNumberFormat="1" applyFont="1" applyFill="1" applyAlignment="1">
      <alignment horizontal="center" vertical="center" wrapText="1"/>
    </xf>
    <xf numFmtId="49" fontId="13" fillId="8" borderId="6" xfId="0" applyNumberFormat="1" applyFont="1" applyFill="1" applyBorder="1" applyAlignment="1">
      <alignment horizontal="left" vertical="center"/>
    </xf>
    <xf numFmtId="0" fontId="3" fillId="0" borderId="10" xfId="0" applyNumberFormat="1" applyFont="1" applyBorder="1" applyAlignment="1">
      <alignment vertical="center" wrapText="1"/>
    </xf>
    <xf numFmtId="0" fontId="3" fillId="0" borderId="0" xfId="0" applyNumberFormat="1" applyFont="1" applyAlignment="1">
      <alignment horizontal="left" vertical="center" wrapText="1" indent="1"/>
    </xf>
    <xf numFmtId="0" fontId="44"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3"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3" fillId="0" borderId="10" xfId="0" applyNumberFormat="1" applyFont="1" applyBorder="1">
      <alignment vertical="top"/>
    </xf>
    <xf numFmtId="49" fontId="46" fillId="8" borderId="4" xfId="0" applyNumberFormat="1" applyFont="1" applyFill="1" applyBorder="1" applyAlignment="1">
      <alignment horizontal="left" vertical="center" indent="1"/>
    </xf>
    <xf numFmtId="49" fontId="46" fillId="8" borderId="6" xfId="0" applyNumberFormat="1" applyFont="1" applyFill="1" applyBorder="1" applyAlignment="1">
      <alignment horizontal="left" vertical="center" indent="1"/>
    </xf>
    <xf numFmtId="49" fontId="23" fillId="8" borderId="5" xfId="0" applyNumberFormat="1" applyFont="1" applyFill="1" applyBorder="1" applyAlignment="1">
      <alignment horizontal="center" vertical="center"/>
    </xf>
    <xf numFmtId="49" fontId="46"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5" fillId="0" borderId="0" xfId="0" applyNumberFormat="1" applyFont="1" applyAlignment="1">
      <alignment vertical="center" wrapText="1"/>
    </xf>
    <xf numFmtId="0" fontId="3" fillId="0" borderId="0" xfId="0" applyNumberFormat="1" applyFont="1" applyAlignment="1">
      <alignment vertical="center" wrapText="1"/>
    </xf>
    <xf numFmtId="0" fontId="6" fillId="6" borderId="0" xfId="0" applyNumberFormat="1" applyFont="1" applyFill="1" applyAlignment="1">
      <alignment vertical="center" wrapText="1"/>
    </xf>
    <xf numFmtId="0" fontId="4" fillId="0" borderId="0" xfId="0" applyNumberFormat="1" applyFont="1" applyAlignment="1">
      <alignment horizontal="center" vertical="center" wrapText="1"/>
    </xf>
    <xf numFmtId="0" fontId="0" fillId="0" borderId="0" xfId="0" applyNumberFormat="1" applyFont="1" applyAlignment="1">
      <alignment vertical="center" wrapText="1"/>
    </xf>
    <xf numFmtId="0" fontId="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3" fillId="8" borderId="6" xfId="0" applyNumberFormat="1" applyFont="1" applyFill="1" applyBorder="1" applyAlignment="1">
      <alignment horizontal="left" vertical="center" indent="1"/>
    </xf>
    <xf numFmtId="49" fontId="13" fillId="8" borderId="6" xfId="0" applyNumberFormat="1" applyFont="1" applyFill="1" applyBorder="1" applyAlignment="1">
      <alignment horizontal="left" vertical="center"/>
    </xf>
    <xf numFmtId="0" fontId="20" fillId="0" borderId="0" xfId="0" applyNumberFormat="1" applyFont="1" applyAlignment="1">
      <alignment vertical="center" wrapText="1"/>
    </xf>
    <xf numFmtId="49" fontId="21" fillId="0" borderId="0" xfId="0" applyNumberFormat="1" applyFont="1">
      <alignment vertical="top"/>
    </xf>
    <xf numFmtId="0" fontId="47" fillId="0" borderId="0" xfId="0" applyNumberFormat="1" applyFont="1" applyAlignment="1">
      <alignment vertical="center" wrapText="1"/>
    </xf>
    <xf numFmtId="49" fontId="23" fillId="8" borderId="5" xfId="0" applyNumberFormat="1" applyFont="1" applyFill="1" applyBorder="1" applyAlignment="1">
      <alignment horizontal="right" vertical="center" wrapText="1"/>
    </xf>
    <xf numFmtId="49" fontId="20"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3" fillId="0" borderId="0" xfId="0" applyNumberFormat="1" applyFont="1" applyAlignment="1">
      <alignment vertical="center" wrapText="1"/>
    </xf>
    <xf numFmtId="49" fontId="8" fillId="6" borderId="0" xfId="0" applyNumberFormat="1" applyFont="1" applyFill="1" applyAlignment="1">
      <alignment horizontal="center" vertical="center" wrapText="1"/>
    </xf>
    <xf numFmtId="0" fontId="9" fillId="6" borderId="0" xfId="0" applyNumberFormat="1" applyFont="1" applyFill="1" applyAlignment="1">
      <alignment horizontal="center" vertical="center" wrapText="1"/>
    </xf>
    <xf numFmtId="0" fontId="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18" fillId="0" borderId="0" xfId="0" applyNumberFormat="1" applyFont="1" applyAlignment="1">
      <alignment vertical="center" wrapText="1"/>
    </xf>
    <xf numFmtId="0" fontId="3"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3"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xf>
    <xf numFmtId="0" fontId="3" fillId="0" borderId="3" xfId="0" applyNumberFormat="1" applyFont="1" applyBorder="1" applyAlignment="1">
      <alignment horizontal="center" vertical="center" wrapText="1"/>
    </xf>
    <xf numFmtId="0" fontId="18" fillId="0" borderId="0" xfId="0" applyNumberFormat="1" applyFont="1" applyAlignment="1">
      <alignment vertical="top" wrapText="1"/>
    </xf>
    <xf numFmtId="0" fontId="3" fillId="8" borderId="5" xfId="0" applyNumberFormat="1" applyFont="1" applyFill="1" applyBorder="1" applyAlignment="1">
      <alignment horizontal="center"/>
    </xf>
    <xf numFmtId="0" fontId="46" fillId="8" borderId="6" xfId="0" applyNumberFormat="1" applyFont="1" applyFill="1" applyBorder="1" applyAlignment="1">
      <alignment horizontal="left" vertical="center"/>
    </xf>
    <xf numFmtId="0" fontId="46"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3" fillId="6" borderId="3" xfId="0" applyNumberFormat="1" applyFont="1" applyFill="1" applyBorder="1" applyAlignment="1">
      <alignment horizontal="center" vertical="center" wrapText="1"/>
    </xf>
    <xf numFmtId="0" fontId="3" fillId="6" borderId="3" xfId="0" applyNumberFormat="1" applyFont="1" applyFill="1" applyBorder="1" applyAlignment="1">
      <alignment horizontal="center" vertical="center" wrapText="1"/>
    </xf>
    <xf numFmtId="0" fontId="3" fillId="6" borderId="3" xfId="0" applyNumberFormat="1" applyFont="1" applyFill="1" applyBorder="1" applyAlignment="1">
      <alignment vertical="center" wrapText="1"/>
    </xf>
    <xf numFmtId="0" fontId="38" fillId="6" borderId="0" xfId="0" applyNumberFormat="1" applyFont="1" applyFill="1" applyAlignment="1"/>
    <xf numFmtId="0" fontId="25"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1" fillId="0" borderId="0" xfId="0" applyNumberFormat="1" applyFont="1" applyAlignment="1">
      <alignment vertical="center" wrapText="1"/>
    </xf>
    <xf numFmtId="49" fontId="3"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3" fillId="6" borderId="15" xfId="0" applyNumberFormat="1" applyFont="1" applyFill="1" applyBorder="1" applyAlignment="1">
      <alignment vertical="center" wrapText="1"/>
    </xf>
    <xf numFmtId="49" fontId="8" fillId="6" borderId="6" xfId="0" applyNumberFormat="1" applyFont="1" applyFill="1" applyBorder="1" applyAlignment="1">
      <alignment horizontal="center" vertical="center" wrapText="1"/>
    </xf>
    <xf numFmtId="0" fontId="21"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5" fillId="0" borderId="0" xfId="0" applyNumberFormat="1" applyFont="1" applyAlignment="1">
      <alignment vertical="center" wrapText="1"/>
    </xf>
    <xf numFmtId="49" fontId="45"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5" fillId="0" borderId="8" xfId="0" applyNumberFormat="1" applyFont="1" applyBorder="1" applyAlignment="1">
      <alignment horizontal="left" vertical="center" wrapText="1"/>
    </xf>
    <xf numFmtId="0" fontId="21" fillId="0" borderId="0" xfId="0" applyNumberFormat="1" applyFont="1" applyAlignment="1">
      <alignment vertical="center"/>
    </xf>
    <xf numFmtId="0" fontId="21" fillId="6" borderId="0" xfId="0" applyNumberFormat="1" applyFont="1" applyFill="1" applyAlignment="1"/>
    <xf numFmtId="0" fontId="21" fillId="6" borderId="0" xfId="0" applyNumberFormat="1" applyFont="1" applyFill="1" applyAlignment="1">
      <alignment vertical="center" wrapText="1"/>
    </xf>
    <xf numFmtId="0" fontId="21" fillId="0" borderId="0" xfId="0" applyNumberFormat="1" applyFont="1" applyAlignment="1">
      <alignment vertical="center" wrapText="1"/>
    </xf>
    <xf numFmtId="49" fontId="3" fillId="0" borderId="0" xfId="0" applyNumberFormat="1" applyFont="1">
      <alignment vertical="top"/>
    </xf>
    <xf numFmtId="0" fontId="3" fillId="0" borderId="0" xfId="0" applyNumberFormat="1" applyFont="1" applyAlignment="1">
      <alignment vertical="center" wrapText="1"/>
    </xf>
    <xf numFmtId="0" fontId="9" fillId="6" borderId="0" xfId="0" applyNumberFormat="1" applyFont="1" applyFill="1" applyAlignment="1">
      <alignment horizontal="center" vertical="center" wrapText="1"/>
    </xf>
    <xf numFmtId="0" fontId="15" fillId="0" borderId="0" xfId="0" applyNumberFormat="1" applyFont="1" applyAlignment="1">
      <alignment vertical="center" wrapText="1"/>
    </xf>
    <xf numFmtId="49" fontId="3" fillId="0" borderId="3" xfId="0" applyNumberFormat="1" applyFont="1" applyBorder="1" applyAlignment="1">
      <alignment horizontal="left" vertical="center" wrapText="1"/>
    </xf>
    <xf numFmtId="0" fontId="3" fillId="0" borderId="0" xfId="0" applyNumberFormat="1" applyFont="1" applyAlignment="1">
      <alignment vertical="center" wrapText="1"/>
    </xf>
    <xf numFmtId="49" fontId="21" fillId="0" borderId="0" xfId="0" applyNumberFormat="1" applyFont="1" applyAlignment="1">
      <alignment vertical="center" wrapText="1"/>
    </xf>
    <xf numFmtId="0" fontId="21" fillId="0" borderId="0" xfId="0" applyNumberFormat="1" applyFont="1" applyAlignment="1">
      <alignment vertical="center" wrapText="1"/>
    </xf>
    <xf numFmtId="0" fontId="3" fillId="0" borderId="3" xfId="0" applyNumberFormat="1" applyFont="1" applyBorder="1" applyAlignment="1">
      <alignment horizontal="center" vertical="center" wrapText="1"/>
    </xf>
    <xf numFmtId="14" fontId="3" fillId="8" borderId="6" xfId="0" applyNumberFormat="1" applyFont="1" applyFill="1" applyBorder="1" applyAlignment="1">
      <alignment horizontal="center" vertical="center" wrapText="1"/>
    </xf>
    <xf numFmtId="49" fontId="3"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1" fillId="0" borderId="0" xfId="0" applyNumberFormat="1" applyFont="1" applyAlignment="1">
      <alignment horizontal="left" vertical="center" wrapText="1"/>
    </xf>
    <xf numFmtId="49" fontId="21" fillId="0" borderId="0" xfId="0" applyNumberFormat="1" applyFont="1" applyAlignment="1">
      <alignment horizontal="left" vertical="center" wrapText="1"/>
    </xf>
    <xf numFmtId="0" fontId="21"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3" fillId="11" borderId="3" xfId="0" applyNumberFormat="1" applyFont="1" applyFill="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49" fontId="3"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9" fillId="0" borderId="0" xfId="0" applyNumberFormat="1" applyFont="1" applyAlignment="1">
      <alignment horizontal="center" vertical="center" wrapText="1"/>
    </xf>
    <xf numFmtId="49" fontId="3"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3" fillId="8" borderId="6" xfId="0" applyNumberFormat="1" applyFont="1" applyFill="1" applyBorder="1" applyAlignment="1">
      <alignment horizontal="center" vertical="center"/>
    </xf>
    <xf numFmtId="0" fontId="5" fillId="0" borderId="0" xfId="0" applyNumberFormat="1" applyFont="1" applyAlignment="1">
      <alignment vertical="center" wrapText="1"/>
    </xf>
    <xf numFmtId="0" fontId="4"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56" fillId="0" borderId="0" xfId="0" applyNumberFormat="1" applyFont="1" applyAlignment="1">
      <alignmen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vertical="center" wrapText="1"/>
    </xf>
    <xf numFmtId="49" fontId="3" fillId="0" borderId="0" xfId="0" applyNumberFormat="1" applyFont="1" applyAlignment="1">
      <alignment horizontal="center" vertical="top" wrapText="1"/>
    </xf>
    <xf numFmtId="49" fontId="3" fillId="0" borderId="3" xfId="0" applyNumberFormat="1" applyFont="1" applyBorder="1" applyAlignment="1">
      <alignment horizontal="center" vertical="center" wrapText="1"/>
    </xf>
    <xf numFmtId="49" fontId="3" fillId="10" borderId="3" xfId="0" applyNumberFormat="1" applyFont="1" applyFill="1" applyBorder="1" applyAlignment="1" applyProtection="1">
      <alignment vertical="center" wrapText="1"/>
      <protection locked="0"/>
    </xf>
    <xf numFmtId="4" fontId="3" fillId="7" borderId="3" xfId="0" applyNumberFormat="1" applyFont="1" applyFill="1" applyBorder="1" applyAlignment="1" applyProtection="1">
      <alignment horizontal="right" vertical="center" wrapText="1"/>
      <protection locked="0"/>
    </xf>
    <xf numFmtId="0" fontId="3"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3" fillId="7" borderId="3" xfId="0" applyNumberFormat="1" applyFont="1" applyFill="1" applyBorder="1" applyAlignment="1" applyProtection="1">
      <alignment horizontal="right" vertical="center" wrapText="1"/>
      <protection locked="0"/>
    </xf>
    <xf numFmtId="0" fontId="3" fillId="0" borderId="19" xfId="0" applyNumberFormat="1" applyFont="1" applyBorder="1" applyAlignment="1">
      <alignment horizontal="center" vertical="center" wrapText="1"/>
    </xf>
    <xf numFmtId="0" fontId="3" fillId="10" borderId="3" xfId="0" applyNumberFormat="1" applyFont="1" applyFill="1" applyBorder="1" applyAlignment="1" applyProtection="1">
      <alignment horizontal="left" vertical="center" wrapText="1" indent="2"/>
      <protection locked="0"/>
    </xf>
    <xf numFmtId="49" fontId="21" fillId="0" borderId="0" xfId="0" applyNumberFormat="1" applyFont="1" applyAlignment="1">
      <alignment horizontal="center" vertical="center" wrapText="1"/>
    </xf>
    <xf numFmtId="0" fontId="21" fillId="0" borderId="19" xfId="0" applyNumberFormat="1" applyFont="1" applyBorder="1" applyAlignment="1">
      <alignment horizontal="center" vertical="center" wrapText="1"/>
    </xf>
    <xf numFmtId="0" fontId="21" fillId="0" borderId="3" xfId="0" applyNumberFormat="1" applyFont="1" applyBorder="1" applyAlignment="1">
      <alignment horizontal="left" vertical="center" wrapText="1" indent="2"/>
    </xf>
    <xf numFmtId="0" fontId="21" fillId="0" borderId="3" xfId="0" applyNumberFormat="1" applyFont="1" applyBorder="1" applyAlignment="1">
      <alignment horizontal="center" vertical="center" wrapText="1"/>
    </xf>
    <xf numFmtId="0" fontId="21" fillId="0" borderId="3" xfId="0" applyNumberFormat="1" applyFont="1" applyBorder="1" applyAlignment="1">
      <alignment vertical="center" wrapText="1"/>
    </xf>
    <xf numFmtId="0" fontId="3" fillId="0" borderId="3" xfId="0" applyNumberFormat="1" applyFont="1" applyBorder="1" applyAlignment="1">
      <alignment horizontal="left" vertical="center" wrapText="1" indent="3"/>
    </xf>
    <xf numFmtId="49" fontId="3" fillId="10" borderId="3" xfId="0" applyNumberFormat="1" applyFont="1" applyFill="1" applyBorder="1" applyAlignment="1" applyProtection="1">
      <alignment horizontal="center" vertical="center" wrapText="1"/>
      <protection locked="0"/>
    </xf>
    <xf numFmtId="0" fontId="3" fillId="7" borderId="3" xfId="0" applyNumberFormat="1" applyFont="1" applyFill="1" applyBorder="1" applyAlignment="1" applyProtection="1">
      <alignment horizontal="left" vertical="center" wrapText="1"/>
      <protection locked="0"/>
    </xf>
    <xf numFmtId="0" fontId="19" fillId="0" borderId="0" xfId="0" applyNumberFormat="1" applyFont="1" applyAlignment="1">
      <alignment vertical="center" wrapText="1"/>
    </xf>
    <xf numFmtId="4" fontId="3" fillId="10" borderId="3" xfId="0" applyNumberFormat="1" applyFont="1" applyFill="1" applyBorder="1" applyAlignment="1" applyProtection="1">
      <alignment horizontal="right" vertical="center" wrapText="1"/>
      <protection locked="0"/>
    </xf>
    <xf numFmtId="4" fontId="3" fillId="5" borderId="3" xfId="0" applyNumberFormat="1" applyFont="1" applyFill="1" applyBorder="1" applyAlignment="1">
      <alignment horizontal="right" vertical="center" wrapText="1"/>
    </xf>
    <xf numFmtId="0" fontId="3" fillId="0" borderId="3" xfId="0" applyNumberFormat="1" applyFont="1" applyBorder="1" applyAlignment="1">
      <alignment horizontal="left" vertical="center" wrapText="1" indent="1"/>
    </xf>
    <xf numFmtId="49" fontId="45" fillId="0" borderId="0" xfId="0" applyNumberFormat="1" applyFont="1" applyAlignment="1">
      <alignment horizontal="center" vertical="center" wrapText="1"/>
    </xf>
    <xf numFmtId="49" fontId="45" fillId="0" borderId="19" xfId="0" applyNumberFormat="1" applyFont="1" applyBorder="1" applyAlignment="1">
      <alignment horizontal="center" vertical="center" wrapText="1"/>
    </xf>
    <xf numFmtId="0" fontId="45" fillId="0" borderId="3" xfId="0" applyNumberFormat="1" applyFont="1" applyBorder="1" applyAlignment="1">
      <alignment horizontal="left" vertical="center" wrapText="1" indent="2"/>
    </xf>
    <xf numFmtId="0" fontId="45" fillId="0" borderId="3" xfId="0" applyNumberFormat="1" applyFont="1" applyBorder="1" applyAlignment="1">
      <alignment horizontal="center" vertical="center" wrapText="1"/>
    </xf>
    <xf numFmtId="0" fontId="45"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5" fillId="0" borderId="19" xfId="0" applyNumberFormat="1" applyFont="1" applyBorder="1" applyAlignment="1">
      <alignment horizontal="center" vertical="center" wrapText="1"/>
    </xf>
    <xf numFmtId="0" fontId="45" fillId="0" borderId="3" xfId="0" applyNumberFormat="1" applyFont="1" applyBorder="1" applyAlignment="1">
      <alignment horizontal="left" vertical="center" wrapText="1" indent="3"/>
    </xf>
    <xf numFmtId="4" fontId="45" fillId="0" borderId="3" xfId="0" applyNumberFormat="1" applyFont="1" applyBorder="1" applyAlignment="1">
      <alignment horizontal="right" vertical="center" wrapText="1"/>
    </xf>
    <xf numFmtId="49" fontId="3" fillId="8" borderId="5" xfId="0" applyNumberFormat="1" applyFont="1" applyFill="1" applyBorder="1" applyAlignment="1">
      <alignment vertical="center" wrapText="1"/>
    </xf>
    <xf numFmtId="49" fontId="13" fillId="8" borderId="6" xfId="0" applyNumberFormat="1" applyFont="1" applyFill="1" applyBorder="1" applyAlignment="1">
      <alignment horizontal="left" vertical="center" indent="2"/>
    </xf>
    <xf numFmtId="0" fontId="3" fillId="8" borderId="6"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14" fontId="3" fillId="0" borderId="0" xfId="0" applyNumberFormat="1" applyFont="1" applyAlignment="1">
      <alignment horizontal="center" vertical="center" wrapText="1"/>
    </xf>
    <xf numFmtId="49" fontId="23" fillId="0" borderId="0" xfId="0" applyNumberFormat="1" applyFont="1" applyAlignment="1">
      <alignment horizontal="center" vertical="center"/>
    </xf>
    <xf numFmtId="0" fontId="3" fillId="0" borderId="3" xfId="0" applyNumberFormat="1" applyFont="1" applyBorder="1" applyAlignment="1">
      <alignment horizontal="left" vertical="center" wrapText="1" indent="2"/>
    </xf>
    <xf numFmtId="170" fontId="3" fillId="10" borderId="3" xfId="0" applyNumberFormat="1" applyFont="1" applyFill="1" applyBorder="1" applyAlignment="1" applyProtection="1">
      <alignment horizontal="right" vertical="center" wrapText="1"/>
      <protection locked="0"/>
    </xf>
    <xf numFmtId="0" fontId="3" fillId="0" borderId="8" xfId="0" applyNumberFormat="1" applyFont="1" applyBorder="1" applyAlignment="1">
      <alignment horizontal="center" vertical="center" wrapText="1"/>
    </xf>
    <xf numFmtId="4" fontId="3" fillId="5" borderId="8" xfId="0" applyNumberFormat="1" applyFont="1" applyFill="1" applyBorder="1" applyAlignment="1">
      <alignment horizontal="right" vertical="center" wrapText="1"/>
    </xf>
    <xf numFmtId="49" fontId="13" fillId="8" borderId="6" xfId="0" applyNumberFormat="1" applyFont="1" applyFill="1" applyBorder="1" applyAlignment="1">
      <alignment horizontal="left" vertical="center" indent="1"/>
    </xf>
    <xf numFmtId="0" fontId="3" fillId="0" borderId="0" xfId="0" applyNumberFormat="1" applyFont="1" applyAlignment="1">
      <alignment horizontal="left" vertical="center" wrapText="1"/>
    </xf>
    <xf numFmtId="0" fontId="3" fillId="0" borderId="0" xfId="0" applyNumberFormat="1" applyFont="1" applyAlignment="1">
      <alignment vertical="center"/>
    </xf>
    <xf numFmtId="0" fontId="20" fillId="0" borderId="0" xfId="0" applyNumberFormat="1" applyFont="1" applyAlignment="1">
      <alignment vertical="center"/>
    </xf>
    <xf numFmtId="0" fontId="3" fillId="0" borderId="0" xfId="0" applyNumberFormat="1" applyFont="1" applyAlignment="1">
      <alignment vertical="center"/>
    </xf>
    <xf numFmtId="0" fontId="59" fillId="0" borderId="0" xfId="0" applyNumberFormat="1" applyFont="1" applyAlignment="1">
      <alignment vertical="center"/>
    </xf>
    <xf numFmtId="0" fontId="3" fillId="0" borderId="0" xfId="0" applyNumberFormat="1" applyFont="1" applyAlignment="1">
      <alignment vertical="center" wrapText="1"/>
    </xf>
    <xf numFmtId="0" fontId="14"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xf>
    <xf numFmtId="0" fontId="3" fillId="0" borderId="0" xfId="0" applyNumberFormat="1" applyFont="1" applyAlignment="1">
      <alignment horizontal="center" vertical="center" wrapText="1"/>
    </xf>
    <xf numFmtId="49" fontId="8" fillId="0" borderId="0" xfId="0" applyNumberFormat="1" applyFont="1" applyAlignment="1">
      <alignment horizontal="center" vertical="center" wrapText="1"/>
    </xf>
    <xf numFmtId="49" fontId="8" fillId="0" borderId="3" xfId="0" applyNumberFormat="1" applyFont="1" applyBorder="1" applyAlignment="1">
      <alignment horizontal="center" vertical="center" wrapText="1"/>
    </xf>
    <xf numFmtId="0" fontId="20" fillId="0" borderId="0" xfId="0" applyNumberFormat="1" applyFont="1" applyAlignment="1">
      <alignment vertical="center"/>
    </xf>
    <xf numFmtId="0" fontId="21" fillId="0" borderId="0" xfId="0" applyNumberFormat="1" applyFont="1" applyAlignment="1">
      <alignment horizontal="center" vertical="center"/>
    </xf>
    <xf numFmtId="0" fontId="3" fillId="0" borderId="0" xfId="0" applyNumberFormat="1" applyFont="1" applyAlignment="1">
      <alignment horizontal="center" vertical="center" wrapText="1"/>
    </xf>
    <xf numFmtId="0" fontId="3" fillId="8" borderId="5" xfId="0" applyNumberFormat="1" applyFont="1" applyFill="1" applyBorder="1" applyAlignment="1">
      <alignment horizontal="center" vertical="center" wrapText="1"/>
    </xf>
    <xf numFmtId="49" fontId="3"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3"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20" fillId="0" borderId="0" xfId="0" applyNumberFormat="1" applyFont="1" applyAlignment="1">
      <alignment vertical="center"/>
    </xf>
    <xf numFmtId="0" fontId="47" fillId="0" borderId="0" xfId="0" applyNumberFormat="1" applyFont="1" applyAlignment="1">
      <alignment vertical="center"/>
    </xf>
    <xf numFmtId="49" fontId="13" fillId="8" borderId="4" xfId="0" applyNumberFormat="1" applyFont="1" applyFill="1" applyBorder="1" applyAlignment="1">
      <alignment horizontal="left" vertical="center" indent="1"/>
    </xf>
    <xf numFmtId="49" fontId="23"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4" fillId="0" borderId="0" xfId="0" applyNumberFormat="1" applyFont="1" applyAlignment="1">
      <alignment horizontal="center" vertical="center" wrapText="1"/>
    </xf>
    <xf numFmtId="0" fontId="21" fillId="0" borderId="0" xfId="0" applyNumberFormat="1" applyFont="1" applyAlignment="1">
      <alignment vertical="center" wrapText="1"/>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3" fillId="0" borderId="0" xfId="0" applyNumberFormat="1" applyFont="1" applyAlignment="1">
      <alignment horizontal="center" vertical="center" wrapText="1"/>
    </xf>
    <xf numFmtId="49" fontId="4" fillId="0" borderId="0" xfId="0" applyNumberFormat="1" applyFont="1" applyAlignment="1">
      <alignment horizontal="center" vertical="center" wrapText="1"/>
    </xf>
    <xf numFmtId="4" fontId="3" fillId="0" borderId="0" xfId="0" applyNumberFormat="1" applyFont="1" applyAlignment="1">
      <alignment horizontal="right" vertical="center" wrapText="1"/>
    </xf>
    <xf numFmtId="9" fontId="23" fillId="0" borderId="0" xfId="0" applyNumberFormat="1" applyFont="1" applyAlignment="1">
      <alignment horizontal="center" vertical="center" wrapText="1"/>
    </xf>
    <xf numFmtId="0" fontId="44" fillId="0" borderId="0" xfId="0" applyNumberFormat="1" applyFont="1" applyAlignment="1">
      <alignment vertical="center" wrapText="1"/>
    </xf>
    <xf numFmtId="0" fontId="21" fillId="0" borderId="0" xfId="0" applyNumberFormat="1" applyFont="1" applyAlignment="1">
      <alignment vertical="center" wrapText="1"/>
    </xf>
    <xf numFmtId="0" fontId="4"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21" fillId="0" borderId="0" xfId="0" applyNumberFormat="1" applyFont="1">
      <alignment vertical="top"/>
    </xf>
    <xf numFmtId="49" fontId="20" fillId="0" borderId="0" xfId="0" applyNumberFormat="1" applyFont="1">
      <alignment vertical="top"/>
    </xf>
    <xf numFmtId="49" fontId="21" fillId="0" borderId="0" xfId="0" applyNumberFormat="1" applyFont="1">
      <alignment vertical="top"/>
    </xf>
    <xf numFmtId="49" fontId="20" fillId="0" borderId="0" xfId="0" applyNumberFormat="1" applyFont="1">
      <alignment vertical="top"/>
    </xf>
    <xf numFmtId="49" fontId="20" fillId="0" borderId="0" xfId="0" applyNumberFormat="1" applyFont="1">
      <alignment vertical="top"/>
    </xf>
    <xf numFmtId="0" fontId="20"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20"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0" fontId="21" fillId="0" borderId="3" xfId="0" applyNumberFormat="1" applyFont="1" applyBorder="1" applyAlignment="1">
      <alignment horizontal="left" vertical="center" wrapText="1"/>
    </xf>
    <xf numFmtId="0" fontId="21"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20"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3" fillId="8" borderId="6" xfId="0" applyNumberFormat="1" applyFont="1" applyFill="1" applyBorder="1" applyAlignment="1">
      <alignment horizontal="left" vertical="center"/>
    </xf>
    <xf numFmtId="49" fontId="13" fillId="8" borderId="4" xfId="0" applyNumberFormat="1" applyFont="1" applyFill="1" applyBorder="1" applyAlignment="1">
      <alignment horizontal="left" vertical="center" indent="1"/>
    </xf>
    <xf numFmtId="49" fontId="13" fillId="8" borderId="5" xfId="0" applyNumberFormat="1" applyFont="1" applyFill="1" applyBorder="1" applyAlignment="1">
      <alignment horizontal="left" vertical="center"/>
    </xf>
    <xf numFmtId="49" fontId="13" fillId="8" borderId="6" xfId="0" applyNumberFormat="1" applyFont="1" applyFill="1" applyBorder="1" applyAlignment="1">
      <alignment horizontal="left" vertical="center" indent="1"/>
    </xf>
    <xf numFmtId="49" fontId="13" fillId="8" borderId="6" xfId="0" applyNumberFormat="1" applyFont="1" applyFill="1" applyBorder="1" applyAlignment="1">
      <alignment horizontal="left" vertical="center"/>
    </xf>
    <xf numFmtId="49" fontId="13" fillId="8" borderId="4" xfId="0" applyNumberFormat="1" applyFont="1" applyFill="1" applyBorder="1" applyAlignment="1">
      <alignment horizontal="left" vertical="center" indent="1"/>
    </xf>
    <xf numFmtId="0" fontId="13" fillId="0" borderId="3" xfId="0" applyNumberFormat="1" applyFont="1" applyBorder="1" applyAlignment="1">
      <alignment horizontal="left" vertical="center" indent="1"/>
    </xf>
    <xf numFmtId="0" fontId="3" fillId="0" borderId="0" xfId="0" applyNumberFormat="1" applyFont="1" applyAlignment="1">
      <alignment horizontal="right" vertical="center" wrapText="1"/>
    </xf>
    <xf numFmtId="0" fontId="0" fillId="0" borderId="0" xfId="0" applyNumberFormat="1" applyFont="1" applyAlignment="1">
      <alignment vertical="center"/>
    </xf>
    <xf numFmtId="0" fontId="18" fillId="0" borderId="0" xfId="0" applyNumberFormat="1" applyFont="1" applyAlignment="1">
      <alignment horizontal="right" vertical="top" wrapText="1"/>
    </xf>
    <xf numFmtId="0" fontId="3" fillId="0" borderId="0" xfId="0" applyNumberFormat="1" applyFont="1" applyAlignment="1">
      <alignment vertical="top" wrapText="1"/>
    </xf>
    <xf numFmtId="0" fontId="3" fillId="0" borderId="0" xfId="0" applyNumberFormat="1" applyFont="1" applyAlignment="1">
      <alignment horizontal="left" vertical="top" wrapText="1"/>
    </xf>
    <xf numFmtId="0" fontId="8" fillId="0" borderId="0" xfId="0" applyNumberFormat="1" applyFont="1" applyAlignment="1">
      <alignment horizontal="center" vertical="center" wrapText="1"/>
    </xf>
    <xf numFmtId="4" fontId="3"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3" fillId="10" borderId="3" xfId="0" applyNumberFormat="1" applyFont="1" applyFill="1" applyBorder="1" applyAlignment="1" applyProtection="1">
      <alignment horizontal="left" vertical="center" wrapText="1"/>
      <protection locked="0"/>
    </xf>
    <xf numFmtId="0" fontId="18" fillId="0" borderId="0" xfId="0" applyNumberFormat="1" applyFont="1">
      <alignment vertical="top"/>
    </xf>
    <xf numFmtId="49" fontId="3" fillId="0" borderId="22" xfId="0" applyNumberFormat="1" applyFont="1" applyBorder="1" applyAlignment="1">
      <alignment horizontal="center" vertical="center" wrapText="1"/>
    </xf>
    <xf numFmtId="0" fontId="3" fillId="0" borderId="22" xfId="0" applyNumberFormat="1" applyFont="1" applyBorder="1" applyAlignment="1">
      <alignment horizontal="left" vertical="center" wrapText="1"/>
    </xf>
    <xf numFmtId="0" fontId="3" fillId="0" borderId="22" xfId="0" applyNumberFormat="1" applyFont="1" applyBorder="1" applyAlignment="1">
      <alignment horizontal="left" vertical="center" wrapText="1" indent="1"/>
    </xf>
    <xf numFmtId="4" fontId="3" fillId="10" borderId="22" xfId="0" applyNumberFormat="1" applyFont="1" applyFill="1" applyBorder="1" applyAlignment="1" applyProtection="1">
      <alignment horizontal="right" vertical="center" wrapText="1"/>
      <protection locked="0"/>
    </xf>
    <xf numFmtId="49" fontId="3" fillId="0" borderId="23" xfId="0" applyNumberFormat="1" applyFont="1" applyBorder="1" applyAlignment="1">
      <alignment horizontal="center" vertical="center" wrapText="1"/>
    </xf>
    <xf numFmtId="49" fontId="3" fillId="10" borderId="3" xfId="0" applyNumberFormat="1" applyFont="1" applyFill="1" applyBorder="1" applyAlignment="1" applyProtection="1">
      <alignment horizontal="left" vertical="center" wrapText="1" indent="1"/>
      <protection locked="0"/>
    </xf>
    <xf numFmtId="0" fontId="3" fillId="0" borderId="22" xfId="0" applyNumberFormat="1" applyFont="1" applyBorder="1" applyAlignment="1">
      <alignment horizontal="left" vertical="center" wrapText="1" indent="2"/>
    </xf>
    <xf numFmtId="0" fontId="20" fillId="0" borderId="0" xfId="0" applyNumberFormat="1" applyFont="1" applyAlignment="1">
      <alignment horizontal="center" vertical="center" wrapText="1"/>
    </xf>
    <xf numFmtId="49" fontId="3"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3" fillId="0" borderId="0" xfId="0" applyNumberFormat="1" applyFont="1" applyAlignment="1">
      <alignment horizontal="left" vertical="center" wrapText="1"/>
    </xf>
    <xf numFmtId="0" fontId="3" fillId="0" borderId="3" xfId="0" applyNumberFormat="1" applyFont="1" applyBorder="1" applyAlignment="1">
      <alignment horizontal="left" vertical="center" wrapText="1"/>
    </xf>
    <xf numFmtId="3" fontId="3" fillId="0" borderId="5" xfId="0" applyNumberFormat="1" applyFont="1" applyBorder="1" applyAlignment="1">
      <alignment vertical="center" wrapText="1"/>
    </xf>
    <xf numFmtId="0" fontId="3" fillId="0" borderId="4" xfId="0" applyNumberFormat="1" applyFont="1" applyBorder="1" applyAlignment="1">
      <alignment vertical="center" wrapText="1"/>
    </xf>
    <xf numFmtId="4" fontId="3" fillId="7" borderId="5" xfId="0" applyNumberFormat="1" applyFont="1" applyFill="1" applyBorder="1" applyAlignment="1" applyProtection="1">
      <alignment horizontal="right" vertical="center" wrapText="1"/>
      <protection locked="0"/>
    </xf>
    <xf numFmtId="4" fontId="3" fillId="0" borderId="5" xfId="0" applyNumberFormat="1" applyFont="1" applyBorder="1" applyAlignment="1">
      <alignment horizontal="right" vertical="center" wrapText="1"/>
    </xf>
    <xf numFmtId="4" fontId="3" fillId="0" borderId="21" xfId="0" applyNumberFormat="1" applyFont="1" applyBorder="1" applyAlignment="1">
      <alignment horizontal="right" vertical="center" wrapText="1"/>
    </xf>
    <xf numFmtId="0" fontId="3" fillId="0" borderId="5" xfId="0" applyNumberFormat="1" applyFont="1" applyBorder="1" applyAlignment="1">
      <alignment horizontal="center" vertical="center" wrapText="1"/>
    </xf>
    <xf numFmtId="3" fontId="3" fillId="10" borderId="5" xfId="0" applyNumberFormat="1" applyFont="1" applyFill="1" applyBorder="1" applyAlignment="1" applyProtection="1">
      <alignment vertical="center" wrapText="1"/>
      <protection locked="0"/>
    </xf>
    <xf numFmtId="49" fontId="3" fillId="7" borderId="5" xfId="0" applyNumberFormat="1" applyFont="1" applyFill="1" applyBorder="1" applyAlignment="1" applyProtection="1">
      <alignment horizontal="left" vertical="center" wrapText="1"/>
      <protection locked="0"/>
    </xf>
    <xf numFmtId="4" fontId="3" fillId="5" borderId="5" xfId="0" applyNumberFormat="1" applyFont="1" applyFill="1" applyBorder="1" applyAlignment="1">
      <alignment horizontal="right" vertical="center" wrapText="1"/>
    </xf>
    <xf numFmtId="0" fontId="3"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3"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3" fillId="8" borderId="10" xfId="0" applyNumberFormat="1" applyFont="1" applyFill="1" applyBorder="1" applyAlignment="1">
      <alignment vertical="center" wrapText="1"/>
    </xf>
    <xf numFmtId="0" fontId="3" fillId="0" borderId="6" xfId="0" applyNumberFormat="1" applyFont="1" applyBorder="1" applyAlignment="1">
      <alignment horizontal="center" vertical="center" wrapText="1"/>
    </xf>
    <xf numFmtId="0" fontId="3" fillId="8" borderId="18" xfId="0" applyNumberFormat="1" applyFont="1" applyFill="1" applyBorder="1" applyAlignment="1">
      <alignment vertical="center" wrapText="1"/>
    </xf>
    <xf numFmtId="49" fontId="3"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3" fillId="0" borderId="3" xfId="0" applyNumberFormat="1" applyFont="1" applyBorder="1" applyAlignment="1">
      <alignment horizontal="center" vertical="center" wrapText="1"/>
    </xf>
    <xf numFmtId="49" fontId="20"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0" fontId="20" fillId="0" borderId="0" xfId="0" applyNumberFormat="1" applyFont="1" applyAlignment="1">
      <alignment horizontal="center" vertical="top"/>
    </xf>
    <xf numFmtId="0" fontId="3" fillId="0" borderId="3" xfId="0" applyNumberFormat="1" applyFont="1" applyBorder="1" applyAlignment="1">
      <alignment horizontal="left" vertical="center" wrapText="1"/>
    </xf>
    <xf numFmtId="0" fontId="21" fillId="0" borderId="0" xfId="0" applyNumberFormat="1" applyFont="1" applyAlignment="1">
      <alignment horizontal="center" vertical="center" wrapText="1"/>
    </xf>
    <xf numFmtId="0" fontId="3" fillId="0" borderId="3" xfId="0" applyNumberFormat="1" applyFont="1" applyBorder="1" applyAlignment="1">
      <alignment horizontal="left" vertical="center" wrapText="1"/>
    </xf>
    <xf numFmtId="49" fontId="3" fillId="11" borderId="3" xfId="0" applyNumberFormat="1" applyFont="1" applyFill="1" applyBorder="1" applyAlignment="1">
      <alignment horizontal="left" vertical="center" wrapText="1" indent="1"/>
    </xf>
    <xf numFmtId="0" fontId="3" fillId="0" borderId="5" xfId="0" applyNumberFormat="1" applyFont="1" applyBorder="1" applyAlignment="1">
      <alignment vertical="center" wrapText="1"/>
    </xf>
    <xf numFmtId="0" fontId="3"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1" fillId="0" borderId="13" xfId="0" applyNumberFormat="1" applyFont="1" applyBorder="1">
      <alignment vertical="top"/>
    </xf>
    <xf numFmtId="49" fontId="21" fillId="0" borderId="13" xfId="0" applyNumberFormat="1" applyFont="1" applyBorder="1">
      <alignment vertical="top"/>
    </xf>
    <xf numFmtId="0" fontId="21" fillId="0" borderId="13" xfId="0" applyNumberFormat="1" applyFont="1" applyBorder="1" applyAlignment="1">
      <alignment vertical="center" wrapText="1"/>
    </xf>
    <xf numFmtId="0" fontId="3" fillId="0" borderId="4" xfId="0" applyNumberFormat="1" applyFont="1" applyBorder="1" applyAlignment="1">
      <alignment horizontal="left" vertical="center" wrapText="1" indent="1"/>
    </xf>
    <xf numFmtId="0" fontId="44" fillId="0" borderId="13" xfId="0" applyNumberFormat="1" applyFont="1" applyBorder="1" applyAlignment="1">
      <alignment vertical="center" wrapText="1"/>
    </xf>
    <xf numFmtId="4" fontId="3" fillId="0" borderId="22" xfId="0" applyNumberFormat="1" applyFont="1" applyBorder="1" applyAlignment="1">
      <alignment horizontal="center" vertical="center" wrapText="1"/>
    </xf>
    <xf numFmtId="0" fontId="3" fillId="0" borderId="24" xfId="0" applyNumberFormat="1" applyFont="1" applyBorder="1" applyAlignment="1">
      <alignment horizontal="left" vertical="center" wrapText="1"/>
    </xf>
    <xf numFmtId="0" fontId="3" fillId="0" borderId="24" xfId="0" applyNumberFormat="1" applyFont="1" applyBorder="1" applyAlignment="1">
      <alignment horizontal="left" vertical="center" wrapText="1" indent="1"/>
    </xf>
    <xf numFmtId="4" fontId="3" fillId="10" borderId="24" xfId="0" applyNumberFormat="1" applyFont="1" applyFill="1" applyBorder="1" applyAlignment="1" applyProtection="1">
      <alignment horizontal="right" vertical="center" wrapText="1"/>
      <protection locked="0"/>
    </xf>
    <xf numFmtId="4" fontId="3" fillId="0" borderId="24" xfId="0" applyNumberFormat="1" applyFont="1" applyBorder="1" applyAlignment="1">
      <alignment horizontal="center" vertical="center" wrapText="1"/>
    </xf>
    <xf numFmtId="49" fontId="3" fillId="0" borderId="25" xfId="0" applyNumberFormat="1" applyFont="1" applyBorder="1" applyAlignment="1">
      <alignment horizontal="center" vertical="center" wrapText="1"/>
    </xf>
    <xf numFmtId="4" fontId="3" fillId="10" borderId="5" xfId="0" applyNumberFormat="1" applyFont="1" applyFill="1" applyBorder="1" applyAlignment="1" applyProtection="1">
      <alignment horizontal="right" vertical="center" wrapText="1"/>
      <protection locked="0"/>
    </xf>
    <xf numFmtId="4" fontId="3" fillId="10" borderId="25" xfId="0" applyNumberFormat="1" applyFont="1" applyFill="1" applyBorder="1" applyAlignment="1" applyProtection="1">
      <alignment horizontal="right" vertical="center" wrapText="1"/>
      <protection locked="0"/>
    </xf>
    <xf numFmtId="0" fontId="20" fillId="0" borderId="0" xfId="0" applyNumberFormat="1" applyFont="1" applyAlignment="1">
      <alignment horizontal="left" vertical="center" wrapText="1"/>
    </xf>
    <xf numFmtId="0" fontId="21"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4" fillId="0" borderId="0" xfId="0" applyNumberFormat="1" applyFont="1" applyAlignment="1">
      <alignment horizontal="left" vertical="center" wrapText="1"/>
    </xf>
    <xf numFmtId="49" fontId="3" fillId="0" borderId="0" xfId="0" applyNumberFormat="1" applyFont="1" applyAlignment="1">
      <alignment horizontal="center" vertical="center" wrapText="1"/>
    </xf>
    <xf numFmtId="0" fontId="57" fillId="0" borderId="0" xfId="0" applyNumberFormat="1" applyFont="1" applyAlignment="1">
      <alignment vertical="center" wrapText="1"/>
    </xf>
    <xf numFmtId="0" fontId="21" fillId="0" borderId="0" xfId="0" applyNumberFormat="1" applyFont="1" applyAlignment="1">
      <alignment vertical="center" wrapText="1"/>
    </xf>
    <xf numFmtId="0" fontId="27" fillId="0" borderId="0" xfId="0" applyNumberFormat="1" applyFont="1" applyAlignment="1">
      <alignment vertical="center" wrapText="1"/>
    </xf>
    <xf numFmtId="0" fontId="4" fillId="0" borderId="0" xfId="0" applyNumberFormat="1" applyFont="1" applyAlignment="1">
      <alignment vertical="center" wrapText="1"/>
    </xf>
    <xf numFmtId="49" fontId="23" fillId="0" borderId="0" xfId="0" applyNumberFormat="1" applyFont="1" applyAlignment="1">
      <alignment horizontal="center" vertical="center"/>
    </xf>
    <xf numFmtId="4" fontId="3" fillId="0" borderId="26" xfId="0" applyNumberFormat="1" applyFont="1" applyBorder="1" applyAlignment="1">
      <alignment horizontal="center" vertical="center" wrapText="1"/>
    </xf>
    <xf numFmtId="4" fontId="3" fillId="10" borderId="26" xfId="0" applyNumberFormat="1" applyFont="1" applyFill="1" applyBorder="1" applyAlignment="1" applyProtection="1">
      <alignment horizontal="right" vertical="center" wrapText="1"/>
      <protection locked="0"/>
    </xf>
    <xf numFmtId="4" fontId="3" fillId="10" borderId="14" xfId="0" applyNumberFormat="1" applyFont="1" applyFill="1" applyBorder="1" applyAlignment="1" applyProtection="1">
      <alignment horizontal="right" vertical="center" wrapText="1"/>
      <protection locked="0"/>
    </xf>
    <xf numFmtId="49" fontId="3" fillId="0" borderId="24" xfId="0" applyNumberFormat="1" applyFont="1" applyBorder="1" applyAlignment="1">
      <alignment horizontal="center" vertical="center" wrapText="1"/>
    </xf>
    <xf numFmtId="0" fontId="3" fillId="0" borderId="26" xfId="0" applyNumberFormat="1" applyFont="1" applyBorder="1" applyAlignment="1">
      <alignment horizontal="left" vertical="center" wrapText="1"/>
    </xf>
    <xf numFmtId="0" fontId="3" fillId="0" borderId="11" xfId="0" applyNumberFormat="1" applyFont="1" applyBorder="1" applyAlignment="1">
      <alignment vertical="center" wrapText="1"/>
    </xf>
    <xf numFmtId="0" fontId="9" fillId="0" borderId="0" xfId="0" applyNumberFormat="1" applyFont="1" applyAlignment="1">
      <alignment horizontal="center" vertical="center" wrapText="1"/>
    </xf>
    <xf numFmtId="0" fontId="3" fillId="8" borderId="6"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170" fontId="3" fillId="5" borderId="3" xfId="0" applyNumberFormat="1" applyFont="1" applyFill="1" applyBorder="1" applyAlignment="1">
      <alignment horizontal="right" vertical="center" wrapText="1"/>
    </xf>
    <xf numFmtId="4" fontId="3" fillId="7" borderId="3" xfId="0" applyNumberFormat="1" applyFont="1" applyFill="1" applyBorder="1" applyAlignment="1" applyProtection="1">
      <alignment horizontal="right" vertical="center" wrapText="1"/>
      <protection locked="0"/>
    </xf>
    <xf numFmtId="0" fontId="46" fillId="6" borderId="0" xfId="0" applyNumberFormat="1" applyFont="1" applyFill="1" applyAlignment="1">
      <alignment horizontal="right" vertical="center"/>
    </xf>
    <xf numFmtId="49" fontId="0" fillId="0" borderId="3" xfId="0" applyNumberFormat="1" applyFont="1" applyBorder="1">
      <alignment vertical="top"/>
    </xf>
    <xf numFmtId="0" fontId="3" fillId="0" borderId="5" xfId="0" applyNumberFormat="1" applyFont="1" applyBorder="1" applyAlignment="1">
      <alignment horizontal="center" vertical="center" wrapText="1"/>
    </xf>
    <xf numFmtId="49" fontId="0" fillId="4" borderId="8" xfId="0" applyNumberFormat="1" applyFont="1" applyFill="1" applyBorder="1">
      <alignment vertical="top"/>
    </xf>
    <xf numFmtId="0" fontId="3" fillId="0" borderId="0" xfId="0" applyNumberFormat="1" applyFont="1" applyAlignment="1">
      <alignment vertical="center" wrapText="1"/>
    </xf>
    <xf numFmtId="0" fontId="4" fillId="0" borderId="0" xfId="0" applyNumberFormat="1" applyFont="1" applyAlignment="1">
      <alignment vertical="center" wrapText="1"/>
    </xf>
    <xf numFmtId="0" fontId="3" fillId="0" borderId="3"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49" fontId="3" fillId="0" borderId="0" xfId="0" applyNumberFormat="1" applyFont="1" applyAlignment="1">
      <alignment vertical="center" wrapText="1"/>
    </xf>
    <xf numFmtId="0" fontId="3"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0" fontId="3" fillId="0" borderId="0" xfId="0" applyNumberFormat="1" applyFont="1" applyAlignment="1">
      <alignment horizontal="center" vertical="center" wrapText="1"/>
    </xf>
    <xf numFmtId="0" fontId="23"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3" fillId="6" borderId="0" xfId="0" applyNumberFormat="1" applyFont="1" applyFill="1" applyAlignment="1">
      <alignment horizontal="center" vertical="center" wrapText="1"/>
    </xf>
    <xf numFmtId="168" fontId="3" fillId="0" borderId="5" xfId="0" applyNumberFormat="1" applyFont="1" applyBorder="1" applyAlignment="1">
      <alignment horizontal="center" vertical="center" wrapText="1"/>
    </xf>
    <xf numFmtId="49" fontId="8" fillId="0" borderId="6" xfId="0"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3" fillId="0" borderId="14" xfId="0" applyNumberFormat="1" applyFont="1" applyBorder="1" applyAlignment="1">
      <alignment horizontal="center" vertical="center" wrapText="1"/>
    </xf>
    <xf numFmtId="0" fontId="9"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1" fillId="0" borderId="0" xfId="0" applyNumberFormat="1" applyFont="1" applyAlignment="1">
      <alignment vertical="center"/>
    </xf>
    <xf numFmtId="49" fontId="3" fillId="8" borderId="10" xfId="0" applyNumberFormat="1" applyFont="1" applyFill="1" applyBorder="1" applyAlignment="1">
      <alignment horizontal="center" vertical="center" wrapText="1"/>
    </xf>
    <xf numFmtId="49" fontId="3" fillId="5" borderId="14" xfId="0" applyNumberFormat="1" applyFont="1" applyFill="1" applyBorder="1" applyAlignment="1">
      <alignment horizontal="center" vertical="center" wrapText="1"/>
    </xf>
    <xf numFmtId="49" fontId="20" fillId="0" borderId="3" xfId="0" applyNumberFormat="1" applyFont="1" applyBorder="1" applyAlignment="1">
      <alignment horizontal="left" vertical="center" wrapText="1"/>
    </xf>
    <xf numFmtId="14" fontId="3" fillId="11" borderId="14" xfId="0" applyNumberFormat="1" applyFont="1" applyFill="1" applyBorder="1" applyAlignment="1">
      <alignment horizontal="left" vertical="center" wrapText="1" indent="1"/>
    </xf>
    <xf numFmtId="49" fontId="3" fillId="8" borderId="5" xfId="0" applyNumberFormat="1" applyFont="1" applyFill="1" applyBorder="1" applyAlignment="1">
      <alignment horizontal="right" vertical="center" wrapText="1"/>
    </xf>
    <xf numFmtId="0" fontId="21" fillId="0" borderId="14" xfId="0" applyNumberFormat="1" applyFont="1" applyBorder="1" applyAlignment="1">
      <alignment horizontal="center" vertical="center" wrapText="1"/>
    </xf>
    <xf numFmtId="49" fontId="3" fillId="0" borderId="4" xfId="0" applyNumberFormat="1" applyFont="1" applyBorder="1" applyAlignment="1">
      <alignment horizontal="center" vertical="top"/>
    </xf>
    <xf numFmtId="49" fontId="3" fillId="0" borderId="3" xfId="0" applyNumberFormat="1" applyFont="1" applyBorder="1" applyAlignment="1">
      <alignment horizontal="center" vertical="top"/>
    </xf>
    <xf numFmtId="0" fontId="3" fillId="0" borderId="14" xfId="0" applyNumberFormat="1" applyFont="1" applyBorder="1" applyAlignment="1">
      <alignment horizontal="center" vertical="center" wrapText="1"/>
    </xf>
    <xf numFmtId="49" fontId="3" fillId="0" borderId="5" xfId="0" applyNumberFormat="1" applyFont="1" applyBorder="1" applyAlignment="1">
      <alignment horizontal="center" vertical="top"/>
    </xf>
    <xf numFmtId="0" fontId="8" fillId="0" borderId="15" xfId="0" applyNumberFormat="1" applyFont="1" applyBorder="1" applyAlignment="1">
      <alignment vertical="top" wrapText="1"/>
    </xf>
    <xf numFmtId="0" fontId="8" fillId="0" borderId="0" xfId="0" applyNumberFormat="1" applyFont="1" applyAlignment="1">
      <alignment vertical="top" wrapText="1"/>
    </xf>
    <xf numFmtId="0" fontId="21" fillId="0" borderId="3"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1" fillId="0" borderId="3" xfId="0" applyNumberFormat="1" applyFont="1" applyBorder="1" applyAlignment="1">
      <alignment horizontal="center" vertical="center"/>
    </xf>
    <xf numFmtId="0" fontId="3" fillId="0" borderId="3" xfId="0"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0" fontId="3" fillId="0" borderId="5"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20" fillId="0" borderId="13" xfId="0" applyNumberFormat="1" applyFont="1" applyBorder="1" applyAlignment="1">
      <alignment vertical="center"/>
    </xf>
    <xf numFmtId="0" fontId="3" fillId="0" borderId="4" xfId="0" applyNumberFormat="1" applyFont="1" applyBorder="1" applyAlignment="1">
      <alignment horizontal="center" vertical="center" wrapText="1"/>
    </xf>
    <xf numFmtId="49" fontId="3" fillId="11" borderId="3" xfId="0" applyNumberFormat="1" applyFont="1" applyFill="1" applyBorder="1" applyAlignment="1">
      <alignment horizontal="center" vertical="center" wrapText="1"/>
    </xf>
    <xf numFmtId="0" fontId="3" fillId="0" borderId="3" xfId="0" applyNumberFormat="1" applyFont="1" applyBorder="1" applyAlignment="1">
      <alignment horizontal="center" vertical="center" wrapText="1"/>
    </xf>
    <xf numFmtId="0" fontId="3" fillId="5" borderId="5" xfId="0" applyNumberFormat="1" applyFont="1" applyFill="1" applyBorder="1" applyAlignment="1">
      <alignment horizontal="left" vertical="top" wrapText="1" indent="1"/>
    </xf>
    <xf numFmtId="3" fontId="3"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3" fillId="0" borderId="4"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9" fillId="6" borderId="0" xfId="0" applyNumberFormat="1" applyFont="1" applyFill="1" applyAlignment="1">
      <alignment horizontal="center" vertical="center" wrapText="1"/>
    </xf>
    <xf numFmtId="0" fontId="3"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8" fillId="6" borderId="6" xfId="0" applyNumberFormat="1" applyFont="1" applyFill="1" applyBorder="1" applyAlignment="1">
      <alignment horizontal="center" vertical="center" wrapText="1"/>
    </xf>
    <xf numFmtId="0" fontId="3"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20"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3" fillId="0" borderId="0" xfId="0" applyNumberFormat="1" applyFont="1">
      <alignment vertical="top"/>
    </xf>
    <xf numFmtId="0" fontId="3" fillId="0" borderId="3" xfId="0" applyNumberFormat="1" applyFont="1" applyBorder="1" applyAlignment="1">
      <alignment horizontal="left" vertical="top" wrapText="1"/>
    </xf>
    <xf numFmtId="49" fontId="64" fillId="12" borderId="3" xfId="0" applyNumberFormat="1" applyFont="1" applyFill="1" applyBorder="1" applyAlignment="1">
      <alignment horizontal="center"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3" fillId="0" borderId="0" xfId="0" applyNumberFormat="1" applyFont="1" applyAlignment="1">
      <alignment vertical="center" wrapText="1"/>
    </xf>
    <xf numFmtId="0" fontId="19"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3" fillId="11" borderId="5" xfId="0" applyNumberFormat="1" applyFont="1" applyFill="1" applyBorder="1" applyAlignment="1">
      <alignment horizontal="left" vertical="center" wrapText="1"/>
    </xf>
    <xf numFmtId="49" fontId="8" fillId="6" borderId="3" xfId="0" applyNumberFormat="1" applyFont="1" applyFill="1" applyBorder="1" applyAlignment="1">
      <alignment horizontal="center" vertical="center" wrapText="1"/>
    </xf>
    <xf numFmtId="49" fontId="46" fillId="8" borderId="4" xfId="0" applyNumberFormat="1" applyFont="1" applyFill="1" applyBorder="1" applyAlignment="1">
      <alignment vertical="center"/>
    </xf>
    <xf numFmtId="49" fontId="3" fillId="6" borderId="0" xfId="0" applyNumberFormat="1" applyFont="1" applyFill="1" applyAlignment="1">
      <alignment horizontal="center" vertical="center" wrapText="1"/>
    </xf>
    <xf numFmtId="0" fontId="3"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3" fillId="10" borderId="5" xfId="0" applyNumberFormat="1" applyFont="1" applyFill="1" applyBorder="1" applyAlignment="1" applyProtection="1">
      <alignment horizontal="left" vertical="center" wrapText="1"/>
      <protection locked="0"/>
    </xf>
    <xf numFmtId="49" fontId="3" fillId="10" borderId="3" xfId="0" quotePrefix="1" applyNumberFormat="1" applyFont="1" applyFill="1" applyBorder="1" applyAlignment="1" applyProtection="1">
      <alignment horizontal="left" vertical="center" wrapText="1"/>
      <protection locked="0"/>
    </xf>
    <xf numFmtId="14" fontId="3" fillId="11" borderId="14" xfId="0" applyNumberFormat="1" applyFont="1" applyFill="1" applyBorder="1" applyAlignment="1">
      <alignment horizontal="left" vertical="center" wrapText="1"/>
    </xf>
    <xf numFmtId="0" fontId="21" fillId="6" borderId="14" xfId="0" applyNumberFormat="1" applyFont="1" applyFill="1" applyBorder="1" applyAlignment="1">
      <alignment horizontal="center" vertical="center" wrapText="1"/>
    </xf>
    <xf numFmtId="0" fontId="9" fillId="6" borderId="15" xfId="0" applyNumberFormat="1" applyFont="1" applyFill="1" applyBorder="1" applyAlignment="1">
      <alignment vertical="top" wrapText="1"/>
    </xf>
    <xf numFmtId="0" fontId="9" fillId="6" borderId="0" xfId="0" applyNumberFormat="1" applyFont="1" applyFill="1" applyAlignment="1">
      <alignment vertical="top" wrapText="1"/>
    </xf>
    <xf numFmtId="14" fontId="3" fillId="11" borderId="20" xfId="0" applyNumberFormat="1" applyFont="1" applyFill="1" applyBorder="1" applyAlignment="1">
      <alignment horizontal="left" vertical="center" wrapText="1"/>
    </xf>
    <xf numFmtId="0" fontId="21" fillId="6" borderId="3" xfId="0" applyNumberFormat="1" applyFont="1" applyFill="1" applyBorder="1" applyAlignment="1">
      <alignment horizontal="center" vertical="center" wrapText="1"/>
    </xf>
    <xf numFmtId="0" fontId="13" fillId="8" borderId="6" xfId="0" applyNumberFormat="1" applyFont="1" applyFill="1" applyBorder="1" applyAlignment="1">
      <alignment vertical="center"/>
    </xf>
    <xf numFmtId="0" fontId="22" fillId="0" borderId="0" xfId="0" applyNumberFormat="1" applyFont="1" applyAlignment="1">
      <alignment vertical="center"/>
    </xf>
    <xf numFmtId="0" fontId="21" fillId="0" borderId="0" xfId="0" applyNumberFormat="1" applyFont="1" applyAlignment="1">
      <alignment vertical="center" wrapText="1"/>
    </xf>
    <xf numFmtId="49" fontId="20" fillId="0" borderId="0" xfId="0" applyNumberFormat="1" applyFont="1" applyAlignment="1">
      <alignment vertical="center" wrapText="1"/>
    </xf>
    <xf numFmtId="49" fontId="20"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20" fillId="0" borderId="0" xfId="0" applyNumberFormat="1" applyFont="1" applyAlignment="1">
      <alignment vertical="center" wrapText="1"/>
    </xf>
    <xf numFmtId="0" fontId="61" fillId="0" borderId="0" xfId="0" applyNumberFormat="1" applyFont="1" applyAlignment="1">
      <alignment horizontal="center" vertical="center" wrapText="1"/>
    </xf>
    <xf numFmtId="0" fontId="20" fillId="0" borderId="0" xfId="0" applyNumberFormat="1" applyFont="1" applyAlignment="1">
      <alignment vertical="center" wrapText="1"/>
    </xf>
    <xf numFmtId="14" fontId="3" fillId="6"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3"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3" fillId="0" borderId="6" xfId="0" applyNumberFormat="1" applyFont="1" applyBorder="1" applyAlignment="1">
      <alignment horizontal="right" vertical="center" wrapText="1" indent="1"/>
    </xf>
    <xf numFmtId="0" fontId="3"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20"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0" fontId="3"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3"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3"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3" fillId="0" borderId="0" xfId="0" applyNumberFormat="1" applyFont="1" applyAlignment="1">
      <alignment vertical="center" wrapText="1"/>
    </xf>
    <xf numFmtId="49" fontId="3" fillId="0" borderId="0" xfId="0" applyNumberFormat="1" applyFont="1">
      <alignment vertical="top"/>
    </xf>
    <xf numFmtId="0" fontId="3" fillId="6" borderId="0" xfId="0" applyNumberFormat="1" applyFont="1" applyFill="1" applyAlignment="1">
      <alignment vertical="center" wrapText="1"/>
    </xf>
    <xf numFmtId="0" fontId="3" fillId="0" borderId="29" xfId="0" applyNumberFormat="1" applyFont="1" applyBorder="1" applyAlignment="1">
      <alignment vertical="center" wrapText="1"/>
    </xf>
    <xf numFmtId="0" fontId="20" fillId="0" borderId="0" xfId="0" applyNumberFormat="1" applyFont="1" applyAlignment="1">
      <alignment vertical="center" wrapText="1"/>
    </xf>
    <xf numFmtId="49" fontId="3" fillId="0" borderId="0" xfId="0" applyNumberFormat="1" applyFont="1">
      <alignment vertical="top"/>
    </xf>
    <xf numFmtId="0" fontId="3" fillId="6" borderId="0" xfId="0" applyNumberFormat="1" applyFont="1" applyFill="1" applyAlignment="1">
      <alignment vertical="center" wrapText="1"/>
    </xf>
    <xf numFmtId="49" fontId="3" fillId="0" borderId="0" xfId="0" applyNumberFormat="1" applyFont="1">
      <alignment vertical="top"/>
    </xf>
    <xf numFmtId="0" fontId="3"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3" fillId="8" borderId="20" xfId="0" applyNumberFormat="1" applyFont="1" applyFill="1" applyBorder="1" applyAlignment="1">
      <alignment vertical="center" wrapText="1"/>
    </xf>
    <xf numFmtId="0" fontId="3" fillId="0" borderId="0" xfId="0" applyNumberFormat="1" applyFont="1" applyAlignment="1">
      <alignment vertical="center" wrapText="1"/>
    </xf>
    <xf numFmtId="0" fontId="3" fillId="6" borderId="30" xfId="0" applyNumberFormat="1" applyFont="1" applyFill="1" applyBorder="1" applyAlignment="1">
      <alignment vertical="center" wrapText="1"/>
    </xf>
    <xf numFmtId="0" fontId="23" fillId="6" borderId="30" xfId="0" applyNumberFormat="1" applyFont="1" applyFill="1" applyBorder="1" applyAlignment="1">
      <alignment horizontal="center" wrapText="1"/>
    </xf>
    <xf numFmtId="49" fontId="46" fillId="0" borderId="30" xfId="0" applyNumberFormat="1" applyFont="1" applyBorder="1">
      <alignment vertical="top"/>
    </xf>
    <xf numFmtId="49" fontId="72" fillId="0" borderId="0" xfId="0" applyNumberFormat="1" applyFont="1" applyAlignment="1">
      <alignment vertical="center"/>
    </xf>
    <xf numFmtId="49" fontId="18" fillId="0" borderId="0" xfId="0" applyNumberFormat="1" applyFont="1" applyAlignment="1">
      <alignment vertical="center"/>
    </xf>
    <xf numFmtId="49" fontId="18" fillId="0" borderId="0" xfId="0" applyNumberFormat="1" applyFont="1" applyAlignment="1">
      <alignment vertical="center"/>
    </xf>
    <xf numFmtId="49" fontId="72" fillId="0" borderId="0" xfId="0" applyNumberFormat="1" applyFont="1" applyAlignment="1">
      <alignment vertical="center" wrapText="1"/>
    </xf>
    <xf numFmtId="49" fontId="18" fillId="0" borderId="0" xfId="0" applyNumberFormat="1" applyFont="1" applyAlignment="1">
      <alignment vertical="center" wrapText="1"/>
    </xf>
    <xf numFmtId="49" fontId="18" fillId="0" borderId="0" xfId="0" applyNumberFormat="1" applyFont="1">
      <alignment vertical="top"/>
    </xf>
    <xf numFmtId="49" fontId="18" fillId="0" borderId="0" xfId="0" applyNumberFormat="1" applyFont="1" applyAlignment="1">
      <alignment vertical="center" wrapText="1"/>
    </xf>
    <xf numFmtId="49" fontId="72"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18" fillId="6" borderId="0" xfId="0" applyNumberFormat="1" applyFont="1" applyFill="1" applyAlignment="1">
      <alignment vertical="center" wrapText="1"/>
    </xf>
    <xf numFmtId="49" fontId="18" fillId="0" borderId="0" xfId="0" applyNumberFormat="1" applyFont="1">
      <alignment vertical="top"/>
    </xf>
    <xf numFmtId="49" fontId="18" fillId="6" borderId="0" xfId="0" applyNumberFormat="1" applyFont="1" applyFill="1" applyAlignment="1">
      <alignment vertical="center"/>
    </xf>
    <xf numFmtId="49" fontId="72" fillId="0" borderId="0" xfId="0" applyNumberFormat="1" applyFont="1" applyAlignment="1">
      <alignment vertical="center"/>
    </xf>
    <xf numFmtId="49" fontId="18" fillId="0" borderId="0" xfId="0" applyNumberFormat="1" applyFont="1">
      <alignment vertical="top"/>
    </xf>
    <xf numFmtId="4" fontId="18" fillId="6" borderId="0" xfId="0" applyNumberFormat="1" applyFont="1" applyFill="1" applyAlignment="1">
      <alignment vertical="center"/>
    </xf>
    <xf numFmtId="3" fontId="18" fillId="7" borderId="3" xfId="0" applyNumberFormat="1" applyFont="1" applyFill="1" applyBorder="1" applyAlignment="1" applyProtection="1">
      <alignment horizontal="right" vertical="center"/>
      <protection locked="0"/>
    </xf>
    <xf numFmtId="49" fontId="4" fillId="0" borderId="0" xfId="0" applyNumberFormat="1" applyFont="1" applyAlignment="1">
      <alignment horizontal="center" vertical="center" wrapText="1"/>
    </xf>
    <xf numFmtId="49" fontId="3" fillId="6" borderId="0" xfId="0" applyNumberFormat="1" applyFont="1" applyFill="1" applyAlignment="1">
      <alignment horizontal="center" vertical="center" wrapText="1"/>
    </xf>
    <xf numFmtId="49" fontId="21" fillId="0" borderId="4" xfId="0" applyNumberFormat="1" applyFont="1" applyBorder="1" applyAlignment="1">
      <alignment horizontal="left" vertical="center" indent="1"/>
    </xf>
    <xf numFmtId="0" fontId="3" fillId="0" borderId="15" xfId="0" applyNumberFormat="1" applyFont="1" applyBorder="1" applyAlignment="1">
      <alignment vertical="top" wrapText="1"/>
    </xf>
    <xf numFmtId="0" fontId="3" fillId="0" borderId="5"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49" fontId="20"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49" fontId="3" fillId="0" borderId="3" xfId="0" applyNumberFormat="1" applyFont="1" applyBorder="1" applyAlignment="1">
      <alignment horizontal="center" vertical="center" wrapText="1"/>
    </xf>
    <xf numFmtId="0" fontId="3" fillId="0" borderId="3" xfId="0" applyNumberFormat="1" applyFont="1" applyBorder="1" applyAlignment="1">
      <alignment horizontal="left" vertical="center" wrapText="1" indent="1"/>
    </xf>
    <xf numFmtId="49" fontId="3" fillId="10" borderId="3" xfId="0" applyNumberFormat="1" applyFont="1" applyFill="1" applyBorder="1" applyAlignment="1" applyProtection="1">
      <alignment horizontal="left" vertical="center" wrapText="1"/>
      <protection locked="0"/>
    </xf>
    <xf numFmtId="0" fontId="9"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70" fontId="3" fillId="10" borderId="8" xfId="0" applyNumberFormat="1" applyFont="1" applyFill="1" applyBorder="1" applyAlignment="1" applyProtection="1">
      <alignment horizontal="right" vertical="center" wrapText="1"/>
      <protection locked="0"/>
    </xf>
    <xf numFmtId="0" fontId="3" fillId="0" borderId="4" xfId="0" applyNumberFormat="1" applyFont="1" applyBorder="1" applyAlignment="1">
      <alignment horizontal="center" vertical="center" wrapText="1"/>
    </xf>
    <xf numFmtId="0" fontId="3" fillId="0" borderId="11" xfId="0" applyNumberFormat="1" applyFont="1" applyBorder="1" applyAlignment="1">
      <alignment horizontal="center" vertical="center" wrapText="1"/>
    </xf>
    <xf numFmtId="49" fontId="3" fillId="8" borderId="28" xfId="0" applyNumberFormat="1" applyFont="1" applyFill="1" applyBorder="1" applyAlignment="1">
      <alignment vertical="center" wrapText="1"/>
    </xf>
    <xf numFmtId="49" fontId="13" fillId="8" borderId="10" xfId="0" applyNumberFormat="1" applyFont="1" applyFill="1" applyBorder="1" applyAlignment="1">
      <alignment horizontal="left" vertical="center" indent="1"/>
    </xf>
    <xf numFmtId="49" fontId="3" fillId="8" borderId="28" xfId="0" applyNumberFormat="1" applyFont="1" applyFill="1" applyBorder="1" applyAlignment="1">
      <alignment vertical="center" wrapText="1"/>
    </xf>
    <xf numFmtId="49" fontId="13" fillId="8" borderId="10" xfId="0" applyNumberFormat="1" applyFont="1" applyFill="1" applyBorder="1" applyAlignment="1">
      <alignment horizontal="left" vertical="center" indent="1"/>
    </xf>
    <xf numFmtId="0" fontId="45" fillId="0" borderId="0" xfId="0" applyNumberFormat="1" applyFont="1" applyAlignment="1">
      <alignment horizontal="center" vertical="center" wrapText="1"/>
    </xf>
    <xf numFmtId="4" fontId="3" fillId="10" borderId="4" xfId="0" applyNumberFormat="1" applyFont="1" applyFill="1" applyBorder="1" applyAlignment="1" applyProtection="1">
      <alignment horizontal="right" vertical="center" wrapText="1"/>
      <protection locked="0"/>
    </xf>
    <xf numFmtId="170" fontId="3" fillId="10" borderId="4" xfId="0" applyNumberFormat="1" applyFont="1" applyFill="1" applyBorder="1" applyAlignment="1" applyProtection="1">
      <alignment horizontal="right" vertical="center" wrapText="1"/>
      <protection locked="0"/>
    </xf>
    <xf numFmtId="170" fontId="3" fillId="5" borderId="4" xfId="0" applyNumberFormat="1" applyFont="1" applyFill="1" applyBorder="1" applyAlignment="1">
      <alignment horizontal="right" vertical="center" wrapText="1"/>
    </xf>
    <xf numFmtId="4" fontId="3"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1" fillId="0" borderId="3" xfId="0" applyNumberFormat="1" applyFont="1" applyBorder="1" applyAlignment="1">
      <alignment horizontal="left" vertical="center" wrapText="1" indent="3"/>
    </xf>
    <xf numFmtId="49" fontId="21" fillId="0" borderId="3" xfId="0" applyNumberFormat="1" applyFont="1" applyBorder="1" applyAlignment="1">
      <alignment vertical="center" wrapText="1"/>
    </xf>
    <xf numFmtId="0" fontId="21" fillId="0" borderId="8" xfId="0" applyNumberFormat="1" applyFont="1" applyBorder="1" applyAlignment="1">
      <alignment vertical="top" wrapText="1"/>
    </xf>
    <xf numFmtId="0" fontId="21" fillId="0" borderId="27" xfId="0" applyNumberFormat="1" applyFont="1" applyBorder="1" applyAlignment="1">
      <alignment horizontal="left" vertical="center" wrapText="1" indent="1"/>
    </xf>
    <xf numFmtId="0" fontId="21" fillId="0" borderId="27" xfId="0" applyNumberFormat="1" applyFont="1" applyBorder="1" applyAlignment="1">
      <alignment horizontal="center" vertical="center" wrapText="1"/>
    </xf>
    <xf numFmtId="0" fontId="21" fillId="0" borderId="8" xfId="0" applyNumberFormat="1" applyFont="1" applyBorder="1" applyAlignment="1">
      <alignment vertical="center" wrapText="1"/>
    </xf>
    <xf numFmtId="0" fontId="21" fillId="0" borderId="14" xfId="0" applyNumberFormat="1" applyFont="1" applyBorder="1" applyAlignment="1">
      <alignment horizontal="left" vertical="center" wrapText="1" indent="1"/>
    </xf>
    <xf numFmtId="0" fontId="21"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0" fontId="64" fillId="0" borderId="5" xfId="0" applyNumberFormat="1" applyFont="1" applyBorder="1" applyAlignment="1">
      <alignment horizontal="center" vertical="center" wrapText="1"/>
    </xf>
    <xf numFmtId="0" fontId="3" fillId="0" borderId="14" xfId="0" applyNumberFormat="1" applyFont="1" applyBorder="1" applyAlignment="1">
      <alignment vertical="top" wrapText="1"/>
    </xf>
    <xf numFmtId="0" fontId="3"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1" fillId="6" borderId="3" xfId="0" applyNumberFormat="1" applyFont="1" applyFill="1" applyBorder="1" applyAlignment="1">
      <alignment horizontal="center" vertical="center"/>
    </xf>
    <xf numFmtId="0" fontId="21" fillId="6" borderId="3" xfId="0" applyNumberFormat="1" applyFont="1" applyFill="1" applyBorder="1" applyAlignment="1">
      <alignment horizontal="left" vertical="center" wrapText="1" indent="1"/>
    </xf>
    <xf numFmtId="0" fontId="21" fillId="6" borderId="3" xfId="0" applyNumberFormat="1" applyFont="1" applyFill="1" applyBorder="1" applyAlignment="1">
      <alignment vertical="center" wrapText="1"/>
    </xf>
    <xf numFmtId="49" fontId="21" fillId="0" borderId="3" xfId="0" applyNumberFormat="1" applyFont="1" applyBorder="1" applyAlignment="1">
      <alignment horizontal="center" vertical="center"/>
    </xf>
    <xf numFmtId="0" fontId="21" fillId="0" borderId="3" xfId="0" applyNumberFormat="1" applyFont="1" applyBorder="1" applyAlignment="1">
      <alignment horizontal="left" vertical="center" wrapText="1" indent="1"/>
    </xf>
    <xf numFmtId="0" fontId="21" fillId="0" borderId="3" xfId="0" applyNumberFormat="1" applyFont="1" applyBorder="1" applyAlignment="1">
      <alignment horizontal="left" vertical="center" wrapText="1"/>
    </xf>
    <xf numFmtId="0" fontId="21" fillId="0" borderId="3" xfId="0" applyNumberFormat="1" applyFont="1" applyBorder="1" applyAlignment="1">
      <alignment vertical="center" wrapText="1"/>
    </xf>
    <xf numFmtId="0" fontId="21" fillId="0" borderId="3" xfId="0" applyNumberFormat="1" applyFont="1" applyBorder="1" applyAlignment="1">
      <alignment horizontal="center" vertical="center" wrapText="1"/>
    </xf>
    <xf numFmtId="0" fontId="21" fillId="6" borderId="3" xfId="0" applyNumberFormat="1" applyFont="1" applyFill="1" applyBorder="1" applyAlignment="1">
      <alignment horizontal="left" vertical="center" wrapText="1" indent="2"/>
    </xf>
    <xf numFmtId="49" fontId="21" fillId="0" borderId="3" xfId="0" applyNumberFormat="1" applyFont="1" applyBorder="1" applyAlignment="1">
      <alignment horizontal="left" vertical="center" wrapText="1"/>
    </xf>
    <xf numFmtId="49" fontId="21" fillId="0" borderId="3" xfId="0" applyNumberFormat="1" applyFont="1" applyBorder="1" applyAlignment="1">
      <alignment horizontal="left" vertical="center" wrapText="1"/>
    </xf>
    <xf numFmtId="2" fontId="3"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3" fillId="0" borderId="14"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1"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1"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4" fontId="3" fillId="0" borderId="8" xfId="0" applyNumberFormat="1" applyFont="1" applyBorder="1" applyAlignment="1">
      <alignment horizontal="center" vertical="center" wrapText="1"/>
    </xf>
    <xf numFmtId="4" fontId="3"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3" fillId="0" borderId="27" xfId="0" applyNumberFormat="1" applyFont="1" applyBorder="1" applyAlignment="1">
      <alignment vertical="center" wrapText="1"/>
    </xf>
    <xf numFmtId="0" fontId="3" fillId="0" borderId="23"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3" fillId="0" borderId="0" xfId="0" applyNumberFormat="1" applyFont="1" applyAlignment="1">
      <alignment vertical="top" wrapText="1"/>
    </xf>
    <xf numFmtId="0" fontId="3" fillId="0" borderId="0" xfId="0" applyNumberFormat="1" applyFont="1">
      <alignment vertical="top"/>
    </xf>
    <xf numFmtId="4" fontId="3" fillId="0" borderId="31" xfId="0" applyNumberFormat="1" applyFont="1" applyBorder="1" applyAlignment="1">
      <alignment horizontal="center" vertical="center" wrapText="1"/>
    </xf>
    <xf numFmtId="0" fontId="21" fillId="0" borderId="0" xfId="0" applyNumberFormat="1" applyFont="1" applyAlignment="1">
      <alignment horizontal="center" vertical="top"/>
    </xf>
    <xf numFmtId="49" fontId="21" fillId="0" borderId="0" xfId="0" applyNumberFormat="1" applyFont="1">
      <alignment vertical="top"/>
    </xf>
    <xf numFmtId="0" fontId="21" fillId="0" borderId="14" xfId="0" applyNumberFormat="1" applyFont="1" applyBorder="1" applyAlignment="1">
      <alignment vertical="center" wrapText="1"/>
    </xf>
    <xf numFmtId="4" fontId="21" fillId="0" borderId="3" xfId="0" applyNumberFormat="1" applyFont="1" applyBorder="1" applyAlignment="1">
      <alignment horizontal="right" vertical="center" wrapText="1"/>
    </xf>
    <xf numFmtId="2" fontId="21" fillId="0" borderId="14" xfId="0" applyNumberFormat="1" applyFont="1" applyBorder="1" applyAlignment="1">
      <alignment horizontal="center" vertical="center" wrapText="1"/>
    </xf>
    <xf numFmtId="0" fontId="21" fillId="0" borderId="3" xfId="0" applyNumberFormat="1" applyFont="1" applyBorder="1" applyAlignment="1">
      <alignment horizontal="left" vertical="center" wrapText="1"/>
    </xf>
    <xf numFmtId="49" fontId="21" fillId="0" borderId="5" xfId="0" applyNumberFormat="1" applyFont="1" applyBorder="1" applyAlignment="1">
      <alignment horizontal="left" vertical="center"/>
    </xf>
    <xf numFmtId="49" fontId="21" fillId="0" borderId="6" xfId="0" applyNumberFormat="1" applyFont="1" applyBorder="1" applyAlignment="1">
      <alignment horizontal="left" vertical="center" indent="1"/>
    </xf>
    <xf numFmtId="49" fontId="21" fillId="0" borderId="6" xfId="0" applyNumberFormat="1" applyFont="1" applyBorder="1" applyAlignment="1">
      <alignment horizontal="left" vertical="center"/>
    </xf>
    <xf numFmtId="0" fontId="21" fillId="0" borderId="3" xfId="0" applyNumberFormat="1" applyFont="1" applyBorder="1" applyAlignment="1">
      <alignment horizontal="left" vertical="center" indent="1"/>
    </xf>
    <xf numFmtId="49" fontId="13" fillId="0" borderId="10" xfId="0" applyNumberFormat="1" applyFont="1" applyBorder="1" applyAlignment="1">
      <alignment horizontal="right" vertical="center"/>
    </xf>
    <xf numFmtId="0" fontId="3" fillId="11" borderId="3" xfId="0" applyNumberFormat="1" applyFont="1" applyFill="1" applyBorder="1" applyAlignment="1">
      <alignment horizontal="left" vertical="center" wrapText="1" indent="1"/>
    </xf>
    <xf numFmtId="0" fontId="3" fillId="0" borderId="3" xfId="0" applyNumberFormat="1" applyFont="1" applyBorder="1" applyAlignment="1">
      <alignment horizontal="center" vertical="center" wrapText="1"/>
    </xf>
    <xf numFmtId="0" fontId="21"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3"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3" fillId="0" borderId="0" xfId="0" applyNumberFormat="1" applyFont="1" applyAlignment="1">
      <alignment horizontal="center" vertical="center" wrapText="1"/>
    </xf>
    <xf numFmtId="0" fontId="3" fillId="0" borderId="10" xfId="0" applyNumberFormat="1" applyFont="1" applyBorder="1" applyAlignment="1">
      <alignment vertical="center" wrapText="1"/>
    </xf>
    <xf numFmtId="0" fontId="3" fillId="0" borderId="18" xfId="0" applyNumberFormat="1" applyFont="1" applyBorder="1" applyAlignment="1">
      <alignment vertical="center" wrapText="1"/>
    </xf>
    <xf numFmtId="49" fontId="3" fillId="8" borderId="32" xfId="0" applyNumberFormat="1" applyFont="1" applyFill="1" applyBorder="1" applyAlignment="1">
      <alignment horizontal="center" vertical="center" wrapText="1"/>
    </xf>
    <xf numFmtId="49" fontId="23" fillId="8" borderId="33" xfId="0" applyNumberFormat="1" applyFont="1" applyFill="1" applyBorder="1" applyAlignment="1">
      <alignment horizontal="right" vertical="center" wrapText="1"/>
    </xf>
    <xf numFmtId="49" fontId="23" fillId="8" borderId="34" xfId="0" applyNumberFormat="1" applyFont="1" applyFill="1" applyBorder="1" applyAlignment="1">
      <alignment horizontal="right" vertical="center" wrapText="1"/>
    </xf>
    <xf numFmtId="49" fontId="18" fillId="0" borderId="0" xfId="0" applyNumberFormat="1" applyFont="1">
      <alignment vertical="top"/>
    </xf>
    <xf numFmtId="0" fontId="18" fillId="0" borderId="0" xfId="0" applyNumberFormat="1" applyFont="1" applyAlignment="1">
      <alignment vertical="center" wrapText="1"/>
    </xf>
    <xf numFmtId="49" fontId="67" fillId="0" borderId="0" xfId="0" applyNumberFormat="1" applyFont="1" applyAlignment="1">
      <alignment vertical="center" wrapText="1"/>
    </xf>
    <xf numFmtId="49" fontId="4"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20" fillId="18" borderId="3" xfId="0" applyNumberFormat="1" applyFont="1" applyFill="1" applyBorder="1" applyAlignment="1">
      <alignment horizontal="center" vertical="center"/>
    </xf>
    <xf numFmtId="49" fontId="20"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3" fillId="0" borderId="0" xfId="0" applyNumberFormat="1" applyFont="1">
      <alignment vertical="top"/>
    </xf>
    <xf numFmtId="0" fontId="3"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3" fillId="0" borderId="35" xfId="0" applyNumberFormat="1" applyFont="1" applyBorder="1" applyAlignment="1">
      <alignment vertical="center"/>
    </xf>
    <xf numFmtId="49" fontId="3"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3" fillId="0" borderId="4" xfId="0" applyNumberFormat="1" applyFont="1" applyBorder="1" applyAlignment="1">
      <alignment vertical="center"/>
    </xf>
    <xf numFmtId="49" fontId="3" fillId="0" borderId="3" xfId="0" applyNumberFormat="1" applyFont="1" applyBorder="1" applyAlignment="1">
      <alignment vertical="center"/>
    </xf>
    <xf numFmtId="0" fontId="0" fillId="0" borderId="0" xfId="0" applyNumberFormat="1" applyFont="1">
      <alignment vertical="top"/>
    </xf>
    <xf numFmtId="0" fontId="3" fillId="0" borderId="3" xfId="0" applyNumberFormat="1" applyFont="1" applyBorder="1">
      <alignment vertical="top"/>
    </xf>
    <xf numFmtId="49" fontId="3" fillId="0" borderId="3" xfId="0" applyNumberFormat="1" applyFont="1" applyBorder="1">
      <alignment vertical="top"/>
    </xf>
    <xf numFmtId="0" fontId="3" fillId="0" borderId="0" xfId="0" applyNumberFormat="1" applyFont="1" applyAlignment="1">
      <alignment vertical="center"/>
    </xf>
    <xf numFmtId="49" fontId="3" fillId="0" borderId="5" xfId="0" applyNumberFormat="1" applyFont="1" applyBorder="1">
      <alignment vertical="top"/>
    </xf>
    <xf numFmtId="0" fontId="0" fillId="0" borderId="0" xfId="0" applyNumberFormat="1" applyFont="1" applyAlignment="1">
      <alignment vertical="center"/>
    </xf>
    <xf numFmtId="0" fontId="3" fillId="0" borderId="0" xfId="0" applyNumberFormat="1" applyFont="1">
      <alignment vertical="top"/>
    </xf>
    <xf numFmtId="49" fontId="3"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3" fillId="0" borderId="8" xfId="0" applyNumberFormat="1" applyFont="1" applyBorder="1" applyAlignment="1">
      <alignment vertical="center"/>
    </xf>
    <xf numFmtId="49" fontId="3" fillId="0" borderId="22" xfId="0" applyNumberFormat="1" applyFont="1" applyBorder="1" applyAlignment="1">
      <alignment horizontal="center" vertical="center"/>
    </xf>
    <xf numFmtId="49" fontId="3"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4" fillId="18" borderId="3" xfId="0" applyNumberFormat="1" applyFont="1" applyFill="1" applyBorder="1" applyAlignment="1">
      <alignment horizontal="right" vertical="center"/>
    </xf>
    <xf numFmtId="49" fontId="3" fillId="7" borderId="28" xfId="0" applyNumberFormat="1" applyFont="1" applyFill="1" applyBorder="1" applyProtection="1">
      <alignment vertical="top"/>
      <protection locked="0"/>
    </xf>
    <xf numFmtId="0" fontId="3" fillId="0" borderId="3" xfId="0" applyNumberFormat="1" applyFont="1" applyBorder="1">
      <alignment vertical="top"/>
    </xf>
    <xf numFmtId="49" fontId="3" fillId="12" borderId="14" xfId="0" applyNumberFormat="1" applyFont="1" applyFill="1" applyBorder="1">
      <alignment vertical="top"/>
    </xf>
    <xf numFmtId="49" fontId="3"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4"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3" fillId="6" borderId="0" xfId="0" applyNumberFormat="1" applyFont="1" applyFill="1" applyAlignment="1">
      <alignment vertical="center" wrapText="1"/>
    </xf>
    <xf numFmtId="0" fontId="4" fillId="0" borderId="0" xfId="0" applyNumberFormat="1" applyFont="1" applyAlignment="1">
      <alignment vertical="center" wrapText="1"/>
    </xf>
    <xf numFmtId="49" fontId="3" fillId="0" borderId="0" xfId="0" applyNumberFormat="1" applyFont="1">
      <alignment vertical="top"/>
    </xf>
    <xf numFmtId="0" fontId="20" fillId="0" borderId="0" xfId="0" applyNumberFormat="1" applyFont="1" applyAlignment="1">
      <alignment vertical="center" wrapText="1"/>
    </xf>
    <xf numFmtId="49" fontId="71" fillId="0" borderId="0" xfId="0" applyNumberFormat="1" applyFont="1" applyAlignment="1">
      <alignment horizontal="center" vertical="center" wrapText="1"/>
    </xf>
    <xf numFmtId="0" fontId="3" fillId="6" borderId="0" xfId="0" applyNumberFormat="1" applyFont="1" applyFill="1" applyAlignment="1">
      <alignment vertical="center" wrapText="1"/>
    </xf>
    <xf numFmtId="0" fontId="3" fillId="0" borderId="0" xfId="0" applyNumberFormat="1" applyFont="1" applyAlignment="1">
      <alignment vertical="center" wrapText="1"/>
    </xf>
    <xf numFmtId="0" fontId="23" fillId="6" borderId="30" xfId="0" applyNumberFormat="1" applyFont="1" applyFill="1" applyBorder="1" applyAlignment="1">
      <alignment horizontal="center" wrapText="1"/>
    </xf>
    <xf numFmtId="49" fontId="46" fillId="0" borderId="30" xfId="0" applyNumberFormat="1" applyFont="1" applyBorder="1">
      <alignment vertical="top"/>
    </xf>
    <xf numFmtId="0" fontId="0" fillId="0" borderId="3" xfId="0" applyNumberFormat="1" applyFont="1" applyBorder="1" applyAlignment="1">
      <alignment horizontal="center" vertical="center" wrapText="1"/>
    </xf>
    <xf numFmtId="0" fontId="3" fillId="0" borderId="0" xfId="0" applyNumberFormat="1" applyFont="1" applyAlignment="1">
      <alignment horizontal="left" vertical="center" wrapText="1" indent="3"/>
    </xf>
    <xf numFmtId="0" fontId="3" fillId="0" borderId="0" xfId="0" applyNumberFormat="1" applyFont="1" applyAlignment="1">
      <alignment horizontal="left" vertical="center" wrapText="1" indent="3"/>
    </xf>
    <xf numFmtId="0" fontId="4" fillId="0" borderId="0" xfId="0" applyNumberFormat="1" applyFont="1" applyAlignment="1">
      <alignment vertical="center" wrapText="1"/>
    </xf>
    <xf numFmtId="49" fontId="3" fillId="0" borderId="0" xfId="0" applyNumberFormat="1" applyFont="1">
      <alignment vertical="top"/>
    </xf>
    <xf numFmtId="0" fontId="20" fillId="0" borderId="0" xfId="0" applyNumberFormat="1" applyFont="1" applyAlignment="1">
      <alignment vertical="center" wrapText="1"/>
    </xf>
    <xf numFmtId="0" fontId="3" fillId="0" borderId="3" xfId="0" applyNumberFormat="1" applyFont="1" applyBorder="1" applyAlignment="1">
      <alignment horizontal="center" vertical="center" wrapText="1"/>
    </xf>
    <xf numFmtId="0" fontId="3" fillId="0" borderId="0" xfId="0" applyNumberFormat="1" applyFont="1" applyAlignment="1">
      <alignment vertical="center" wrapText="1"/>
    </xf>
    <xf numFmtId="0" fontId="3" fillId="6" borderId="30" xfId="0" applyNumberFormat="1" applyFont="1" applyFill="1" applyBorder="1" applyAlignment="1">
      <alignment vertical="center" wrapText="1"/>
    </xf>
    <xf numFmtId="0" fontId="4" fillId="0" borderId="0" xfId="0" applyNumberFormat="1" applyFont="1" applyAlignment="1">
      <alignment vertical="center" wrapText="1"/>
    </xf>
    <xf numFmtId="49" fontId="3" fillId="0" borderId="0" xfId="0" applyNumberFormat="1" applyFont="1">
      <alignment vertical="top"/>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3" fillId="0" borderId="0" xfId="0" applyNumberFormat="1" applyFont="1" applyAlignment="1">
      <alignment vertical="center" wrapText="1"/>
    </xf>
    <xf numFmtId="0" fontId="3" fillId="6" borderId="30" xfId="0" applyNumberFormat="1" applyFont="1" applyFill="1" applyBorder="1" applyAlignment="1">
      <alignment vertical="center" wrapText="1"/>
    </xf>
    <xf numFmtId="0" fontId="3" fillId="10" borderId="3" xfId="0" applyNumberFormat="1" applyFont="1" applyFill="1" applyBorder="1" applyAlignment="1" applyProtection="1">
      <alignment horizontal="left" vertical="center" wrapText="1" indent="1"/>
      <protection locked="0"/>
    </xf>
    <xf numFmtId="49" fontId="20" fillId="18" borderId="0" xfId="0" applyNumberFormat="1" applyFont="1" applyFill="1" applyAlignment="1">
      <alignment horizontal="center" vertical="center" wrapText="1"/>
    </xf>
    <xf numFmtId="0" fontId="3" fillId="0" borderId="3"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0" xfId="0" applyNumberFormat="1" applyFont="1" applyAlignment="1">
      <alignment vertical="center" wrapText="1"/>
    </xf>
    <xf numFmtId="0" fontId="4" fillId="0" borderId="0" xfId="0" applyNumberFormat="1" applyFont="1" applyAlignment="1">
      <alignment vertical="center" wrapText="1"/>
    </xf>
    <xf numFmtId="49" fontId="3"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20"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3"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3" fillId="6" borderId="17" xfId="0" applyNumberFormat="1" applyFont="1" applyFill="1" applyBorder="1" applyAlignment="1">
      <alignment horizontal="right" vertical="center" wrapText="1" indent="1"/>
    </xf>
    <xf numFmtId="49" fontId="20"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49" fontId="13" fillId="8" borderId="6" xfId="0" applyNumberFormat="1" applyFont="1" applyFill="1" applyBorder="1" applyAlignment="1">
      <alignment horizontal="left" vertical="center" indent="1"/>
    </xf>
    <xf numFmtId="4" fontId="3" fillId="10" borderId="22" xfId="0" applyNumberFormat="1" applyFont="1" applyFill="1" applyBorder="1" applyAlignment="1" applyProtection="1">
      <alignment horizontal="right" vertical="center" wrapText="1"/>
      <protection locked="0"/>
    </xf>
    <xf numFmtId="0" fontId="3" fillId="6" borderId="0" xfId="0" applyNumberFormat="1" applyFont="1" applyFill="1" applyAlignment="1">
      <alignment vertical="center" wrapText="1"/>
    </xf>
    <xf numFmtId="0" fontId="3" fillId="0" borderId="29" xfId="0" applyNumberFormat="1" applyFont="1" applyBorder="1" applyAlignment="1">
      <alignment vertical="center" wrapText="1"/>
    </xf>
    <xf numFmtId="0" fontId="3" fillId="0" borderId="0" xfId="0" applyNumberFormat="1" applyFont="1" applyAlignment="1">
      <alignment vertical="center"/>
    </xf>
    <xf numFmtId="0" fontId="3" fillId="0" borderId="0" xfId="0" applyNumberFormat="1" applyFont="1" applyAlignment="1">
      <alignment vertical="center" wrapText="1"/>
    </xf>
    <xf numFmtId="0" fontId="3" fillId="8" borderId="41" xfId="0" applyNumberFormat="1" applyFont="1" applyFill="1" applyBorder="1" applyAlignment="1">
      <alignment vertical="center" wrapText="1"/>
    </xf>
    <xf numFmtId="0" fontId="3"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8" fillId="11" borderId="3" xfId="0" applyNumberFormat="1" applyFont="1" applyFill="1" applyBorder="1" applyAlignment="1">
      <alignment horizontal="left" vertical="center" wrapText="1" indent="1"/>
    </xf>
    <xf numFmtId="49" fontId="18" fillId="8" borderId="6" xfId="0" applyNumberFormat="1" applyFont="1" applyFill="1" applyBorder="1" applyAlignment="1">
      <alignment vertical="top" wrapText="1"/>
    </xf>
    <xf numFmtId="49" fontId="18" fillId="8" borderId="4" xfId="0" applyNumberFormat="1" applyFont="1" applyFill="1" applyBorder="1" applyAlignment="1">
      <alignment vertical="top" wrapText="1"/>
    </xf>
    <xf numFmtId="49" fontId="18"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3" fillId="8" borderId="44" xfId="0" applyNumberFormat="1" applyFont="1" applyFill="1" applyBorder="1" applyAlignment="1">
      <alignment vertical="center" wrapText="1"/>
    </xf>
    <xf numFmtId="0" fontId="3"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3" fillId="0" borderId="40" xfId="0" applyNumberFormat="1" applyFont="1" applyBorder="1" applyAlignment="1">
      <alignment vertical="center" wrapText="1"/>
    </xf>
    <xf numFmtId="0" fontId="3" fillId="0" borderId="45" xfId="0" applyNumberFormat="1" applyFont="1" applyBorder="1" applyAlignment="1">
      <alignment vertical="center" wrapText="1"/>
    </xf>
    <xf numFmtId="0" fontId="3" fillId="0" borderId="46" xfId="0" applyNumberFormat="1" applyFont="1" applyBorder="1" applyAlignment="1">
      <alignment vertical="center" wrapText="1"/>
    </xf>
    <xf numFmtId="0" fontId="3"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3" fillId="6" borderId="3" xfId="0" applyNumberFormat="1" applyFont="1" applyFill="1" applyBorder="1" applyAlignment="1">
      <alignment horizontal="center" vertical="center" wrapText="1"/>
    </xf>
    <xf numFmtId="49" fontId="8" fillId="0" borderId="3" xfId="0" applyNumberFormat="1" applyFont="1" applyBorder="1" applyAlignment="1">
      <alignment horizontal="center" vertical="center"/>
    </xf>
    <xf numFmtId="49" fontId="8" fillId="12" borderId="3" xfId="0" applyNumberFormat="1" applyFont="1" applyFill="1" applyBorder="1" applyAlignment="1">
      <alignment horizontal="center" vertical="center"/>
    </xf>
    <xf numFmtId="0" fontId="8" fillId="0" borderId="3" xfId="0" applyNumberFormat="1" applyFont="1" applyBorder="1" applyAlignment="1">
      <alignment horizontal="center" vertical="center"/>
    </xf>
    <xf numFmtId="49" fontId="8" fillId="0" borderId="14" xfId="0" applyNumberFormat="1" applyFont="1" applyBorder="1" applyAlignment="1">
      <alignment horizontal="center" vertical="center"/>
    </xf>
    <xf numFmtId="49" fontId="3" fillId="0" borderId="0" xfId="0" applyNumberFormat="1" applyFont="1" applyAlignment="1">
      <alignment vertical="center"/>
    </xf>
    <xf numFmtId="49" fontId="20" fillId="0" borderId="8" xfId="0" applyNumberFormat="1" applyFont="1" applyBorder="1" applyAlignment="1">
      <alignment horizontal="center" vertical="center"/>
    </xf>
    <xf numFmtId="49" fontId="3" fillId="0" borderId="8" xfId="0" applyNumberFormat="1" applyFont="1" applyBorder="1" applyAlignment="1">
      <alignment horizontal="center" vertical="center"/>
    </xf>
    <xf numFmtId="0" fontId="3" fillId="0" borderId="8" xfId="0" applyNumberFormat="1" applyFont="1" applyBorder="1" applyAlignment="1">
      <alignment horizontal="right" vertical="center"/>
    </xf>
    <xf numFmtId="0" fontId="3" fillId="0" borderId="8" xfId="0" applyNumberFormat="1" applyFont="1" applyBorder="1" applyAlignment="1">
      <alignment horizontal="center" vertical="center"/>
    </xf>
    <xf numFmtId="0" fontId="3" fillId="0" borderId="3" xfId="0" applyNumberFormat="1" applyFont="1" applyBorder="1" applyAlignment="1">
      <alignment horizontal="right" vertical="center"/>
    </xf>
    <xf numFmtId="49" fontId="3" fillId="0" borderId="0" xfId="0" applyNumberFormat="1" applyFont="1" applyAlignment="1">
      <alignment vertical="center"/>
    </xf>
    <xf numFmtId="49" fontId="3" fillId="0" borderId="47" xfId="0" applyNumberFormat="1" applyFont="1" applyBorder="1" applyAlignment="1">
      <alignment horizontal="center" vertical="center"/>
    </xf>
    <xf numFmtId="0" fontId="3" fillId="0" borderId="47" xfId="0" applyNumberFormat="1" applyFont="1" applyBorder="1" applyAlignment="1">
      <alignment horizontal="right" vertical="center"/>
    </xf>
    <xf numFmtId="0" fontId="3" fillId="0" borderId="47" xfId="0" applyNumberFormat="1" applyFont="1" applyBorder="1" applyAlignment="1">
      <alignment horizontal="center" vertical="center"/>
    </xf>
    <xf numFmtId="0" fontId="3" fillId="0" borderId="6" xfId="0" applyNumberFormat="1" applyFont="1" applyBorder="1" applyAlignment="1">
      <alignment horizontal="right" vertical="center"/>
    </xf>
    <xf numFmtId="0" fontId="3" fillId="0" borderId="4" xfId="0" applyNumberFormat="1" applyFont="1" applyBorder="1" applyAlignment="1">
      <alignment horizontal="right" vertical="center"/>
    </xf>
    <xf numFmtId="0" fontId="3" fillId="6" borderId="3" xfId="0" applyNumberFormat="1" applyFont="1" applyFill="1" applyBorder="1" applyAlignment="1">
      <alignment horizontal="center" vertical="center"/>
    </xf>
    <xf numFmtId="0" fontId="3" fillId="11" borderId="3" xfId="0" applyNumberFormat="1" applyFont="1" applyFill="1" applyBorder="1" applyAlignment="1">
      <alignment horizontal="left" vertical="center" wrapText="1" indent="1"/>
    </xf>
    <xf numFmtId="0" fontId="3" fillId="10" borderId="3" xfId="0" applyNumberFormat="1" applyFont="1" applyFill="1" applyBorder="1" applyAlignment="1" applyProtection="1">
      <alignment horizontal="left" vertical="center" wrapText="1" indent="1"/>
      <protection locked="0"/>
    </xf>
    <xf numFmtId="0" fontId="3" fillId="12" borderId="3" xfId="0" applyNumberFormat="1" applyFont="1" applyFill="1" applyBorder="1" applyAlignment="1">
      <alignment horizontal="right" vertical="center"/>
    </xf>
    <xf numFmtId="3" fontId="3" fillId="7" borderId="3" xfId="0" applyNumberFormat="1" applyFont="1" applyFill="1" applyBorder="1" applyAlignment="1" applyProtection="1">
      <alignment horizontal="right" vertical="center"/>
      <protection locked="0"/>
    </xf>
    <xf numFmtId="4" fontId="3" fillId="7" borderId="3" xfId="0" applyNumberFormat="1" applyFont="1" applyFill="1" applyBorder="1" applyAlignment="1" applyProtection="1">
      <alignment horizontal="right" vertical="center"/>
      <protection locked="0"/>
    </xf>
    <xf numFmtId="49" fontId="13" fillId="8" borderId="48" xfId="0" applyNumberFormat="1" applyFont="1" applyFill="1" applyBorder="1" applyAlignment="1">
      <alignment horizontal="left" vertical="center" indent="1"/>
    </xf>
    <xf numFmtId="49" fontId="13" fillId="8" borderId="42" xfId="0" applyNumberFormat="1" applyFont="1" applyFill="1" applyBorder="1" applyAlignment="1">
      <alignment horizontal="left" vertical="center" indent="1"/>
    </xf>
    <xf numFmtId="49" fontId="13" fillId="23" borderId="4" xfId="0" applyNumberFormat="1" applyFont="1" applyFill="1" applyBorder="1" applyAlignment="1">
      <alignment horizontal="left" vertical="center" indent="1"/>
    </xf>
    <xf numFmtId="49" fontId="3" fillId="0" borderId="0" xfId="0" applyNumberFormat="1" applyFont="1">
      <alignment vertical="top"/>
    </xf>
    <xf numFmtId="0" fontId="3" fillId="7" borderId="3" xfId="0" applyNumberFormat="1" applyFont="1" applyFill="1" applyBorder="1" applyAlignment="1" applyProtection="1">
      <alignment horizontal="left" vertical="center" indent="1"/>
      <protection locked="0"/>
    </xf>
    <xf numFmtId="0" fontId="3" fillId="19" borderId="0" xfId="0" applyNumberFormat="1" applyFont="1" applyFill="1" applyAlignment="1">
      <alignment horizontal="left" vertical="center"/>
    </xf>
    <xf numFmtId="0" fontId="3" fillId="0" borderId="0" xfId="0" applyNumberFormat="1" applyFont="1" applyAlignment="1">
      <alignment horizontal="right" vertical="center" wrapText="1"/>
    </xf>
    <xf numFmtId="0" fontId="21"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3" fillId="0" borderId="3" xfId="0" applyNumberFormat="1" applyFont="1" applyBorder="1" applyAlignment="1">
      <alignment horizontal="left" vertical="center" wrapText="1"/>
    </xf>
    <xf numFmtId="0" fontId="3" fillId="6"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3" fillId="6" borderId="10" xfId="0" applyNumberFormat="1" applyFont="1" applyFill="1" applyBorder="1" applyAlignment="1">
      <alignment vertical="center" wrapText="1"/>
    </xf>
    <xf numFmtId="49" fontId="21" fillId="0" borderId="0" xfId="0" applyNumberFormat="1" applyFont="1">
      <alignment vertical="top"/>
    </xf>
    <xf numFmtId="0" fontId="21"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3" fillId="0" borderId="13" xfId="0" applyNumberFormat="1" applyFont="1" applyBorder="1">
      <alignment vertical="top"/>
    </xf>
    <xf numFmtId="0" fontId="3"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3" fillId="0" borderId="29" xfId="0" applyNumberFormat="1" applyFont="1" applyBorder="1" applyAlignment="1">
      <alignment vertical="center"/>
    </xf>
    <xf numFmtId="49" fontId="13" fillId="8" borderId="6" xfId="0" applyNumberFormat="1" applyFont="1" applyFill="1" applyBorder="1" applyAlignment="1">
      <alignment horizontal="left" vertical="center" indent="1"/>
    </xf>
    <xf numFmtId="49" fontId="3" fillId="10" borderId="8" xfId="0" applyNumberFormat="1" applyFont="1" applyFill="1" applyBorder="1" applyAlignment="1" applyProtection="1">
      <alignment horizontal="left" vertical="center" wrapText="1" indent="1"/>
      <protection locked="0"/>
    </xf>
    <xf numFmtId="0" fontId="19" fillId="0" borderId="0" xfId="0" applyNumberFormat="1" applyFont="1" applyAlignment="1">
      <alignment vertical="center" wrapText="1"/>
    </xf>
    <xf numFmtId="0" fontId="3" fillId="6" borderId="18" xfId="0" applyNumberFormat="1" applyFont="1" applyFill="1" applyBorder="1" applyAlignment="1">
      <alignment vertical="center" wrapText="1"/>
    </xf>
    <xf numFmtId="0" fontId="21" fillId="6" borderId="10" xfId="0" applyNumberFormat="1" applyFont="1" applyFill="1" applyBorder="1" applyAlignment="1">
      <alignment horizontal="center" vertical="center" wrapText="1"/>
    </xf>
    <xf numFmtId="49" fontId="45" fillId="0" borderId="0" xfId="0" applyNumberFormat="1" applyFont="1" applyAlignment="1">
      <alignment vertical="center" wrapText="1"/>
    </xf>
    <xf numFmtId="0" fontId="79" fillId="6" borderId="0" xfId="0" applyNumberFormat="1" applyFont="1" applyFill="1" applyAlignment="1">
      <alignment vertical="center" wrapText="1"/>
    </xf>
    <xf numFmtId="0" fontId="3" fillId="0" borderId="0" xfId="0" applyNumberFormat="1" applyFont="1" applyAlignment="1">
      <alignment vertical="center"/>
    </xf>
    <xf numFmtId="49" fontId="21" fillId="6" borderId="0" xfId="0" applyNumberFormat="1" applyFont="1" applyFill="1" applyAlignment="1">
      <alignment horizontal="center" vertical="center" wrapText="1"/>
    </xf>
    <xf numFmtId="0" fontId="3" fillId="0" borderId="0" xfId="0" applyNumberFormat="1" applyFont="1" applyAlignment="1">
      <alignment horizontal="left" vertical="center" wrapText="1"/>
    </xf>
    <xf numFmtId="0" fontId="21" fillId="0" borderId="0" xfId="0" applyNumberFormat="1" applyFont="1" applyAlignment="1">
      <alignment vertical="center"/>
    </xf>
    <xf numFmtId="0" fontId="3" fillId="0" borderId="0" xfId="0" applyNumberFormat="1" applyFont="1" applyAlignment="1">
      <alignment horizontal="left" vertical="center" wrapText="1" indent="1"/>
    </xf>
    <xf numFmtId="0" fontId="3" fillId="0" borderId="0" xfId="0" applyNumberFormat="1" applyFont="1" applyAlignment="1">
      <alignment horizontal="right" vertical="top"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169" fontId="3" fillId="7" borderId="3" xfId="0" applyNumberFormat="1" applyFont="1" applyFill="1" applyBorder="1" applyAlignment="1" applyProtection="1">
      <alignment horizontal="right" vertical="center" wrapText="1"/>
      <protection locked="0"/>
    </xf>
    <xf numFmtId="0" fontId="18" fillId="0" borderId="3" xfId="0" applyNumberFormat="1" applyFont="1" applyBorder="1" applyAlignment="1">
      <alignment vertical="top" wrapText="1"/>
    </xf>
    <xf numFmtId="0" fontId="3" fillId="11" borderId="3" xfId="0" applyNumberFormat="1" applyFont="1" applyFill="1" applyBorder="1" applyAlignment="1" applyProtection="1">
      <alignment horizontal="left" vertical="center" wrapText="1" indent="6"/>
      <protection locked="0"/>
    </xf>
    <xf numFmtId="0" fontId="3"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3" fillId="0" borderId="0" xfId="0" applyNumberFormat="1" applyFont="1" applyAlignment="1">
      <alignment vertical="center"/>
    </xf>
    <xf numFmtId="0" fontId="81" fillId="0" borderId="0" xfId="0" applyNumberFormat="1" applyFont="1" applyAlignment="1">
      <alignment vertical="center"/>
    </xf>
    <xf numFmtId="0" fontId="3" fillId="0" borderId="0" xfId="0" applyNumberFormat="1" applyFont="1" applyAlignment="1">
      <alignment vertical="center"/>
    </xf>
    <xf numFmtId="0" fontId="3" fillId="0" borderId="0" xfId="0" applyNumberFormat="1" applyFont="1" applyAlignment="1">
      <alignment vertical="center"/>
    </xf>
    <xf numFmtId="0" fontId="3" fillId="0" borderId="0" xfId="0" applyNumberFormat="1" applyFont="1" applyAlignment="1">
      <alignment horizontal="left" vertical="center" indent="1"/>
    </xf>
    <xf numFmtId="49" fontId="82" fillId="8" borderId="6" xfId="0" applyNumberFormat="1" applyFont="1" applyFill="1" applyBorder="1" applyAlignment="1">
      <alignment horizontal="left" vertical="center" indent="3"/>
    </xf>
    <xf numFmtId="49" fontId="45"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3"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6"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1" fillId="0" borderId="3" xfId="0" applyNumberFormat="1" applyFont="1" applyBorder="1" applyAlignment="1">
      <alignment horizontal="center" vertical="center"/>
    </xf>
    <xf numFmtId="0" fontId="3"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0" fontId="3" fillId="0" borderId="0" xfId="0" applyNumberFormat="1" applyFont="1" applyAlignment="1">
      <alignment horizontal="right" vertical="center" wrapText="1"/>
    </xf>
    <xf numFmtId="0" fontId="3"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3"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xf>
    <xf numFmtId="49" fontId="3"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3" fillId="0" borderId="11" xfId="0" applyNumberFormat="1" applyFont="1" applyBorder="1" applyAlignment="1">
      <alignment horizontal="left" vertical="center" wrapText="1"/>
    </xf>
    <xf numFmtId="0" fontId="13" fillId="0" borderId="0" xfId="0" applyNumberFormat="1" applyFont="1" applyAlignment="1">
      <alignment horizontal="left" vertical="center"/>
    </xf>
    <xf numFmtId="0" fontId="13" fillId="0" borderId="15" xfId="0" applyNumberFormat="1" applyFont="1" applyBorder="1" applyAlignment="1">
      <alignment horizontal="left" vertical="center"/>
    </xf>
    <xf numFmtId="0" fontId="13" fillId="0" borderId="21" xfId="0" applyNumberFormat="1" applyFont="1" applyBorder="1" applyAlignment="1">
      <alignment horizontal="left" vertical="center"/>
    </xf>
    <xf numFmtId="0" fontId="13"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3" fillId="0" borderId="20" xfId="0" applyNumberFormat="1" applyFont="1" applyBorder="1" applyAlignment="1">
      <alignment horizontal="left" vertical="center"/>
    </xf>
    <xf numFmtId="49" fontId="3" fillId="0" borderId="0" xfId="0" applyNumberFormat="1" applyFont="1" applyAlignment="1">
      <alignment vertical="center" wrapText="1"/>
    </xf>
    <xf numFmtId="0" fontId="3"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49" fontId="3" fillId="0" borderId="3" xfId="0" applyNumberFormat="1" applyFont="1" applyBorder="1" applyAlignment="1">
      <alignment horizontal="left" vertical="center" wrapText="1"/>
    </xf>
    <xf numFmtId="0" fontId="18" fillId="0" borderId="8" xfId="0" applyNumberFormat="1" applyFont="1" applyBorder="1" applyAlignment="1">
      <alignment vertical="top" wrapText="1"/>
    </xf>
    <xf numFmtId="0" fontId="3" fillId="6" borderId="3" xfId="0" applyNumberFormat="1" applyFont="1" applyFill="1" applyBorder="1" applyAlignment="1">
      <alignment horizontal="left" vertical="center" wrapText="1"/>
    </xf>
    <xf numFmtId="0" fontId="3" fillId="0" borderId="0" xfId="0" applyNumberFormat="1" applyFont="1" applyAlignment="1">
      <alignment horizontal="center" vertical="center"/>
    </xf>
    <xf numFmtId="49" fontId="3"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1" fillId="0" borderId="0" xfId="0" applyNumberFormat="1" applyFont="1" applyAlignment="1">
      <alignment horizontal="left" vertical="center" indent="1"/>
    </xf>
    <xf numFmtId="0" fontId="21" fillId="0" borderId="0" xfId="0" applyNumberFormat="1" applyFont="1" applyAlignment="1">
      <alignment horizontal="left" vertical="center" wrapText="1"/>
    </xf>
    <xf numFmtId="49" fontId="21"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3"/>
    </xf>
    <xf numFmtId="49" fontId="21" fillId="0" borderId="10" xfId="0" applyNumberFormat="1" applyFont="1" applyBorder="1" applyAlignment="1">
      <alignment horizontal="center" vertical="center" wrapText="1"/>
    </xf>
    <xf numFmtId="49" fontId="21" fillId="0" borderId="0" xfId="0" applyNumberFormat="1" applyFont="1" applyAlignment="1">
      <alignment horizontal="left" vertical="center"/>
    </xf>
    <xf numFmtId="49" fontId="70" fillId="0" borderId="0" xfId="0" applyNumberFormat="1" applyFont="1" applyAlignment="1">
      <alignment horizontal="left" vertical="center"/>
    </xf>
    <xf numFmtId="49" fontId="21" fillId="0" borderId="0" xfId="0" applyNumberFormat="1" applyFont="1" applyAlignment="1">
      <alignment horizontal="left" vertical="center" indent="2"/>
    </xf>
    <xf numFmtId="49" fontId="21" fillId="0" borderId="0" xfId="0" applyNumberFormat="1" applyFont="1" applyAlignment="1">
      <alignment horizontal="center" vertical="center" wrapText="1"/>
    </xf>
    <xf numFmtId="49" fontId="21" fillId="0" borderId="0" xfId="0" applyNumberFormat="1" applyFont="1" applyAlignment="1">
      <alignment horizontal="left" vertical="center" indent="1"/>
    </xf>
    <xf numFmtId="0" fontId="3" fillId="0" borderId="0" xfId="0" applyNumberFormat="1" applyFont="1" applyAlignment="1">
      <alignment horizontal="center" vertical="center" wrapText="1"/>
    </xf>
    <xf numFmtId="49" fontId="3" fillId="0" borderId="0" xfId="0" applyNumberFormat="1" applyFont="1" applyAlignment="1">
      <alignment vertical="center" wrapText="1"/>
    </xf>
    <xf numFmtId="0" fontId="20" fillId="0" borderId="0" xfId="0" applyNumberFormat="1" applyFont="1" applyAlignment="1">
      <alignment horizontal="center" vertical="center" wrapText="1"/>
    </xf>
    <xf numFmtId="0" fontId="3" fillId="6" borderId="3" xfId="0" applyNumberFormat="1" applyFont="1" applyFill="1" applyBorder="1" applyAlignment="1">
      <alignment horizontal="center" vertical="center" wrapText="1"/>
    </xf>
    <xf numFmtId="0" fontId="21"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0" fontId="3"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3" fillId="6" borderId="3" xfId="0" applyNumberFormat="1" applyFont="1" applyFill="1" applyBorder="1" applyAlignment="1">
      <alignment horizontal="left" vertical="center" wrapText="1"/>
    </xf>
    <xf numFmtId="49" fontId="3"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1" fillId="0" borderId="0" xfId="0" applyNumberFormat="1" applyFont="1" applyAlignment="1">
      <alignment horizontal="center" vertical="center"/>
    </xf>
    <xf numFmtId="0" fontId="3"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3" fillId="0" borderId="3" xfId="0" applyNumberFormat="1" applyFont="1" applyBorder="1" applyAlignment="1">
      <alignment horizontal="left" vertical="center" wrapText="1"/>
    </xf>
    <xf numFmtId="0" fontId="21" fillId="0" borderId="0" xfId="0" applyNumberFormat="1" applyFont="1" applyAlignment="1">
      <alignment horizontal="left" vertical="center" indent="1"/>
    </xf>
    <xf numFmtId="49" fontId="80" fillId="0" borderId="0" xfId="0" applyNumberFormat="1" applyFont="1">
      <alignment vertical="top"/>
    </xf>
    <xf numFmtId="49" fontId="3" fillId="0" borderId="3" xfId="0" applyNumberFormat="1" applyFont="1" applyBorder="1" applyAlignment="1">
      <alignment vertical="center" wrapText="1"/>
    </xf>
    <xf numFmtId="0" fontId="21" fillId="0" borderId="0" xfId="0" applyNumberFormat="1" applyFont="1" applyAlignment="1">
      <alignment horizontal="center" vertical="center"/>
    </xf>
    <xf numFmtId="0" fontId="3" fillId="11" borderId="3" xfId="0" applyNumberFormat="1" applyFont="1" applyFill="1" applyBorder="1" applyAlignment="1">
      <alignment horizontal="left" vertical="center" wrapText="1" indent="6"/>
    </xf>
    <xf numFmtId="4" fontId="3" fillId="0" borderId="8" xfId="0" applyNumberFormat="1" applyFont="1" applyBorder="1" applyAlignment="1">
      <alignment horizontal="right" vertical="center" wrapText="1"/>
    </xf>
    <xf numFmtId="4" fontId="3" fillId="0" borderId="14" xfId="0" applyNumberFormat="1" applyFont="1" applyBorder="1" applyAlignment="1">
      <alignment horizontal="right" vertical="center" wrapText="1"/>
    </xf>
    <xf numFmtId="0" fontId="0" fillId="0" borderId="0" xfId="0" applyNumberFormat="1" applyFont="1" applyAlignment="1">
      <alignment vertical="center"/>
    </xf>
    <xf numFmtId="0" fontId="3"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1" fillId="0" borderId="0" xfId="0" applyNumberFormat="1" applyFont="1" applyAlignment="1">
      <alignment horizontal="center" vertical="center" wrapText="1"/>
    </xf>
    <xf numFmtId="0" fontId="3" fillId="0" borderId="0" xfId="0" applyNumberFormat="1" applyFont="1" applyAlignment="1">
      <alignment horizontal="right" vertical="center" wrapText="1"/>
    </xf>
    <xf numFmtId="0" fontId="3"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xf>
    <xf numFmtId="49" fontId="3" fillId="0" borderId="3" xfId="0" applyNumberFormat="1" applyFont="1" applyBorder="1" applyAlignment="1">
      <alignment horizontal="left" vertical="center" wrapTex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49" fontId="20" fillId="0" borderId="0" xfId="0" applyNumberFormat="1" applyFont="1" applyAlignment="1">
      <alignment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center" vertical="center"/>
    </xf>
    <xf numFmtId="0"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0" fillId="0" borderId="3" xfId="0" applyNumberFormat="1" applyFont="1" applyBorder="1" applyAlignment="1">
      <alignment vertical="center" wrapText="1"/>
    </xf>
    <xf numFmtId="0" fontId="20" fillId="0" borderId="0" xfId="0" applyNumberFormat="1" applyFont="1" applyAlignment="1">
      <alignment vertical="center"/>
    </xf>
    <xf numFmtId="0" fontId="20" fillId="0" borderId="0" xfId="0" applyNumberFormat="1" applyFont="1" applyAlignment="1">
      <alignment horizontal="center" vertical="center"/>
    </xf>
    <xf numFmtId="0" fontId="20"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1" fillId="0" borderId="3" xfId="0" applyNumberFormat="1" applyFont="1" applyBorder="1" applyAlignment="1">
      <alignment horizontal="center" vertical="center" wrapText="1"/>
    </xf>
    <xf numFmtId="0" fontId="45" fillId="0" borderId="0" xfId="0" applyNumberFormat="1" applyFont="1" applyAlignment="1">
      <alignment horizontal="left" vertical="center" indent="1"/>
    </xf>
    <xf numFmtId="0" fontId="45" fillId="0" borderId="0" xfId="0" applyNumberFormat="1" applyFont="1" applyAlignment="1">
      <alignment horizontal="left" vertical="center" indent="1"/>
    </xf>
    <xf numFmtId="0" fontId="21" fillId="0" borderId="3" xfId="0" applyNumberFormat="1" applyFont="1" applyBorder="1" applyAlignment="1">
      <alignment vertical="center" wrapText="1"/>
    </xf>
    <xf numFmtId="0" fontId="45" fillId="0" borderId="0" xfId="0" applyNumberFormat="1" applyFont="1" applyAlignment="1">
      <alignment horizontal="center" vertical="center"/>
    </xf>
    <xf numFmtId="0" fontId="45" fillId="0" borderId="0" xfId="0" applyNumberFormat="1" applyFont="1" applyAlignment="1">
      <alignment horizontal="left" vertical="center" wrapText="1"/>
    </xf>
    <xf numFmtId="49" fontId="45" fillId="0" borderId="0" xfId="0" applyNumberFormat="1" applyFont="1" applyAlignment="1">
      <alignment horizontal="left" vertical="center"/>
    </xf>
    <xf numFmtId="0" fontId="3" fillId="0" borderId="0" xfId="0" applyNumberFormat="1" applyFont="1" applyAlignment="1">
      <alignment horizontal="center" vertical="center"/>
    </xf>
    <xf numFmtId="0" fontId="45" fillId="0" borderId="0" xfId="0" applyNumberFormat="1" applyFont="1" applyAlignment="1">
      <alignment horizontal="center" vertical="center"/>
    </xf>
    <xf numFmtId="4" fontId="3" fillId="0" borderId="4" xfId="0" applyNumberFormat="1" applyFont="1" applyBorder="1" applyAlignment="1">
      <alignment horizontal="right" vertical="center" wrapText="1"/>
    </xf>
    <xf numFmtId="0" fontId="21" fillId="0" borderId="3" xfId="0" applyNumberFormat="1" applyFont="1" applyBorder="1" applyAlignment="1">
      <alignment horizontal="left" vertical="center" wrapText="1" indent="4"/>
    </xf>
    <xf numFmtId="0" fontId="21" fillId="0" borderId="3" xfId="0" applyNumberFormat="1" applyFont="1" applyBorder="1" applyAlignment="1">
      <alignment horizontal="left" vertical="center" wrapText="1" indent="6"/>
    </xf>
    <xf numFmtId="0" fontId="21"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1" fillId="0" borderId="6" xfId="0" applyNumberFormat="1" applyFont="1" applyBorder="1" applyAlignment="1">
      <alignment horizontal="left" vertical="center" indent="4"/>
    </xf>
    <xf numFmtId="49" fontId="21" fillId="0" borderId="6"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4" fontId="3" fillId="0" borderId="27" xfId="0" applyNumberFormat="1" applyFont="1" applyBorder="1" applyAlignment="1">
      <alignment horizontal="right" vertical="center" wrapText="1"/>
    </xf>
    <xf numFmtId="0" fontId="3" fillId="7" borderId="3" xfId="0" applyNumberFormat="1" applyFont="1" applyFill="1" applyBorder="1" applyAlignment="1" applyProtection="1">
      <alignment horizontal="left" vertical="center" wrapText="1" indent="7"/>
      <protection locked="0"/>
    </xf>
    <xf numFmtId="0" fontId="3" fillId="8" borderId="6" xfId="0" applyNumberFormat="1" applyFont="1" applyFill="1" applyBorder="1" applyAlignment="1">
      <alignment horizontal="left" vertical="center" wrapText="1" indent="6"/>
    </xf>
    <xf numFmtId="4" fontId="3" fillId="8" borderId="6" xfId="0" applyNumberFormat="1" applyFont="1" applyFill="1" applyBorder="1" applyAlignment="1">
      <alignment horizontal="right" vertical="center" wrapText="1"/>
    </xf>
    <xf numFmtId="4" fontId="21" fillId="8" borderId="6" xfId="0" applyNumberFormat="1" applyFont="1" applyFill="1" applyBorder="1" applyAlignment="1">
      <alignment horizontal="center" vertical="center" wrapText="1"/>
    </xf>
    <xf numFmtId="4" fontId="3" fillId="8" borderId="4" xfId="0" applyNumberFormat="1" applyFont="1" applyFill="1" applyBorder="1" applyAlignment="1">
      <alignment horizontal="right" vertical="center" wrapText="1"/>
    </xf>
    <xf numFmtId="4" fontId="21" fillId="8" borderId="4" xfId="0" applyNumberFormat="1" applyFont="1" applyFill="1" applyBorder="1" applyAlignment="1">
      <alignment horizontal="center" vertical="center" wrapText="1"/>
    </xf>
    <xf numFmtId="169" fontId="3" fillId="8" borderId="4" xfId="0" applyNumberFormat="1" applyFont="1" applyFill="1" applyBorder="1" applyAlignment="1">
      <alignment horizontal="right" vertical="center" wrapText="1"/>
    </xf>
    <xf numFmtId="0" fontId="3" fillId="11" borderId="3" xfId="0" applyNumberFormat="1" applyFont="1" applyFill="1" applyBorder="1" applyAlignment="1">
      <alignment horizontal="left" vertical="center" wrapText="1" indent="1"/>
    </xf>
    <xf numFmtId="0" fontId="21" fillId="0" borderId="3" xfId="0" applyNumberFormat="1" applyFont="1" applyBorder="1" applyAlignment="1">
      <alignment horizontal="left" vertical="center" wrapText="1" indent="5"/>
    </xf>
    <xf numFmtId="49" fontId="45" fillId="0" borderId="15" xfId="0" applyNumberFormat="1" applyFont="1" applyBorder="1">
      <alignment vertical="top"/>
    </xf>
    <xf numFmtId="49" fontId="21" fillId="0" borderId="15" xfId="0" applyNumberFormat="1" applyFont="1" applyBorder="1">
      <alignment vertical="top"/>
    </xf>
    <xf numFmtId="0" fontId="3" fillId="0" borderId="3" xfId="0" applyNumberFormat="1" applyFont="1" applyBorder="1" applyAlignment="1">
      <alignment horizontal="left" vertical="center" wrapText="1" indent="1"/>
    </xf>
    <xf numFmtId="4" fontId="21" fillId="0" borderId="3" xfId="0" applyNumberFormat="1" applyFont="1" applyBorder="1" applyAlignment="1">
      <alignment horizontal="right" vertical="center" wrapText="1"/>
    </xf>
    <xf numFmtId="169" fontId="21" fillId="0" borderId="3" xfId="0" applyNumberFormat="1" applyFont="1" applyBorder="1" applyAlignment="1">
      <alignment horizontal="right" vertical="center" wrapText="1"/>
    </xf>
    <xf numFmtId="169" fontId="3" fillId="7" borderId="5" xfId="0" applyNumberFormat="1" applyFont="1" applyFill="1" applyBorder="1" applyAlignment="1" applyProtection="1">
      <alignment horizontal="right" vertical="center" wrapText="1"/>
      <protection locked="0"/>
    </xf>
    <xf numFmtId="4" fontId="21" fillId="0" borderId="5" xfId="0" applyNumberFormat="1" applyFont="1" applyBorder="1" applyAlignment="1">
      <alignment horizontal="center" vertical="center" wrapText="1"/>
    </xf>
    <xf numFmtId="4" fontId="3" fillId="7" borderId="4" xfId="0" applyNumberFormat="1" applyFont="1" applyFill="1" applyBorder="1" applyAlignment="1" applyProtection="1">
      <alignment horizontal="right" vertical="center" wrapText="1"/>
      <protection locked="0"/>
    </xf>
    <xf numFmtId="49" fontId="3" fillId="8" borderId="18" xfId="0" applyNumberFormat="1" applyFont="1" applyFill="1" applyBorder="1" applyAlignment="1">
      <alignment horizontal="center" vertical="center" wrapText="1"/>
    </xf>
    <xf numFmtId="49" fontId="20" fillId="0" borderId="0" xfId="0" applyNumberFormat="1" applyFont="1" applyAlignment="1">
      <alignment vertical="center" wrapText="1"/>
    </xf>
    <xf numFmtId="0" fontId="20"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1" fillId="0" borderId="0" xfId="0" applyNumberFormat="1" applyFont="1" applyAlignment="1">
      <alignment vertical="center"/>
    </xf>
    <xf numFmtId="0" fontId="22" fillId="0" borderId="0" xfId="0" applyNumberFormat="1" applyFont="1" applyAlignment="1">
      <alignment vertical="center"/>
    </xf>
    <xf numFmtId="0" fontId="21" fillId="0" borderId="0" xfId="0" applyNumberFormat="1" applyFont="1" applyAlignment="1">
      <alignment vertical="center"/>
    </xf>
    <xf numFmtId="0" fontId="21" fillId="0" borderId="0" xfId="0" applyNumberFormat="1" applyFont="1" applyAlignment="1">
      <alignment vertical="center"/>
    </xf>
    <xf numFmtId="49" fontId="3"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3" fillId="0" borderId="10"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49" fontId="3" fillId="0" borderId="3" xfId="0" applyNumberFormat="1" applyFont="1" applyBorder="1" applyAlignment="1">
      <alignment horizontal="left" vertical="center" wrapText="1"/>
    </xf>
    <xf numFmtId="0" fontId="3" fillId="6" borderId="3" xfId="0" applyNumberFormat="1" applyFont="1" applyFill="1" applyBorder="1" applyAlignment="1">
      <alignment horizontal="left" vertical="center" wrapText="1"/>
    </xf>
    <xf numFmtId="0" fontId="21" fillId="0" borderId="0" xfId="0" applyNumberFormat="1" applyFont="1" applyAlignment="1">
      <alignment horizontal="center" vertical="center"/>
    </xf>
    <xf numFmtId="49" fontId="3" fillId="0" borderId="0" xfId="0" applyNumberFormat="1" applyFont="1" applyAlignment="1">
      <alignment horizontal="center" vertical="top"/>
    </xf>
    <xf numFmtId="49" fontId="4"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3" fillId="8" borderId="20" xfId="0" applyNumberFormat="1" applyFont="1" applyFill="1" applyBorder="1" applyAlignment="1">
      <alignment horizontal="left" vertical="center"/>
    </xf>
    <xf numFmtId="49" fontId="21" fillId="0" borderId="5" xfId="0" applyNumberFormat="1" applyFont="1" applyBorder="1" applyAlignment="1">
      <alignment horizontal="left" vertical="center" wrapText="1"/>
    </xf>
    <xf numFmtId="0" fontId="21" fillId="0" borderId="5" xfId="0" applyNumberFormat="1" applyFont="1" applyBorder="1" applyAlignment="1">
      <alignment horizontal="left" vertical="center"/>
    </xf>
    <xf numFmtId="0" fontId="21" fillId="0" borderId="6" xfId="0" applyNumberFormat="1" applyFont="1" applyBorder="1" applyAlignment="1">
      <alignment horizontal="left" vertical="center"/>
    </xf>
    <xf numFmtId="49" fontId="3" fillId="7" borderId="3" xfId="0" applyNumberFormat="1" applyFont="1" applyFill="1" applyBorder="1" applyAlignment="1" applyProtection="1">
      <alignment horizontal="left" vertical="center" wrapText="1" indent="6"/>
      <protection locked="0"/>
    </xf>
    <xf numFmtId="4" fontId="3" fillId="0" borderId="28" xfId="0" applyNumberFormat="1" applyFont="1" applyBorder="1" applyAlignment="1">
      <alignment horizontal="right" vertical="center" wrapText="1"/>
    </xf>
    <xf numFmtId="4" fontId="3"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3" fillId="0" borderId="10" xfId="0" applyNumberFormat="1" applyFont="1" applyBorder="1" applyAlignment="1">
      <alignment horizontal="center" vertical="center" wrapText="1"/>
    </xf>
    <xf numFmtId="49" fontId="3"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3" fillId="6" borderId="3" xfId="0" applyNumberFormat="1" applyFont="1" applyFill="1" applyBorder="1" applyAlignment="1">
      <alignment horizontal="center" vertical="center" wrapText="1"/>
    </xf>
    <xf numFmtId="0" fontId="3" fillId="0" borderId="0" xfId="0" applyNumberFormat="1" applyFont="1" applyAlignment="1">
      <alignment horizontal="left" vertical="top" wrapText="1"/>
    </xf>
    <xf numFmtId="0" fontId="21"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3"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3" fillId="0" borderId="3" xfId="0" applyNumberFormat="1" applyFont="1" applyBorder="1" applyAlignment="1">
      <alignment horizontal="left" vertical="center" wrapText="1"/>
    </xf>
    <xf numFmtId="0" fontId="3" fillId="6" borderId="3" xfId="0" applyNumberFormat="1" applyFont="1" applyFill="1" applyBorder="1" applyAlignment="1">
      <alignment horizontal="left" vertical="center" wrapText="1"/>
    </xf>
    <xf numFmtId="0" fontId="21" fillId="0" borderId="0" xfId="0" applyNumberFormat="1" applyFont="1" applyAlignment="1">
      <alignment horizontal="center" vertical="center"/>
    </xf>
    <xf numFmtId="49" fontId="3" fillId="11" borderId="3" xfId="0" applyNumberFormat="1" applyFont="1" applyFill="1" applyBorder="1" applyAlignment="1">
      <alignment horizontal="center" vertical="center" wrapText="1"/>
    </xf>
    <xf numFmtId="49" fontId="21" fillId="0" borderId="3" xfId="0" applyNumberFormat="1" applyFont="1" applyBorder="1" applyAlignment="1">
      <alignment horizontal="center" vertical="center" wrapText="1"/>
    </xf>
    <xf numFmtId="0" fontId="21" fillId="0" borderId="0" xfId="0" applyNumberFormat="1" applyFont="1" applyAlignment="1">
      <alignment horizontal="center" vertical="center" wrapText="1"/>
    </xf>
    <xf numFmtId="49" fontId="3" fillId="6" borderId="3" xfId="0" applyNumberFormat="1" applyFont="1" applyFill="1" applyBorder="1" applyAlignment="1">
      <alignment horizontal="center" vertical="center" wrapText="1"/>
    </xf>
    <xf numFmtId="0" fontId="21" fillId="0" borderId="0" xfId="0" applyNumberFormat="1" applyFont="1" applyAlignment="1">
      <alignment horizontal="center" vertical="center"/>
    </xf>
    <xf numFmtId="0" fontId="3" fillId="6" borderId="3" xfId="0" applyNumberFormat="1" applyFont="1" applyFill="1" applyBorder="1" applyAlignment="1">
      <alignment horizontal="left" vertical="center" wrapText="1"/>
    </xf>
    <xf numFmtId="49" fontId="3" fillId="10" borderId="3" xfId="0" applyNumberFormat="1" applyFont="1" applyFill="1" applyBorder="1" applyAlignment="1" applyProtection="1">
      <alignment horizontal="left" vertical="center" wrapText="1" indent="1"/>
      <protection locked="0"/>
    </xf>
    <xf numFmtId="0" fontId="3" fillId="0" borderId="0" xfId="0" applyNumberFormat="1" applyFont="1" applyAlignment="1">
      <alignment horizontal="center" vertical="center" wrapText="1"/>
    </xf>
    <xf numFmtId="49" fontId="3" fillId="11" borderId="3" xfId="0" applyNumberFormat="1" applyFont="1" applyFill="1" applyBorder="1" applyAlignment="1">
      <alignment horizontal="center" vertical="center" wrapText="1"/>
    </xf>
    <xf numFmtId="49" fontId="3" fillId="0" borderId="10" xfId="0" applyNumberFormat="1" applyFont="1" applyBorder="1" applyAlignment="1">
      <alignment horizontal="center" vertical="center" wrapText="1"/>
    </xf>
    <xf numFmtId="49" fontId="3"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3" fillId="6" borderId="3" xfId="0" applyNumberFormat="1" applyFont="1" applyFill="1" applyBorder="1" applyAlignment="1">
      <alignment horizontal="center" vertical="center" wrapText="1"/>
    </xf>
    <xf numFmtId="0" fontId="21"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3" fillId="6" borderId="15"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3" fillId="6" borderId="3" xfId="0" applyNumberFormat="1" applyFont="1" applyFill="1" applyBorder="1" applyAlignment="1">
      <alignment horizontal="center" vertical="center" wrapText="1"/>
    </xf>
    <xf numFmtId="0" fontId="3" fillId="0" borderId="0" xfId="0" applyNumberFormat="1" applyFont="1" applyAlignment="1">
      <alignment horizontal="left" vertical="top" wrapText="1"/>
    </xf>
    <xf numFmtId="0" fontId="21"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49" fontId="21" fillId="0" borderId="3" xfId="0" applyNumberFormat="1" applyFont="1" applyBorder="1" applyAlignment="1">
      <alignment horizontal="center" vertical="center" wrapText="1"/>
    </xf>
    <xf numFmtId="49" fontId="3" fillId="6" borderId="3" xfId="0" applyNumberFormat="1" applyFont="1" applyFill="1" applyBorder="1" applyAlignment="1">
      <alignment horizontal="center" vertical="center" wrapText="1"/>
    </xf>
    <xf numFmtId="0" fontId="3" fillId="0" borderId="0" xfId="0" applyNumberFormat="1" applyFont="1" applyAlignment="1">
      <alignment horizontal="center" vertical="center" wrapText="1"/>
    </xf>
    <xf numFmtId="0" fontId="3"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3" fillId="0" borderId="3" xfId="0" applyNumberFormat="1" applyFont="1" applyBorder="1" applyAlignment="1">
      <alignment horizontal="left" vertical="center" wrapText="1"/>
    </xf>
    <xf numFmtId="49" fontId="3" fillId="11" borderId="3" xfId="0" applyNumberFormat="1" applyFont="1" applyFill="1" applyBorder="1" applyAlignment="1">
      <alignment horizontal="left" vertical="center" wrapText="1"/>
    </xf>
    <xf numFmtId="49" fontId="3" fillId="10" borderId="3" xfId="0" applyNumberFormat="1" applyFont="1" applyFill="1" applyBorder="1" applyAlignment="1" applyProtection="1">
      <alignment horizontal="left" vertical="center" wrapText="1" indent="1"/>
      <protection locked="0"/>
    </xf>
    <xf numFmtId="0" fontId="3" fillId="6" borderId="3" xfId="0" applyNumberFormat="1" applyFont="1" applyFill="1" applyBorder="1" applyAlignment="1">
      <alignment horizontal="left" vertical="center" wrapText="1"/>
    </xf>
    <xf numFmtId="0" fontId="21" fillId="0" borderId="0" xfId="0" applyNumberFormat="1" applyFont="1" applyAlignment="1">
      <alignment horizontal="center" vertical="center"/>
    </xf>
    <xf numFmtId="0" fontId="9" fillId="0" borderId="0" xfId="0" applyNumberFormat="1" applyFont="1" applyAlignment="1">
      <alignment horizontal="center" vertical="center" wrapText="1"/>
    </xf>
    <xf numFmtId="169" fontId="3"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1" fillId="6" borderId="3" xfId="0" applyNumberFormat="1" applyFont="1" applyFill="1" applyBorder="1" applyAlignment="1">
      <alignment horizontal="left" vertical="center" wrapText="1" indent="3"/>
    </xf>
    <xf numFmtId="49" fontId="13"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1" fillId="0" borderId="0" xfId="0" applyNumberFormat="1" applyFont="1" applyAlignment="1">
      <alignment horizontal="left" vertical="center" wrapText="1" indent="1"/>
    </xf>
    <xf numFmtId="0" fontId="21" fillId="0" borderId="0" xfId="0" applyNumberFormat="1" applyFont="1" applyAlignment="1">
      <alignment horizontal="left" vertical="center" wrapText="1" indent="4"/>
    </xf>
    <xf numFmtId="0" fontId="21" fillId="0" borderId="0" xfId="0" applyNumberFormat="1" applyFont="1" applyAlignment="1">
      <alignment horizontal="left" vertical="center" wrapText="1" indent="1"/>
    </xf>
    <xf numFmtId="49" fontId="3" fillId="8" borderId="5" xfId="0" applyNumberFormat="1" applyFont="1" applyFill="1" applyBorder="1" applyAlignment="1">
      <alignment horizontal="center" vertical="center" wrapText="1"/>
    </xf>
    <xf numFmtId="0" fontId="21" fillId="0" borderId="15" xfId="0" applyNumberFormat="1" applyFont="1" applyBorder="1" applyAlignment="1">
      <alignment horizontal="left" vertical="center" wrapText="1" indent="1"/>
    </xf>
    <xf numFmtId="0" fontId="20" fillId="0" borderId="0" xfId="0" applyNumberFormat="1" applyFont="1" applyAlignment="1">
      <alignment horizontal="left" vertical="center"/>
    </xf>
    <xf numFmtId="49" fontId="20" fillId="0" borderId="0" xfId="0" applyNumberFormat="1" applyFont="1" applyAlignment="1">
      <alignment horizontal="left" vertical="center"/>
    </xf>
    <xf numFmtId="0" fontId="20" fillId="0" borderId="0" xfId="0" applyNumberFormat="1" applyFont="1" applyAlignment="1">
      <alignment horizontal="left" vertical="center"/>
    </xf>
    <xf numFmtId="0" fontId="42" fillId="0" borderId="0" xfId="0" applyNumberFormat="1" applyFont="1" applyAlignment="1">
      <alignment horizontal="left" vertical="center"/>
    </xf>
    <xf numFmtId="0" fontId="21" fillId="0" borderId="0" xfId="0" applyNumberFormat="1" applyFont="1" applyAlignment="1">
      <alignment horizontal="left" vertical="center"/>
    </xf>
    <xf numFmtId="49" fontId="3" fillId="0" borderId="0" xfId="0" applyNumberFormat="1" applyFont="1" applyAlignment="1">
      <alignment horizontal="center" vertical="center" wrapText="1"/>
    </xf>
    <xf numFmtId="49" fontId="3" fillId="0" borderId="10" xfId="0" applyNumberFormat="1" applyFont="1" applyBorder="1" applyAlignment="1">
      <alignment horizontal="center" vertical="center" wrapText="1"/>
    </xf>
    <xf numFmtId="49" fontId="3" fillId="0" borderId="10" xfId="0" applyNumberFormat="1" applyFont="1" applyBorder="1" applyAlignment="1">
      <alignment horizontal="left" vertical="center" wrapText="1"/>
    </xf>
    <xf numFmtId="0" fontId="9" fillId="0" borderId="0" xfId="0" applyNumberFormat="1" applyFont="1" applyAlignment="1">
      <alignment horizontal="center" vertical="center" wrapText="1"/>
    </xf>
    <xf numFmtId="0" fontId="9" fillId="6" borderId="0" xfId="0" applyNumberFormat="1" applyFont="1" applyFill="1" applyAlignment="1">
      <alignment horizontal="center" vertical="center" wrapText="1"/>
    </xf>
    <xf numFmtId="49" fontId="20" fillId="0" borderId="0" xfId="0" applyNumberFormat="1" applyFont="1" applyAlignment="1">
      <alignment horizontal="left" vertical="center"/>
    </xf>
    <xf numFmtId="49" fontId="20" fillId="0" borderId="0" xfId="0" applyNumberFormat="1" applyFont="1" applyAlignment="1">
      <alignment horizontal="left" vertical="center"/>
    </xf>
    <xf numFmtId="49" fontId="20" fillId="0" borderId="0" xfId="0" applyNumberFormat="1" applyFont="1" applyAlignment="1">
      <alignment horizontal="left" vertical="top"/>
    </xf>
    <xf numFmtId="49" fontId="3" fillId="6" borderId="3" xfId="0" applyNumberFormat="1" applyFont="1" applyFill="1" applyBorder="1" applyAlignment="1">
      <alignment horizontal="center" vertical="center"/>
    </xf>
    <xf numFmtId="0" fontId="3" fillId="0" borderId="3"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indent="1"/>
    </xf>
    <xf numFmtId="49"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indent="1"/>
    </xf>
    <xf numFmtId="0" fontId="3" fillId="0" borderId="3" xfId="0" applyNumberFormat="1" applyFont="1" applyBorder="1" applyAlignment="1">
      <alignment vertical="center" wrapText="1"/>
    </xf>
    <xf numFmtId="49" fontId="3" fillId="10" borderId="3" xfId="0" applyNumberFormat="1" applyFont="1" applyFill="1" applyBorder="1" applyAlignment="1" applyProtection="1">
      <alignment horizontal="left" vertical="center" wrapText="1"/>
      <protection locked="0"/>
    </xf>
    <xf numFmtId="0" fontId="3" fillId="6" borderId="3" xfId="0" applyNumberFormat="1" applyFont="1" applyFill="1" applyBorder="1" applyAlignment="1">
      <alignment horizontal="left" vertical="center" wrapText="1"/>
    </xf>
    <xf numFmtId="0" fontId="21" fillId="6" borderId="3" xfId="0" applyNumberFormat="1" applyFont="1" applyFill="1" applyBorder="1" applyAlignment="1">
      <alignment horizontal="center" vertical="center"/>
    </xf>
    <xf numFmtId="0" fontId="45" fillId="6" borderId="0" xfId="0" applyNumberFormat="1" applyFont="1" applyFill="1" applyAlignment="1">
      <alignment vertical="center" wrapText="1"/>
    </xf>
    <xf numFmtId="49" fontId="3"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3"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8" fontId="3" fillId="0" borderId="14" xfId="0" applyNumberFormat="1" applyFont="1" applyBorder="1" applyAlignment="1">
      <alignment horizontal="center" vertical="center" wrapText="1"/>
    </xf>
    <xf numFmtId="14" fontId="3" fillId="10" borderId="3" xfId="0" applyNumberFormat="1" applyFont="1" applyFill="1" applyBorder="1" applyAlignment="1" applyProtection="1">
      <alignment horizontal="left" vertical="center" wrapText="1" indent="1"/>
      <protection locked="0"/>
    </xf>
    <xf numFmtId="0" fontId="3" fillId="5" borderId="14" xfId="0" applyNumberFormat="1" applyFont="1" applyFill="1" applyBorder="1" applyAlignment="1">
      <alignment horizontal="left" vertical="center" wrapText="1" indent="1"/>
    </xf>
    <xf numFmtId="168" fontId="3" fillId="0" borderId="8" xfId="0" applyNumberFormat="1" applyFont="1" applyBorder="1" applyAlignment="1">
      <alignment horizontal="center" vertical="center" wrapText="1"/>
    </xf>
    <xf numFmtId="49" fontId="23"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26" fillId="8" borderId="18" xfId="0" applyNumberFormat="1" applyFont="1" applyFill="1" applyBorder="1" applyAlignment="1">
      <alignment horizontal="left" vertical="center" wrapText="1"/>
    </xf>
    <xf numFmtId="0" fontId="21" fillId="0" borderId="18" xfId="0" applyNumberFormat="1" applyFont="1" applyBorder="1" applyAlignment="1">
      <alignment horizontal="center" vertical="center" wrapText="1"/>
    </xf>
    <xf numFmtId="0" fontId="21" fillId="0" borderId="0" xfId="0" applyNumberFormat="1" applyFont="1" applyAlignment="1">
      <alignment horizontal="center" vertical="center"/>
    </xf>
    <xf numFmtId="14" fontId="3" fillId="11" borderId="3" xfId="0" applyNumberFormat="1" applyFont="1" applyFill="1" applyBorder="1" applyAlignment="1">
      <alignment horizontal="left" vertical="center" wrapText="1"/>
    </xf>
    <xf numFmtId="168" fontId="3" fillId="0" borderId="28" xfId="0" applyNumberFormat="1" applyFont="1" applyBorder="1" applyAlignment="1">
      <alignment horizontal="center" vertical="center" wrapText="1"/>
    </xf>
    <xf numFmtId="0" fontId="3" fillId="10" borderId="3" xfId="0" applyNumberFormat="1" applyFont="1" applyFill="1" applyBorder="1" applyAlignment="1" applyProtection="1">
      <alignment horizontal="center" vertical="center" wrapText="1"/>
      <protection locked="0"/>
    </xf>
    <xf numFmtId="0" fontId="20" fillId="6" borderId="0" xfId="0" applyNumberFormat="1" applyFont="1" applyFill="1" applyAlignment="1"/>
    <xf numFmtId="0" fontId="3" fillId="0" borderId="6" xfId="0" applyNumberFormat="1" applyFont="1" applyBorder="1" applyAlignment="1">
      <alignment horizontal="right" vertical="center" wrapText="1" indent="1"/>
    </xf>
    <xf numFmtId="0" fontId="3" fillId="5" borderId="5" xfId="0" applyNumberFormat="1" applyFont="1" applyFill="1" applyBorder="1" applyAlignment="1">
      <alignment horizontal="left" vertical="top" wrapText="1"/>
    </xf>
    <xf numFmtId="49" fontId="21" fillId="0" borderId="0" xfId="0" applyNumberFormat="1" applyFont="1" applyAlignment="1">
      <alignment horizontal="center" vertical="center"/>
    </xf>
    <xf numFmtId="0" fontId="15" fillId="0" borderId="0" xfId="0" applyNumberFormat="1" applyFont="1" applyAlignment="1">
      <alignment vertical="center"/>
    </xf>
    <xf numFmtId="0" fontId="3" fillId="0" borderId="27" xfId="0" applyNumberFormat="1" applyFont="1" applyBorder="1" applyAlignment="1">
      <alignment horizontal="center" vertical="center" wrapText="1"/>
    </xf>
    <xf numFmtId="0" fontId="3" fillId="0" borderId="28"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49" fontId="3" fillId="0" borderId="27" xfId="0" applyNumberFormat="1" applyFont="1" applyBorder="1" applyAlignment="1">
      <alignment horizontal="left" vertical="center" wrapText="1"/>
    </xf>
    <xf numFmtId="49" fontId="3" fillId="0" borderId="27" xfId="0" applyNumberFormat="1" applyFont="1" applyBorder="1" applyAlignment="1">
      <alignment horizontal="center" vertical="center" wrapText="1"/>
    </xf>
    <xf numFmtId="49" fontId="3" fillId="0" borderId="8" xfId="0" applyNumberFormat="1" applyFont="1" applyBorder="1" applyAlignment="1">
      <alignment horizontal="center" vertical="center" wrapText="1"/>
    </xf>
    <xf numFmtId="0" fontId="3" fillId="0" borderId="27" xfId="0" applyNumberFormat="1" applyFont="1" applyBorder="1" applyAlignment="1">
      <alignment horizontal="left" vertical="center" wrapText="1"/>
    </xf>
    <xf numFmtId="49" fontId="3" fillId="0" borderId="27" xfId="0" applyNumberFormat="1" applyFont="1" applyBorder="1" applyAlignment="1">
      <alignment vertical="center" wrapText="1"/>
    </xf>
    <xf numFmtId="0" fontId="3" fillId="0" borderId="14" xfId="0" applyNumberFormat="1" applyFont="1" applyBorder="1" applyAlignment="1">
      <alignment horizontal="left" vertical="center" wrapText="1"/>
    </xf>
    <xf numFmtId="0" fontId="13" fillId="0" borderId="14" xfId="0" applyNumberFormat="1" applyFont="1" applyBorder="1" applyAlignment="1">
      <alignment horizontal="left" vertical="center"/>
    </xf>
    <xf numFmtId="0" fontId="13" fillId="8" borderId="5" xfId="0" applyNumberFormat="1" applyFont="1" applyFill="1" applyBorder="1" applyAlignment="1">
      <alignment horizontal="left" vertical="center"/>
    </xf>
    <xf numFmtId="0" fontId="13" fillId="0" borderId="27" xfId="0" applyNumberFormat="1" applyFont="1" applyBorder="1" applyAlignment="1">
      <alignment horizontal="left" vertical="center"/>
    </xf>
    <xf numFmtId="0" fontId="13"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3" fillId="11" borderId="8" xfId="0" applyNumberFormat="1" applyFont="1" applyFill="1" applyBorder="1" applyAlignment="1">
      <alignment vertical="center" wrapText="1"/>
    </xf>
    <xf numFmtId="0" fontId="3" fillId="0" borderId="28" xfId="0" applyNumberFormat="1" applyFont="1" applyBorder="1" applyAlignment="1">
      <alignment horizontal="center" vertical="center" wrapText="1"/>
    </xf>
    <xf numFmtId="49" fontId="20"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3" fillId="0" borderId="8" xfId="0" applyNumberFormat="1" applyFont="1" applyBorder="1" applyAlignment="1">
      <alignment horizontal="center" vertical="center" wrapText="1"/>
    </xf>
    <xf numFmtId="49" fontId="3" fillId="0" borderId="8" xfId="0" applyNumberFormat="1" applyFont="1" applyBorder="1" applyAlignment="1">
      <alignment horizontal="left" vertical="center" wrapText="1"/>
    </xf>
    <xf numFmtId="49" fontId="3" fillId="0" borderId="8" xfId="0" applyNumberFormat="1" applyFont="1" applyBorder="1" applyAlignment="1">
      <alignment horizontal="left" vertical="center" wrapText="1"/>
    </xf>
    <xf numFmtId="49" fontId="3" fillId="0" borderId="8" xfId="0" applyNumberFormat="1" applyFont="1" applyBorder="1" applyAlignment="1">
      <alignment horizontal="center" vertical="center" wrapText="1"/>
    </xf>
    <xf numFmtId="0" fontId="3" fillId="0" borderId="8" xfId="0" applyNumberFormat="1" applyFont="1" applyBorder="1" applyAlignment="1">
      <alignment horizontal="left" vertical="center" wrapText="1"/>
    </xf>
    <xf numFmtId="0" fontId="3" fillId="0" borderId="0" xfId="0" applyNumberFormat="1" applyFont="1" applyAlignment="1">
      <alignment horizontal="left" vertical="center" wrapText="1"/>
    </xf>
    <xf numFmtId="49" fontId="3" fillId="0" borderId="10" xfId="0" applyNumberFormat="1" applyFont="1" applyBorder="1" applyAlignment="1">
      <alignment vertical="center" wrapText="1"/>
    </xf>
    <xf numFmtId="49" fontId="3" fillId="0" borderId="10" xfId="0" applyNumberFormat="1" applyFont="1" applyBorder="1" applyAlignment="1">
      <alignment horizontal="left" vertical="center" wrapText="1"/>
    </xf>
    <xf numFmtId="49" fontId="9" fillId="0" borderId="10" xfId="0" applyNumberFormat="1" applyFont="1" applyBorder="1" applyAlignment="1">
      <alignment vertical="center" wrapText="1"/>
    </xf>
    <xf numFmtId="49" fontId="3" fillId="0" borderId="10" xfId="0" applyNumberFormat="1" applyFont="1" applyBorder="1" applyAlignment="1">
      <alignment horizontal="center" vertical="center" wrapText="1"/>
    </xf>
    <xf numFmtId="0" fontId="3" fillId="0" borderId="10" xfId="0" applyNumberFormat="1" applyFont="1" applyBorder="1" applyAlignment="1">
      <alignment horizontal="left" vertical="center" wrapText="1"/>
    </xf>
    <xf numFmtId="49" fontId="3" fillId="0" borderId="10" xfId="0" applyNumberFormat="1" applyFont="1" applyBorder="1" applyAlignment="1">
      <alignment vertical="center" wrapText="1"/>
    </xf>
    <xf numFmtId="49" fontId="3" fillId="0" borderId="0" xfId="0" applyNumberFormat="1" applyFont="1" applyAlignment="1">
      <alignment vertical="center" wrapText="1"/>
    </xf>
    <xf numFmtId="49" fontId="3" fillId="0" borderId="0" xfId="0" applyNumberFormat="1" applyFont="1" applyAlignment="1">
      <alignment horizontal="left" vertical="center" wrapText="1"/>
    </xf>
    <xf numFmtId="49" fontId="9" fillId="0" borderId="0" xfId="0" applyNumberFormat="1" applyFont="1" applyAlignment="1">
      <alignment vertical="center" wrapText="1"/>
    </xf>
    <xf numFmtId="49" fontId="3" fillId="0" borderId="0" xfId="0" applyNumberFormat="1" applyFont="1" applyAlignment="1">
      <alignment horizontal="center" vertical="center" wrapText="1"/>
    </xf>
    <xf numFmtId="0" fontId="3" fillId="0" borderId="0" xfId="0" applyNumberFormat="1" applyFont="1" applyAlignment="1">
      <alignment horizontal="left" vertical="center" wrapText="1"/>
    </xf>
    <xf numFmtId="0" fontId="13" fillId="0" borderId="0" xfId="0" applyNumberFormat="1" applyFont="1" applyAlignment="1">
      <alignment horizontal="left" vertical="center"/>
    </xf>
    <xf numFmtId="49" fontId="9" fillId="0" borderId="0" xfId="0" applyNumberFormat="1" applyFont="1" applyAlignment="1">
      <alignment horizontal="center" vertical="center" wrapText="1"/>
    </xf>
    <xf numFmtId="0" fontId="13" fillId="0" borderId="0" xfId="0" applyNumberFormat="1" applyFont="1" applyAlignment="1">
      <alignment vertical="center"/>
    </xf>
    <xf numFmtId="49" fontId="40" fillId="0" borderId="21" xfId="0" applyNumberFormat="1" applyFont="1" applyBorder="1">
      <alignment vertical="top"/>
    </xf>
    <xf numFmtId="49" fontId="3" fillId="0" borderId="28" xfId="0" applyNumberFormat="1" applyFont="1" applyBorder="1" applyAlignment="1">
      <alignment vertical="center" wrapText="1"/>
    </xf>
    <xf numFmtId="49" fontId="3" fillId="0" borderId="13" xfId="0" applyNumberFormat="1" applyFont="1" applyBorder="1" applyAlignment="1">
      <alignment vertical="center" wrapText="1"/>
    </xf>
    <xf numFmtId="0" fontId="13" fillId="0" borderId="13" xfId="0" applyNumberFormat="1" applyFont="1" applyBorder="1" applyAlignment="1">
      <alignment horizontal="left" vertical="center"/>
    </xf>
    <xf numFmtId="49" fontId="40" fillId="0" borderId="18" xfId="0" applyNumberFormat="1" applyFont="1" applyBorder="1">
      <alignment vertical="top"/>
    </xf>
    <xf numFmtId="49" fontId="3" fillId="0" borderId="27" xfId="0" applyNumberFormat="1" applyFont="1" applyBorder="1" applyAlignment="1">
      <alignment horizontal="center" vertical="center" wrapText="1"/>
    </xf>
    <xf numFmtId="0" fontId="13"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0" fontId="3" fillId="0" borderId="0" xfId="0" applyNumberFormat="1" applyFont="1" applyAlignment="1">
      <alignment vertical="center" wrapText="1"/>
    </xf>
    <xf numFmtId="0" fontId="3" fillId="0" borderId="0" xfId="0" applyNumberFormat="1" applyFont="1" applyAlignment="1">
      <alignment horizontal="left" vertical="center" wrapText="1"/>
    </xf>
    <xf numFmtId="0" fontId="31" fillId="0" borderId="0" xfId="0" applyNumberFormat="1" applyFont="1" applyAlignment="1">
      <alignment vertical="center" wrapText="1"/>
    </xf>
    <xf numFmtId="0" fontId="21" fillId="0" borderId="0" xfId="0" applyNumberFormat="1" applyFont="1" applyAlignment="1">
      <alignment vertical="center" wrapText="1"/>
    </xf>
    <xf numFmtId="0" fontId="37" fillId="0" borderId="0" xfId="0" applyNumberFormat="1" applyFont="1" applyAlignment="1">
      <alignment vertical="center" wrapText="1"/>
    </xf>
    <xf numFmtId="49" fontId="3" fillId="0" borderId="3" xfId="0" applyNumberFormat="1" applyFont="1" applyBorder="1" applyAlignment="1">
      <alignment horizontal="center" vertical="center" wrapText="1"/>
    </xf>
    <xf numFmtId="0" fontId="9" fillId="6" borderId="3" xfId="0" applyNumberFormat="1" applyFont="1" applyFill="1" applyBorder="1" applyAlignment="1">
      <alignment horizontal="center" vertical="center" wrapText="1"/>
    </xf>
    <xf numFmtId="0" fontId="9" fillId="6" borderId="0" xfId="0" applyNumberFormat="1" applyFont="1" applyFill="1" applyAlignment="1">
      <alignment horizontal="center" vertical="center" wrapText="1"/>
    </xf>
    <xf numFmtId="49" fontId="3" fillId="0" borderId="3" xfId="0" applyNumberFormat="1" applyFont="1" applyBorder="1" applyAlignment="1">
      <alignment horizontal="center" vertical="center" wrapText="1"/>
    </xf>
    <xf numFmtId="3" fontId="3" fillId="10" borderId="3" xfId="0" applyNumberFormat="1" applyFont="1" applyFill="1" applyBorder="1" applyAlignment="1" applyProtection="1">
      <alignment horizontal="right" vertical="center" wrapText="1"/>
      <protection locked="0"/>
    </xf>
    <xf numFmtId="0" fontId="21" fillId="0" borderId="0" xfId="0" applyNumberFormat="1" applyFont="1" applyAlignment="1">
      <alignment vertical="center" wrapText="1"/>
    </xf>
    <xf numFmtId="49" fontId="3" fillId="10" borderId="3" xfId="0" applyNumberFormat="1" applyFont="1" applyFill="1" applyBorder="1" applyAlignment="1" applyProtection="1">
      <alignment horizontal="left" vertical="center" wrapText="1"/>
      <protection locked="0"/>
    </xf>
    <xf numFmtId="0" fontId="21" fillId="0" borderId="0" xfId="0" applyNumberFormat="1" applyFont="1" applyAlignment="1">
      <alignment vertical="center"/>
    </xf>
    <xf numFmtId="0" fontId="9" fillId="6" borderId="3" xfId="0" applyNumberFormat="1" applyFont="1" applyFill="1" applyBorder="1" applyAlignment="1">
      <alignment horizontal="center" vertical="center" wrapText="1"/>
    </xf>
    <xf numFmtId="0" fontId="20" fillId="0" borderId="13" xfId="0" applyNumberFormat="1" applyFont="1" applyBorder="1" applyAlignment="1">
      <alignment vertical="center"/>
    </xf>
    <xf numFmtId="0" fontId="20" fillId="0" borderId="13" xfId="0" applyNumberFormat="1" applyFont="1" applyBorder="1" applyAlignment="1">
      <alignment vertical="center"/>
    </xf>
    <xf numFmtId="0" fontId="3" fillId="0" borderId="8" xfId="0" applyNumberFormat="1" applyFont="1" applyBorder="1" applyAlignment="1">
      <alignment horizontal="left" vertical="center" wrapText="1" indent="1"/>
    </xf>
    <xf numFmtId="49" fontId="3" fillId="0" borderId="49" xfId="0" applyNumberFormat="1" applyFont="1" applyBorder="1" applyAlignment="1">
      <alignment horizontal="center" vertical="center" wrapText="1"/>
    </xf>
    <xf numFmtId="49" fontId="3" fillId="0" borderId="19" xfId="0" applyNumberFormat="1" applyFont="1" applyBorder="1" applyAlignment="1">
      <alignment horizontal="center" vertical="center" wrapText="1"/>
    </xf>
    <xf numFmtId="0" fontId="3" fillId="0" borderId="0" xfId="0" applyNumberFormat="1" applyFont="1" applyAlignment="1">
      <alignment vertical="center" wrapText="1"/>
    </xf>
    <xf numFmtId="0" fontId="4" fillId="0" borderId="0" xfId="0" applyNumberFormat="1" applyFont="1" applyAlignment="1">
      <alignment vertical="center" wrapText="1"/>
    </xf>
    <xf numFmtId="0" fontId="9"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0" fontId="3" fillId="0" borderId="0" xfId="0" applyNumberFormat="1" applyFont="1" applyAlignment="1">
      <alignment vertical="center" wrapText="1"/>
    </xf>
    <xf numFmtId="0" fontId="21" fillId="0" borderId="0" xfId="0" applyNumberFormat="1" applyFont="1" applyAlignment="1">
      <alignment vertical="center" wrapText="1"/>
    </xf>
    <xf numFmtId="0" fontId="3" fillId="0" borderId="3" xfId="0"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0" fontId="27" fillId="0" borderId="0" xfId="0" applyNumberFormat="1" applyFont="1" applyAlignment="1">
      <alignment vertical="center"/>
    </xf>
    <xf numFmtId="0" fontId="45" fillId="0" borderId="0" xfId="0" applyNumberFormat="1" applyFont="1" applyAlignment="1">
      <alignment vertical="center" wrapText="1"/>
    </xf>
    <xf numFmtId="0" fontId="21" fillId="0" borderId="0" xfId="0" applyNumberFormat="1" applyFont="1" applyAlignment="1">
      <alignment vertical="center" wrapText="1"/>
    </xf>
    <xf numFmtId="0" fontId="3" fillId="0" borderId="4"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6" xfId="0" applyNumberFormat="1" applyFont="1" applyBorder="1" applyAlignment="1">
      <alignment horizontal="right" vertical="center" wrapText="1" indent="1"/>
    </xf>
    <xf numFmtId="0" fontId="3" fillId="0" borderId="3" xfId="0" applyNumberFormat="1" applyFont="1" applyBorder="1" applyAlignment="1">
      <alignment horizontal="center" vertical="center" wrapText="1"/>
    </xf>
    <xf numFmtId="0" fontId="3" fillId="0" borderId="0" xfId="0" applyNumberFormat="1" applyFont="1" applyAlignment="1">
      <alignment horizontal="left" vertical="top" wrapText="1"/>
    </xf>
    <xf numFmtId="0" fontId="3" fillId="0" borderId="3" xfId="0" applyNumberFormat="1" applyFont="1" applyBorder="1" applyAlignment="1">
      <alignment horizontal="center" vertical="center" wrapText="1"/>
    </xf>
    <xf numFmtId="49" fontId="3" fillId="11" borderId="3" xfId="0" applyNumberFormat="1" applyFont="1" applyFill="1" applyBorder="1" applyAlignment="1">
      <alignment horizontal="left" vertical="center" wrapText="1"/>
    </xf>
    <xf numFmtId="0" fontId="3" fillId="0" borderId="3" xfId="0" applyNumberFormat="1" applyFont="1" applyBorder="1" applyAlignment="1">
      <alignment horizontal="left" vertical="center" wrapText="1" indent="2"/>
    </xf>
    <xf numFmtId="0" fontId="21" fillId="0" borderId="8" xfId="0" applyNumberFormat="1" applyFont="1" applyBorder="1" applyAlignment="1">
      <alignment horizontal="center" vertical="center" wrapText="1"/>
    </xf>
    <xf numFmtId="0" fontId="3" fillId="5" borderId="5" xfId="0" applyNumberFormat="1" applyFont="1" applyFill="1" applyBorder="1" applyAlignment="1">
      <alignment horizontal="left" vertical="top" wrapText="1"/>
    </xf>
    <xf numFmtId="0" fontId="3" fillId="0" borderId="3" xfId="0" applyNumberFormat="1" applyFont="1" applyBorder="1" applyAlignment="1">
      <alignment horizontal="center" vertical="center" wrapText="1"/>
    </xf>
    <xf numFmtId="0" fontId="3" fillId="0" borderId="4"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6" xfId="0" applyNumberFormat="1" applyFont="1" applyBorder="1" applyAlignment="1">
      <alignment horizontal="right" vertical="center" wrapText="1" indent="1"/>
    </xf>
    <xf numFmtId="0" fontId="3" fillId="0" borderId="3"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5" borderId="5" xfId="0" applyNumberFormat="1" applyFont="1" applyFill="1" applyBorder="1" applyAlignment="1">
      <alignment horizontal="left" vertical="top" wrapText="1"/>
    </xf>
    <xf numFmtId="0" fontId="3"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1" fillId="0" borderId="5" xfId="0" applyNumberFormat="1" applyFont="1" applyBorder="1" applyAlignment="1">
      <alignment vertical="center" wrapText="1"/>
    </xf>
    <xf numFmtId="0" fontId="21" fillId="0" borderId="5" xfId="0" applyNumberFormat="1" applyFont="1" applyBorder="1" applyAlignment="1">
      <alignment horizontal="left" vertical="top" wrapText="1"/>
    </xf>
    <xf numFmtId="49" fontId="3" fillId="0" borderId="50" xfId="0" applyNumberFormat="1" applyFont="1" applyBorder="1" applyAlignment="1">
      <alignment horizontal="center" vertical="center" wrapText="1"/>
    </xf>
    <xf numFmtId="0" fontId="3" fillId="0" borderId="8" xfId="0" applyNumberFormat="1" applyFont="1" applyBorder="1" applyAlignment="1">
      <alignment horizontal="left" vertical="center" wrapText="1"/>
    </xf>
    <xf numFmtId="49" fontId="13"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3"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3"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3" fillId="11" borderId="3" xfId="0" applyNumberFormat="1" applyFont="1" applyFill="1" applyBorder="1" applyAlignment="1">
      <alignment horizontal="left" vertical="center" wrapText="1"/>
    </xf>
    <xf numFmtId="49" fontId="3" fillId="0" borderId="51" xfId="0" applyNumberFormat="1" applyFont="1" applyBorder="1" applyAlignment="1">
      <alignment horizontal="center" vertical="center" wrapText="1"/>
    </xf>
    <xf numFmtId="4" fontId="3" fillId="10" borderId="8" xfId="0" applyNumberFormat="1" applyFont="1" applyFill="1" applyBorder="1" applyAlignment="1" applyProtection="1">
      <alignment horizontal="right" vertical="center" wrapText="1"/>
      <protection locked="0"/>
    </xf>
    <xf numFmtId="49" fontId="13" fillId="0" borderId="10" xfId="0" applyNumberFormat="1" applyFont="1" applyBorder="1" applyAlignment="1">
      <alignment horizontal="left" vertical="center"/>
    </xf>
    <xf numFmtId="49" fontId="13" fillId="0" borderId="10" xfId="0" applyNumberFormat="1" applyFont="1" applyBorder="1" applyAlignment="1">
      <alignment horizontal="left" vertical="center" indent="2"/>
    </xf>
    <xf numFmtId="49" fontId="17" fillId="0" borderId="10" xfId="0" applyNumberFormat="1" applyFont="1" applyBorder="1" applyAlignment="1">
      <alignment horizontal="center" vertical="top"/>
    </xf>
    <xf numFmtId="0" fontId="3" fillId="0" borderId="10" xfId="0" applyNumberFormat="1" applyFont="1" applyBorder="1" applyAlignment="1">
      <alignment horizontal="left" vertical="top" wrapText="1"/>
    </xf>
    <xf numFmtId="0" fontId="3"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20" fillId="0" borderId="0" xfId="0" applyNumberFormat="1" applyFont="1">
      <alignment vertical="top"/>
    </xf>
    <xf numFmtId="49" fontId="3" fillId="11" borderId="3" xfId="0" applyNumberFormat="1" applyFont="1" applyFill="1" applyBorder="1" applyAlignment="1">
      <alignment horizontal="left" vertical="center" wrapText="1"/>
    </xf>
    <xf numFmtId="49" fontId="3" fillId="11" borderId="5" xfId="0" applyNumberFormat="1" applyFont="1" applyFill="1" applyBorder="1" applyAlignment="1">
      <alignment horizontal="left" vertical="center" wrapText="1"/>
    </xf>
    <xf numFmtId="0" fontId="3" fillId="6" borderId="0" xfId="0" applyNumberFormat="1" applyFont="1" applyFill="1" applyAlignment="1"/>
    <xf numFmtId="0" fontId="3" fillId="0" borderId="0" xfId="0" applyNumberFormat="1" applyFont="1" applyAlignment="1">
      <alignment vertical="top" wrapText="1"/>
    </xf>
    <xf numFmtId="0" fontId="9"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0" fontId="0" fillId="0" borderId="0" xfId="0" applyNumberFormat="1" applyFont="1">
      <alignment vertical="top"/>
    </xf>
    <xf numFmtId="49" fontId="4"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9" fillId="0" borderId="0" xfId="0" applyNumberFormat="1" applyFont="1" applyAlignment="1">
      <alignment horizontal="left" vertical="top" wrapText="1"/>
    </xf>
    <xf numFmtId="49" fontId="3"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2" xfId="0" applyNumberFormat="1" applyFont="1" applyFill="1" applyBorder="1" applyAlignment="1">
      <alignment horizontal="center" vertical="center" wrapText="1"/>
    </xf>
    <xf numFmtId="0" fontId="0" fillId="24" borderId="52" xfId="0" applyNumberFormat="1" applyFont="1" applyFill="1" applyBorder="1" applyAlignment="1">
      <alignment horizontal="center" vertical="center" wrapText="1"/>
    </xf>
    <xf numFmtId="0" fontId="0" fillId="5" borderId="52" xfId="0" applyNumberFormat="1" applyFont="1" applyFill="1" applyBorder="1" applyAlignment="1">
      <alignment horizontal="center" vertical="center" wrapText="1"/>
    </xf>
    <xf numFmtId="0" fontId="0" fillId="10" borderId="52"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3"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4"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8" fillId="0" borderId="15" xfId="0" applyNumberFormat="1" applyFont="1" applyBorder="1" applyAlignment="1">
      <alignment horizontal="center" vertical="center" wrapText="1"/>
    </xf>
    <xf numFmtId="49" fontId="3"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3"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1" fillId="0" borderId="0" xfId="0" applyNumberFormat="1" applyFont="1" applyAlignment="1">
      <alignment horizontal="center" vertical="center" wrapText="1"/>
    </xf>
    <xf numFmtId="171" fontId="21"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3" fillId="0" borderId="0" xfId="0" applyNumberFormat="1" applyFont="1" applyAlignment="1">
      <alignment horizontal="left" vertical="top" indent="1"/>
    </xf>
    <xf numFmtId="0" fontId="3"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3" fillId="5" borderId="21" xfId="0" applyNumberFormat="1" applyFont="1" applyFill="1" applyBorder="1" applyAlignment="1">
      <alignment horizontal="left" vertical="top"/>
    </xf>
    <xf numFmtId="0" fontId="3" fillId="0" borderId="3" xfId="0" applyNumberFormat="1" applyFont="1" applyBorder="1" applyAlignment="1">
      <alignment horizontal="left" vertical="top"/>
    </xf>
    <xf numFmtId="49" fontId="3"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3"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3" fillId="11" borderId="27" xfId="0" applyNumberFormat="1" applyFont="1" applyFill="1" applyBorder="1" applyAlignment="1">
      <alignment horizontal="left" vertical="top" wrapText="1"/>
    </xf>
    <xf numFmtId="49" fontId="3"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3" fillId="5" borderId="27" xfId="0" applyNumberFormat="1" applyFont="1" applyFill="1" applyBorder="1" applyAlignment="1">
      <alignment horizontal="center" vertical="top" wrapText="1"/>
    </xf>
    <xf numFmtId="0" fontId="3" fillId="7" borderId="27" xfId="0" applyNumberFormat="1" applyFont="1" applyFill="1" applyBorder="1" applyAlignment="1" applyProtection="1">
      <alignment horizontal="left" vertical="top" wrapText="1"/>
      <protection locked="0"/>
    </xf>
    <xf numFmtId="0" fontId="13" fillId="0" borderId="27" xfId="0" applyNumberFormat="1" applyFont="1" applyBorder="1" applyAlignment="1">
      <alignment horizontal="left" vertical="center"/>
    </xf>
    <xf numFmtId="0" fontId="13" fillId="7" borderId="27" xfId="0" applyNumberFormat="1" applyFont="1" applyFill="1" applyBorder="1" applyAlignment="1" applyProtection="1">
      <alignment horizontal="left" vertical="center"/>
      <protection locked="0"/>
    </xf>
    <xf numFmtId="0" fontId="13" fillId="10" borderId="27" xfId="0" applyNumberFormat="1" applyFont="1" applyFill="1" applyBorder="1" applyAlignment="1" applyProtection="1">
      <alignment horizontal="left" vertical="center"/>
      <protection locked="0"/>
    </xf>
    <xf numFmtId="14" fontId="3" fillId="11" borderId="27" xfId="0" applyNumberFormat="1" applyFont="1" applyFill="1" applyBorder="1" applyAlignment="1">
      <alignment horizontal="left" vertical="center" wrapText="1" indent="1"/>
    </xf>
    <xf numFmtId="49" fontId="3" fillId="11" borderId="0" xfId="0" applyNumberFormat="1" applyFont="1" applyFill="1" applyAlignment="1">
      <alignment horizontal="center" vertical="center" wrapText="1"/>
    </xf>
    <xf numFmtId="0" fontId="3"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20" fillId="0" borderId="3" xfId="0" applyNumberFormat="1" applyFont="1" applyBorder="1" applyAlignment="1">
      <alignment vertical="top" wrapText="1"/>
    </xf>
    <xf numFmtId="49" fontId="3" fillId="11" borderId="8" xfId="0" applyNumberFormat="1" applyFont="1" applyFill="1" applyBorder="1" applyAlignment="1">
      <alignment vertical="center" wrapText="1"/>
    </xf>
    <xf numFmtId="49" fontId="3" fillId="11" borderId="27" xfId="0" applyNumberFormat="1" applyFont="1" applyFill="1" applyBorder="1" applyAlignment="1">
      <alignment vertical="center" wrapText="1"/>
    </xf>
    <xf numFmtId="49" fontId="3" fillId="11" borderId="14" xfId="0" applyNumberFormat="1" applyFont="1" applyFill="1" applyBorder="1" applyAlignment="1">
      <alignment vertical="center" wrapText="1"/>
    </xf>
    <xf numFmtId="49" fontId="3" fillId="7"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3"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3"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3" fillId="6" borderId="17" xfId="0" applyNumberFormat="1" applyFont="1" applyFill="1" applyBorder="1" applyAlignment="1">
      <alignment horizontal="right" vertical="center" wrapText="1" indent="1"/>
    </xf>
    <xf numFmtId="49" fontId="20"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3" fillId="0" borderId="0" xfId="0" applyNumberFormat="1" applyFont="1" applyAlignment="1">
      <alignment vertical="top" wrapText="1"/>
    </xf>
    <xf numFmtId="49" fontId="3" fillId="0" borderId="0" xfId="0" applyNumberFormat="1" applyFont="1">
      <alignment vertical="top"/>
    </xf>
    <xf numFmtId="49" fontId="3" fillId="0" borderId="0" xfId="0" applyNumberFormat="1" applyFont="1">
      <alignment vertical="top"/>
    </xf>
    <xf numFmtId="49" fontId="3" fillId="0" borderId="3" xfId="0" applyNumberFormat="1" applyFont="1" applyBorder="1" applyAlignment="1">
      <alignment horizontal="center" vertical="center" wrapText="1"/>
    </xf>
    <xf numFmtId="49" fontId="3" fillId="0" borderId="10" xfId="0" applyNumberFormat="1" applyFont="1" applyBorder="1" applyAlignment="1">
      <alignment horizontal="center" vertical="center" wrapText="1"/>
    </xf>
    <xf numFmtId="0" fontId="3" fillId="11" borderId="27" xfId="0" applyNumberFormat="1" applyFont="1" applyFill="1" applyBorder="1" applyAlignment="1">
      <alignment horizontal="center" vertical="top" wrapText="1"/>
    </xf>
    <xf numFmtId="49" fontId="3" fillId="0" borderId="10" xfId="0" applyNumberFormat="1" applyFont="1" applyBorder="1" applyAlignment="1">
      <alignment horizontal="left" vertical="center" wrapText="1"/>
    </xf>
    <xf numFmtId="49" fontId="3" fillId="0" borderId="0" xfId="0" applyNumberFormat="1" applyFont="1" applyAlignment="1">
      <alignment horizontal="center" vertical="center" wrapText="1"/>
    </xf>
    <xf numFmtId="49" fontId="3" fillId="11" borderId="27" xfId="0" applyNumberFormat="1" applyFont="1" applyFill="1" applyBorder="1" applyAlignment="1">
      <alignment horizontal="center" vertical="center" wrapText="1"/>
    </xf>
    <xf numFmtId="0" fontId="13" fillId="0" borderId="0" xfId="0" applyNumberFormat="1" applyFont="1" applyAlignment="1">
      <alignment horizontal="left" vertical="center"/>
    </xf>
    <xf numFmtId="49" fontId="3" fillId="0" borderId="10" xfId="0" applyNumberFormat="1" applyFont="1" applyBorder="1" applyAlignment="1">
      <alignment horizontal="left" vertical="center" wrapText="1"/>
    </xf>
    <xf numFmtId="49" fontId="3" fillId="0" borderId="0" xfId="0" applyNumberFormat="1" applyFont="1" applyAlignment="1">
      <alignment horizontal="left" vertical="center" wrapText="1"/>
    </xf>
    <xf numFmtId="49" fontId="3" fillId="6" borderId="0" xfId="0" applyNumberFormat="1" applyFont="1" applyFill="1" applyAlignment="1">
      <alignment horizontal="center" vertical="center" wrapText="1"/>
    </xf>
    <xf numFmtId="0" fontId="3" fillId="0" borderId="3" xfId="0" applyNumberFormat="1" applyFont="1" applyBorder="1" applyAlignment="1">
      <alignment horizontal="center" vertical="center" wrapText="1"/>
    </xf>
    <xf numFmtId="0" fontId="21" fillId="0" borderId="0" xfId="0" applyNumberFormat="1" applyFont="1" applyAlignment="1">
      <alignment horizontal="center" vertical="center" wrapText="1"/>
    </xf>
    <xf numFmtId="0" fontId="18"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horizontal="center" vertical="top"/>
    </xf>
    <xf numFmtId="49" fontId="3" fillId="0" borderId="27" xfId="0" applyNumberFormat="1" applyFont="1" applyBorder="1" applyAlignment="1">
      <alignment horizontal="center" vertical="top" wrapText="1"/>
    </xf>
    <xf numFmtId="0" fontId="3" fillId="0" borderId="3" xfId="0" applyNumberFormat="1" applyFont="1" applyBorder="1" applyAlignment="1">
      <alignment horizontal="left" vertical="center" wrapText="1"/>
    </xf>
    <xf numFmtId="0" fontId="8" fillId="0" borderId="3" xfId="0" applyNumberFormat="1" applyFont="1" applyBorder="1" applyAlignment="1">
      <alignment horizontal="center" vertical="center" wrapText="1"/>
    </xf>
    <xf numFmtId="49" fontId="13" fillId="8" borderId="42" xfId="0" applyNumberFormat="1" applyFont="1" applyFill="1" applyBorder="1" applyAlignment="1">
      <alignment horizontal="left" vertical="center" indent="1"/>
    </xf>
    <xf numFmtId="49" fontId="3" fillId="7" borderId="3" xfId="0" applyNumberFormat="1" applyFont="1" applyFill="1" applyBorder="1" applyAlignment="1" applyProtection="1">
      <alignment horizontal="left" vertical="center" wrapText="1"/>
      <protection locked="0"/>
    </xf>
    <xf numFmtId="49" fontId="21"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3"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3" fillId="0" borderId="27" xfId="0" applyNumberFormat="1" applyFont="1" applyBorder="1" applyAlignment="1">
      <alignment horizontal="center" vertical="center" wrapText="1"/>
    </xf>
    <xf numFmtId="0" fontId="3"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3" fillId="0" borderId="3" xfId="0" applyNumberFormat="1" applyFont="1" applyBorder="1" applyAlignment="1">
      <alignment horizontal="center" vertical="center" wrapText="1"/>
    </xf>
    <xf numFmtId="49" fontId="3" fillId="11" borderId="5" xfId="0" applyNumberFormat="1" applyFont="1" applyFill="1" applyBorder="1" applyAlignment="1">
      <alignment horizontal="left" vertical="center" wrapText="1"/>
    </xf>
    <xf numFmtId="0" fontId="3" fillId="0" borderId="14" xfId="0" applyNumberFormat="1" applyFont="1" applyBorder="1" applyAlignment="1">
      <alignment horizontal="center" vertical="center" wrapText="1"/>
    </xf>
    <xf numFmtId="0" fontId="18" fillId="0" borderId="4" xfId="0" applyNumberFormat="1" applyFont="1" applyBorder="1" applyAlignment="1">
      <alignment horizontal="center" vertical="center"/>
    </xf>
    <xf numFmtId="49" fontId="0" fillId="9" borderId="0" xfId="0" applyNumberFormat="1" applyFont="1" applyFill="1">
      <alignment vertical="top"/>
    </xf>
    <xf numFmtId="0" fontId="9" fillId="6" borderId="0" xfId="0" applyNumberFormat="1" applyFont="1" applyFill="1" applyAlignment="1">
      <alignment horizontal="center" vertical="center" wrapText="1"/>
    </xf>
    <xf numFmtId="0" fontId="9" fillId="6" borderId="0" xfId="0" applyNumberFormat="1" applyFont="1" applyFill="1" applyAlignment="1">
      <alignment horizontal="center"/>
    </xf>
    <xf numFmtId="0" fontId="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3" fillId="0" borderId="0" xfId="0" applyNumberFormat="1" applyFont="1">
      <alignment vertical="top"/>
    </xf>
    <xf numFmtId="0" fontId="9"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9" fillId="0" borderId="0" xfId="0" applyNumberFormat="1" applyFont="1" applyAlignment="1">
      <alignment horizontal="center" vertical="center" wrapText="1"/>
    </xf>
    <xf numFmtId="0" fontId="9"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9"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9" fillId="0" borderId="27" xfId="0" applyNumberFormat="1" applyFont="1" applyBorder="1" applyAlignment="1">
      <alignment vertical="center" wrapText="1"/>
    </xf>
    <xf numFmtId="49" fontId="9" fillId="0" borderId="27" xfId="0" applyNumberFormat="1" applyFont="1" applyBorder="1" applyAlignment="1">
      <alignment horizontal="center" vertical="center" wrapText="1"/>
    </xf>
    <xf numFmtId="49" fontId="9" fillId="0" borderId="10" xfId="0" applyNumberFormat="1" applyFont="1" applyBorder="1" applyAlignment="1">
      <alignment vertical="center" wrapText="1"/>
    </xf>
    <xf numFmtId="49" fontId="9" fillId="0" borderId="0" xfId="0" applyNumberFormat="1" applyFont="1" applyAlignment="1">
      <alignment vertical="center" wrapText="1"/>
    </xf>
    <xf numFmtId="49" fontId="9" fillId="0" borderId="0" xfId="0" applyNumberFormat="1" applyFont="1" applyAlignment="1">
      <alignment horizontal="center" vertical="center" wrapText="1"/>
    </xf>
    <xf numFmtId="0" fontId="3" fillId="6" borderId="14" xfId="0" applyNumberFormat="1" applyFont="1" applyFill="1" applyBorder="1" applyAlignment="1">
      <alignment horizontal="center" vertical="center" wrapText="1"/>
    </xf>
    <xf numFmtId="0" fontId="3"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3"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3"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8" fillId="25" borderId="0" xfId="0" applyNumberFormat="1" applyFont="1" applyFill="1" applyAlignment="1">
      <alignment vertical="center" wrapText="1"/>
    </xf>
    <xf numFmtId="0" fontId="20" fillId="0" borderId="0" xfId="0" applyNumberFormat="1" applyFont="1" applyAlignment="1">
      <alignment vertical="top" wrapText="1"/>
    </xf>
    <xf numFmtId="49" fontId="4" fillId="0" borderId="0" xfId="0" applyNumberFormat="1" applyFont="1" applyAlignment="1">
      <alignment horizontal="center" vertical="top" wrapText="1"/>
    </xf>
    <xf numFmtId="49" fontId="3"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3" fillId="0" borderId="4" xfId="0" applyNumberFormat="1" applyFont="1" applyBorder="1" applyAlignment="1">
      <alignment horizontal="center" vertical="center" wrapText="1"/>
    </xf>
    <xf numFmtId="0" fontId="3" fillId="0" borderId="4"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3" xfId="0" applyNumberFormat="1" applyFont="1" applyBorder="1" applyAlignment="1">
      <alignment horizontal="left" vertical="center" wrapText="1"/>
    </xf>
    <xf numFmtId="0" fontId="3"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center" vertical="center" wrapText="1"/>
    </xf>
    <xf numFmtId="0" fontId="3" fillId="10" borderId="3" xfId="0" applyNumberFormat="1" applyFont="1" applyFill="1" applyBorder="1" applyAlignment="1" applyProtection="1">
      <alignment horizontal="center" vertical="center" wrapText="1"/>
      <protection locked="0"/>
    </xf>
    <xf numFmtId="49" fontId="3"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3" fillId="11" borderId="3" xfId="0" applyNumberFormat="1" applyFont="1" applyFill="1" applyBorder="1" applyAlignment="1">
      <alignment horizontal="left" vertical="center" wrapText="1" indent="1"/>
    </xf>
    <xf numFmtId="49" fontId="97" fillId="0" borderId="3" xfId="0" applyNumberFormat="1" applyFont="1" applyBorder="1" applyAlignment="1">
      <alignment horizontal="left" vertical="center" wrapText="1" indent="1"/>
    </xf>
    <xf numFmtId="0" fontId="3" fillId="0" borderId="5"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0" fontId="3" fillId="0" borderId="14" xfId="0" applyNumberFormat="1" applyFont="1" applyBorder="1" applyAlignment="1">
      <alignment horizontal="left" vertical="center" wrapText="1" indent="1"/>
    </xf>
    <xf numFmtId="0" fontId="3" fillId="5" borderId="3" xfId="0" applyNumberFormat="1" applyFont="1" applyFill="1" applyBorder="1" applyAlignment="1">
      <alignment horizontal="left" vertical="center" wrapText="1" indent="1"/>
    </xf>
    <xf numFmtId="0" fontId="21" fillId="0" borderId="0" xfId="0" applyNumberFormat="1" applyFont="1" applyAlignment="1">
      <alignment horizontal="center" vertical="center" wrapText="1"/>
    </xf>
    <xf numFmtId="168" fontId="3" fillId="0" borderId="14" xfId="0" applyNumberFormat="1" applyFont="1" applyBorder="1" applyAlignment="1">
      <alignment horizontal="center" vertical="center" wrapText="1"/>
    </xf>
    <xf numFmtId="0" fontId="3" fillId="0" borderId="0" xfId="0" applyNumberFormat="1" applyFont="1" applyAlignment="1">
      <alignment horizontal="right" vertical="center" wrapText="1"/>
    </xf>
    <xf numFmtId="0" fontId="3" fillId="6" borderId="3" xfId="0" applyNumberFormat="1" applyFont="1" applyFill="1" applyBorder="1" applyAlignment="1">
      <alignment vertical="top" wrapText="1"/>
    </xf>
    <xf numFmtId="0" fontId="3" fillId="6" borderId="3" xfId="0" applyNumberFormat="1" applyFont="1" applyFill="1" applyBorder="1" applyAlignment="1">
      <alignment horizontal="left" vertical="top" wrapText="1"/>
    </xf>
    <xf numFmtId="49" fontId="26" fillId="7" borderId="14" xfId="0" applyNumberFormat="1" applyFont="1" applyFill="1" applyBorder="1" applyAlignment="1" applyProtection="1">
      <alignment horizontal="left" vertical="center" wrapText="1"/>
      <protection locked="0"/>
    </xf>
    <xf numFmtId="49" fontId="0" fillId="8" borderId="20" xfId="0" applyNumberFormat="1" applyFont="1" applyFill="1" applyBorder="1" applyAlignment="1">
      <alignment horizontal="right" vertical="center" wrapText="1"/>
    </xf>
    <xf numFmtId="0" fontId="3" fillId="0" borderId="0" xfId="0" applyNumberFormat="1" applyFont="1" applyAlignment="1">
      <alignment horizontal="left" vertical="center" wrapText="1"/>
    </xf>
    <xf numFmtId="0" fontId="0" fillId="19" borderId="0" xfId="0" applyNumberFormat="1" applyFont="1" applyFill="1" applyAlignment="1">
      <alignment horizontal="right" vertical="top" wrapText="1"/>
    </xf>
    <xf numFmtId="0" fontId="3" fillId="0" borderId="0" xfId="0" applyNumberFormat="1" applyFont="1" applyAlignment="1">
      <alignment horizontal="left" vertical="top" wrapText="1"/>
    </xf>
    <xf numFmtId="14" fontId="3" fillId="0" borderId="14" xfId="0" applyNumberFormat="1" applyFont="1" applyBorder="1" applyAlignment="1">
      <alignment horizontal="left" vertical="center" wrapText="1" indent="1"/>
    </xf>
    <xf numFmtId="0" fontId="3" fillId="0" borderId="3"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0" fontId="3" fillId="5" borderId="3" xfId="0" applyNumberFormat="1" applyFont="1" applyFill="1" applyBorder="1" applyAlignment="1">
      <alignment horizontal="left" vertical="center" wrapText="1" indent="1"/>
    </xf>
    <xf numFmtId="0" fontId="21" fillId="0" borderId="0" xfId="0" applyNumberFormat="1" applyFont="1" applyAlignment="1">
      <alignment horizontal="center" vertical="center" wrapText="1"/>
    </xf>
    <xf numFmtId="0" fontId="3" fillId="5" borderId="3" xfId="0" applyNumberFormat="1" applyFont="1" applyFill="1" applyBorder="1" applyAlignment="1">
      <alignment horizontal="left" vertical="center" wrapText="1"/>
    </xf>
    <xf numFmtId="168" fontId="3" fillId="0" borderId="3" xfId="0" applyNumberFormat="1" applyFont="1" applyBorder="1" applyAlignment="1">
      <alignment horizontal="center" vertical="center" wrapText="1"/>
    </xf>
    <xf numFmtId="0" fontId="3" fillId="0" borderId="5" xfId="0" applyNumberFormat="1" applyFont="1" applyBorder="1" applyAlignment="1">
      <alignment horizontal="center" vertical="center" wrapText="1"/>
    </xf>
    <xf numFmtId="0" fontId="21" fillId="0" borderId="0" xfId="0" applyNumberFormat="1" applyFont="1" applyAlignment="1">
      <alignment horizontal="center" vertical="center" wrapText="1"/>
    </xf>
    <xf numFmtId="49" fontId="3" fillId="10" borderId="3" xfId="0" applyNumberFormat="1" applyFont="1" applyFill="1" applyBorder="1" applyAlignment="1" applyProtection="1">
      <alignment horizontal="left" vertical="center" wrapText="1"/>
      <protection locked="0"/>
    </xf>
    <xf numFmtId="0" fontId="3" fillId="6" borderId="27" xfId="0" applyNumberFormat="1" applyFont="1" applyFill="1" applyBorder="1" applyAlignment="1">
      <alignment vertical="center" wrapText="1"/>
    </xf>
    <xf numFmtId="168" fontId="18" fillId="0" borderId="10" xfId="0" applyNumberFormat="1" applyFont="1" applyBorder="1" applyAlignment="1">
      <alignment horizontal="center" vertical="center" wrapText="1"/>
    </xf>
    <xf numFmtId="168" fontId="18" fillId="0" borderId="11" xfId="0" applyNumberFormat="1" applyFont="1" applyBorder="1" applyAlignment="1">
      <alignment horizontal="center" vertical="center" wrapText="1"/>
    </xf>
    <xf numFmtId="172" fontId="3" fillId="10" borderId="3" xfId="0" applyNumberFormat="1" applyFont="1" applyFill="1" applyBorder="1" applyAlignment="1" applyProtection="1">
      <alignment horizontal="left" vertical="center" wrapText="1" indent="1"/>
      <protection locked="0"/>
    </xf>
    <xf numFmtId="171" fontId="0" fillId="10" borderId="6" xfId="0" applyNumberFormat="1" applyFont="1" applyFill="1" applyBorder="1" applyAlignment="1" applyProtection="1">
      <alignment horizontal="left" vertical="center" wrapText="1" indent="1"/>
      <protection locked="0"/>
    </xf>
    <xf numFmtId="49" fontId="3" fillId="10" borderId="18" xfId="0" applyNumberFormat="1" applyFont="1" applyFill="1" applyBorder="1" applyAlignment="1" applyProtection="1">
      <alignment horizontal="left" vertical="center" wrapText="1"/>
      <protection locked="0"/>
    </xf>
    <xf numFmtId="49" fontId="3" fillId="10" borderId="21" xfId="0" applyNumberFormat="1" applyFont="1" applyFill="1" applyBorder="1" applyAlignment="1" applyProtection="1">
      <alignment horizontal="left" vertical="center" wrapText="1"/>
      <protection locked="0"/>
    </xf>
    <xf numFmtId="49" fontId="26" fillId="8" borderId="20" xfId="0" applyNumberFormat="1" applyFont="1" applyFill="1" applyBorder="1" applyAlignment="1">
      <alignment horizontal="left" vertical="center" wrapText="1"/>
    </xf>
    <xf numFmtId="0" fontId="3" fillId="10" borderId="3" xfId="0" applyNumberFormat="1" applyFont="1" applyFill="1" applyBorder="1" applyAlignment="1" applyProtection="1">
      <alignment horizontal="left" vertical="top" wrapText="1" indent="1"/>
      <protection locked="0"/>
    </xf>
    <xf numFmtId="0" fontId="3" fillId="0" borderId="6" xfId="0" applyNumberFormat="1" applyFont="1" applyBorder="1" applyAlignment="1">
      <alignment horizontal="center" vertical="center" wrapText="1"/>
    </xf>
    <xf numFmtId="0" fontId="21" fillId="0" borderId="0" xfId="0" applyNumberFormat="1" applyFont="1" applyAlignment="1">
      <alignment horizontal="center" vertical="center" wrapText="1"/>
    </xf>
    <xf numFmtId="0" fontId="3" fillId="6" borderId="13" xfId="0" applyNumberFormat="1" applyFont="1" applyFill="1" applyBorder="1" applyAlignment="1">
      <alignment vertical="center" wrapText="1"/>
    </xf>
    <xf numFmtId="0" fontId="8" fillId="0" borderId="0" xfId="1" applyNumberFormat="1" applyFont="1" applyAlignment="1">
      <alignment horizontal="center" vertical="center" wrapText="1"/>
    </xf>
    <xf numFmtId="0" fontId="8" fillId="0" borderId="3" xfId="1" applyNumberFormat="1" applyFont="1" applyBorder="1" applyAlignment="1">
      <alignment horizontal="center" vertical="center" wrapText="1"/>
    </xf>
    <xf numFmtId="0" fontId="3" fillId="0" borderId="3" xfId="0" applyNumberFormat="1" applyFont="1" applyBorder="1" applyAlignment="1">
      <alignment horizontal="left" vertical="top" wrapText="1"/>
    </xf>
    <xf numFmtId="49" fontId="3" fillId="0" borderId="10" xfId="0" applyNumberFormat="1" applyFont="1" applyBorder="1" applyAlignment="1">
      <alignment horizontal="center" vertical="center" wrapText="1"/>
    </xf>
    <xf numFmtId="49" fontId="3"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3" fillId="0" borderId="0" xfId="0" applyNumberFormat="1" applyFont="1" applyAlignment="1">
      <alignment horizontal="left" vertical="center"/>
    </xf>
    <xf numFmtId="0" fontId="13" fillId="0" borderId="15" xfId="0" applyNumberFormat="1" applyFont="1" applyBorder="1" applyAlignment="1">
      <alignment horizontal="left" vertical="center"/>
    </xf>
    <xf numFmtId="0" fontId="13" fillId="0" borderId="18" xfId="0" applyNumberFormat="1" applyFont="1" applyBorder="1" applyAlignment="1">
      <alignment horizontal="left" vertical="center"/>
    </xf>
    <xf numFmtId="0" fontId="13"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49" fontId="3" fillId="11" borderId="3" xfId="0" applyNumberFormat="1" applyFont="1" applyFill="1" applyBorder="1" applyAlignment="1">
      <alignment horizontal="center" vertical="center" wrapText="1"/>
    </xf>
    <xf numFmtId="49" fontId="3" fillId="0" borderId="10" xfId="0" applyNumberFormat="1" applyFont="1" applyBorder="1" applyAlignment="1">
      <alignment horizontal="center" vertical="center" wrapText="1"/>
    </xf>
    <xf numFmtId="49" fontId="3"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3" fillId="0" borderId="18" xfId="0" applyNumberFormat="1" applyFont="1" applyBorder="1" applyAlignment="1">
      <alignment horizontal="left" vertical="center"/>
    </xf>
    <xf numFmtId="0" fontId="13" fillId="0" borderId="20" xfId="0" applyNumberFormat="1" applyFont="1" applyBorder="1" applyAlignment="1">
      <alignment horizontal="left" vertical="center"/>
    </xf>
    <xf numFmtId="0" fontId="13" fillId="0" borderId="0" xfId="0" applyNumberFormat="1" applyFont="1" applyAlignment="1">
      <alignment horizontal="left" vertical="center"/>
    </xf>
    <xf numFmtId="0" fontId="13" fillId="0" borderId="15" xfId="0" applyNumberFormat="1" applyFont="1" applyBorder="1" applyAlignment="1">
      <alignment horizontal="left" vertical="center"/>
    </xf>
    <xf numFmtId="0" fontId="3"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3" fillId="5" borderId="6" xfId="0" applyNumberFormat="1" applyFont="1" applyFill="1" applyBorder="1" applyAlignment="1">
      <alignment horizontal="left" vertical="center" wrapText="1"/>
    </xf>
    <xf numFmtId="0" fontId="3" fillId="0" borderId="0" xfId="0" applyNumberFormat="1" applyFont="1" applyAlignment="1">
      <alignment horizontal="left" vertical="top" wrapText="1"/>
    </xf>
    <xf numFmtId="0" fontId="21" fillId="0" borderId="0" xfId="0" applyNumberFormat="1" applyFont="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lignment horizontal="center" vertical="center" wrapText="1"/>
    </xf>
    <xf numFmtId="0" fontId="9" fillId="0" borderId="18"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xf>
    <xf numFmtId="0" fontId="3" fillId="6" borderId="14" xfId="0" applyNumberFormat="1" applyFont="1" applyFill="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28" xfId="0" applyNumberFormat="1" applyFont="1" applyBorder="1" applyAlignment="1">
      <alignment horizontal="center" vertical="center" wrapText="1"/>
    </xf>
    <xf numFmtId="0" fontId="21" fillId="0" borderId="6" xfId="0" applyNumberFormat="1" applyFont="1" applyBorder="1" applyAlignment="1">
      <alignment horizontal="left" vertical="center" wrapText="1"/>
    </xf>
    <xf numFmtId="0" fontId="3" fillId="0" borderId="3" xfId="0" applyNumberFormat="1" applyFont="1" applyBorder="1" applyAlignment="1">
      <alignment horizontal="center" vertical="center" wrapText="1"/>
    </xf>
    <xf numFmtId="49" fontId="3" fillId="10" borderId="8" xfId="0" applyNumberFormat="1" applyFont="1" applyFill="1" applyBorder="1" applyAlignment="1" applyProtection="1">
      <alignment horizontal="left" vertical="center" wrapText="1" indent="6"/>
      <protection locked="0"/>
    </xf>
    <xf numFmtId="0" fontId="3" fillId="6" borderId="8" xfId="0" applyNumberFormat="1" applyFont="1" applyFill="1" applyBorder="1" applyAlignment="1">
      <alignment horizontal="left" vertical="center" wrapText="1"/>
    </xf>
    <xf numFmtId="4" fontId="3" fillId="10" borderId="3" xfId="0" applyNumberFormat="1" applyFont="1" applyFill="1" applyBorder="1" applyAlignment="1" applyProtection="1">
      <alignment horizontal="left" vertical="center" wrapText="1" indent="1"/>
      <protection locked="0"/>
    </xf>
    <xf numFmtId="49" fontId="3" fillId="7" borderId="8" xfId="0" applyNumberFormat="1" applyFont="1" applyFill="1" applyBorder="1" applyAlignment="1" applyProtection="1">
      <alignment horizontal="left" vertical="center" wrapText="1" indent="6"/>
      <protection locked="0"/>
    </xf>
    <xf numFmtId="49" fontId="3" fillId="0" borderId="0" xfId="0" applyNumberFormat="1" applyFont="1" applyAlignment="1">
      <alignment vertical="center" wrapText="1"/>
    </xf>
    <xf numFmtId="49" fontId="21" fillId="0" borderId="3" xfId="0" applyNumberFormat="1" applyFont="1" applyBorder="1" applyAlignment="1">
      <alignment horizontal="center" vertical="center" wrapText="1"/>
    </xf>
    <xf numFmtId="49" fontId="3" fillId="0" borderId="3" xfId="0" applyNumberFormat="1" applyFont="1" applyBorder="1" applyAlignment="1">
      <alignment horizontal="left" vertical="center" wrapText="1"/>
    </xf>
    <xf numFmtId="0" fontId="3" fillId="6" borderId="2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3" fillId="0" borderId="0" xfId="0" applyNumberFormat="1" applyFont="1" applyAlignment="1">
      <alignment horizontal="right" vertical="center" wrapText="1"/>
    </xf>
    <xf numFmtId="49" fontId="3" fillId="11" borderId="6" xfId="0" applyNumberFormat="1" applyFont="1" applyFill="1" applyBorder="1" applyAlignment="1">
      <alignment horizontal="center" vertical="center" wrapText="1"/>
    </xf>
    <xf numFmtId="0" fontId="3" fillId="0" borderId="0" xfId="0" applyNumberFormat="1" applyFont="1" applyAlignment="1">
      <alignment horizontal="left" vertical="center"/>
    </xf>
    <xf numFmtId="49" fontId="3" fillId="0" borderId="0" xfId="0" applyNumberFormat="1" applyFont="1" applyAlignment="1">
      <alignment horizontal="lef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1"/>
    </xf>
    <xf numFmtId="49" fontId="3" fillId="0" borderId="0" xfId="0" applyNumberFormat="1" applyFont="1" applyAlignment="1">
      <alignment horizontal="left" vertical="center"/>
    </xf>
    <xf numFmtId="0" fontId="4"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5" fillId="0" borderId="0" xfId="0" applyNumberFormat="1" applyFont="1" applyAlignment="1">
      <alignment vertical="center" wrapText="1"/>
    </xf>
    <xf numFmtId="0" fontId="28" fillId="0" borderId="0" xfId="0" applyNumberFormat="1" applyFont="1" applyAlignment="1">
      <alignment vertical="center"/>
    </xf>
    <xf numFmtId="0" fontId="40" fillId="0" borderId="0" xfId="0" applyNumberFormat="1" applyFont="1" applyAlignment="1">
      <alignment vertical="center"/>
    </xf>
    <xf numFmtId="0" fontId="14" fillId="0" borderId="0" xfId="0" applyNumberFormat="1" applyFont="1" applyAlignment="1">
      <alignment vertical="center"/>
    </xf>
    <xf numFmtId="49" fontId="21" fillId="0" borderId="0" xfId="0" applyNumberFormat="1" applyFont="1" applyAlignment="1">
      <alignment horizontal="center" vertical="center"/>
    </xf>
    <xf numFmtId="49" fontId="40" fillId="0" borderId="0" xfId="0" applyNumberFormat="1" applyFont="1">
      <alignment vertical="top"/>
    </xf>
    <xf numFmtId="0" fontId="34" fillId="6" borderId="0" xfId="0" applyNumberFormat="1" applyFont="1" applyFill="1" applyAlignment="1"/>
    <xf numFmtId="0" fontId="21" fillId="6" borderId="0" xfId="0" applyNumberFormat="1" applyFont="1" applyFill="1" applyAlignment="1"/>
    <xf numFmtId="0" fontId="46" fillId="6" borderId="0" xfId="0" applyNumberFormat="1" applyFont="1" applyFill="1" applyAlignment="1">
      <alignment horizontal="right" vertical="center"/>
    </xf>
    <xf numFmtId="0" fontId="49" fillId="6" borderId="0" xfId="0" applyNumberFormat="1" applyFont="1" applyFill="1" applyAlignment="1"/>
    <xf numFmtId="0" fontId="0" fillId="6" borderId="0" xfId="0" applyNumberFormat="1" applyFont="1" applyFill="1" applyAlignment="1"/>
    <xf numFmtId="0" fontId="0" fillId="6" borderId="0" xfId="0" applyNumberFormat="1" applyFont="1" applyFill="1" applyAlignment="1">
      <alignment horizontal="center"/>
    </xf>
    <xf numFmtId="49" fontId="45" fillId="0" borderId="3" xfId="0" applyNumberFormat="1" applyFont="1" applyBorder="1" applyAlignment="1">
      <alignment horizontal="left" vertical="center" wrapText="1"/>
    </xf>
    <xf numFmtId="0" fontId="61" fillId="0" borderId="0" xfId="0" applyNumberFormat="1" applyFont="1" applyAlignment="1">
      <alignment vertical="center" wrapText="1"/>
    </xf>
    <xf numFmtId="0" fontId="33" fillId="0" borderId="0" xfId="0" applyNumberFormat="1" applyFont="1" applyAlignment="1">
      <alignment vertical="center" wrapText="1"/>
    </xf>
    <xf numFmtId="0" fontId="42" fillId="0" borderId="0" xfId="0" applyNumberFormat="1" applyFont="1" applyAlignment="1">
      <alignment vertical="center" wrapText="1"/>
    </xf>
    <xf numFmtId="0" fontId="20" fillId="0" borderId="0" xfId="0" applyNumberFormat="1" applyFont="1" applyAlignment="1">
      <alignment horizontal="left" vertical="center" wrapText="1"/>
    </xf>
    <xf numFmtId="0" fontId="3" fillId="0" borderId="10" xfId="0" applyNumberFormat="1" applyFont="1" applyBorder="1" applyAlignment="1">
      <alignment horizontal="left" vertical="top" wrapText="1" indent="1"/>
    </xf>
    <xf numFmtId="0" fontId="3" fillId="0" borderId="18" xfId="0" applyNumberFormat="1" applyFont="1" applyBorder="1" applyAlignment="1">
      <alignment horizontal="left" vertical="center" wrapText="1" indent="1"/>
    </xf>
    <xf numFmtId="0" fontId="20" fillId="0" borderId="0" xfId="0" applyNumberFormat="1" applyFont="1" applyAlignment="1">
      <alignment vertical="center"/>
    </xf>
    <xf numFmtId="0" fontId="45" fillId="0" borderId="0" xfId="0" applyNumberFormat="1" applyFont="1" applyAlignment="1">
      <alignment vertical="center" wrapText="1"/>
    </xf>
    <xf numFmtId="49" fontId="20" fillId="0" borderId="0" xfId="0" applyNumberFormat="1" applyFont="1" applyAlignment="1">
      <alignment vertical="center" wrapText="1"/>
    </xf>
    <xf numFmtId="0" fontId="29" fillId="0" borderId="0" xfId="0" applyNumberFormat="1" applyFont="1" applyAlignment="1">
      <alignment vertical="center" wrapText="1"/>
    </xf>
    <xf numFmtId="0" fontId="20" fillId="0" borderId="0" xfId="0" applyNumberFormat="1" applyFont="1" applyAlignment="1">
      <alignment horizontal="left" vertical="center"/>
    </xf>
    <xf numFmtId="0" fontId="21" fillId="0" borderId="3" xfId="0" applyNumberFormat="1" applyFont="1" applyBorder="1" applyAlignment="1">
      <alignment horizontal="center" vertical="center" wrapText="1"/>
    </xf>
    <xf numFmtId="4" fontId="3" fillId="7" borderId="3" xfId="0" applyNumberFormat="1" applyFont="1" applyFill="1" applyBorder="1" applyAlignment="1" applyProtection="1">
      <alignment horizontal="right" vertical="center" wrapText="1"/>
      <protection locked="0"/>
    </xf>
    <xf numFmtId="0" fontId="3" fillId="7" borderId="3" xfId="0" applyNumberFormat="1" applyFont="1" applyFill="1" applyBorder="1" applyAlignment="1" applyProtection="1">
      <alignment horizontal="left" vertical="center" wrapText="1"/>
      <protection locked="0"/>
    </xf>
    <xf numFmtId="49" fontId="64" fillId="0" borderId="0" xfId="0" applyNumberFormat="1" applyFont="1" applyAlignment="1">
      <alignment horizontal="center" vertical="center" wrapText="1"/>
    </xf>
    <xf numFmtId="170" fontId="3" fillId="7" borderId="3" xfId="0" applyNumberFormat="1" applyFont="1" applyFill="1" applyBorder="1" applyAlignment="1" applyProtection="1">
      <alignment horizontal="right" vertical="center" wrapText="1"/>
      <protection locked="0"/>
    </xf>
    <xf numFmtId="0" fontId="70" fillId="6" borderId="0" xfId="0" applyNumberFormat="1" applyFont="1" applyFill="1" applyAlignment="1">
      <alignment horizontal="right" vertical="center"/>
    </xf>
    <xf numFmtId="4" fontId="3" fillId="10" borderId="3" xfId="0" applyNumberFormat="1" applyFont="1" applyFill="1" applyBorder="1" applyAlignment="1" applyProtection="1">
      <alignment horizontal="right" vertical="center" wrapText="1"/>
      <protection locked="0"/>
    </xf>
    <xf numFmtId="4" fontId="3" fillId="5" borderId="3" xfId="0" applyNumberFormat="1" applyFont="1" applyFill="1" applyBorder="1" applyAlignment="1">
      <alignment horizontal="right" vertical="center" wrapText="1"/>
    </xf>
    <xf numFmtId="4" fontId="45" fillId="0" borderId="3" xfId="0" applyNumberFormat="1" applyFont="1" applyBorder="1" applyAlignment="1">
      <alignment horizontal="right" vertical="center" wrapText="1"/>
    </xf>
    <xf numFmtId="170" fontId="3" fillId="10" borderId="3" xfId="0" applyNumberFormat="1" applyFont="1" applyFill="1" applyBorder="1" applyAlignment="1" applyProtection="1">
      <alignment horizontal="right" vertical="center" wrapText="1"/>
      <protection locked="0"/>
    </xf>
    <xf numFmtId="0" fontId="4" fillId="0" borderId="0" xfId="0" applyNumberFormat="1" applyFont="1" applyAlignment="1">
      <alignment horizontal="left" vertical="center" wrapText="1"/>
    </xf>
    <xf numFmtId="4" fontId="3" fillId="5" borderId="8" xfId="0" applyNumberFormat="1" applyFont="1" applyFill="1" applyBorder="1" applyAlignment="1">
      <alignment horizontal="right" vertical="center" wrapText="1"/>
    </xf>
    <xf numFmtId="49" fontId="21" fillId="0" borderId="3" xfId="0" applyNumberFormat="1" applyFont="1" applyBorder="1" applyAlignment="1">
      <alignment vertical="center" wrapText="1"/>
    </xf>
    <xf numFmtId="4" fontId="3" fillId="10" borderId="4" xfId="0" applyNumberFormat="1" applyFont="1" applyFill="1" applyBorder="1" applyAlignment="1" applyProtection="1">
      <alignment horizontal="right" vertical="center" wrapText="1"/>
      <protection locked="0"/>
    </xf>
    <xf numFmtId="49" fontId="26" fillId="7" borderId="4" xfId="0" applyNumberFormat="1" applyFont="1" applyFill="1" applyBorder="1" applyAlignment="1" applyProtection="1">
      <alignment horizontal="left" vertical="center" wrapText="1"/>
      <protection locked="0"/>
    </xf>
    <xf numFmtId="170" fontId="3" fillId="10" borderId="4" xfId="0" applyNumberFormat="1" applyFont="1" applyFill="1" applyBorder="1" applyAlignment="1" applyProtection="1">
      <alignment horizontal="right" vertical="center" wrapText="1"/>
      <protection locked="0"/>
    </xf>
    <xf numFmtId="0" fontId="27" fillId="0" borderId="0" xfId="0" applyNumberFormat="1" applyFont="1" applyAlignment="1">
      <alignment vertical="center" wrapText="1"/>
    </xf>
    <xf numFmtId="170" fontId="3" fillId="5" borderId="4" xfId="0" applyNumberFormat="1" applyFont="1" applyFill="1" applyBorder="1" applyAlignment="1">
      <alignment horizontal="right" vertical="center" wrapText="1"/>
    </xf>
    <xf numFmtId="4" fontId="3" fillId="10" borderId="20" xfId="0" applyNumberFormat="1" applyFont="1" applyFill="1" applyBorder="1" applyAlignment="1" applyProtection="1">
      <alignment horizontal="right" vertical="center" wrapText="1"/>
      <protection locked="0"/>
    </xf>
    <xf numFmtId="4" fontId="3" fillId="10" borderId="14" xfId="0" applyNumberFormat="1" applyFont="1" applyFill="1" applyBorder="1" applyAlignment="1" applyProtection="1">
      <alignment horizontal="right" vertical="center" wrapText="1"/>
      <protection locked="0"/>
    </xf>
    <xf numFmtId="170" fontId="3" fillId="10" borderId="8"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36" fillId="0" borderId="0" xfId="0" applyNumberFormat="1" applyFont="1" applyAlignment="1">
      <alignment vertical="center" wrapText="1"/>
    </xf>
    <xf numFmtId="4" fontId="3" fillId="0" borderId="0" xfId="0" applyNumberFormat="1" applyFont="1" applyAlignment="1">
      <alignment horizontal="right" vertical="center" wrapText="1"/>
    </xf>
    <xf numFmtId="0" fontId="21" fillId="0" borderId="0" xfId="0" applyNumberFormat="1" applyFont="1" applyAlignment="1">
      <alignment vertical="center" wrapText="1"/>
    </xf>
    <xf numFmtId="0" fontId="21" fillId="0" borderId="18" xfId="0" applyNumberFormat="1" applyFont="1" applyBorder="1" applyAlignment="1">
      <alignment vertical="center" wrapText="1"/>
    </xf>
    <xf numFmtId="0" fontId="3" fillId="5" borderId="5" xfId="0" applyNumberFormat="1" applyFont="1" applyFill="1" applyBorder="1" applyAlignment="1">
      <alignment horizontal="left" vertical="top" wrapText="1"/>
    </xf>
    <xf numFmtId="4" fontId="3"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3" fontId="3" fillId="7" borderId="5" xfId="0" applyNumberFormat="1" applyFont="1" applyFill="1" applyBorder="1" applyAlignment="1" applyProtection="1">
      <alignment horizontal="right" vertical="center" wrapText="1"/>
      <protection locked="0"/>
    </xf>
    <xf numFmtId="4" fontId="3" fillId="7" borderId="5" xfId="0" applyNumberFormat="1" applyFont="1" applyFill="1" applyBorder="1" applyAlignment="1" applyProtection="1">
      <alignment horizontal="right" vertical="center" wrapText="1"/>
      <protection locked="0"/>
    </xf>
    <xf numFmtId="3" fontId="18" fillId="7" borderId="3" xfId="0" applyNumberFormat="1" applyFont="1" applyFill="1" applyBorder="1" applyAlignment="1" applyProtection="1">
      <alignment horizontal="right" vertical="center"/>
      <protection locked="0"/>
    </xf>
    <xf numFmtId="49" fontId="3" fillId="7" borderId="5" xfId="0" applyNumberFormat="1" applyFont="1" applyFill="1" applyBorder="1" applyAlignment="1" applyProtection="1">
      <alignment horizontal="left" vertical="center" wrapText="1"/>
      <protection locked="0"/>
    </xf>
    <xf numFmtId="49" fontId="26" fillId="0" borderId="3" xfId="0" applyNumberFormat="1" applyFont="1" applyBorder="1" applyAlignment="1">
      <alignment horizontal="left" vertical="center" wrapText="1"/>
    </xf>
    <xf numFmtId="4" fontId="3" fillId="0" borderId="31" xfId="0" applyNumberFormat="1" applyFont="1" applyBorder="1" applyAlignment="1">
      <alignment horizontal="center" vertical="center" wrapText="1"/>
    </xf>
    <xf numFmtId="49" fontId="26" fillId="0" borderId="21" xfId="0" applyNumberFormat="1" applyFont="1" applyBorder="1" applyAlignment="1">
      <alignment horizontal="left" vertical="center" wrapText="1"/>
    </xf>
    <xf numFmtId="49" fontId="26" fillId="0" borderId="5" xfId="0" applyNumberFormat="1" applyFont="1" applyBorder="1" applyAlignment="1">
      <alignment horizontal="left" vertical="center" wrapText="1"/>
    </xf>
    <xf numFmtId="4" fontId="3" fillId="10" borderId="26" xfId="0" applyNumberFormat="1" applyFont="1" applyFill="1" applyBorder="1" applyAlignment="1" applyProtection="1">
      <alignment horizontal="right" vertical="center" wrapText="1"/>
      <protection locked="0"/>
    </xf>
    <xf numFmtId="49" fontId="26" fillId="0" borderId="6" xfId="0" applyNumberFormat="1" applyFont="1" applyBorder="1" applyAlignment="1">
      <alignment horizontal="left" vertical="center" wrapText="1"/>
    </xf>
    <xf numFmtId="49" fontId="26" fillId="0" borderId="28" xfId="0" applyNumberFormat="1" applyFont="1" applyBorder="1" applyAlignment="1">
      <alignment horizontal="left" vertical="center" wrapText="1"/>
    </xf>
    <xf numFmtId="4" fontId="3" fillId="10" borderId="5" xfId="0" applyNumberFormat="1" applyFont="1" applyFill="1" applyBorder="1" applyAlignment="1" applyProtection="1">
      <alignment horizontal="right" vertical="center" wrapText="1"/>
      <protection locked="0"/>
    </xf>
    <xf numFmtId="4" fontId="3" fillId="10" borderId="24" xfId="0" applyNumberFormat="1" applyFont="1" applyFill="1" applyBorder="1" applyAlignment="1" applyProtection="1">
      <alignment horizontal="right" vertical="center" wrapText="1"/>
      <protection locked="0"/>
    </xf>
    <xf numFmtId="4" fontId="3" fillId="10" borderId="25" xfId="0" applyNumberFormat="1" applyFont="1" applyFill="1" applyBorder="1" applyAlignment="1" applyProtection="1">
      <alignment horizontal="right" vertical="center" wrapText="1"/>
      <protection locked="0"/>
    </xf>
    <xf numFmtId="49" fontId="26" fillId="10" borderId="5"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49" fontId="3" fillId="10" borderId="5" xfId="0" applyNumberFormat="1" applyFont="1" applyFill="1" applyBorder="1" applyAlignment="1" applyProtection="1">
      <alignment horizontal="left" vertical="center" wrapText="1"/>
      <protection locked="0"/>
    </xf>
    <xf numFmtId="0" fontId="3" fillId="0" borderId="6" xfId="0" applyNumberFormat="1" applyFont="1" applyBorder="1" applyAlignment="1">
      <alignment horizontal="right" vertical="center" wrapText="1" indent="1"/>
    </xf>
    <xf numFmtId="0" fontId="3" fillId="0" borderId="4" xfId="0" applyNumberFormat="1" applyFont="1" applyBorder="1" applyAlignment="1">
      <alignment horizontal="center" vertical="center" wrapText="1"/>
    </xf>
    <xf numFmtId="49" fontId="3" fillId="11" borderId="3" xfId="0" applyNumberFormat="1" applyFont="1" applyFill="1" applyBorder="1" applyAlignment="1">
      <alignment horizontal="center" vertical="center" wrapText="1"/>
    </xf>
    <xf numFmtId="49" fontId="20" fillId="0" borderId="0" xfId="0" applyNumberFormat="1" applyFont="1" applyAlignment="1">
      <alignment horizontal="center" vertical="center" wrapText="1"/>
    </xf>
    <xf numFmtId="0" fontId="3" fillId="0" borderId="0" xfId="0" applyNumberFormat="1" applyFont="1" applyAlignment="1">
      <alignment horizontal="left" vertical="center" wrapText="1" indent="3"/>
    </xf>
    <xf numFmtId="49" fontId="18" fillId="0" borderId="0" xfId="0" applyNumberFormat="1" applyFont="1" applyAlignment="1">
      <alignment vertical="center"/>
    </xf>
    <xf numFmtId="49" fontId="3" fillId="0" borderId="0" xfId="0" applyNumberFormat="1" applyFont="1" applyAlignment="1">
      <alignment horizontal="center" vertical="top" wrapText="1"/>
    </xf>
    <xf numFmtId="49" fontId="4"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0" fontId="18" fillId="0" borderId="0" xfId="0" applyNumberFormat="1" applyFont="1" applyAlignment="1">
      <alignment vertical="center" wrapText="1"/>
    </xf>
    <xf numFmtId="49" fontId="18" fillId="0" borderId="0" xfId="0" applyNumberFormat="1" applyFont="1" applyAlignment="1">
      <alignment vertical="center" wrapText="1"/>
    </xf>
    <xf numFmtId="49" fontId="72" fillId="0" borderId="0" xfId="0" applyNumberFormat="1" applyFont="1" applyAlignment="1">
      <alignment vertical="center" wrapText="1"/>
    </xf>
    <xf numFmtId="0" fontId="3" fillId="5" borderId="5" xfId="0" applyNumberFormat="1" applyFont="1" applyFill="1" applyBorder="1" applyAlignment="1">
      <alignment horizontal="left" vertical="top" wrapText="1" indent="1"/>
    </xf>
    <xf numFmtId="3" fontId="3" fillId="10" borderId="5" xfId="0" applyNumberFormat="1" applyFont="1" applyFill="1" applyBorder="1" applyAlignment="1" applyProtection="1">
      <alignment vertical="center" wrapText="1"/>
      <protection locked="0"/>
    </xf>
    <xf numFmtId="4" fontId="3" fillId="5" borderId="5" xfId="0" applyNumberFormat="1" applyFont="1" applyFill="1" applyBorder="1" applyAlignment="1">
      <alignment horizontal="right" vertical="center" wrapText="1"/>
    </xf>
    <xf numFmtId="0" fontId="20" fillId="0" borderId="0" xfId="0" applyNumberFormat="1" applyFont="1" applyAlignment="1">
      <alignment vertical="center" wrapText="1"/>
    </xf>
    <xf numFmtId="0" fontId="21" fillId="0" borderId="0" xfId="0" applyNumberFormat="1" applyFont="1" applyAlignment="1">
      <alignment vertical="center"/>
    </xf>
    <xf numFmtId="0" fontId="3" fillId="0" borderId="0" xfId="0" applyNumberFormat="1" applyFont="1" applyAlignment="1">
      <alignment vertical="top" wrapText="1"/>
    </xf>
    <xf numFmtId="0" fontId="12" fillId="0" borderId="0" xfId="0" applyNumberFormat="1" applyFont="1" applyAlignment="1">
      <alignment vertical="center" wrapText="1"/>
    </xf>
    <xf numFmtId="0" fontId="0" fillId="10" borderId="3" xfId="0" applyNumberFormat="1" applyFont="1" applyFill="1" applyBorder="1" applyAlignment="1" applyProtection="1">
      <alignment horizontal="left" vertical="center" wrapText="1" indent="1"/>
      <protection locked="0"/>
    </xf>
    <xf numFmtId="49" fontId="26" fillId="10" borderId="3" xfId="0" applyNumberFormat="1" applyFont="1" applyFill="1" applyBorder="1" applyAlignment="1" applyProtection="1">
      <alignment horizontal="left" vertical="center" wrapText="1"/>
      <protection locked="0"/>
    </xf>
    <xf numFmtId="49" fontId="3" fillId="0" borderId="0" xfId="0" applyNumberFormat="1" applyFont="1" applyAlignment="1">
      <alignment vertical="top" wrapText="1"/>
    </xf>
    <xf numFmtId="0" fontId="3" fillId="0" borderId="0" xfId="0" applyNumberFormat="1" applyFont="1" applyAlignment="1">
      <alignment vertical="center" wrapText="1"/>
    </xf>
    <xf numFmtId="0" fontId="56" fillId="0" borderId="0" xfId="0" applyNumberFormat="1" applyFont="1" applyAlignment="1">
      <alignment vertical="center" wrapText="1"/>
    </xf>
    <xf numFmtId="3" fontId="3" fillId="0" borderId="5" xfId="0" applyNumberFormat="1" applyFont="1" applyBorder="1" applyAlignment="1">
      <alignment vertical="center" wrapText="1"/>
    </xf>
    <xf numFmtId="0" fontId="3" fillId="0" borderId="8" xfId="0" applyNumberFormat="1" applyFont="1" applyBorder="1" applyAlignment="1">
      <alignment horizontal="center" vertical="center" wrapText="1"/>
    </xf>
    <xf numFmtId="4" fontId="3" fillId="0" borderId="5" xfId="0" applyNumberFormat="1" applyFont="1" applyBorder="1" applyAlignment="1">
      <alignment horizontal="right" vertical="center" wrapText="1"/>
    </xf>
    <xf numFmtId="4" fontId="3" fillId="0" borderId="21" xfId="0" applyNumberFormat="1" applyFont="1" applyBorder="1" applyAlignment="1">
      <alignment horizontal="right" vertical="center" wrapText="1"/>
    </xf>
    <xf numFmtId="49" fontId="3" fillId="0" borderId="0" xfId="0" applyNumberFormat="1" applyFont="1" applyAlignment="1">
      <alignment horizontal="center" vertical="top"/>
    </xf>
    <xf numFmtId="0" fontId="3" fillId="0" borderId="0" xfId="0" applyNumberFormat="1" applyFont="1" applyAlignment="1">
      <alignment vertical="center"/>
    </xf>
    <xf numFmtId="49" fontId="3" fillId="0" borderId="0" xfId="0" applyNumberFormat="1" applyFont="1" applyAlignment="1">
      <alignment vertical="center"/>
    </xf>
    <xf numFmtId="49" fontId="0" fillId="0" borderId="0" xfId="0" applyNumberFormat="1" applyFont="1" applyAlignment="1">
      <alignment vertical="center" wrapText="1"/>
    </xf>
    <xf numFmtId="0" fontId="40" fillId="6" borderId="0" xfId="0" applyNumberFormat="1" applyFont="1" applyFill="1" applyAlignment="1"/>
    <xf numFmtId="0" fontId="8" fillId="0" borderId="0" xfId="0" applyNumberFormat="1" applyFont="1" applyAlignment="1">
      <alignment horizontal="center" vertical="center" wrapText="1"/>
    </xf>
    <xf numFmtId="0" fontId="3" fillId="0" borderId="5" xfId="0" applyNumberFormat="1" applyFont="1" applyBorder="1" applyAlignment="1">
      <alignment horizontal="center" vertical="center" wrapText="1"/>
    </xf>
    <xf numFmtId="49" fontId="3" fillId="11" borderId="3" xfId="0" applyNumberFormat="1" applyFont="1" applyFill="1" applyBorder="1" applyAlignment="1">
      <alignment horizontal="left" vertical="center" wrapText="1"/>
    </xf>
    <xf numFmtId="0" fontId="3" fillId="0" borderId="6" xfId="0" applyNumberFormat="1" applyFont="1" applyBorder="1" applyAlignment="1">
      <alignment horizontal="center" vertical="center" wrapText="1"/>
    </xf>
    <xf numFmtId="0" fontId="15" fillId="0" borderId="0" xfId="0" applyNumberFormat="1" applyFont="1" applyAlignment="1">
      <alignment horizontal="center" vertical="center" wrapText="1"/>
    </xf>
    <xf numFmtId="0" fontId="4" fillId="0" borderId="0" xfId="0" applyNumberFormat="1" applyFont="1" applyAlignment="1">
      <alignment vertical="center" wrapText="1"/>
    </xf>
    <xf numFmtId="49" fontId="9" fillId="0" borderId="0" xfId="0" applyNumberFormat="1" applyFont="1" applyAlignment="1">
      <alignment horizontal="center" vertical="center"/>
    </xf>
    <xf numFmtId="0" fontId="3" fillId="6" borderId="0" xfId="0" applyNumberFormat="1" applyFont="1" applyFill="1" applyAlignment="1"/>
    <xf numFmtId="0" fontId="9" fillId="0" borderId="0" xfId="0" applyNumberFormat="1" applyFont="1" applyAlignment="1">
      <alignment horizontal="center" vertical="center"/>
    </xf>
    <xf numFmtId="0" fontId="3" fillId="0" borderId="0" xfId="0" applyNumberFormat="1" applyFont="1" applyAlignment="1"/>
    <xf numFmtId="49" fontId="0" fillId="9" borderId="0" xfId="0" applyNumberFormat="1" applyFont="1" applyFill="1">
      <alignment vertical="top"/>
    </xf>
    <xf numFmtId="0" fontId="15" fillId="0" borderId="0" xfId="0" applyNumberFormat="1" applyFont="1" applyAlignment="1">
      <alignment vertical="center" wrapText="1"/>
    </xf>
    <xf numFmtId="0" fontId="3" fillId="0" borderId="3" xfId="0" applyNumberFormat="1" applyFont="1" applyBorder="1" applyAlignment="1">
      <alignment horizontal="center" vertical="center" wrapText="1"/>
    </xf>
    <xf numFmtId="49" fontId="3" fillId="10" borderId="3" xfId="0" applyNumberFormat="1" applyFont="1" applyFill="1" applyBorder="1" applyAlignment="1" applyProtection="1">
      <alignment horizontal="left" vertical="center" wrapText="1"/>
      <protection locked="0"/>
    </xf>
    <xf numFmtId="4" fontId="3" fillId="10" borderId="22" xfId="0" applyNumberFormat="1" applyFont="1" applyFill="1" applyBorder="1" applyAlignment="1" applyProtection="1">
      <alignment horizontal="right" vertical="center" wrapText="1"/>
      <protection locked="0"/>
    </xf>
    <xf numFmtId="0" fontId="3" fillId="10" borderId="3" xfId="0" applyNumberFormat="1" applyFont="1" applyFill="1" applyBorder="1" applyAlignment="1" applyProtection="1">
      <alignment horizontal="left" vertical="center" wrapText="1" indent="1"/>
      <protection locked="0"/>
    </xf>
    <xf numFmtId="49" fontId="3" fillId="0" borderId="0" xfId="0" applyNumberFormat="1" applyFont="1">
      <alignment vertical="top"/>
    </xf>
    <xf numFmtId="49" fontId="3" fillId="10" borderId="3" xfId="0" applyNumberFormat="1" applyFont="1" applyFill="1" applyBorder="1" applyAlignment="1" applyProtection="1">
      <alignment horizontal="left" vertical="center" wrapText="1" indent="1"/>
      <protection locked="0"/>
    </xf>
    <xf numFmtId="49" fontId="0" fillId="0" borderId="0" xfId="0" applyNumberFormat="1" applyFont="1" applyAlignment="1">
      <alignment vertical="center"/>
    </xf>
    <xf numFmtId="0" fontId="9" fillId="0" borderId="0" xfId="0" applyNumberFormat="1" applyFont="1" applyAlignment="1">
      <alignment horizontal="center" vertical="center" wrapText="1"/>
    </xf>
    <xf numFmtId="49" fontId="3" fillId="0" borderId="3" xfId="0" applyNumberFormat="1" applyFont="1" applyBorder="1" applyAlignment="1">
      <alignment horizontal="center" vertical="center" wrapText="1"/>
    </xf>
    <xf numFmtId="49" fontId="3" fillId="7" borderId="3" xfId="0" applyNumberFormat="1" applyFont="1" applyFill="1" applyBorder="1" applyAlignment="1" applyProtection="1">
      <alignment horizontal="left" vertical="center" wrapText="1"/>
      <protection locked="0"/>
    </xf>
    <xf numFmtId="49" fontId="3" fillId="0" borderId="0" xfId="0" applyNumberFormat="1" applyFont="1" applyAlignment="1">
      <alignment horizontal="center" vertical="center" wrapText="1"/>
    </xf>
    <xf numFmtId="0" fontId="0" fillId="0" borderId="0" xfId="0" applyNumberFormat="1" applyFont="1" applyAlignment="1">
      <alignment vertical="center"/>
    </xf>
    <xf numFmtId="49" fontId="68" fillId="0" borderId="0" xfId="0" applyNumberFormat="1" applyFont="1" applyAlignment="1">
      <alignment vertical="top" wrapText="1"/>
    </xf>
    <xf numFmtId="49" fontId="68" fillId="0" borderId="0" xfId="0" applyNumberFormat="1" applyFont="1">
      <alignment vertical="top"/>
    </xf>
    <xf numFmtId="49" fontId="68" fillId="0" borderId="0" xfId="0" applyNumberFormat="1" applyFont="1" applyAlignment="1">
      <alignment horizontal="center" vertical="top" wrapText="1"/>
    </xf>
    <xf numFmtId="49" fontId="68" fillId="0" borderId="0" xfId="0" applyNumberFormat="1" applyFont="1" applyAlignment="1">
      <alignment horizontal="left" vertical="top" wrapText="1"/>
    </xf>
    <xf numFmtId="49" fontId="68" fillId="12" borderId="0" xfId="0" applyNumberFormat="1" applyFont="1" applyFill="1" applyAlignment="1">
      <alignment horizontal="left" vertical="top" wrapText="1"/>
    </xf>
    <xf numFmtId="0" fontId="68" fillId="0" borderId="0" xfId="0" applyNumberFormat="1" applyFont="1" applyAlignment="1">
      <alignment vertical="top" wrapText="1"/>
    </xf>
    <xf numFmtId="0" fontId="3" fillId="0" borderId="0" xfId="0" applyNumberFormat="1" applyFont="1" applyAlignment="1">
      <alignment horizontal="left" vertical="center" wrapText="1"/>
    </xf>
    <xf numFmtId="0" fontId="3"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49" fontId="4" fillId="0" borderId="0" xfId="0" applyNumberFormat="1" applyFont="1">
      <alignment vertical="top"/>
    </xf>
    <xf numFmtId="49" fontId="21" fillId="0" borderId="0" xfId="0" applyNumberFormat="1" applyFont="1">
      <alignment vertical="top"/>
    </xf>
    <xf numFmtId="49" fontId="3" fillId="0" borderId="0" xfId="0" applyNumberFormat="1" applyFont="1" applyAlignment="1">
      <alignment vertical="center" wrapText="1"/>
    </xf>
    <xf numFmtId="49" fontId="0" fillId="6"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49" fontId="99" fillId="10" borderId="3" xfId="0" applyNumberFormat="1" applyFont="1" applyFill="1" applyBorder="1" applyAlignment="1" applyProtection="1">
      <alignment horizontal="left" vertical="center" wrapText="1" indent="1"/>
      <protection locked="0"/>
    </xf>
    <xf numFmtId="49" fontId="48" fillId="10" borderId="3" xfId="0" applyNumberFormat="1" applyFont="1" applyFill="1" applyBorder="1" applyAlignment="1" applyProtection="1">
      <alignment horizontal="left" vertical="center" wrapText="1" indent="1"/>
      <protection locked="0"/>
    </xf>
    <xf numFmtId="49" fontId="0" fillId="10" borderId="3" xfId="0" applyNumberFormat="1" applyFont="1" applyFill="1" applyBorder="1" applyAlignment="1" applyProtection="1">
      <alignment horizontal="left" vertical="center" wrapText="1"/>
      <protection locked="0"/>
    </xf>
    <xf numFmtId="171" fontId="0" fillId="10" borderId="3" xfId="0" applyNumberFormat="1" applyFont="1" applyFill="1" applyBorder="1" applyAlignment="1" applyProtection="1">
      <alignment horizontal="left" vertical="center" wrapText="1" indent="1"/>
      <protection locked="0"/>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49" fontId="3" fillId="6" borderId="5" xfId="0" applyNumberFormat="1" applyFont="1" applyFill="1" applyBorder="1" applyAlignment="1">
      <alignment horizontal="left" vertical="center" wrapText="1"/>
    </xf>
    <xf numFmtId="49" fontId="26" fillId="6" borderId="3" xfId="0" applyNumberFormat="1" applyFont="1" applyFill="1" applyBorder="1" applyAlignment="1">
      <alignment horizontal="left" vertical="center" wrapText="1"/>
    </xf>
    <xf numFmtId="49" fontId="3" fillId="6" borderId="5" xfId="0" applyNumberFormat="1" applyFont="1" applyFill="1" applyBorder="1" applyAlignment="1">
      <alignment horizontal="left" vertical="center" wrapText="1"/>
    </xf>
    <xf numFmtId="49" fontId="26" fillId="6" borderId="3" xfId="0" applyNumberFormat="1" applyFont="1" applyFill="1" applyBorder="1" applyAlignment="1">
      <alignment horizontal="left" vertical="center" wrapText="1"/>
    </xf>
    <xf numFmtId="171" fontId="0" fillId="6" borderId="3" xfId="0" applyNumberFormat="1" applyFont="1" applyFill="1" applyBorder="1" applyAlignment="1">
      <alignment horizontal="left" vertical="center" wrapText="1" indent="1"/>
    </xf>
    <xf numFmtId="171" fontId="0" fillId="6" borderId="3" xfId="0" applyNumberFormat="1" applyFont="1" applyFill="1" applyBorder="1" applyAlignment="1">
      <alignment horizontal="left" vertical="center" wrapText="1" inden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49" fontId="0" fillId="0" borderId="3" xfId="1" applyNumberFormat="1" applyFont="1" applyBorder="1">
      <alignment vertical="top"/>
    </xf>
    <xf numFmtId="49" fontId="0" fillId="0" borderId="5" xfId="1" applyNumberFormat="1" applyFont="1" applyBorder="1">
      <alignment vertical="top"/>
    </xf>
    <xf numFmtId="49" fontId="0" fillId="14" borderId="8" xfId="1" applyNumberFormat="1" applyFont="1" applyFill="1" applyBorder="1">
      <alignment vertical="top"/>
    </xf>
    <xf numFmtId="49" fontId="0" fillId="15" borderId="3" xfId="1" applyNumberFormat="1" applyFont="1" applyFill="1" applyBorder="1">
      <alignment vertical="top"/>
    </xf>
    <xf numFmtId="49" fontId="0" fillId="0" borderId="6" xfId="1" applyNumberFormat="1" applyFont="1" applyBorder="1" applyAlignment="1">
      <alignment horizontal="center" vertical="top"/>
    </xf>
    <xf numFmtId="49" fontId="0" fillId="2" borderId="3" xfId="1" applyNumberFormat="1" applyFont="1" applyFill="1" applyBorder="1">
      <alignment vertical="top"/>
    </xf>
    <xf numFmtId="49" fontId="0" fillId="16" borderId="3" xfId="1" applyNumberFormat="1" applyFont="1" applyFill="1" applyBorder="1">
      <alignment vertical="top"/>
    </xf>
    <xf numFmtId="49" fontId="0" fillId="4" borderId="8" xfId="1" applyNumberFormat="1" applyFont="1" applyFill="1" applyBorder="1">
      <alignment vertical="top"/>
    </xf>
    <xf numFmtId="49" fontId="0" fillId="3" borderId="5" xfId="1" applyNumberFormat="1" applyFont="1" applyFill="1" applyBorder="1">
      <alignment vertical="top"/>
    </xf>
    <xf numFmtId="49" fontId="0" fillId="3" borderId="3" xfId="1" applyNumberFormat="1" applyFont="1" applyFill="1" applyBorder="1">
      <alignment vertical="top"/>
    </xf>
    <xf numFmtId="49" fontId="0" fillId="4" borderId="3" xfId="1" applyNumberFormat="1" applyFont="1" applyFill="1" applyBorder="1">
      <alignment vertical="top"/>
    </xf>
    <xf numFmtId="0" fontId="19" fillId="17" borderId="52" xfId="0" applyNumberFormat="1" applyFont="1" applyFill="1" applyBorder="1" applyAlignment="1">
      <alignment horizontal="right" vertical="center" wrapText="1" indent="1"/>
    </xf>
    <xf numFmtId="0" fontId="19" fillId="17" borderId="59" xfId="0" applyNumberFormat="1" applyFont="1" applyFill="1" applyBorder="1" applyAlignment="1">
      <alignment horizontal="right" vertical="center" wrapText="1" indent="1"/>
    </xf>
    <xf numFmtId="0" fontId="19" fillId="17" borderId="29" xfId="0" applyNumberFormat="1" applyFont="1" applyFill="1" applyBorder="1" applyAlignment="1">
      <alignment horizontal="right" vertical="center" wrapText="1" indent="1"/>
    </xf>
    <xf numFmtId="0" fontId="19" fillId="17" borderId="0" xfId="0" applyNumberFormat="1" applyFont="1" applyFill="1" applyAlignment="1">
      <alignment horizontal="right" vertical="center" wrapText="1" indent="1"/>
    </xf>
    <xf numFmtId="0" fontId="93" fillId="0" borderId="0" xfId="0" applyNumberFormat="1" applyFont="1" applyAlignment="1">
      <alignment vertical="center" wrapText="1"/>
    </xf>
    <xf numFmtId="0" fontId="19" fillId="17" borderId="58" xfId="0" applyNumberFormat="1" applyFont="1" applyFill="1" applyBorder="1" applyAlignment="1">
      <alignment horizontal="right" vertical="center" wrapText="1" indent="1"/>
    </xf>
    <xf numFmtId="0" fontId="19" fillId="17" borderId="54" xfId="0" applyNumberFormat="1" applyFont="1" applyFill="1" applyBorder="1" applyAlignment="1">
      <alignment horizontal="right" vertical="center" wrapText="1" indent="1"/>
    </xf>
    <xf numFmtId="0" fontId="19"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75" fillId="0" borderId="0" xfId="0" applyNumberFormat="1" applyFont="1" applyAlignment="1">
      <alignment vertical="center" wrapText="1"/>
    </xf>
    <xf numFmtId="0" fontId="75" fillId="0" borderId="0" xfId="0" applyNumberFormat="1" applyFont="1" applyAlignment="1">
      <alignment vertical="center"/>
    </xf>
    <xf numFmtId="0" fontId="19" fillId="26" borderId="55" xfId="0" applyNumberFormat="1" applyFont="1" applyFill="1" applyBorder="1" applyAlignment="1">
      <alignment horizontal="center" vertical="center" wrapText="1"/>
    </xf>
    <xf numFmtId="0" fontId="19" fillId="26" borderId="56" xfId="0" applyNumberFormat="1" applyFont="1" applyFill="1" applyBorder="1" applyAlignment="1">
      <alignment horizontal="center" vertical="center" wrapText="1"/>
    </xf>
    <xf numFmtId="0" fontId="19" fillId="26" borderId="57" xfId="0" applyNumberFormat="1" applyFont="1" applyFill="1" applyBorder="1" applyAlignment="1">
      <alignment horizontal="center" vertical="center" wrapText="1"/>
    </xf>
    <xf numFmtId="0" fontId="93" fillId="0" borderId="29" xfId="0" applyNumberFormat="1" applyFont="1" applyBorder="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3" fillId="0" borderId="4" xfId="0" applyNumberFormat="1" applyFont="1" applyBorder="1" applyAlignment="1">
      <alignment horizontal="center" vertical="center" wrapText="1"/>
    </xf>
    <xf numFmtId="0" fontId="3"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3" fillId="0" borderId="6" xfId="0" applyNumberFormat="1" applyFont="1" applyBorder="1" applyAlignment="1">
      <alignment horizontal="left" vertical="center" wrapText="1" indent="1"/>
    </xf>
    <xf numFmtId="0" fontId="3" fillId="0" borderId="6" xfId="0" applyNumberFormat="1" applyFont="1" applyBorder="1" applyAlignment="1">
      <alignment horizontal="center" vertical="center" wrapText="1"/>
    </xf>
    <xf numFmtId="4" fontId="3" fillId="0" borderId="3" xfId="0" applyNumberFormat="1" applyFont="1" applyBorder="1" applyAlignment="1">
      <alignment horizontal="center" vertical="center" wrapText="1"/>
    </xf>
    <xf numFmtId="49" fontId="8" fillId="0" borderId="61" xfId="0" applyNumberFormat="1" applyFont="1" applyBorder="1" applyAlignment="1">
      <alignment horizontal="center" vertical="center" wrapText="1"/>
    </xf>
    <xf numFmtId="49" fontId="8" fillId="0" borderId="62" xfId="0" applyNumberFormat="1" applyFont="1" applyBorder="1" applyAlignment="1">
      <alignment horizontal="center" vertical="center" wrapText="1"/>
    </xf>
    <xf numFmtId="49" fontId="8" fillId="0" borderId="5" xfId="0" applyNumberFormat="1" applyFont="1" applyBorder="1" applyAlignment="1">
      <alignment horizontal="center" vertical="center" wrapText="1"/>
    </xf>
    <xf numFmtId="49" fontId="8" fillId="0" borderId="4" xfId="0" applyNumberFormat="1" applyFont="1" applyBorder="1" applyAlignment="1">
      <alignment horizontal="center" vertical="center" wrapText="1"/>
    </xf>
    <xf numFmtId="0" fontId="3" fillId="0" borderId="11" xfId="0" applyNumberFormat="1" applyFont="1" applyBorder="1" applyAlignment="1">
      <alignment horizontal="left" vertical="center" wrapText="1" indent="1"/>
    </xf>
    <xf numFmtId="0" fontId="3" fillId="0" borderId="8"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indent="1"/>
    </xf>
    <xf numFmtId="0" fontId="3" fillId="0" borderId="20"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0" fontId="3" fillId="0" borderId="21" xfId="0" applyNumberFormat="1" applyFont="1" applyBorder="1" applyAlignment="1">
      <alignment horizontal="left" vertical="center" indent="1"/>
    </xf>
    <xf numFmtId="0" fontId="3" fillId="13" borderId="0" xfId="0" applyNumberFormat="1" applyFont="1" applyFill="1" applyAlignment="1">
      <alignment horizontal="center" vertical="center" wrapText="1"/>
    </xf>
    <xf numFmtId="0" fontId="3"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3" fillId="0" borderId="63" xfId="0" applyNumberFormat="1" applyFont="1" applyBorder="1" applyAlignment="1">
      <alignment horizontal="center" vertical="center" wrapText="1"/>
    </xf>
    <xf numFmtId="0" fontId="3" fillId="0" borderId="64" xfId="0" applyNumberFormat="1" applyFont="1" applyBorder="1" applyAlignment="1">
      <alignment horizontal="center" vertical="center" wrapText="1"/>
    </xf>
    <xf numFmtId="0" fontId="3" fillId="11" borderId="8" xfId="0" applyNumberFormat="1" applyFont="1" applyFill="1" applyBorder="1" applyAlignment="1" applyProtection="1">
      <alignment horizontal="left" vertical="center" wrapText="1" indent="1"/>
      <protection locked="0"/>
    </xf>
    <xf numFmtId="49" fontId="0" fillId="0" borderId="3" xfId="0" applyNumberFormat="1" applyFont="1" applyBorder="1">
      <alignment vertical="top"/>
    </xf>
    <xf numFmtId="0" fontId="3" fillId="11" borderId="14" xfId="0" applyNumberFormat="1" applyFont="1" applyFill="1" applyBorder="1" applyAlignment="1" applyProtection="1">
      <alignment horizontal="left" vertical="center" wrapText="1" indent="1"/>
      <protection locked="0"/>
    </xf>
    <xf numFmtId="49" fontId="3" fillId="11" borderId="3" xfId="0" applyNumberFormat="1" applyFont="1" applyFill="1" applyBorder="1" applyAlignment="1">
      <alignment horizontal="center" vertical="center" wrapText="1"/>
    </xf>
    <xf numFmtId="49" fontId="3" fillId="0" borderId="3" xfId="0" applyNumberFormat="1" applyFont="1" applyBorder="1" applyAlignment="1">
      <alignment horizontal="center" vertical="center" wrapText="1"/>
    </xf>
    <xf numFmtId="0" fontId="3" fillId="11" borderId="8" xfId="0" applyNumberFormat="1" applyFont="1" applyFill="1" applyBorder="1" applyAlignment="1">
      <alignment horizontal="left" vertical="center" wrapText="1" indent="2"/>
    </xf>
    <xf numFmtId="0" fontId="3" fillId="11" borderId="27" xfId="0" applyNumberFormat="1" applyFont="1" applyFill="1" applyBorder="1" applyAlignment="1">
      <alignment horizontal="left" vertical="center" wrapText="1" indent="2"/>
    </xf>
    <xf numFmtId="0" fontId="3" fillId="11" borderId="14" xfId="0" applyNumberFormat="1" applyFont="1" applyFill="1" applyBorder="1" applyAlignment="1">
      <alignment horizontal="left" vertical="center" wrapText="1" indent="2"/>
    </xf>
    <xf numFmtId="49" fontId="3" fillId="11" borderId="14" xfId="0" applyNumberFormat="1" applyFont="1" applyFill="1" applyBorder="1" applyAlignment="1">
      <alignment horizontal="center" vertical="center" wrapText="1"/>
    </xf>
    <xf numFmtId="14" fontId="54" fillId="0" borderId="60" xfId="0" applyNumberFormat="1" applyFont="1" applyBorder="1" applyAlignment="1">
      <alignment horizontal="center" vertical="center" wrapText="1"/>
    </xf>
    <xf numFmtId="0" fontId="3" fillId="0" borderId="60" xfId="0" applyNumberFormat="1" applyFont="1" applyBorder="1" applyAlignment="1">
      <alignment horizontal="center" vertical="center" wrapText="1"/>
    </xf>
    <xf numFmtId="49" fontId="3" fillId="0" borderId="10" xfId="0"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0" fontId="3"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3" fillId="11" borderId="8" xfId="0" applyNumberFormat="1" applyFont="1" applyFill="1" applyBorder="1" applyAlignment="1">
      <alignment horizontal="center" vertical="top" wrapText="1"/>
    </xf>
    <xf numFmtId="0" fontId="3" fillId="11" borderId="27" xfId="0" applyNumberFormat="1" applyFont="1" applyFill="1" applyBorder="1" applyAlignment="1">
      <alignment horizontal="center" vertical="top" wrapText="1"/>
    </xf>
    <xf numFmtId="0" fontId="3"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3" fillId="0" borderId="10" xfId="0" applyNumberFormat="1" applyFont="1" applyBorder="1" applyAlignment="1">
      <alignment horizontal="left" vertical="center" wrapText="1"/>
    </xf>
    <xf numFmtId="49" fontId="3"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3" fillId="0" borderId="8" xfId="0" applyNumberFormat="1" applyFont="1" applyBorder="1" applyAlignment="1">
      <alignment horizontal="left" vertical="top" wrapText="1"/>
    </xf>
    <xf numFmtId="0" fontId="3" fillId="0" borderId="27" xfId="0" applyNumberFormat="1" applyFont="1" applyBorder="1" applyAlignment="1">
      <alignment horizontal="left" vertical="top" wrapText="1"/>
    </xf>
    <xf numFmtId="0" fontId="3" fillId="0" borderId="14" xfId="0" applyNumberFormat="1" applyFont="1" applyBorder="1" applyAlignment="1">
      <alignment horizontal="left" vertical="top" wrapText="1"/>
    </xf>
    <xf numFmtId="49" fontId="21" fillId="6" borderId="18" xfId="0" applyNumberFormat="1" applyFont="1" applyFill="1" applyBorder="1" applyAlignment="1">
      <alignment horizontal="center" vertical="center" wrapText="1"/>
    </xf>
    <xf numFmtId="0" fontId="3" fillId="0" borderId="11" xfId="0" applyNumberFormat="1" applyFont="1" applyBorder="1" applyAlignment="1">
      <alignment horizontal="left" vertical="top" wrapText="1" indent="1"/>
    </xf>
    <xf numFmtId="0" fontId="3" fillId="0" borderId="8" xfId="0" applyNumberFormat="1" applyFont="1" applyBorder="1" applyAlignment="1">
      <alignment horizontal="left" vertical="top" wrapText="1" indent="1"/>
    </xf>
    <xf numFmtId="0" fontId="3" fillId="0" borderId="28" xfId="0" applyNumberFormat="1" applyFont="1" applyBorder="1" applyAlignment="1">
      <alignment horizontal="left" vertical="top" wrapText="1" indent="1"/>
    </xf>
    <xf numFmtId="0" fontId="45" fillId="0" borderId="15" xfId="0" applyNumberFormat="1" applyFont="1" applyBorder="1" applyAlignment="1">
      <alignment horizontal="left" vertical="center" wrapText="1" indent="1"/>
    </xf>
    <xf numFmtId="0" fontId="45" fillId="0" borderId="27" xfId="0" applyNumberFormat="1" applyFont="1" applyBorder="1" applyAlignment="1">
      <alignment horizontal="left" vertical="center" wrapText="1" indent="1"/>
    </xf>
    <xf numFmtId="0" fontId="45" fillId="0" borderId="13" xfId="0" applyNumberFormat="1" applyFont="1" applyBorder="1" applyAlignment="1">
      <alignment horizontal="left" vertical="center" wrapText="1" indent="1"/>
    </xf>
    <xf numFmtId="0" fontId="3"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3" fillId="0" borderId="10" xfId="0" applyNumberFormat="1" applyFont="1" applyBorder="1" applyAlignment="1">
      <alignment horizontal="left" vertical="center" wrapText="1" indent="1"/>
    </xf>
    <xf numFmtId="0" fontId="3" fillId="0" borderId="8" xfId="0" applyNumberFormat="1" applyFont="1" applyBorder="1" applyAlignment="1">
      <alignment horizontal="center" vertical="center" wrapText="1"/>
    </xf>
    <xf numFmtId="0" fontId="3" fillId="0" borderId="28" xfId="0" applyNumberFormat="1" applyFont="1" applyBorder="1" applyAlignment="1">
      <alignment horizontal="center" vertical="center" wrapText="1"/>
    </xf>
    <xf numFmtId="0" fontId="3" fillId="0" borderId="1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0" borderId="15" xfId="0" applyNumberFormat="1" applyFont="1" applyBorder="1" applyAlignment="1">
      <alignment horizontal="center" vertical="center" wrapText="1"/>
    </xf>
    <xf numFmtId="0" fontId="3" fillId="0" borderId="27"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49" fontId="3" fillId="0" borderId="3" xfId="0" applyNumberFormat="1" applyFont="1" applyBorder="1" applyAlignment="1">
      <alignment horizontal="center" vertical="center"/>
    </xf>
    <xf numFmtId="49" fontId="3" fillId="0" borderId="8" xfId="0" applyNumberFormat="1" applyFont="1" applyBorder="1" applyAlignment="1">
      <alignment horizontal="center" vertical="center"/>
    </xf>
    <xf numFmtId="0" fontId="3" fillId="0" borderId="3" xfId="0" applyNumberFormat="1" applyFont="1" applyBorder="1" applyAlignment="1">
      <alignment horizontal="left" vertical="center" wrapText="1"/>
    </xf>
    <xf numFmtId="0" fontId="3" fillId="0" borderId="8" xfId="0" applyNumberFormat="1" applyFont="1" applyBorder="1" applyAlignment="1">
      <alignment horizontal="left" vertical="center" wrapText="1"/>
    </xf>
    <xf numFmtId="0" fontId="3" fillId="0" borderId="28" xfId="0" applyNumberFormat="1" applyFont="1" applyBorder="1" applyAlignment="1">
      <alignment horizontal="left" vertical="center" wrapText="1"/>
    </xf>
    <xf numFmtId="49" fontId="3" fillId="11" borderId="8" xfId="0" applyNumberFormat="1" applyFont="1" applyFill="1" applyBorder="1" applyAlignment="1">
      <alignment horizontal="center" vertical="center" wrapText="1"/>
    </xf>
    <xf numFmtId="49" fontId="3" fillId="11" borderId="27" xfId="0" applyNumberFormat="1" applyFont="1" applyFill="1" applyBorder="1" applyAlignment="1">
      <alignment horizontal="center" vertical="center" wrapText="1"/>
    </xf>
    <xf numFmtId="0" fontId="3" fillId="0" borderId="10" xfId="0" applyNumberFormat="1" applyFont="1" applyBorder="1" applyAlignment="1">
      <alignment horizontal="center" vertical="center"/>
    </xf>
    <xf numFmtId="0" fontId="3" fillId="0" borderId="0" xfId="0" applyNumberFormat="1" applyFont="1" applyAlignment="1">
      <alignment horizontal="center" vertical="center"/>
    </xf>
    <xf numFmtId="0" fontId="13" fillId="0" borderId="18" xfId="0" applyNumberFormat="1" applyFont="1" applyBorder="1" applyAlignment="1">
      <alignment horizontal="left" vertical="center"/>
    </xf>
    <xf numFmtId="0" fontId="13" fillId="0" borderId="20" xfId="0" applyNumberFormat="1" applyFont="1" applyBorder="1" applyAlignment="1">
      <alignment horizontal="left" vertical="center"/>
    </xf>
    <xf numFmtId="0" fontId="13" fillId="0" borderId="0" xfId="0" applyNumberFormat="1" applyFont="1" applyAlignment="1">
      <alignment horizontal="left" vertical="center"/>
    </xf>
    <xf numFmtId="0" fontId="13" fillId="0" borderId="15" xfId="0" applyNumberFormat="1" applyFont="1" applyBorder="1" applyAlignment="1">
      <alignment horizontal="left" vertical="center"/>
    </xf>
    <xf numFmtId="0" fontId="3" fillId="0" borderId="5" xfId="0" applyNumberFormat="1" applyFont="1" applyBorder="1" applyAlignment="1">
      <alignment horizontal="left" vertical="center" wrapText="1"/>
    </xf>
    <xf numFmtId="0" fontId="3" fillId="0" borderId="18" xfId="0" applyNumberFormat="1" applyFont="1" applyBorder="1" applyAlignment="1">
      <alignment horizontal="left" vertical="center" wrapText="1" indent="1"/>
    </xf>
    <xf numFmtId="49" fontId="3" fillId="6" borderId="0" xfId="0" applyNumberFormat="1" applyFont="1" applyFill="1" applyAlignment="1">
      <alignment horizontal="center" vertical="center" wrapText="1"/>
    </xf>
    <xf numFmtId="0" fontId="18"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3" fillId="6" borderId="3" xfId="0" applyNumberFormat="1" applyFont="1" applyFill="1" applyBorder="1" applyAlignment="1">
      <alignment horizontal="center" vertical="center" wrapText="1"/>
    </xf>
    <xf numFmtId="0" fontId="3" fillId="6" borderId="0" xfId="0" applyNumberFormat="1" applyFont="1" applyFill="1" applyAlignment="1">
      <alignment horizontal="center" vertical="center" wrapText="1"/>
    </xf>
    <xf numFmtId="0" fontId="18"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3" fillId="6" borderId="3" xfId="0" applyNumberFormat="1" applyFont="1" applyFill="1" applyBorder="1" applyAlignment="1">
      <alignment horizontal="center" vertical="center" wrapText="1"/>
    </xf>
    <xf numFmtId="0" fontId="3" fillId="6" borderId="15" xfId="0" applyNumberFormat="1" applyFont="1" applyFill="1" applyBorder="1" applyAlignment="1">
      <alignment horizontal="center" vertical="center" wrapText="1"/>
    </xf>
    <xf numFmtId="0" fontId="3" fillId="6" borderId="8" xfId="0" applyNumberFormat="1" applyFont="1" applyFill="1" applyBorder="1" applyAlignment="1">
      <alignment horizontal="left" vertical="top" wrapText="1"/>
    </xf>
    <xf numFmtId="0" fontId="3" fillId="6" borderId="27" xfId="0" applyNumberFormat="1" applyFont="1" applyFill="1" applyBorder="1" applyAlignment="1">
      <alignment horizontal="left" vertical="top" wrapText="1"/>
    </xf>
    <xf numFmtId="0" fontId="3" fillId="6" borderId="14" xfId="0" applyNumberFormat="1" applyFont="1" applyFill="1" applyBorder="1" applyAlignment="1">
      <alignment horizontal="left" vertical="top"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3" fillId="0" borderId="20" xfId="0" applyNumberFormat="1" applyFont="1" applyBorder="1" applyAlignment="1">
      <alignment horizontal="left" vertical="center" wrapText="1" indent="1"/>
    </xf>
    <xf numFmtId="0" fontId="3" fillId="0" borderId="14" xfId="0" applyNumberFormat="1" applyFont="1" applyBorder="1" applyAlignment="1">
      <alignment horizontal="left" vertical="center" wrapText="1" indent="1"/>
    </xf>
    <xf numFmtId="0" fontId="3" fillId="0" borderId="21" xfId="0" applyNumberFormat="1" applyFont="1" applyBorder="1" applyAlignment="1">
      <alignment horizontal="left" vertical="center" wrapText="1" indent="1"/>
    </xf>
    <xf numFmtId="0" fontId="20"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3"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3" fillId="11" borderId="10" xfId="0" applyNumberFormat="1" applyFont="1" applyFill="1" applyBorder="1" applyAlignment="1">
      <alignment horizontal="left" vertical="center" wrapText="1"/>
    </xf>
    <xf numFmtId="0" fontId="3" fillId="11" borderId="18" xfId="0" applyNumberFormat="1" applyFont="1" applyFill="1" applyBorder="1" applyAlignment="1">
      <alignment horizontal="left" vertical="center" wrapText="1"/>
    </xf>
    <xf numFmtId="0" fontId="3"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3" fillId="11" borderId="5" xfId="0" applyNumberFormat="1" applyFont="1" applyFill="1" applyBorder="1" applyAlignment="1">
      <alignment horizontal="left" vertical="center" wrapText="1"/>
    </xf>
    <xf numFmtId="0" fontId="3" fillId="11" borderId="6" xfId="0" applyNumberFormat="1" applyFont="1" applyFill="1" applyBorder="1" applyAlignment="1">
      <alignment horizontal="left" vertical="center" wrapText="1"/>
    </xf>
    <xf numFmtId="0" fontId="3"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171" fontId="3" fillId="5" borderId="3" xfId="0" applyNumberFormat="1" applyFont="1" applyFill="1" applyBorder="1" applyAlignment="1">
      <alignment horizontal="left" vertical="center" wrapText="1" indent="1"/>
    </xf>
    <xf numFmtId="0" fontId="3" fillId="5" borderId="3" xfId="0" applyNumberFormat="1" applyFont="1" applyFill="1" applyBorder="1" applyAlignment="1">
      <alignment horizontal="left" vertical="center" wrapText="1" indent="1"/>
    </xf>
    <xf numFmtId="0" fontId="3" fillId="5" borderId="5" xfId="0" applyNumberFormat="1" applyFont="1" applyFill="1" applyBorder="1" applyAlignment="1">
      <alignment horizontal="left" vertical="center" wrapText="1"/>
    </xf>
    <xf numFmtId="0" fontId="3" fillId="5" borderId="6" xfId="0" applyNumberFormat="1" applyFont="1" applyFill="1" applyBorder="1" applyAlignment="1">
      <alignment horizontal="left" vertical="center" wrapText="1"/>
    </xf>
    <xf numFmtId="0" fontId="3" fillId="5" borderId="4" xfId="0" applyNumberFormat="1" applyFont="1" applyFill="1" applyBorder="1" applyAlignment="1">
      <alignment horizontal="left" vertical="center" wrapText="1"/>
    </xf>
    <xf numFmtId="49" fontId="20" fillId="0" borderId="3" xfId="0" applyNumberFormat="1" applyFont="1" applyBorder="1" applyAlignment="1">
      <alignment horizontal="center" vertical="center" wrapText="1"/>
    </xf>
    <xf numFmtId="171" fontId="20" fillId="0" borderId="3" xfId="0" applyNumberFormat="1" applyFont="1" applyBorder="1" applyAlignment="1">
      <alignment horizontal="center" vertical="center" wrapText="1"/>
    </xf>
    <xf numFmtId="0" fontId="3" fillId="0" borderId="0" xfId="0" applyNumberFormat="1" applyFont="1" applyAlignment="1">
      <alignment horizontal="left" vertical="top" wrapText="1"/>
    </xf>
    <xf numFmtId="0" fontId="20" fillId="0" borderId="3" xfId="0" applyNumberFormat="1" applyFont="1" applyBorder="1" applyAlignment="1">
      <alignment horizontal="center" vertical="center"/>
    </xf>
    <xf numFmtId="0" fontId="20" fillId="0" borderId="5" xfId="0" applyNumberFormat="1" applyFont="1" applyBorder="1" applyAlignment="1">
      <alignment horizontal="center" vertical="center"/>
    </xf>
    <xf numFmtId="0" fontId="20" fillId="0" borderId="3" xfId="0" applyNumberFormat="1" applyFont="1" applyBorder="1" applyAlignment="1">
      <alignment horizontal="center" vertical="center" wrapText="1"/>
    </xf>
    <xf numFmtId="0" fontId="20" fillId="0" borderId="5" xfId="0" applyNumberFormat="1" applyFont="1" applyBorder="1" applyAlignment="1">
      <alignment horizontal="center" vertical="center" wrapText="1"/>
    </xf>
    <xf numFmtId="0" fontId="21" fillId="0" borderId="0" xfId="0" applyNumberFormat="1" applyFont="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9" fillId="0" borderId="18"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3" fillId="6" borderId="8" xfId="0" applyNumberFormat="1" applyFont="1" applyFill="1" applyBorder="1" applyAlignment="1">
      <alignment horizontal="center" vertical="center" wrapText="1"/>
    </xf>
    <xf numFmtId="0" fontId="3" fillId="6" borderId="27" xfId="0" applyNumberFormat="1" applyFont="1" applyFill="1" applyBorder="1" applyAlignment="1">
      <alignment horizontal="center" vertical="center" wrapText="1"/>
    </xf>
    <xf numFmtId="0" fontId="3" fillId="6" borderId="14" xfId="0" applyNumberFormat="1" applyFont="1" applyFill="1" applyBorder="1" applyAlignment="1">
      <alignment horizontal="center" vertical="center" wrapText="1"/>
    </xf>
    <xf numFmtId="49" fontId="13" fillId="8" borderId="8" xfId="0" applyNumberFormat="1" applyFont="1" applyFill="1" applyBorder="1" applyAlignment="1">
      <alignment horizontal="center" vertical="center" textRotation="90" wrapText="1"/>
    </xf>
    <xf numFmtId="49" fontId="13" fillId="8" borderId="27" xfId="0" applyNumberFormat="1" applyFont="1" applyFill="1" applyBorder="1" applyAlignment="1">
      <alignment horizontal="center" vertical="center" textRotation="90" wrapText="1"/>
    </xf>
    <xf numFmtId="49" fontId="13" fillId="8" borderId="14" xfId="0" applyNumberFormat="1" applyFont="1" applyFill="1" applyBorder="1" applyAlignment="1">
      <alignment horizontal="center" vertical="center" textRotation="90" wrapText="1"/>
    </xf>
    <xf numFmtId="0" fontId="18" fillId="0" borderId="8" xfId="0" applyNumberFormat="1" applyFont="1" applyBorder="1" applyAlignment="1">
      <alignment horizontal="left" vertical="top" wrapText="1"/>
    </xf>
    <xf numFmtId="0" fontId="18" fillId="0" borderId="27" xfId="0" applyNumberFormat="1" applyFont="1" applyBorder="1" applyAlignment="1">
      <alignment horizontal="left" vertical="top" wrapText="1"/>
    </xf>
    <xf numFmtId="0" fontId="18" fillId="0" borderId="14" xfId="0" applyNumberFormat="1" applyFont="1" applyBorder="1" applyAlignment="1">
      <alignment horizontal="left" vertical="top" wrapText="1"/>
    </xf>
    <xf numFmtId="0" fontId="3" fillId="0" borderId="3" xfId="0" applyNumberFormat="1" applyFont="1" applyBorder="1" applyAlignment="1">
      <alignment horizontal="center" vertical="center"/>
    </xf>
    <xf numFmtId="0" fontId="3" fillId="0" borderId="5" xfId="0" applyNumberFormat="1" applyFont="1" applyBorder="1" applyAlignment="1">
      <alignment horizontal="center" vertical="center"/>
    </xf>
    <xf numFmtId="0" fontId="21" fillId="0" borderId="8" xfId="0" applyNumberFormat="1" applyFont="1" applyBorder="1" applyAlignment="1">
      <alignment horizontal="center" vertical="center" wrapText="1"/>
    </xf>
    <xf numFmtId="0" fontId="21" fillId="0" borderId="14" xfId="0" applyNumberFormat="1" applyFont="1" applyBorder="1" applyAlignment="1">
      <alignment horizontal="center" vertical="center" wrapText="1"/>
    </xf>
    <xf numFmtId="0" fontId="0" fillId="6" borderId="10" xfId="0" applyNumberFormat="1" applyFont="1" applyFill="1" applyBorder="1" applyAlignment="1">
      <alignment horizontal="center" vertical="center" wrapText="1"/>
    </xf>
    <xf numFmtId="0" fontId="21" fillId="0" borderId="5" xfId="0" applyNumberFormat="1" applyFont="1" applyBorder="1" applyAlignment="1">
      <alignment horizontal="left" vertical="center" wrapText="1"/>
    </xf>
    <xf numFmtId="0" fontId="21" fillId="0" borderId="6" xfId="0" applyNumberFormat="1" applyFont="1" applyBorder="1" applyAlignment="1">
      <alignment horizontal="left" vertical="center" wrapText="1"/>
    </xf>
    <xf numFmtId="0" fontId="21" fillId="0" borderId="4"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3" fillId="0" borderId="10" xfId="0" applyNumberFormat="1" applyFont="1" applyBorder="1" applyAlignment="1">
      <alignment horizontal="center" vertical="center" wrapText="1"/>
    </xf>
    <xf numFmtId="0" fontId="3" fillId="0" borderId="18" xfId="0" applyNumberFormat="1" applyFont="1" applyBorder="1" applyAlignment="1">
      <alignment horizontal="center" vertical="center" wrapText="1"/>
    </xf>
    <xf numFmtId="0" fontId="3" fillId="11" borderId="11" xfId="0" applyNumberFormat="1" applyFont="1" applyFill="1" applyBorder="1" applyAlignment="1">
      <alignment horizontal="left" vertical="center" wrapText="1"/>
    </xf>
    <xf numFmtId="49" fontId="3" fillId="0" borderId="3" xfId="0" applyNumberFormat="1" applyFont="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9" fillId="0" borderId="3" xfId="0" applyNumberFormat="1" applyFont="1" applyBorder="1" applyAlignment="1">
      <alignment horizontal="center" vertical="center" wrapText="1"/>
    </xf>
    <xf numFmtId="49" fontId="3" fillId="10" borderId="8" xfId="0" applyNumberFormat="1" applyFont="1" applyFill="1" applyBorder="1" applyAlignment="1" applyProtection="1">
      <alignment horizontal="left" vertical="center" wrapText="1" indent="6"/>
      <protection locked="0"/>
    </xf>
    <xf numFmtId="49" fontId="3" fillId="10" borderId="27" xfId="0" applyNumberFormat="1" applyFont="1" applyFill="1" applyBorder="1" applyAlignment="1" applyProtection="1">
      <alignment horizontal="left" vertical="center" wrapText="1" indent="6"/>
      <protection locked="0"/>
    </xf>
    <xf numFmtId="49" fontId="3" fillId="10" borderId="14" xfId="0" applyNumberFormat="1" applyFont="1" applyFill="1" applyBorder="1" applyAlignment="1" applyProtection="1">
      <alignment horizontal="left" vertical="center" wrapText="1" indent="6"/>
      <protection locked="0"/>
    </xf>
    <xf numFmtId="0" fontId="3" fillId="6" borderId="8" xfId="0" applyNumberFormat="1" applyFont="1" applyFill="1" applyBorder="1" applyAlignment="1">
      <alignment horizontal="left" vertical="center" wrapText="1"/>
    </xf>
    <xf numFmtId="0" fontId="3" fillId="6" borderId="27" xfId="0" applyNumberFormat="1" applyFont="1" applyFill="1" applyBorder="1" applyAlignment="1">
      <alignment horizontal="left" vertical="center" wrapText="1"/>
    </xf>
    <xf numFmtId="0" fontId="3" fillId="6" borderId="14" xfId="0" applyNumberFormat="1" applyFont="1" applyFill="1" applyBorder="1" applyAlignment="1">
      <alignment horizontal="left" vertical="center" wrapText="1"/>
    </xf>
    <xf numFmtId="0" fontId="21" fillId="0" borderId="15" xfId="0" applyNumberFormat="1" applyFont="1" applyBorder="1" applyAlignment="1">
      <alignment horizontal="center" vertical="top" wrapText="1"/>
    </xf>
    <xf numFmtId="0" fontId="0" fillId="6" borderId="15" xfId="0" applyNumberFormat="1" applyFont="1" applyFill="1" applyBorder="1" applyAlignment="1">
      <alignment horizontal="center" vertical="center" wrapText="1"/>
    </xf>
    <xf numFmtId="0" fontId="3" fillId="6" borderId="28" xfId="0" applyNumberFormat="1" applyFont="1" applyFill="1" applyBorder="1" applyAlignment="1">
      <alignment horizontal="center" vertical="center" wrapText="1"/>
    </xf>
    <xf numFmtId="0" fontId="3" fillId="6" borderId="13" xfId="0" applyNumberFormat="1" applyFont="1" applyFill="1" applyBorder="1" applyAlignment="1">
      <alignment horizontal="center" vertical="center" wrapText="1"/>
    </xf>
    <xf numFmtId="0" fontId="3" fillId="6" borderId="21" xfId="0" applyNumberFormat="1" applyFont="1" applyFill="1" applyBorder="1" applyAlignment="1">
      <alignment horizontal="center" vertical="center" wrapText="1"/>
    </xf>
    <xf numFmtId="0" fontId="3" fillId="10" borderId="3" xfId="0" applyNumberFormat="1" applyFont="1" applyFill="1" applyBorder="1" applyAlignment="1" applyProtection="1">
      <alignment horizontal="center" vertical="center" wrapText="1"/>
      <protection locked="0"/>
    </xf>
    <xf numFmtId="49" fontId="3" fillId="11" borderId="3" xfId="0" applyNumberFormat="1" applyFont="1" applyFill="1" applyBorder="1" applyAlignment="1">
      <alignment horizontal="left" vertical="center" wrapText="1" indent="1"/>
    </xf>
    <xf numFmtId="0" fontId="3" fillId="7" borderId="5" xfId="0" applyNumberFormat="1" applyFont="1" applyFill="1" applyBorder="1" applyAlignment="1" applyProtection="1">
      <alignment horizontal="left" vertical="center" wrapText="1"/>
      <protection locked="0"/>
    </xf>
    <xf numFmtId="0" fontId="3" fillId="7" borderId="6" xfId="0" applyNumberFormat="1" applyFont="1" applyFill="1" applyBorder="1" applyAlignment="1" applyProtection="1">
      <alignment horizontal="left" vertical="center" wrapText="1"/>
      <protection locked="0"/>
    </xf>
    <xf numFmtId="0" fontId="3" fillId="7" borderId="4" xfId="0" applyNumberFormat="1" applyFont="1" applyFill="1" applyBorder="1" applyAlignment="1" applyProtection="1">
      <alignment horizontal="left" vertical="center" wrapText="1"/>
      <protection locked="0"/>
    </xf>
    <xf numFmtId="49" fontId="3" fillId="7" borderId="5" xfId="0" applyNumberFormat="1" applyFont="1" applyFill="1" applyBorder="1" applyAlignment="1" applyProtection="1">
      <alignment horizontal="left" vertical="center" wrapText="1"/>
      <protection locked="0"/>
    </xf>
    <xf numFmtId="49" fontId="3" fillId="7" borderId="6" xfId="0" applyNumberFormat="1" applyFont="1" applyFill="1" applyBorder="1" applyAlignment="1" applyProtection="1">
      <alignment horizontal="left" vertical="center" wrapText="1"/>
      <protection locked="0"/>
    </xf>
    <xf numFmtId="49" fontId="3" fillId="7" borderId="4" xfId="0" applyNumberFormat="1" applyFont="1" applyFill="1" applyBorder="1" applyAlignment="1" applyProtection="1">
      <alignment horizontal="left" vertical="center" wrapText="1"/>
      <protection locked="0"/>
    </xf>
    <xf numFmtId="0" fontId="18" fillId="0" borderId="3" xfId="0" applyNumberFormat="1" applyFont="1" applyBorder="1" applyAlignment="1">
      <alignment horizontal="left" vertical="top" wrapText="1"/>
    </xf>
    <xf numFmtId="0" fontId="3" fillId="10" borderId="4" xfId="0" applyNumberFormat="1" applyFont="1" applyFill="1" applyBorder="1" applyAlignment="1" applyProtection="1">
      <alignment horizontal="center" vertical="center" wrapText="1"/>
      <protection locked="0"/>
    </xf>
    <xf numFmtId="49" fontId="3" fillId="11" borderId="3" xfId="0" applyNumberFormat="1" applyFont="1" applyFill="1" applyBorder="1" applyAlignment="1" applyProtection="1">
      <alignment horizontal="left" vertical="center" wrapText="1" indent="1"/>
      <protection locked="0"/>
    </xf>
    <xf numFmtId="4" fontId="3" fillId="10" borderId="3" xfId="0" applyNumberFormat="1" applyFont="1" applyFill="1" applyBorder="1" applyAlignment="1" applyProtection="1">
      <alignment horizontal="left" vertical="center" wrapText="1" indent="1"/>
      <protection locked="0"/>
    </xf>
    <xf numFmtId="49" fontId="3" fillId="7" borderId="8" xfId="0" applyNumberFormat="1" applyFont="1" applyFill="1" applyBorder="1" applyAlignment="1" applyProtection="1">
      <alignment horizontal="left" vertical="center" wrapText="1" indent="6"/>
      <protection locked="0"/>
    </xf>
    <xf numFmtId="49" fontId="3" fillId="7" borderId="27" xfId="0" applyNumberFormat="1" applyFont="1" applyFill="1" applyBorder="1" applyAlignment="1" applyProtection="1">
      <alignment horizontal="left" vertical="center" wrapText="1" indent="6"/>
      <protection locked="0"/>
    </xf>
    <xf numFmtId="49" fontId="3" fillId="7" borderId="14" xfId="0" applyNumberFormat="1" applyFont="1" applyFill="1" applyBorder="1" applyAlignment="1" applyProtection="1">
      <alignment horizontal="left" vertical="center" wrapText="1" indent="6"/>
      <protection locked="0"/>
    </xf>
    <xf numFmtId="4" fontId="3" fillId="10" borderId="3" xfId="0" applyNumberFormat="1" applyFont="1" applyFill="1" applyBorder="1" applyAlignment="1" applyProtection="1">
      <alignment horizontal="center" vertical="center" wrapText="1"/>
      <protection locked="0"/>
    </xf>
    <xf numFmtId="49" fontId="3" fillId="11" borderId="11" xfId="0" applyNumberFormat="1" applyFont="1" applyFill="1" applyBorder="1" applyAlignment="1">
      <alignment horizontal="center" vertical="center" wrapText="1"/>
    </xf>
    <xf numFmtId="49" fontId="3" fillId="11" borderId="20" xfId="0" applyNumberFormat="1" applyFont="1" applyFill="1" applyBorder="1" applyAlignment="1">
      <alignment horizontal="center" vertical="center" wrapText="1"/>
    </xf>
    <xf numFmtId="0" fontId="21" fillId="0" borderId="10" xfId="0" applyNumberFormat="1" applyFont="1" applyBorder="1" applyAlignment="1">
      <alignment horizontal="left" vertical="center" wrapText="1"/>
    </xf>
    <xf numFmtId="49" fontId="64" fillId="17" borderId="0" xfId="0" applyNumberFormat="1" applyFont="1" applyFill="1" applyAlignment="1">
      <alignment horizontal="center" vertical="center" textRotation="90" wrapText="1"/>
    </xf>
    <xf numFmtId="0" fontId="45" fillId="0" borderId="0" xfId="0" applyNumberFormat="1" applyFont="1" applyAlignment="1">
      <alignment horizontal="center" vertical="center" wrapText="1"/>
    </xf>
    <xf numFmtId="0" fontId="3" fillId="0" borderId="6" xfId="0" applyNumberFormat="1" applyFont="1" applyBorder="1" applyAlignment="1">
      <alignment horizontal="right" vertical="center" wrapText="1" indent="1"/>
    </xf>
    <xf numFmtId="0" fontId="3" fillId="0" borderId="4" xfId="0" applyNumberFormat="1" applyFont="1" applyBorder="1" applyAlignment="1">
      <alignment horizontal="right" vertical="center" wrapText="1" indent="1"/>
    </xf>
    <xf numFmtId="0" fontId="3" fillId="0" borderId="5" xfId="0" applyNumberFormat="1" applyFont="1" applyBorder="1" applyAlignment="1">
      <alignment horizontal="right" vertical="center" wrapText="1"/>
    </xf>
    <xf numFmtId="0" fontId="3" fillId="0" borderId="6" xfId="0" applyNumberFormat="1" applyFont="1" applyBorder="1" applyAlignment="1">
      <alignment horizontal="right" vertical="center" wrapText="1"/>
    </xf>
    <xf numFmtId="49" fontId="21" fillId="0" borderId="8" xfId="0" applyNumberFormat="1" applyFont="1" applyBorder="1" applyAlignment="1">
      <alignment horizontal="center" vertical="center" wrapText="1"/>
    </xf>
    <xf numFmtId="49" fontId="21" fillId="0" borderId="27" xfId="0" applyNumberFormat="1" applyFont="1" applyBorder="1" applyAlignment="1">
      <alignment horizontal="center" vertical="center" wrapText="1"/>
    </xf>
    <xf numFmtId="49" fontId="21"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8" fillId="0" borderId="0" xfId="0" applyNumberFormat="1" applyFont="1" applyAlignment="1">
      <alignment horizontal="left" vertical="top" wrapText="1"/>
    </xf>
    <xf numFmtId="0" fontId="3" fillId="0" borderId="14" xfId="0" applyNumberFormat="1" applyFont="1" applyBorder="1" applyAlignment="1">
      <alignment horizontal="left" vertical="center" wrapText="1"/>
    </xf>
    <xf numFmtId="0" fontId="20"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3" fillId="0" borderId="8" xfId="0" applyNumberFormat="1" applyFont="1" applyBorder="1" applyAlignment="1">
      <alignment horizontal="center" vertical="center" wrapText="1"/>
    </xf>
    <xf numFmtId="49" fontId="3" fillId="0" borderId="27" xfId="0" applyNumberFormat="1" applyFont="1" applyBorder="1" applyAlignment="1">
      <alignment horizontal="center" vertical="center" wrapText="1"/>
    </xf>
    <xf numFmtId="49" fontId="3" fillId="0" borderId="14" xfId="0" applyNumberFormat="1" applyFont="1" applyBorder="1" applyAlignment="1">
      <alignment horizontal="center" vertical="center" wrapText="1"/>
    </xf>
    <xf numFmtId="0" fontId="21" fillId="0" borderId="6" xfId="0" applyNumberFormat="1" applyFont="1" applyBorder="1" applyAlignment="1">
      <alignment horizontal="right" vertical="center" wrapText="1" indent="1"/>
    </xf>
    <xf numFmtId="0" fontId="21" fillId="0" borderId="4" xfId="0" applyNumberFormat="1" applyFont="1" applyBorder="1" applyAlignment="1">
      <alignment horizontal="right" vertical="center" wrapText="1" indent="1"/>
    </xf>
    <xf numFmtId="0" fontId="3" fillId="5" borderId="5" xfId="0" applyNumberFormat="1" applyFont="1" applyFill="1" applyBorder="1" applyAlignment="1">
      <alignment horizontal="left" vertical="top" wrapText="1"/>
    </xf>
    <xf numFmtId="0" fontId="3" fillId="5" borderId="4" xfId="0" applyNumberFormat="1" applyFont="1" applyFill="1" applyBorder="1" applyAlignment="1">
      <alignment horizontal="left" vertical="top" wrapText="1"/>
    </xf>
    <xf numFmtId="49" fontId="3" fillId="27" borderId="0" xfId="0" applyNumberFormat="1" applyFont="1" applyFill="1" applyAlignment="1">
      <alignment horizontal="center" vertical="center" textRotation="90" wrapText="1"/>
    </xf>
    <xf numFmtId="49" fontId="3"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0" fontId="3" fillId="5" borderId="5" xfId="0" applyNumberFormat="1" applyFont="1" applyFill="1" applyBorder="1" applyAlignment="1">
      <alignment horizontal="left" vertical="top" wrapText="1" indent="1"/>
    </xf>
    <xf numFmtId="0" fontId="3" fillId="5"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3" fillId="0" borderId="5" xfId="0" applyNumberFormat="1" applyFont="1" applyBorder="1" applyAlignment="1">
      <alignment horizontal="center" vertical="center" wrapText="1"/>
    </xf>
    <xf numFmtId="49" fontId="21" fillId="0" borderId="3" xfId="0" applyNumberFormat="1" applyFont="1" applyBorder="1" applyAlignment="1">
      <alignment horizontal="center" vertical="center" wrapText="1"/>
    </xf>
    <xf numFmtId="49" fontId="3"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3" fillId="0" borderId="0" xfId="0" applyNumberFormat="1" applyFont="1" applyAlignment="1">
      <alignment horizontal="left" vertical="center" wrapText="1"/>
    </xf>
    <xf numFmtId="0" fontId="3" fillId="6" borderId="11" xfId="0" applyNumberFormat="1" applyFont="1" applyFill="1" applyBorder="1" applyAlignment="1">
      <alignment horizontal="center" vertical="center" wrapText="1"/>
    </xf>
    <xf numFmtId="0" fontId="3" fillId="6" borderId="20" xfId="0" applyNumberFormat="1" applyFont="1" applyFill="1" applyBorder="1" applyAlignment="1">
      <alignment horizontal="center" vertical="center" wrapText="1"/>
    </xf>
    <xf numFmtId="0" fontId="3" fillId="0" borderId="52" xfId="0" applyNumberFormat="1" applyFont="1" applyBorder="1" applyAlignment="1">
      <alignment horizontal="center" vertical="center"/>
    </xf>
    <xf numFmtId="0" fontId="3" fillId="0" borderId="53" xfId="0" applyNumberFormat="1" applyFont="1" applyBorder="1" applyAlignment="1">
      <alignment horizontal="center" vertical="center"/>
    </xf>
    <xf numFmtId="0" fontId="3" fillId="0" borderId="59" xfId="0" applyNumberFormat="1" applyFont="1" applyBorder="1" applyAlignment="1">
      <alignment horizontal="center" vertical="center"/>
    </xf>
    <xf numFmtId="0" fontId="3" fillId="0" borderId="65" xfId="0" applyNumberFormat="1" applyFont="1" applyBorder="1" applyAlignment="1">
      <alignment horizontal="center" vertical="center"/>
    </xf>
    <xf numFmtId="0" fontId="3"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3" fillId="6" borderId="5" xfId="0" applyNumberFormat="1" applyFont="1" applyFill="1" applyBorder="1" applyAlignment="1">
      <alignment horizontal="center" vertical="center" wrapText="1"/>
    </xf>
    <xf numFmtId="0" fontId="3" fillId="6" borderId="4" xfId="0" applyNumberFormat="1" applyFont="1" applyFill="1" applyBorder="1" applyAlignment="1">
      <alignment horizontal="center" vertical="center" wrapText="1"/>
    </xf>
    <xf numFmtId="0" fontId="3" fillId="12" borderId="3" xfId="0" applyNumberFormat="1" applyFont="1" applyFill="1" applyBorder="1" applyAlignment="1">
      <alignment horizontal="center" vertical="center" wrapText="1"/>
    </xf>
    <xf numFmtId="0" fontId="3" fillId="12" borderId="5" xfId="0" applyNumberFormat="1" applyFont="1" applyFill="1" applyBorder="1" applyAlignment="1">
      <alignment horizontal="center" vertical="center" wrapText="1"/>
    </xf>
    <xf numFmtId="0" fontId="3" fillId="6" borderId="6" xfId="0" applyNumberFormat="1" applyFont="1" applyFill="1" applyBorder="1" applyAlignment="1">
      <alignment horizontal="center" vertical="center" wrapText="1"/>
    </xf>
    <xf numFmtId="49" fontId="3" fillId="22" borderId="5" xfId="0" applyNumberFormat="1" applyFont="1" applyFill="1" applyBorder="1" applyAlignment="1">
      <alignment horizontal="center" vertical="center" wrapText="1"/>
    </xf>
    <xf numFmtId="49" fontId="3" fillId="22" borderId="6" xfId="0" applyNumberFormat="1" applyFont="1" applyFill="1" applyBorder="1" applyAlignment="1">
      <alignment horizontal="center" vertical="center" wrapText="1"/>
    </xf>
    <xf numFmtId="49" fontId="3" fillId="12" borderId="10" xfId="0" applyNumberFormat="1" applyFont="1" applyFill="1" applyBorder="1" applyAlignment="1">
      <alignment horizontal="center" vertical="center" wrapText="1"/>
    </xf>
    <xf numFmtId="49" fontId="3" fillId="12" borderId="0" xfId="0" applyNumberFormat="1" applyFont="1" applyFill="1" applyAlignment="1">
      <alignment horizontal="center" vertical="center" wrapText="1"/>
    </xf>
    <xf numFmtId="49" fontId="3" fillId="12" borderId="18" xfId="0" applyNumberFormat="1" applyFont="1" applyFill="1" applyBorder="1" applyAlignment="1">
      <alignment horizontal="center" vertical="center" wrapText="1"/>
    </xf>
    <xf numFmtId="0" fontId="3" fillId="12" borderId="4" xfId="0" applyNumberFormat="1" applyFont="1" applyFill="1" applyBorder="1" applyAlignment="1">
      <alignment horizontal="center" vertical="center" wrapText="1"/>
    </xf>
    <xf numFmtId="0" fontId="3" fillId="20" borderId="5" xfId="0" applyNumberFormat="1" applyFont="1" applyFill="1" applyBorder="1" applyAlignment="1">
      <alignment horizontal="center" vertical="center" wrapText="1"/>
    </xf>
    <xf numFmtId="0" fontId="3" fillId="20" borderId="6" xfId="0" applyNumberFormat="1" applyFont="1" applyFill="1" applyBorder="1" applyAlignment="1">
      <alignment horizontal="center" vertical="center" wrapText="1"/>
    </xf>
    <xf numFmtId="0" fontId="3" fillId="20" borderId="4" xfId="0" applyNumberFormat="1" applyFont="1" applyFill="1" applyBorder="1" applyAlignment="1">
      <alignment horizontal="center" vertical="center" wrapText="1"/>
    </xf>
    <xf numFmtId="49" fontId="20" fillId="18" borderId="5" xfId="0" applyNumberFormat="1" applyFont="1" applyFill="1" applyBorder="1" applyAlignment="1">
      <alignment horizontal="center" vertical="center" wrapText="1"/>
    </xf>
    <xf numFmtId="49" fontId="20" fillId="18" borderId="6" xfId="0" applyNumberFormat="1" applyFont="1" applyFill="1" applyBorder="1" applyAlignment="1">
      <alignment horizontal="center" vertical="center" wrapText="1"/>
    </xf>
    <xf numFmtId="49" fontId="20" fillId="18" borderId="4" xfId="0" applyNumberFormat="1" applyFont="1" applyFill="1" applyBorder="1" applyAlignment="1">
      <alignment horizontal="center" vertical="center" wrapText="1"/>
    </xf>
    <xf numFmtId="49" fontId="20" fillId="21" borderId="5" xfId="0" applyNumberFormat="1" applyFont="1" applyFill="1" applyBorder="1" applyAlignment="1">
      <alignment horizontal="center" vertical="center" wrapText="1"/>
    </xf>
    <xf numFmtId="49" fontId="20" fillId="21" borderId="6" xfId="0" applyNumberFormat="1" applyFont="1" applyFill="1" applyBorder="1" applyAlignment="1">
      <alignment horizontal="center" vertical="center" wrapText="1"/>
    </xf>
    <xf numFmtId="49" fontId="20" fillId="21" borderId="4" xfId="0" applyNumberFormat="1" applyFont="1" applyFill="1" applyBorder="1" applyAlignment="1">
      <alignment horizontal="center" vertical="center" wrapText="1"/>
    </xf>
    <xf numFmtId="49" fontId="3" fillId="12" borderId="3" xfId="0" applyNumberFormat="1" applyFont="1" applyFill="1" applyBorder="1" applyAlignment="1">
      <alignment horizontal="center" vertical="center" wrapText="1"/>
    </xf>
    <xf numFmtId="49" fontId="3" fillId="0" borderId="6" xfId="0" applyNumberFormat="1" applyFont="1" applyBorder="1" applyAlignment="1">
      <alignment horizontal="center" vertical="center" wrapText="1"/>
    </xf>
    <xf numFmtId="49" fontId="3" fillId="0" borderId="4" xfId="0" applyNumberFormat="1" applyFont="1" applyBorder="1" applyAlignment="1">
      <alignment horizontal="center" vertical="center" wrapText="1"/>
    </xf>
    <xf numFmtId="0" fontId="3" fillId="0" borderId="11" xfId="0" applyNumberFormat="1" applyFont="1" applyBorder="1" applyAlignment="1">
      <alignment horizontal="left" vertical="top" wrapText="1"/>
    </xf>
    <xf numFmtId="0" fontId="3" fillId="0" borderId="3" xfId="0" applyNumberFormat="1" applyFont="1" applyBorder="1" applyAlignment="1">
      <alignment vertical="center" wrapText="1"/>
    </xf>
    <xf numFmtId="0" fontId="3"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3" fillId="0" borderId="6" xfId="0" applyNumberFormat="1" applyFont="1" applyBorder="1" applyAlignment="1">
      <alignment horizontal="left" vertical="top" wrapText="1" indent="1"/>
    </xf>
    <xf numFmtId="0" fontId="12" fillId="6" borderId="0" xfId="0" applyNumberFormat="1" applyFont="1" applyFill="1" applyAlignment="1">
      <alignment horizontal="center" vertical="top" wrapText="1"/>
    </xf>
    <xf numFmtId="49" fontId="8"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0" fontId="12"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3" fillId="0" borderId="8" xfId="0" applyNumberFormat="1" applyFont="1" applyBorder="1" applyAlignment="1">
      <alignment horizontal="center" vertical="center" wrapText="1"/>
    </xf>
    <xf numFmtId="4" fontId="3" fillId="0" borderId="14" xfId="0" applyNumberFormat="1" applyFont="1" applyBorder="1" applyAlignment="1">
      <alignment horizontal="center" vertical="center" wrapText="1"/>
    </xf>
    <xf numFmtId="4" fontId="3" fillId="0" borderId="27" xfId="0" applyNumberFormat="1" applyFont="1" applyBorder="1" applyAlignment="1">
      <alignment horizontal="center" vertical="center" wrapText="1"/>
    </xf>
    <xf numFmtId="0" fontId="3" fillId="0" borderId="20" xfId="0" applyNumberFormat="1" applyFont="1" applyBorder="1" applyAlignment="1">
      <alignment horizontal="left" vertical="top" wrapText="1"/>
    </xf>
    <xf numFmtId="168" fontId="3" fillId="0" borderId="8" xfId="0" applyNumberFormat="1" applyFont="1" applyBorder="1" applyAlignment="1">
      <alignment horizontal="center" vertical="center" wrapText="1"/>
    </xf>
    <xf numFmtId="168" fontId="3" fillId="0" borderId="14" xfId="0" applyNumberFormat="1" applyFont="1" applyBorder="1" applyAlignment="1">
      <alignment horizontal="center" vertical="center" wrapText="1"/>
    </xf>
    <xf numFmtId="168" fontId="3" fillId="0" borderId="5" xfId="0" applyNumberFormat="1" applyFont="1" applyBorder="1" applyAlignment="1">
      <alignment horizontal="center" vertical="center" wrapText="1"/>
    </xf>
    <xf numFmtId="168" fontId="3" fillId="0" borderId="6" xfId="0" applyNumberFormat="1" applyFont="1" applyBorder="1" applyAlignment="1">
      <alignment horizontal="center" vertical="center" wrapText="1"/>
    </xf>
    <xf numFmtId="168" fontId="3" fillId="0" borderId="4" xfId="0" applyNumberFormat="1" applyFont="1" applyBorder="1" applyAlignment="1">
      <alignment horizontal="center" vertical="center" wrapText="1"/>
    </xf>
    <xf numFmtId="49" fontId="3" fillId="0" borderId="3" xfId="0" applyNumberFormat="1" applyFont="1" applyBorder="1" applyAlignment="1">
      <alignment horizontal="left" vertical="top" wrapText="1"/>
    </xf>
    <xf numFmtId="49" fontId="98" fillId="0" borderId="3" xfId="0" applyNumberFormat="1" applyFont="1" applyBorder="1" applyAlignment="1">
      <alignment horizontal="left" vertical="top" wrapText="1"/>
    </xf>
    <xf numFmtId="0" fontId="3" fillId="0" borderId="6" xfId="0" applyNumberFormat="1" applyFont="1" applyBorder="1" applyAlignment="1">
      <alignment horizontal="left" vertical="center" wrapText="1"/>
    </xf>
    <xf numFmtId="168" fontId="3" fillId="0" borderId="27" xfId="0" applyNumberFormat="1" applyFont="1" applyBorder="1" applyAlignment="1">
      <alignment horizontal="center" vertical="center" wrapText="1"/>
    </xf>
    <xf numFmtId="168" fontId="3" fillId="0" borderId="3" xfId="0" applyNumberFormat="1" applyFont="1" applyBorder="1" applyAlignment="1">
      <alignment horizontal="center" vertical="center" wrapText="1"/>
    </xf>
    <xf numFmtId="168" fontId="18" fillId="0" borderId="10" xfId="0" applyNumberFormat="1" applyFont="1" applyBorder="1" applyAlignment="1">
      <alignment horizontal="center" vertical="center" wrapText="1"/>
    </xf>
    <xf numFmtId="49" fontId="3" fillId="11" borderId="21" xfId="0" applyNumberFormat="1" applyFont="1" applyFill="1" applyBorder="1" applyAlignment="1">
      <alignment horizontal="left" vertical="center" wrapText="1"/>
    </xf>
    <xf numFmtId="49" fontId="3" fillId="11" borderId="14" xfId="0" applyNumberFormat="1" applyFont="1" applyFill="1" applyBorder="1" applyAlignment="1">
      <alignment horizontal="left" vertical="center" wrapText="1"/>
    </xf>
    <xf numFmtId="0" fontId="3" fillId="5" borderId="3" xfId="0" applyNumberFormat="1" applyFont="1" applyFill="1" applyBorder="1" applyAlignment="1">
      <alignment horizontal="left" vertical="center" wrapText="1"/>
    </xf>
    <xf numFmtId="14" fontId="3" fillId="11" borderId="3" xfId="0" applyNumberFormat="1" applyFont="1" applyFill="1" applyBorder="1" applyAlignment="1">
      <alignment horizontal="left" vertical="center" wrapText="1"/>
    </xf>
    <xf numFmtId="49" fontId="3" fillId="11" borderId="5" xfId="0" applyNumberFormat="1" applyFont="1" applyFill="1" applyBorder="1" applyAlignment="1">
      <alignment horizontal="left" vertical="center" wrapText="1"/>
    </xf>
    <xf numFmtId="49" fontId="3" fillId="11" borderId="3" xfId="0" applyNumberFormat="1" applyFont="1" applyFill="1" applyBorder="1" applyAlignment="1">
      <alignment horizontal="left" vertical="center" wrapText="1"/>
    </xf>
    <xf numFmtId="0" fontId="3" fillId="5" borderId="20" xfId="0" applyNumberFormat="1" applyFont="1" applyFill="1" applyBorder="1" applyAlignment="1">
      <alignment horizontal="left" vertical="center" wrapText="1"/>
    </xf>
    <xf numFmtId="14" fontId="3" fillId="11" borderId="14" xfId="0" applyNumberFormat="1" applyFont="1" applyFill="1" applyBorder="1" applyAlignment="1">
      <alignment horizontal="left" vertical="center" wrapText="1"/>
    </xf>
    <xf numFmtId="49" fontId="3" fillId="0" borderId="0" xfId="0" applyNumberFormat="1" applyFont="1" applyAlignment="1">
      <alignment horizontal="left" vertical="top" wrapText="1"/>
    </xf>
    <xf numFmtId="0" fontId="3" fillId="0" borderId="4" xfId="0" applyNumberFormat="1" applyFont="1" applyBorder="1" applyAlignment="1">
      <alignment horizontal="left" vertical="center" wrapText="1" indent="1"/>
    </xf>
    <xf numFmtId="0" fontId="3"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3"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3" fillId="11" borderId="8" xfId="0" applyNumberFormat="1" applyFont="1" applyFill="1" applyBorder="1" applyAlignment="1">
      <alignment horizontal="center" vertical="top" wrapText="1"/>
    </xf>
    <xf numFmtId="49" fontId="3"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3" fillId="11" borderId="3" xfId="0" applyNumberFormat="1" applyFont="1" applyFill="1" applyBorder="1" applyAlignment="1">
      <alignment horizontal="left" vertical="top" wrapText="1"/>
    </xf>
    <xf numFmtId="0" fontId="0" fillId="0" borderId="3" xfId="0" applyNumberFormat="1" applyFont="1" applyBorder="1" applyAlignment="1">
      <alignment horizontal="center" vertical="center"/>
    </xf>
    <xf numFmtId="49" fontId="3" fillId="10" borderId="3" xfId="0" applyNumberFormat="1" applyFont="1" applyFill="1" applyBorder="1" applyAlignment="1" applyProtection="1">
      <alignment horizontal="left" vertical="top" wrapText="1"/>
      <protection locked="0"/>
    </xf>
    <xf numFmtId="0" fontId="3" fillId="7" borderId="3" xfId="0" applyNumberFormat="1" applyFont="1" applyFill="1" applyBorder="1" applyAlignment="1" applyProtection="1">
      <alignment horizontal="left" vertical="top" wrapText="1"/>
      <protection locked="0"/>
    </xf>
    <xf numFmtId="49" fontId="0" fillId="10" borderId="3" xfId="0" applyNumberFormat="1" applyFont="1" applyFill="1" applyBorder="1" applyAlignment="1" applyProtection="1">
      <alignment horizontal="left" vertical="center" wrapText="1"/>
      <protection locked="0"/>
    </xf>
    <xf numFmtId="0" fontId="3"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49" fontId="3" fillId="11" borderId="8" xfId="0" applyNumberFormat="1" applyFont="1" applyFill="1" applyBorder="1" applyAlignment="1">
      <alignment horizontal="left" vertical="center" wrapText="1" indent="1"/>
    </xf>
    <xf numFmtId="49" fontId="3" fillId="11" borderId="27" xfId="0" applyNumberFormat="1" applyFont="1" applyFill="1" applyBorder="1" applyAlignment="1">
      <alignment horizontal="left" vertical="center" wrapText="1" indent="1"/>
    </xf>
    <xf numFmtId="49" fontId="3" fillId="11" borderId="14" xfId="0" applyNumberFormat="1" applyFont="1" applyFill="1" applyBorder="1" applyAlignment="1">
      <alignment horizontal="left" vertical="center" wrapText="1" indent="1"/>
    </xf>
    <xf numFmtId="49" fontId="96" fillId="0" borderId="3" xfId="0" applyNumberFormat="1" applyFont="1" applyBorder="1" applyAlignment="1">
      <alignment horizontal="center" vertical="center" wrapText="1"/>
    </xf>
    <xf numFmtId="0" fontId="18" fillId="0" borderId="3" xfId="0" applyNumberFormat="1" applyFont="1" applyBorder="1" applyAlignment="1">
      <alignment horizontal="center" vertical="center"/>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9" fillId="0" borderId="8" xfId="0" applyNumberFormat="1" applyFont="1" applyBorder="1" applyAlignment="1">
      <alignment horizontal="center" vertical="top" wrapText="1"/>
    </xf>
    <xf numFmtId="49" fontId="3" fillId="0" borderId="27" xfId="0" applyNumberFormat="1" applyFont="1" applyBorder="1" applyAlignment="1">
      <alignment horizontal="center" vertical="top" wrapText="1"/>
    </xf>
    <xf numFmtId="49" fontId="3" fillId="0" borderId="14" xfId="0" applyNumberFormat="1" applyFont="1" applyBorder="1" applyAlignment="1">
      <alignment horizontal="center" vertical="top" wrapText="1"/>
    </xf>
    <xf numFmtId="49" fontId="3" fillId="10" borderId="5" xfId="0" applyNumberFormat="1" applyFont="1" applyFill="1" applyBorder="1" applyAlignment="1" applyProtection="1">
      <alignment horizontal="left" vertical="center" wrapText="1" indent="1"/>
      <protection locked="0"/>
    </xf>
    <xf numFmtId="49" fontId="3" fillId="10" borderId="3" xfId="0" applyNumberFormat="1" applyFont="1" applyFill="1" applyBorder="1" applyAlignment="1" applyProtection="1">
      <alignment horizontal="left" vertical="center" wrapText="1" indent="1"/>
      <protection locked="0"/>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49" fontId="3" fillId="7" borderId="3"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top"/>
      <protection locked="0"/>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8" fillId="0" borderId="3" xfId="0" applyNumberFormat="1" applyFont="1" applyBorder="1" applyAlignment="1">
      <alignment horizontal="center" vertical="center" wrapText="1"/>
    </xf>
    <xf numFmtId="0" fontId="3" fillId="11" borderId="3" xfId="0" applyNumberFormat="1" applyFont="1" applyFill="1" applyBorder="1" applyAlignment="1">
      <alignment horizontal="left" vertical="center" wrapText="1" indent="1"/>
    </xf>
    <xf numFmtId="49" fontId="3" fillId="11" borderId="3" xfId="0" applyNumberFormat="1" applyFont="1" applyFill="1" applyBorder="1" applyAlignment="1">
      <alignment horizontal="center" vertical="top" wrapText="1"/>
    </xf>
    <xf numFmtId="49" fontId="3" fillId="11" borderId="5" xfId="0" applyNumberFormat="1" applyFont="1" applyFill="1" applyBorder="1" applyAlignment="1">
      <alignment horizontal="center" vertical="top" wrapText="1"/>
    </xf>
    <xf numFmtId="49" fontId="0" fillId="5" borderId="3" xfId="0" applyNumberFormat="1" applyFont="1" applyFill="1" applyBorder="1" applyAlignment="1">
      <alignment horizontal="center" vertical="top" wrapText="1"/>
    </xf>
    <xf numFmtId="0" fontId="3" fillId="5" borderId="3" xfId="0" applyNumberFormat="1" applyFont="1" applyFill="1" applyBorder="1" applyAlignment="1">
      <alignment horizontal="center" vertical="top" wrapText="1"/>
    </xf>
    <xf numFmtId="49" fontId="3" fillId="11" borderId="5" xfId="0" applyNumberFormat="1" applyFont="1" applyFill="1" applyBorder="1" applyAlignment="1">
      <alignment horizontal="center" vertical="center" wrapText="1"/>
    </xf>
    <xf numFmtId="49" fontId="13" fillId="8" borderId="42" xfId="0" applyNumberFormat="1" applyFont="1" applyFill="1" applyBorder="1" applyAlignment="1">
      <alignment horizontal="left" vertical="center" indent="1"/>
    </xf>
    <xf numFmtId="49" fontId="3" fillId="5" borderId="3" xfId="0" applyNumberFormat="1" applyFont="1" applyFill="1" applyBorder="1" applyAlignment="1">
      <alignment horizontal="center" vertical="center" wrapText="1"/>
    </xf>
    <xf numFmtId="49" fontId="3" fillId="5" borderId="66" xfId="0" applyNumberFormat="1" applyFont="1" applyFill="1" applyBorder="1" applyAlignment="1">
      <alignment horizontal="center" vertical="center" wrapText="1"/>
    </xf>
    <xf numFmtId="3" fontId="3" fillId="10" borderId="3" xfId="0" applyNumberFormat="1" applyFont="1" applyFill="1" applyBorder="1" applyAlignment="1" applyProtection="1">
      <alignment horizontal="center" vertical="center" wrapText="1"/>
      <protection locked="0"/>
    </xf>
    <xf numFmtId="49" fontId="3" fillId="5" borderId="3" xfId="0" applyNumberFormat="1" applyFont="1" applyFill="1" applyBorder="1" applyAlignment="1">
      <alignment horizontal="left" vertical="center" wrapText="1"/>
    </xf>
    <xf numFmtId="49" fontId="3" fillId="11" borderId="4" xfId="0" applyNumberFormat="1" applyFont="1" applyFill="1" applyBorder="1" applyAlignment="1">
      <alignment horizontal="left" vertical="center" wrapText="1"/>
    </xf>
    <xf numFmtId="49" fontId="3" fillId="10" borderId="3" xfId="0" applyNumberFormat="1" applyFont="1" applyFill="1" applyBorder="1" applyAlignment="1" applyProtection="1">
      <alignment horizontal="left" vertical="center" wrapText="1"/>
      <protection locked="0"/>
    </xf>
    <xf numFmtId="49" fontId="96" fillId="0" borderId="4" xfId="0" applyNumberFormat="1" applyFont="1" applyBorder="1" applyAlignment="1">
      <alignment horizontal="center" vertical="center" wrapText="1"/>
    </xf>
    <xf numFmtId="0" fontId="3" fillId="11" borderId="8" xfId="0" applyNumberFormat="1" applyFont="1" applyFill="1" applyBorder="1" applyAlignment="1">
      <alignment horizontal="left" vertical="center" wrapText="1"/>
    </xf>
    <xf numFmtId="0" fontId="3" fillId="11" borderId="27" xfId="0" applyNumberFormat="1" applyFont="1" applyFill="1" applyBorder="1" applyAlignment="1">
      <alignment horizontal="left" vertical="center" wrapText="1"/>
    </xf>
    <xf numFmtId="49" fontId="3" fillId="11" borderId="8" xfId="0" applyNumberFormat="1" applyFont="1" applyFill="1" applyBorder="1" applyAlignment="1">
      <alignment horizontal="left" vertical="center" wrapText="1"/>
    </xf>
    <xf numFmtId="49" fontId="3" fillId="0" borderId="27" xfId="0" applyNumberFormat="1" applyFont="1" applyBorder="1" applyAlignment="1">
      <alignment horizontal="center" vertical="center"/>
    </xf>
    <xf numFmtId="0" fontId="3" fillId="0" borderId="15" xfId="0" applyNumberFormat="1" applyFont="1" applyBorder="1" applyAlignment="1">
      <alignment horizontal="center" vertical="center"/>
    </xf>
    <xf numFmtId="49" fontId="3" fillId="7" borderId="8" xfId="0" applyNumberFormat="1" applyFont="1" applyFill="1" applyBorder="1" applyAlignment="1" applyProtection="1">
      <alignment horizontal="left" vertical="center" wrapText="1"/>
      <protection locked="0"/>
    </xf>
    <xf numFmtId="0" fontId="13" fillId="8" borderId="6" xfId="0" applyNumberFormat="1" applyFont="1" applyFill="1" applyBorder="1" applyAlignment="1">
      <alignment horizontal="left" vertical="center"/>
    </xf>
    <xf numFmtId="0" fontId="13" fillId="8" borderId="4" xfId="0" applyNumberFormat="1" applyFont="1" applyFill="1" applyBorder="1" applyAlignment="1">
      <alignment horizontal="left" vertical="center"/>
    </xf>
    <xf numFmtId="0" fontId="13" fillId="8" borderId="10" xfId="0" applyNumberFormat="1" applyFont="1" applyFill="1" applyBorder="1" applyAlignment="1">
      <alignment horizontal="left" vertical="center"/>
    </xf>
    <xf numFmtId="0" fontId="13" fillId="8" borderId="11" xfId="0" applyNumberFormat="1" applyFont="1" applyFill="1" applyBorder="1" applyAlignment="1">
      <alignment horizontal="left" vertical="center"/>
    </xf>
    <xf numFmtId="49" fontId="3" fillId="10" borderId="8" xfId="0" applyNumberFormat="1" applyFont="1" applyFill="1" applyBorder="1" applyAlignment="1" applyProtection="1">
      <alignment horizontal="left" vertical="center" wrapText="1"/>
      <protection locked="0"/>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4" fontId="3" fillId="5" borderId="3" xfId="0" applyNumberFormat="1" applyFont="1" applyFill="1" applyBorder="1" applyAlignment="1">
      <alignment horizontal="left" vertical="center" wrapText="1"/>
    </xf>
    <xf numFmtId="0" fontId="3" fillId="11" borderId="3" xfId="0" applyNumberFormat="1" applyFont="1" applyFill="1" applyBorder="1" applyAlignment="1" applyProtection="1">
      <alignment horizontal="left" vertical="center" wrapText="1"/>
      <protection locked="0"/>
    </xf>
    <xf numFmtId="0" fontId="3" fillId="11" borderId="5" xfId="0" applyNumberFormat="1" applyFont="1" applyFill="1" applyBorder="1" applyAlignment="1" applyProtection="1">
      <alignment horizontal="left" vertical="center" wrapText="1"/>
      <protection locked="0"/>
    </xf>
    <xf numFmtId="0" fontId="3" fillId="11" borderId="6" xfId="0" applyNumberFormat="1" applyFont="1" applyFill="1" applyBorder="1" applyAlignment="1" applyProtection="1">
      <alignment horizontal="left" vertical="center" wrapText="1"/>
      <protection locked="0"/>
    </xf>
    <xf numFmtId="0" fontId="3" fillId="11" borderId="4" xfId="0" applyNumberFormat="1" applyFont="1" applyFill="1" applyBorder="1" applyAlignment="1" applyProtection="1">
      <alignment horizontal="left" vertical="center" wrapText="1"/>
      <protection locked="0"/>
    </xf>
    <xf numFmtId="0" fontId="3" fillId="0" borderId="0" xfId="0" applyNumberFormat="1" applyFont="1" applyAlignment="1">
      <alignment horizontal="right" vertical="center" wrapText="1"/>
    </xf>
    <xf numFmtId="0" fontId="19" fillId="0" borderId="10" xfId="0" applyNumberFormat="1" applyFont="1" applyBorder="1" applyAlignment="1">
      <alignment horizontal="left" vertical="center" wrapText="1" indent="1"/>
    </xf>
    <xf numFmtId="0" fontId="19" fillId="0" borderId="18" xfId="0" applyNumberFormat="1" applyFont="1" applyBorder="1" applyAlignment="1">
      <alignment horizontal="left" vertical="center" wrapText="1" indent="1"/>
    </xf>
    <xf numFmtId="49" fontId="0" fillId="0" borderId="3" xfId="1" applyNumberFormat="1" applyFont="1" applyBorder="1" applyAlignment="1">
      <alignment horizontal="center" vertical="top"/>
    </xf>
    <xf numFmtId="49" fontId="0" fillId="0" borderId="5" xfId="1" applyNumberFormat="1" applyFont="1" applyBorder="1" applyAlignment="1">
      <alignment horizontal="center" vertical="top"/>
    </xf>
  </cellXfs>
  <cellStyles count="2">
    <cellStyle name="Обычный" xfId="0" builtinId="0"/>
    <cellStyle name="Обычный 2" xfId="1" xr:uid="{00000000-0005-0000-0000-00002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314516</xdr:colOff>
      <xdr:row>16</xdr:row>
      <xdr:rowOff>171641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314516</xdr:colOff>
      <xdr:row>29</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44577</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kosheleva-elena2022@mai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6FCAA-C223-BED7-F1F5-3AEAC954098A}">
  <dimension ref="A1:AB21"/>
  <sheetViews>
    <sheetView showGridLines="0" showRowColHeaders="0" workbookViewId="0"/>
  </sheetViews>
  <sheetFormatPr defaultColWidth="11" defaultRowHeight="12.75" customHeight="1"/>
  <cols>
    <col min="1" max="1" width="5.42578125" style="1960" customWidth="1"/>
    <col min="2" max="2" width="9.140625" style="1960" customWidth="1"/>
    <col min="3" max="3" width="16.42578125" style="1960" customWidth="1"/>
    <col min="4" max="25" width="6.28515625" style="1960" customWidth="1"/>
    <col min="26" max="28" width="11" style="1960"/>
  </cols>
  <sheetData>
    <row r="1" spans="1:28" ht="15.75" customHeight="1">
      <c r="A1" s="1544"/>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6"/>
      <c r="Z1" s="1545"/>
      <c r="AA1" s="1547" t="s">
        <v>0</v>
      </c>
      <c r="AB1" s="1545"/>
    </row>
    <row r="2" spans="1:28" ht="17.25" customHeight="1">
      <c r="A2" s="1545"/>
      <c r="B2" s="3374" t="s">
        <v>1</v>
      </c>
      <c r="C2" s="3374"/>
      <c r="D2" s="3374"/>
      <c r="E2" s="3374"/>
      <c r="F2" s="3374"/>
      <c r="G2" s="3374"/>
      <c r="H2" s="3374"/>
      <c r="I2" s="3374"/>
      <c r="J2" s="3374"/>
      <c r="K2" s="3374"/>
      <c r="L2" s="3374"/>
      <c r="M2" s="3374"/>
      <c r="N2" s="3374"/>
      <c r="O2" s="3374"/>
      <c r="P2" s="3374"/>
      <c r="Q2" s="1548"/>
      <c r="R2" s="1548"/>
      <c r="S2" s="1548"/>
      <c r="T2" s="1548"/>
      <c r="U2" s="1548"/>
      <c r="V2" s="1549"/>
      <c r="W2" s="1548"/>
      <c r="X2" s="1548"/>
      <c r="Y2" s="1546"/>
      <c r="Z2" s="1545"/>
      <c r="AA2" s="1547"/>
      <c r="AB2" s="1545"/>
    </row>
    <row r="3" spans="1:28" ht="15.75" customHeight="1">
      <c r="A3" s="1545"/>
      <c r="B3" s="3375" t="s">
        <v>2</v>
      </c>
      <c r="C3" s="3375"/>
      <c r="D3" s="3375"/>
      <c r="E3" s="3375"/>
      <c r="F3" s="3375"/>
      <c r="G3" s="3375"/>
      <c r="H3" s="3375"/>
      <c r="I3" s="3375"/>
      <c r="J3" s="3375"/>
      <c r="K3" s="3375"/>
      <c r="L3" s="3375"/>
      <c r="M3" s="3375"/>
      <c r="N3" s="3375"/>
      <c r="O3" s="3375"/>
      <c r="P3" s="3375"/>
      <c r="Q3" s="1549"/>
      <c r="R3" s="1549"/>
      <c r="S3" s="1548"/>
      <c r="T3" s="1548"/>
      <c r="U3" s="1548"/>
      <c r="V3" s="1549"/>
      <c r="W3" s="1549"/>
      <c r="X3" s="1549"/>
      <c r="Y3" s="1549"/>
      <c r="Z3" s="1545"/>
      <c r="AA3" s="1547"/>
      <c r="AB3" s="1545"/>
    </row>
    <row r="4" spans="1:28" ht="17.25" customHeight="1">
      <c r="A4" s="1545"/>
      <c r="B4" s="1550"/>
      <c r="C4" s="1545"/>
      <c r="D4" s="1549"/>
      <c r="E4" s="1549"/>
      <c r="F4" s="1549"/>
      <c r="G4" s="1549"/>
      <c r="H4" s="1549"/>
      <c r="I4" s="1549"/>
      <c r="J4" s="1549"/>
      <c r="K4" s="1549"/>
      <c r="L4" s="1549"/>
      <c r="M4" s="1549"/>
      <c r="N4" s="1549"/>
      <c r="O4" s="1549"/>
      <c r="P4" s="1549"/>
      <c r="Q4" s="1549"/>
      <c r="R4" s="1549"/>
      <c r="S4" s="1549"/>
      <c r="T4" s="1549"/>
      <c r="U4" s="1549"/>
      <c r="V4" s="1549"/>
      <c r="W4" s="1549"/>
      <c r="X4" s="1549"/>
      <c r="Y4" s="1549"/>
      <c r="Z4" s="1545"/>
      <c r="AA4" s="1547"/>
      <c r="AB4" s="1545"/>
    </row>
    <row r="5" spans="1:28" ht="22.5" customHeight="1">
      <c r="A5" s="1551"/>
      <c r="B5" s="3376"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3377"/>
      <c r="D5" s="3377"/>
      <c r="E5" s="3377"/>
      <c r="F5" s="3377"/>
      <c r="G5" s="3377"/>
      <c r="H5" s="3377"/>
      <c r="I5" s="3377"/>
      <c r="J5" s="3377"/>
      <c r="K5" s="3377"/>
      <c r="L5" s="3377"/>
      <c r="M5" s="3377"/>
      <c r="N5" s="3377"/>
      <c r="O5" s="3377"/>
      <c r="P5" s="3377"/>
      <c r="Q5" s="3377"/>
      <c r="R5" s="3377"/>
      <c r="S5" s="3377"/>
      <c r="T5" s="3377"/>
      <c r="U5" s="3377"/>
      <c r="V5" s="3377"/>
      <c r="W5" s="3377"/>
      <c r="X5" s="3377"/>
      <c r="Y5" s="3378"/>
      <c r="Z5" s="1551"/>
      <c r="AA5" s="1547"/>
      <c r="AB5" s="1551"/>
    </row>
    <row r="6" spans="1:28" ht="15" customHeight="1">
      <c r="A6" s="1552"/>
      <c r="B6" s="3366" t="s">
        <v>3</v>
      </c>
      <c r="C6" s="3369"/>
      <c r="D6" s="1553"/>
      <c r="E6" s="1553"/>
      <c r="F6" s="1553"/>
      <c r="G6" s="1553"/>
      <c r="H6" s="1553"/>
      <c r="I6" s="1553"/>
      <c r="J6" s="1553"/>
      <c r="K6" s="1553"/>
      <c r="L6" s="1553"/>
      <c r="M6" s="1553"/>
      <c r="N6" s="1553"/>
      <c r="O6" s="1553"/>
      <c r="P6" s="1553"/>
      <c r="Q6" s="1553"/>
      <c r="R6" s="1553"/>
      <c r="S6" s="1553"/>
      <c r="T6" s="1553"/>
      <c r="U6" s="1553"/>
      <c r="V6" s="1553"/>
      <c r="W6" s="1553"/>
      <c r="X6" s="1553"/>
      <c r="Y6" s="1554"/>
      <c r="Z6" s="1555"/>
      <c r="AA6" s="1556"/>
      <c r="AB6" s="1556"/>
    </row>
    <row r="7" spans="1:28" ht="15" customHeight="1">
      <c r="A7" s="1552"/>
      <c r="B7" s="3366"/>
      <c r="C7" s="3369"/>
      <c r="D7" s="1553"/>
      <c r="E7" s="1553"/>
      <c r="F7" s="1557"/>
      <c r="G7" s="1557"/>
      <c r="H7" s="1557"/>
      <c r="I7" s="1557"/>
      <c r="J7" s="1557"/>
      <c r="K7" s="1557"/>
      <c r="L7" s="1557"/>
      <c r="M7" s="1557"/>
      <c r="N7" s="1557"/>
      <c r="O7" s="1553"/>
      <c r="P7" s="1557"/>
      <c r="Q7" s="1557"/>
      <c r="R7" s="1557"/>
      <c r="S7" s="1557"/>
      <c r="T7" s="1557"/>
      <c r="U7" s="1557"/>
      <c r="V7" s="1557"/>
      <c r="W7" s="1557"/>
      <c r="X7" s="1557"/>
      <c r="Y7" s="1554"/>
      <c r="Z7" s="1555"/>
      <c r="AA7" s="1556"/>
      <c r="AB7" s="1556"/>
    </row>
    <row r="8" spans="1:28" ht="15" customHeight="1">
      <c r="A8" s="1552"/>
      <c r="B8" s="3366"/>
      <c r="C8" s="3369"/>
      <c r="D8" s="1558"/>
      <c r="E8" s="1559" t="s">
        <v>4</v>
      </c>
      <c r="F8" s="3379" t="s">
        <v>5</v>
      </c>
      <c r="G8" s="3368"/>
      <c r="H8" s="3368"/>
      <c r="I8" s="3368"/>
      <c r="J8" s="3368"/>
      <c r="K8" s="3368"/>
      <c r="L8" s="3368"/>
      <c r="M8" s="3368"/>
      <c r="N8" s="1558"/>
      <c r="O8" s="1560" t="s">
        <v>4</v>
      </c>
      <c r="P8" s="3380" t="s">
        <v>6</v>
      </c>
      <c r="Q8" s="3381"/>
      <c r="R8" s="3381"/>
      <c r="S8" s="3381"/>
      <c r="T8" s="3381"/>
      <c r="U8" s="3381"/>
      <c r="V8" s="3381"/>
      <c r="W8" s="3381"/>
      <c r="X8" s="3381"/>
      <c r="Y8" s="1554"/>
      <c r="Z8" s="1555"/>
      <c r="AA8" s="1556"/>
      <c r="AB8" s="1556"/>
    </row>
    <row r="9" spans="1:28" ht="15" customHeight="1">
      <c r="A9" s="1552"/>
      <c r="B9" s="3366"/>
      <c r="C9" s="3369"/>
      <c r="D9" s="1558"/>
      <c r="E9" s="1561" t="s">
        <v>4</v>
      </c>
      <c r="F9" s="3379" t="s">
        <v>7</v>
      </c>
      <c r="G9" s="3368"/>
      <c r="H9" s="3368"/>
      <c r="I9" s="3368"/>
      <c r="J9" s="3368"/>
      <c r="K9" s="3368"/>
      <c r="L9" s="3368"/>
      <c r="M9" s="3368"/>
      <c r="N9" s="1558"/>
      <c r="O9" s="1562" t="s">
        <v>4</v>
      </c>
      <c r="P9" s="3380" t="s">
        <v>8</v>
      </c>
      <c r="Q9" s="3381"/>
      <c r="R9" s="3381"/>
      <c r="S9" s="3381"/>
      <c r="T9" s="3381"/>
      <c r="U9" s="3381"/>
      <c r="V9" s="3381"/>
      <c r="W9" s="3381"/>
      <c r="X9" s="3381"/>
      <c r="Y9" s="1554"/>
      <c r="Z9" s="1555"/>
      <c r="AA9" s="1556"/>
      <c r="AB9" s="1556"/>
    </row>
    <row r="10" spans="1:28" ht="30" customHeight="1">
      <c r="A10" s="1552"/>
      <c r="B10" s="3366"/>
      <c r="C10" s="3367"/>
      <c r="D10" s="1563"/>
      <c r="E10" s="1564"/>
      <c r="F10" s="1557"/>
      <c r="G10" s="1557"/>
      <c r="H10" s="1557"/>
      <c r="I10" s="1557"/>
      <c r="J10" s="1557"/>
      <c r="K10" s="1557"/>
      <c r="L10" s="1557"/>
      <c r="M10" s="1557"/>
      <c r="N10" s="1557"/>
      <c r="O10" s="1564"/>
      <c r="P10" s="1557"/>
      <c r="Q10" s="1557"/>
      <c r="R10" s="1557"/>
      <c r="S10" s="1557"/>
      <c r="T10" s="1557"/>
      <c r="U10" s="1557"/>
      <c r="V10" s="1557"/>
      <c r="W10" s="1557"/>
      <c r="X10" s="1557"/>
      <c r="Y10" s="1554"/>
      <c r="Z10" s="1555"/>
      <c r="AA10" s="1556"/>
      <c r="AB10" s="1556"/>
    </row>
    <row r="11" spans="1:28" ht="19.5" customHeight="1">
      <c r="A11" s="1552"/>
      <c r="B11" s="3364" t="s">
        <v>9</v>
      </c>
      <c r="C11" s="3365"/>
      <c r="D11" s="1558"/>
      <c r="E11" s="1565"/>
      <c r="F11" s="1565"/>
      <c r="G11" s="1565"/>
      <c r="H11" s="1565"/>
      <c r="I11" s="1565"/>
      <c r="J11" s="1565"/>
      <c r="K11" s="1565"/>
      <c r="L11" s="1565"/>
      <c r="M11" s="1565"/>
      <c r="N11" s="1565"/>
      <c r="O11" s="1565"/>
      <c r="P11" s="1565"/>
      <c r="Q11" s="1565"/>
      <c r="R11" s="1565"/>
      <c r="S11" s="1565"/>
      <c r="T11" s="1565"/>
      <c r="U11" s="1565"/>
      <c r="V11" s="1565"/>
      <c r="W11" s="1565"/>
      <c r="X11" s="1565"/>
      <c r="Y11" s="1554"/>
      <c r="Z11" s="1555"/>
      <c r="AA11" s="1556"/>
      <c r="AB11" s="1556"/>
    </row>
    <row r="12" spans="1:28" ht="69" customHeight="1">
      <c r="A12" s="1552"/>
      <c r="B12" s="3366"/>
      <c r="C12" s="3367"/>
      <c r="D12" s="1566"/>
      <c r="E12" s="3368" t="s">
        <v>10</v>
      </c>
      <c r="F12" s="3368"/>
      <c r="G12" s="3368"/>
      <c r="H12" s="3368"/>
      <c r="I12" s="3368"/>
      <c r="J12" s="3368"/>
      <c r="K12" s="3368"/>
      <c r="L12" s="3368"/>
      <c r="M12" s="3368"/>
      <c r="N12" s="3368"/>
      <c r="O12" s="3368"/>
      <c r="P12" s="3368"/>
      <c r="Q12" s="3368"/>
      <c r="R12" s="3368"/>
      <c r="S12" s="3368"/>
      <c r="T12" s="3368"/>
      <c r="U12" s="3368"/>
      <c r="V12" s="3368"/>
      <c r="W12" s="3368"/>
      <c r="X12" s="3368"/>
      <c r="Y12" s="1554"/>
      <c r="Z12" s="1555"/>
      <c r="AA12" s="1556"/>
      <c r="AB12" s="1556"/>
    </row>
    <row r="13" spans="1:28" ht="15" customHeight="1">
      <c r="A13" s="1552"/>
      <c r="B13" s="3364" t="s">
        <v>11</v>
      </c>
      <c r="C13" s="3365"/>
      <c r="D13" s="1553"/>
      <c r="E13" s="1565"/>
      <c r="F13" s="1565"/>
      <c r="G13" s="1565"/>
      <c r="H13" s="1565"/>
      <c r="I13" s="1565"/>
      <c r="J13" s="1565"/>
      <c r="K13" s="1565"/>
      <c r="L13" s="1565"/>
      <c r="M13" s="1565"/>
      <c r="N13" s="1565"/>
      <c r="O13" s="1565"/>
      <c r="P13" s="1565"/>
      <c r="Q13" s="1565"/>
      <c r="R13" s="1565"/>
      <c r="S13" s="1565"/>
      <c r="T13" s="1565"/>
      <c r="U13" s="1565"/>
      <c r="V13" s="1565"/>
      <c r="W13" s="1565"/>
      <c r="X13" s="1565"/>
      <c r="Y13" s="1554"/>
      <c r="Z13" s="1555"/>
      <c r="AA13" s="1556"/>
      <c r="AB13" s="1556"/>
    </row>
    <row r="14" spans="1:28" ht="57" customHeight="1">
      <c r="A14" s="1552"/>
      <c r="B14" s="3366"/>
      <c r="C14" s="3369"/>
      <c r="D14" s="1558"/>
      <c r="E14" s="3372" t="s">
        <v>12</v>
      </c>
      <c r="F14" s="3372"/>
      <c r="G14" s="3372"/>
      <c r="H14" s="3372"/>
      <c r="I14" s="3372"/>
      <c r="J14" s="3372"/>
      <c r="K14" s="3372"/>
      <c r="L14" s="3372"/>
      <c r="M14" s="3372"/>
      <c r="N14" s="3372"/>
      <c r="O14" s="3372"/>
      <c r="P14" s="3372"/>
      <c r="Q14" s="3372"/>
      <c r="R14" s="3372"/>
      <c r="S14" s="3372"/>
      <c r="T14" s="3372"/>
      <c r="U14" s="3372"/>
      <c r="V14" s="3372"/>
      <c r="W14" s="3372"/>
      <c r="X14" s="3372"/>
      <c r="Y14" s="1554"/>
      <c r="Z14" s="1555"/>
      <c r="AA14" s="1556"/>
      <c r="AB14" s="1556"/>
    </row>
    <row r="15" spans="1:28" ht="16.5" customHeight="1">
      <c r="A15" s="1552"/>
      <c r="B15" s="3370"/>
      <c r="C15" s="3371"/>
      <c r="D15" s="1567"/>
      <c r="E15" s="1568"/>
      <c r="F15" s="1568"/>
      <c r="G15" s="1568"/>
      <c r="H15" s="1568"/>
      <c r="I15" s="1568"/>
      <c r="J15" s="1568"/>
      <c r="K15" s="1568"/>
      <c r="L15" s="1568"/>
      <c r="M15" s="1568"/>
      <c r="N15" s="1568"/>
      <c r="O15" s="1568"/>
      <c r="P15" s="1568"/>
      <c r="Q15" s="1568"/>
      <c r="R15" s="1568"/>
      <c r="S15" s="1568"/>
      <c r="T15" s="1568"/>
      <c r="U15" s="1568"/>
      <c r="V15" s="1568"/>
      <c r="W15" s="1568"/>
      <c r="X15" s="1568"/>
      <c r="Y15" s="1569"/>
      <c r="Z15" s="1555"/>
      <c r="AA15" s="1570"/>
      <c r="AB15" s="1556"/>
    </row>
    <row r="16" spans="1:28" ht="95.25" customHeight="1">
      <c r="A16" s="1545"/>
      <c r="B16" s="3372"/>
      <c r="C16" s="3373"/>
      <c r="D16" s="3373"/>
      <c r="E16" s="3373"/>
      <c r="F16" s="3373"/>
      <c r="G16" s="3373"/>
      <c r="H16" s="3373"/>
      <c r="I16" s="3373"/>
      <c r="J16" s="3373"/>
      <c r="K16" s="3373"/>
      <c r="L16" s="3373"/>
      <c r="M16" s="3373"/>
      <c r="N16" s="3373"/>
      <c r="O16" s="3373"/>
      <c r="P16" s="3373"/>
      <c r="Q16" s="3373"/>
      <c r="R16" s="3373"/>
      <c r="S16" s="3373"/>
      <c r="T16" s="3373"/>
      <c r="U16" s="3373"/>
      <c r="V16" s="3373"/>
      <c r="W16" s="3373"/>
      <c r="X16" s="3373"/>
      <c r="Y16" s="3373"/>
      <c r="Z16" s="1545"/>
      <c r="AA16" s="1547"/>
      <c r="AB16" s="1545"/>
    </row>
    <row r="17" spans="1:28" ht="14.25" customHeight="1">
      <c r="A17" s="1545"/>
      <c r="B17" s="1545"/>
      <c r="C17" s="1545"/>
      <c r="D17" s="1545"/>
      <c r="E17" s="1545"/>
      <c r="F17" s="1545"/>
      <c r="G17" s="1545"/>
      <c r="H17" s="1545"/>
      <c r="I17" s="1545"/>
      <c r="J17" s="1545"/>
      <c r="K17" s="1545"/>
      <c r="L17" s="1545"/>
      <c r="M17" s="1545"/>
      <c r="N17" s="1545"/>
      <c r="O17" s="1545"/>
      <c r="P17" s="1545"/>
      <c r="Q17" s="1545"/>
      <c r="R17" s="1545"/>
      <c r="S17" s="1545"/>
      <c r="T17" s="1545"/>
      <c r="U17" s="1545"/>
      <c r="V17" s="1545"/>
      <c r="W17" s="1545"/>
      <c r="X17" s="1545"/>
      <c r="Y17" s="1546"/>
      <c r="Z17" s="1545"/>
      <c r="AA17" s="1547"/>
      <c r="AB17" s="1545"/>
    </row>
    <row r="18" spans="1:28" ht="14.25" customHeight="1">
      <c r="A18" s="1545"/>
      <c r="B18" s="1545"/>
      <c r="C18" s="1545"/>
      <c r="D18" s="1545"/>
      <c r="E18" s="1545"/>
      <c r="F18" s="1545"/>
      <c r="G18" s="1545"/>
      <c r="H18" s="1545"/>
      <c r="I18" s="1545"/>
      <c r="J18" s="1545"/>
      <c r="K18" s="1545"/>
      <c r="L18" s="1545"/>
      <c r="M18" s="1545"/>
      <c r="N18" s="1545"/>
      <c r="O18" s="1545"/>
      <c r="P18" s="1545"/>
      <c r="Q18" s="1545"/>
      <c r="R18" s="1545"/>
      <c r="S18" s="1545"/>
      <c r="T18" s="1545"/>
      <c r="U18" s="1545"/>
      <c r="V18" s="1545"/>
      <c r="W18" s="1545"/>
      <c r="X18" s="1545"/>
      <c r="Y18" s="1546"/>
      <c r="Z18" s="1545"/>
      <c r="AA18" s="1547"/>
      <c r="AB18" s="1545"/>
    </row>
    <row r="19" spans="1:28" ht="14.25" customHeight="1">
      <c r="A19" s="1545"/>
      <c r="B19" s="1545"/>
      <c r="C19" s="1545"/>
      <c r="D19" s="1545"/>
      <c r="E19" s="1545"/>
      <c r="F19" s="1545"/>
      <c r="G19" s="1545"/>
      <c r="H19" s="1545"/>
      <c r="I19" s="1545"/>
      <c r="J19" s="1545"/>
      <c r="K19" s="1545"/>
      <c r="L19" s="1545"/>
      <c r="M19" s="1545"/>
      <c r="N19" s="1545"/>
      <c r="O19" s="1545"/>
      <c r="P19" s="1545"/>
      <c r="Q19" s="1545"/>
      <c r="R19" s="1545"/>
      <c r="S19" s="1545"/>
      <c r="T19" s="1545"/>
      <c r="U19" s="1545"/>
      <c r="V19" s="1545"/>
      <c r="W19" s="1545"/>
      <c r="X19" s="1545"/>
      <c r="Y19" s="1546"/>
      <c r="Z19" s="1545"/>
      <c r="AA19" s="1547"/>
      <c r="AB19" s="1545"/>
    </row>
    <row r="20" spans="1:28" ht="14.25" customHeight="1">
      <c r="A20" s="1545"/>
      <c r="B20" s="1545"/>
      <c r="C20" s="1545"/>
      <c r="D20" s="1545"/>
      <c r="E20" s="1545"/>
      <c r="F20" s="1545"/>
      <c r="G20" s="1545"/>
      <c r="H20" s="1545"/>
      <c r="I20" s="1545"/>
      <c r="J20" s="1545"/>
      <c r="K20" s="1545"/>
      <c r="L20" s="1545"/>
      <c r="M20" s="1545"/>
      <c r="N20" s="1545"/>
      <c r="O20" s="1545"/>
      <c r="P20" s="1545"/>
      <c r="Q20" s="1545"/>
      <c r="R20" s="1545"/>
      <c r="S20" s="1545"/>
      <c r="T20" s="1545"/>
      <c r="U20" s="1545"/>
      <c r="V20" s="1545"/>
      <c r="W20" s="1545"/>
      <c r="X20" s="1545"/>
      <c r="Y20" s="1546"/>
      <c r="Z20" s="1545"/>
      <c r="AA20" s="1547"/>
      <c r="AB20" s="1545"/>
    </row>
    <row r="21" spans="1:28" ht="14.25" customHeight="1">
      <c r="A21" s="1545"/>
      <c r="B21" s="1545"/>
      <c r="C21" s="1545"/>
      <c r="D21" s="1545"/>
      <c r="E21" s="1545"/>
      <c r="F21" s="1545"/>
      <c r="G21" s="1545"/>
      <c r="H21" s="1545"/>
      <c r="I21" s="1545"/>
      <c r="J21" s="1545"/>
      <c r="K21" s="1545"/>
      <c r="L21" s="1545"/>
      <c r="M21" s="1545"/>
      <c r="N21" s="1545"/>
      <c r="O21" s="1545"/>
      <c r="P21" s="1545"/>
      <c r="Q21" s="1545"/>
      <c r="R21" s="1545"/>
      <c r="S21" s="1545"/>
      <c r="T21" s="1545"/>
      <c r="U21" s="1545"/>
      <c r="V21" s="1545"/>
      <c r="W21" s="1545"/>
      <c r="X21" s="1545"/>
      <c r="Y21" s="1546"/>
      <c r="Z21" s="1545"/>
      <c r="AA21" s="1547"/>
      <c r="AB21" s="1545"/>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D620F-64B2-EABB-1483-A959F06D3B6A}">
  <sheetPr>
    <tabColor theme="3" tint="0.59999389629810485"/>
  </sheetPr>
  <dimension ref="A1:V18"/>
  <sheetViews>
    <sheetView showGridLines="0" topLeftCell="D3" zoomScale="90" workbookViewId="0"/>
  </sheetViews>
  <sheetFormatPr defaultColWidth="10.5703125" defaultRowHeight="14.25" customHeight="1"/>
  <cols>
    <col min="1" max="1" width="9.140625" style="1926" hidden="1" customWidth="1"/>
    <col min="2" max="3" width="9.140625" style="1910" hidden="1" customWidth="1"/>
    <col min="4" max="4" width="3.7109375" style="1940" customWidth="1"/>
    <col min="5" max="5" width="6.28515625" style="1910" customWidth="1"/>
    <col min="6" max="6" width="1.7109375" style="1910" hidden="1" customWidth="1"/>
    <col min="7" max="8" width="30.7109375" style="1910" customWidth="1"/>
    <col min="9" max="9" width="9" style="1910" customWidth="1"/>
    <col min="10" max="10" width="12.140625" style="1910" customWidth="1"/>
    <col min="11" max="11" width="46.7109375" style="1910" customWidth="1"/>
    <col min="12" max="12" width="100.28515625" style="1910" customWidth="1"/>
    <col min="13" max="13" width="7.5703125" style="1932" customWidth="1"/>
    <col min="14" max="22" width="10.5703125" style="1910"/>
  </cols>
  <sheetData>
    <row r="1" spans="1:22" s="1866" customFormat="1" ht="5.25" hidden="1" customHeight="1">
      <c r="C1" s="409"/>
      <c r="D1" s="392"/>
      <c r="F1" s="409"/>
      <c r="G1" s="387" t="s">
        <v>80</v>
      </c>
      <c r="H1" s="387" t="s">
        <v>81</v>
      </c>
      <c r="I1" s="387" t="s">
        <v>82</v>
      </c>
      <c r="P1" s="387" t="s">
        <v>80</v>
      </c>
      <c r="Q1" s="387" t="s">
        <v>81</v>
      </c>
      <c r="R1" s="387" t="s">
        <v>82</v>
      </c>
    </row>
    <row r="2" spans="1:22" s="1866" customFormat="1" ht="5.25" hidden="1" customHeight="1">
      <c r="C2" s="409"/>
      <c r="D2" s="392"/>
      <c r="F2" s="409"/>
    </row>
    <row r="3" spans="1:22" s="1832" customFormat="1" ht="6" customHeight="1">
      <c r="A3" s="377"/>
      <c r="D3" s="384"/>
      <c r="E3" s="379"/>
      <c r="F3" s="379"/>
      <c r="G3" s="379"/>
      <c r="H3" s="379"/>
      <c r="I3" s="380"/>
      <c r="J3" s="381"/>
      <c r="K3" s="381"/>
      <c r="L3" s="381"/>
    </row>
    <row r="4" spans="1:22" ht="22.5" customHeight="1">
      <c r="D4" s="353"/>
      <c r="E4" s="3394" t="s">
        <v>650</v>
      </c>
      <c r="F4" s="3394"/>
      <c r="G4" s="3395"/>
      <c r="H4" s="3395"/>
      <c r="I4" s="3396"/>
      <c r="J4" s="389"/>
      <c r="K4" s="355"/>
      <c r="L4" s="355"/>
    </row>
    <row r="5" spans="1:22" s="1910" customFormat="1" ht="17.25" customHeight="1">
      <c r="A5" s="645"/>
      <c r="D5" s="703"/>
      <c r="E5" s="3503" t="str">
        <f>IF(org=0,"Не определено",org)</f>
        <v>АО "Орелгортеплоэнерго"</v>
      </c>
      <c r="F5" s="3503"/>
      <c r="G5" s="3504"/>
      <c r="H5" s="3504"/>
      <c r="I5" s="3505"/>
      <c r="J5" s="389"/>
      <c r="K5" s="355"/>
      <c r="L5" s="355"/>
      <c r="M5" s="405"/>
    </row>
    <row r="6" spans="1:22" s="1832" customFormat="1" ht="11.25" customHeight="1">
      <c r="A6" s="377"/>
      <c r="D6" s="384"/>
      <c r="E6" s="379"/>
      <c r="F6" s="379"/>
      <c r="G6" s="382"/>
      <c r="H6" s="382"/>
      <c r="I6" s="383"/>
      <c r="J6" s="383"/>
      <c r="K6" s="640"/>
      <c r="L6" s="383"/>
    </row>
    <row r="7" spans="1:22" ht="14.25" customHeight="1">
      <c r="D7" s="353"/>
      <c r="E7" s="3488" t="s">
        <v>560</v>
      </c>
      <c r="F7" s="3488"/>
      <c r="G7" s="3489"/>
      <c r="H7" s="3489"/>
      <c r="I7" s="3489"/>
      <c r="J7" s="3489"/>
      <c r="K7" s="3489"/>
      <c r="L7" s="3456" t="s">
        <v>561</v>
      </c>
    </row>
    <row r="8" spans="1:22" ht="45" customHeight="1">
      <c r="D8" s="353"/>
      <c r="E8" s="372" t="s">
        <v>85</v>
      </c>
      <c r="F8" s="704"/>
      <c r="G8" s="364" t="s">
        <v>83</v>
      </c>
      <c r="H8" s="364" t="s">
        <v>84</v>
      </c>
      <c r="I8" s="321" t="s">
        <v>82</v>
      </c>
      <c r="J8" s="321" t="s">
        <v>651</v>
      </c>
      <c r="K8" s="321" t="s">
        <v>652</v>
      </c>
      <c r="L8" s="3456"/>
    </row>
    <row r="9" spans="1:22" ht="12" hidden="1" customHeight="1">
      <c r="D9" s="385"/>
      <c r="E9" s="391"/>
      <c r="F9" s="711"/>
      <c r="G9" s="391"/>
      <c r="H9" s="391"/>
      <c r="I9" s="391"/>
      <c r="J9" s="391"/>
      <c r="K9" s="391"/>
      <c r="L9" s="391"/>
      <c r="M9" s="351"/>
    </row>
    <row r="10" spans="1:22" ht="14.25" hidden="1" customHeight="1">
      <c r="A10" s="403"/>
      <c r="B10" s="403"/>
      <c r="D10" s="404"/>
      <c r="E10" s="410">
        <v>0</v>
      </c>
      <c r="F10" s="702"/>
      <c r="G10" s="406"/>
      <c r="H10" s="406"/>
      <c r="I10" s="406"/>
      <c r="J10" s="406"/>
      <c r="K10" s="406"/>
      <c r="L10" s="3501" t="s">
        <v>653</v>
      </c>
      <c r="M10" s="405"/>
      <c r="N10" s="403"/>
      <c r="O10" s="403"/>
      <c r="P10" s="403"/>
      <c r="Q10" s="403"/>
      <c r="R10" s="403"/>
      <c r="S10" s="403"/>
      <c r="T10" s="403"/>
      <c r="U10" s="403"/>
      <c r="V10" s="403"/>
    </row>
    <row r="11" spans="1:22" ht="15" hidden="1" customHeight="1">
      <c r="A11" s="3386"/>
      <c r="B11" s="402"/>
      <c r="C11" s="402"/>
      <c r="D11" s="742"/>
      <c r="E11" s="411"/>
      <c r="F11" s="411"/>
      <c r="G11" s="411"/>
      <c r="H11" s="411"/>
      <c r="I11" s="412"/>
      <c r="J11" s="413"/>
      <c r="K11" s="603"/>
      <c r="L11" s="3515"/>
      <c r="M11" s="409"/>
      <c r="N11" s="409"/>
      <c r="O11" s="409"/>
      <c r="P11" s="414"/>
      <c r="Q11" s="414"/>
      <c r="R11" s="415"/>
      <c r="S11" s="409"/>
      <c r="T11" s="409"/>
      <c r="U11" s="409"/>
      <c r="V11" s="409"/>
    </row>
    <row r="12" spans="1:22" s="1832" customFormat="1" ht="14.25" customHeight="1">
      <c r="A12" s="3386"/>
      <c r="B12" s="402"/>
      <c r="C12" s="402"/>
      <c r="D12" s="743"/>
      <c r="E12" s="704">
        <v>1</v>
      </c>
      <c r="F12" s="741">
        <v>23</v>
      </c>
      <c r="G12" s="740"/>
      <c r="H12" s="674"/>
      <c r="I12" s="672"/>
      <c r="J12" s="418" t="s">
        <v>64</v>
      </c>
      <c r="K12" s="1027" t="s">
        <v>18</v>
      </c>
      <c r="L12" s="3515"/>
      <c r="M12" s="409"/>
      <c r="N12" s="409"/>
      <c r="O12" s="409"/>
      <c r="P12" s="414" t="s">
        <v>654</v>
      </c>
      <c r="Q12" s="414" t="s">
        <v>655</v>
      </c>
      <c r="R12" s="415" t="s">
        <v>656</v>
      </c>
      <c r="S12" s="409" t="s">
        <v>657</v>
      </c>
      <c r="T12" s="409"/>
      <c r="U12" s="409"/>
      <c r="V12" s="409"/>
    </row>
    <row r="13" spans="1:22" ht="15" customHeight="1">
      <c r="A13" s="3386"/>
      <c r="B13" s="403"/>
      <c r="D13" s="404"/>
      <c r="E13" s="312"/>
      <c r="F13" s="427"/>
      <c r="G13" s="323" t="s">
        <v>99</v>
      </c>
      <c r="H13" s="311"/>
      <c r="I13" s="311"/>
      <c r="J13" s="311"/>
      <c r="K13" s="310"/>
      <c r="L13" s="3502"/>
      <c r="M13" s="407"/>
      <c r="N13" s="403"/>
      <c r="O13" s="403"/>
      <c r="P13" s="403"/>
      <c r="Q13" s="403"/>
      <c r="R13" s="403"/>
      <c r="S13" s="403"/>
      <c r="T13" s="403"/>
      <c r="U13" s="403"/>
      <c r="V13" s="403"/>
    </row>
    <row r="14" spans="1:22" ht="11.25" customHeight="1">
      <c r="A14" s="377"/>
      <c r="B14" s="378"/>
      <c r="C14" s="378"/>
      <c r="D14" s="393"/>
      <c r="E14" s="378"/>
      <c r="F14" s="378"/>
      <c r="G14" s="378"/>
      <c r="H14" s="378"/>
      <c r="I14" s="378"/>
      <c r="J14" s="378"/>
      <c r="K14" s="378"/>
      <c r="L14" s="378"/>
      <c r="M14" s="378"/>
      <c r="N14" s="378"/>
      <c r="O14" s="378"/>
      <c r="P14" s="378"/>
      <c r="Q14" s="378"/>
      <c r="R14" s="378"/>
      <c r="S14" s="378"/>
      <c r="T14" s="378"/>
      <c r="U14" s="378"/>
      <c r="V14" s="378"/>
    </row>
    <row r="15" spans="1:22" ht="14.25" customHeight="1">
      <c r="D15" s="365"/>
      <c r="E15" s="247"/>
      <c r="F15" s="247"/>
      <c r="G15" s="55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65"/>
      <c r="I15" s="365"/>
      <c r="J15" s="365"/>
      <c r="K15" s="365"/>
      <c r="L15" s="365"/>
    </row>
    <row r="18" spans="7:7" ht="14.25" customHeight="1">
      <c r="G18" s="403"/>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15C4D-8458-2D2C-F709-2615200CB717}">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03" hidden="1"/>
    <col min="2" max="2" width="11" style="1903" hidden="1" customWidth="1"/>
    <col min="3" max="3" width="10.5703125" style="1903" hidden="1"/>
    <col min="4" max="4" width="11.85546875" style="1903" hidden="1" customWidth="1"/>
    <col min="5" max="5" width="10" style="1903" hidden="1" customWidth="1"/>
    <col min="6" max="6" width="8.7109375" style="1903" hidden="1" customWidth="1"/>
    <col min="7" max="7" width="7.5703125" style="1903" hidden="1" customWidth="1"/>
    <col min="8" max="8" width="11.42578125" style="1903" hidden="1" customWidth="1"/>
    <col min="9" max="9" width="12" style="1903" hidden="1" customWidth="1"/>
    <col min="10" max="10" width="9.85546875" style="1903" hidden="1" customWidth="1"/>
    <col min="11" max="11" width="11.42578125" style="1903" hidden="1" customWidth="1"/>
    <col min="12" max="12" width="19.140625" style="1953" hidden="1" customWidth="1"/>
    <col min="13" max="14" width="12.28515625" style="1839" hidden="1" customWidth="1"/>
    <col min="15" max="15" width="23.42578125" style="1839" hidden="1" customWidth="1"/>
    <col min="16" max="16" width="3.7109375" style="1957" customWidth="1"/>
    <col min="17" max="18" width="3.7109375" style="1906" customWidth="1"/>
    <col min="19" max="19" width="12.7109375" style="1951" customWidth="1"/>
    <col min="20" max="20" width="35.7109375" style="1910" customWidth="1"/>
    <col min="21" max="21" width="0.140625" style="1910" customWidth="1"/>
    <col min="22" max="22" width="24.7109375" style="1910" hidden="1" customWidth="1"/>
    <col min="23" max="23" width="0.140625" style="1910" hidden="1" customWidth="1"/>
    <col min="24" max="25" width="24.7109375" style="1910" hidden="1" customWidth="1"/>
    <col min="26" max="26" width="11.7109375" style="1910" hidden="1" customWidth="1"/>
    <col min="27" max="27" width="3.7109375" style="1910" hidden="1" customWidth="1"/>
    <col min="28" max="28" width="11.7109375" style="1910" hidden="1" customWidth="1"/>
    <col min="29" max="29" width="8.5703125" style="1910" hidden="1" customWidth="1"/>
    <col min="30" max="30" width="24.7109375" style="1910" customWidth="1"/>
    <col min="31" max="31" width="0.140625" style="1910" customWidth="1"/>
    <col min="32" max="33" width="24.7109375" style="1910" customWidth="1"/>
    <col min="34" max="34" width="11.7109375" style="1910" customWidth="1"/>
    <col min="35" max="35" width="3.7109375" style="1910" customWidth="1"/>
    <col min="36" max="36" width="11.7109375" style="1910" customWidth="1"/>
    <col min="37" max="37" width="8.5703125" style="1910" hidden="1" customWidth="1"/>
    <col min="38" max="38" width="4.7109375" style="1910" customWidth="1"/>
    <col min="39" max="39" width="115.7109375" style="1910" customWidth="1"/>
    <col min="40" max="41" width="10.5703125" style="1866"/>
    <col min="42" max="42" width="11.140625" style="1866" customWidth="1"/>
    <col min="43" max="44" width="10.5703125" style="1866"/>
  </cols>
  <sheetData>
    <row r="1" spans="1:44" ht="14.25" hidden="1" customHeight="1">
      <c r="Y1" s="238"/>
      <c r="Z1" s="238"/>
      <c r="AG1" s="238"/>
      <c r="AH1" s="238"/>
    </row>
    <row r="2" spans="1:44" ht="21" hidden="1" customHeight="1">
      <c r="A2" s="1224"/>
      <c r="B2" s="1224"/>
      <c r="C2" s="1224"/>
      <c r="D2" s="1224"/>
      <c r="E2" s="3528">
        <v>1</v>
      </c>
      <c r="F2" s="1224"/>
      <c r="G2" s="1224"/>
      <c r="H2" s="1224"/>
      <c r="I2" s="1224"/>
      <c r="J2" s="1224"/>
      <c r="K2" s="1224"/>
      <c r="L2" s="1225"/>
      <c r="M2" s="1226"/>
      <c r="N2" s="1226"/>
      <c r="O2" s="1226"/>
      <c r="P2" s="270"/>
      <c r="Q2" s="269"/>
      <c r="R2" s="264"/>
      <c r="S2" s="1172" t="e">
        <f>INDEX(PT_DIFFERENTIATION_NUM_NTAR,MATCH(A2,PT_DIFFERENTIATION_NTAR_ID,0))</f>
        <v>#N/A</v>
      </c>
      <c r="T2" s="209" t="s">
        <v>391</v>
      </c>
      <c r="U2" s="211"/>
      <c r="V2" s="3522"/>
      <c r="W2" s="3523"/>
      <c r="X2" s="3523"/>
      <c r="Y2" s="3523"/>
      <c r="Z2" s="3523"/>
      <c r="AA2" s="3523"/>
      <c r="AB2" s="3523"/>
      <c r="AC2" s="3524"/>
      <c r="AD2" s="3522" t="e">
        <f>INDEX(PT_DIFFERENTIATION_NTAR,MATCH(A2,PT_DIFFERENTIATION_NTAR_ID,0))</f>
        <v>#N/A</v>
      </c>
      <c r="AE2" s="3523"/>
      <c r="AF2" s="3523"/>
      <c r="AG2" s="3523"/>
      <c r="AH2" s="3523"/>
      <c r="AI2" s="3523"/>
      <c r="AJ2" s="3523"/>
      <c r="AK2" s="3523"/>
      <c r="AL2" s="3524"/>
      <c r="AM2" s="1124" t="s">
        <v>658</v>
      </c>
      <c r="AO2" s="398"/>
      <c r="AP2" s="398" t="str">
        <f t="shared" ref="AP2:AP15" si="0">IF(T2="","",T2)</f>
        <v>Наименование тарифа</v>
      </c>
      <c r="AQ2" s="398"/>
      <c r="AR2" s="398"/>
    </row>
    <row r="3" spans="1:44" ht="21" hidden="1" customHeight="1">
      <c r="A3" s="1224"/>
      <c r="B3" s="1224"/>
      <c r="C3" s="1224"/>
      <c r="D3" s="1224"/>
      <c r="E3" s="3529"/>
      <c r="F3" s="3528">
        <v>1</v>
      </c>
      <c r="G3" s="1224"/>
      <c r="H3" s="1224"/>
      <c r="I3" s="1224"/>
      <c r="J3" s="1224"/>
      <c r="K3" s="1224"/>
      <c r="L3" s="1225"/>
      <c r="M3" s="1226"/>
      <c r="N3" s="1226"/>
      <c r="O3" s="1226"/>
      <c r="P3" s="1168"/>
      <c r="Q3" s="261"/>
      <c r="R3" s="262"/>
      <c r="S3" s="1172" t="e">
        <f>INDEX(PT_DIFFERENTIATION_NUM_TER,MATCH(B3,PT_DIFFERENTIATION_TER_ID,0))</f>
        <v>#N/A</v>
      </c>
      <c r="T3" s="219" t="s">
        <v>659</v>
      </c>
      <c r="U3" s="211"/>
      <c r="V3" s="3522"/>
      <c r="W3" s="3523"/>
      <c r="X3" s="3523"/>
      <c r="Y3" s="3523"/>
      <c r="Z3" s="3523"/>
      <c r="AA3" s="3523"/>
      <c r="AB3" s="3523"/>
      <c r="AC3" s="3524"/>
      <c r="AD3" s="3522" t="e">
        <f>INDEX(PT_DIFFERENTIATION_TER,MATCH(B3,PT_DIFFERENTIATION_TER_ID,0))</f>
        <v>#N/A</v>
      </c>
      <c r="AE3" s="3523"/>
      <c r="AF3" s="3523"/>
      <c r="AG3" s="3523"/>
      <c r="AH3" s="3523"/>
      <c r="AI3" s="3523"/>
      <c r="AJ3" s="3523"/>
      <c r="AK3" s="3523"/>
      <c r="AL3" s="3524"/>
      <c r="AM3" s="1124" t="s">
        <v>660</v>
      </c>
      <c r="AO3" s="398"/>
      <c r="AP3" s="398" t="str">
        <f t="shared" si="0"/>
        <v>Территория действия тарифа</v>
      </c>
      <c r="AQ3" s="398"/>
      <c r="AR3" s="398"/>
    </row>
    <row r="4" spans="1:44" ht="23.25" hidden="1" customHeight="1">
      <c r="A4" s="1224"/>
      <c r="B4" s="1224"/>
      <c r="C4" s="1224"/>
      <c r="D4" s="1224"/>
      <c r="E4" s="3529"/>
      <c r="F4" s="3529"/>
      <c r="G4" s="3528">
        <v>1</v>
      </c>
      <c r="H4" s="1224"/>
      <c r="I4" s="1224"/>
      <c r="J4" s="1224"/>
      <c r="K4" s="1224"/>
      <c r="L4" s="1225"/>
      <c r="M4" s="1226"/>
      <c r="N4" s="1226"/>
      <c r="O4" s="1226"/>
      <c r="P4" s="263"/>
      <c r="Q4" s="261"/>
      <c r="R4" s="262"/>
      <c r="S4" s="1172" t="e">
        <f>INDEX(PT_DIFFERENTIATION_NUM_CS,MATCH(C4,PT_DIFFERENTIATION_CS_ID,0))</f>
        <v>#N/A</v>
      </c>
      <c r="T4" s="220" t="s">
        <v>661</v>
      </c>
      <c r="U4" s="211"/>
      <c r="V4" s="3522"/>
      <c r="W4" s="3523"/>
      <c r="X4" s="3523"/>
      <c r="Y4" s="3523"/>
      <c r="Z4" s="3523"/>
      <c r="AA4" s="3523"/>
      <c r="AB4" s="3523"/>
      <c r="AC4" s="3524"/>
      <c r="AD4" s="3522" t="e">
        <f>INDEX(PT_DIFFERENTIATION_CS,MATCH(C4,PT_DIFFERENTIATION_CS_ID,0))</f>
        <v>#N/A</v>
      </c>
      <c r="AE4" s="3523"/>
      <c r="AF4" s="3523"/>
      <c r="AG4" s="3523"/>
      <c r="AH4" s="3523"/>
      <c r="AI4" s="3523"/>
      <c r="AJ4" s="3523"/>
      <c r="AK4" s="3523"/>
      <c r="AL4" s="3524"/>
      <c r="AM4" s="1124" t="s">
        <v>662</v>
      </c>
      <c r="AO4" s="398"/>
      <c r="AP4" s="398" t="str">
        <f t="shared" si="0"/>
        <v xml:space="preserve">Наименование системы теплоснабжения </v>
      </c>
      <c r="AQ4" s="398"/>
      <c r="AR4" s="398"/>
    </row>
    <row r="5" spans="1:44" ht="21" hidden="1" customHeight="1">
      <c r="A5" s="1224"/>
      <c r="B5" s="1224"/>
      <c r="C5" s="1224"/>
      <c r="D5" s="1224"/>
      <c r="E5" s="3529"/>
      <c r="F5" s="3529"/>
      <c r="G5" s="3529"/>
      <c r="H5" s="3528">
        <v>1</v>
      </c>
      <c r="I5" s="1224"/>
      <c r="J5" s="1224"/>
      <c r="K5" s="1224"/>
      <c r="L5" s="1225"/>
      <c r="M5" s="1226"/>
      <c r="N5" s="1226"/>
      <c r="O5" s="1226"/>
      <c r="P5" s="263"/>
      <c r="Q5" s="261"/>
      <c r="R5" s="262"/>
      <c r="S5" s="1172" t="e">
        <f>INDEX(PT_DIFFERENTIATION_NUM_IST_TE,MATCH(D5,PT_DIFFERENTIATION_IST_TE_ID,0))</f>
        <v>#N/A</v>
      </c>
      <c r="T5" s="221" t="s">
        <v>663</v>
      </c>
      <c r="U5" s="211"/>
      <c r="V5" s="3522"/>
      <c r="W5" s="3523"/>
      <c r="X5" s="3523"/>
      <c r="Y5" s="3523"/>
      <c r="Z5" s="3523"/>
      <c r="AA5" s="3523"/>
      <c r="AB5" s="3523"/>
      <c r="AC5" s="3524"/>
      <c r="AD5" s="3522" t="e">
        <f>INDEX(PT_DIFFERENTIATION_IST_TE,MATCH(D5,PT_DIFFERENTIATION_IST_TE_ID,0))</f>
        <v>#N/A</v>
      </c>
      <c r="AE5" s="3523"/>
      <c r="AF5" s="3523"/>
      <c r="AG5" s="3523"/>
      <c r="AH5" s="3523"/>
      <c r="AI5" s="3523"/>
      <c r="AJ5" s="3523"/>
      <c r="AK5" s="3523"/>
      <c r="AL5" s="3524"/>
      <c r="AM5" s="1124" t="s">
        <v>664</v>
      </c>
      <c r="AO5" s="398"/>
      <c r="AP5" s="398" t="str">
        <f t="shared" si="0"/>
        <v xml:space="preserve">Источник тепловой энергии  </v>
      </c>
      <c r="AQ5" s="398"/>
      <c r="AR5" s="398"/>
    </row>
    <row r="6" spans="1:44" ht="47.25" hidden="1" customHeight="1">
      <c r="A6" s="1224"/>
      <c r="B6" s="1224"/>
      <c r="C6" s="1224"/>
      <c r="D6" s="1224"/>
      <c r="E6" s="3529"/>
      <c r="F6" s="3529"/>
      <c r="G6" s="3529"/>
      <c r="H6" s="3529"/>
      <c r="I6" s="3530" t="e">
        <f>S5&amp;".1"</f>
        <v>#N/A</v>
      </c>
      <c r="J6" s="1224"/>
      <c r="K6" s="1224"/>
      <c r="L6" s="1225" t="s">
        <v>665</v>
      </c>
      <c r="M6" s="434"/>
      <c r="P6" s="3532">
        <v>1</v>
      </c>
      <c r="Q6" s="1169"/>
      <c r="R6" s="265"/>
      <c r="S6" s="1172" t="e">
        <f>$I6</f>
        <v>#N/A</v>
      </c>
      <c r="T6" s="197" t="s">
        <v>666</v>
      </c>
      <c r="U6" s="211"/>
      <c r="V6" s="3516"/>
      <c r="W6" s="3517"/>
      <c r="X6" s="3517"/>
      <c r="Y6" s="3517"/>
      <c r="Z6" s="3517"/>
      <c r="AA6" s="3517"/>
      <c r="AB6" s="3517"/>
      <c r="AC6" s="3518"/>
      <c r="AD6" s="3516"/>
      <c r="AE6" s="3517"/>
      <c r="AF6" s="3517"/>
      <c r="AG6" s="3517"/>
      <c r="AH6" s="3517"/>
      <c r="AI6" s="3517"/>
      <c r="AJ6" s="3517"/>
      <c r="AK6" s="3517"/>
      <c r="AL6" s="3518"/>
      <c r="AM6" s="1124" t="s">
        <v>667</v>
      </c>
      <c r="AO6" s="398"/>
      <c r="AP6" s="398" t="str">
        <f t="shared" si="0"/>
        <v>Схема подключения теплопотребляющей установки к коллектору источника тепловой энергии</v>
      </c>
      <c r="AQ6" s="398"/>
      <c r="AR6" s="398"/>
    </row>
    <row r="7" spans="1:44" ht="21" hidden="1" customHeight="1">
      <c r="A7" s="1224"/>
      <c r="B7" s="1224"/>
      <c r="C7" s="1224"/>
      <c r="D7" s="1224"/>
      <c r="E7" s="3529"/>
      <c r="F7" s="3529"/>
      <c r="G7" s="3529"/>
      <c r="H7" s="3529"/>
      <c r="I7" s="3531"/>
      <c r="J7" s="3530" t="e">
        <f>I6&amp;".1"</f>
        <v>#N/A</v>
      </c>
      <c r="K7" s="1224"/>
      <c r="L7" s="1225" t="s">
        <v>668</v>
      </c>
      <c r="M7" s="434"/>
      <c r="N7" s="1227"/>
      <c r="P7" s="3532"/>
      <c r="Q7" s="3532">
        <v>1</v>
      </c>
      <c r="R7" s="266"/>
      <c r="S7" s="1172" t="e">
        <f>$J7</f>
        <v>#N/A</v>
      </c>
      <c r="T7" s="198" t="s">
        <v>669</v>
      </c>
      <c r="U7" s="211"/>
      <c r="V7" s="3516"/>
      <c r="W7" s="3517"/>
      <c r="X7" s="3517"/>
      <c r="Y7" s="3517"/>
      <c r="Z7" s="3517"/>
      <c r="AA7" s="3517"/>
      <c r="AB7" s="3517"/>
      <c r="AC7" s="3518"/>
      <c r="AD7" s="3516"/>
      <c r="AE7" s="3517"/>
      <c r="AF7" s="3517"/>
      <c r="AG7" s="3517"/>
      <c r="AH7" s="3517"/>
      <c r="AI7" s="3517"/>
      <c r="AJ7" s="3517"/>
      <c r="AK7" s="3517"/>
      <c r="AL7" s="3518"/>
      <c r="AM7" s="1124" t="s">
        <v>670</v>
      </c>
      <c r="AO7" s="398"/>
      <c r="AP7" s="398" t="str">
        <f t="shared" si="0"/>
        <v>Группа потребителей</v>
      </c>
      <c r="AQ7" s="398"/>
      <c r="AR7" s="398"/>
    </row>
    <row r="8" spans="1:44" ht="21" hidden="1" customHeight="1">
      <c r="A8" s="1224"/>
      <c r="B8" s="1224"/>
      <c r="C8" s="1224"/>
      <c r="D8" s="1224"/>
      <c r="E8" s="3529"/>
      <c r="F8" s="3529"/>
      <c r="G8" s="3529"/>
      <c r="H8" s="3529"/>
      <c r="I8" s="3531"/>
      <c r="J8" s="3531"/>
      <c r="K8" s="3530" t="e">
        <f>J7&amp;".1"</f>
        <v>#N/A</v>
      </c>
      <c r="L8" s="1225" t="s">
        <v>671</v>
      </c>
      <c r="M8" s="434"/>
      <c r="N8" s="1227"/>
      <c r="O8" s="1227"/>
      <c r="P8" s="3532"/>
      <c r="Q8" s="3532"/>
      <c r="R8" s="266">
        <v>1</v>
      </c>
      <c r="S8" s="1172" t="e">
        <f>$K8</f>
        <v>#N/A</v>
      </c>
      <c r="T8" s="1209"/>
      <c r="U8" s="211"/>
      <c r="V8" s="639"/>
      <c r="W8" s="236"/>
      <c r="X8" s="639"/>
      <c r="Y8" s="1123"/>
      <c r="Z8" s="3533"/>
      <c r="AA8" s="3412" t="s">
        <v>64</v>
      </c>
      <c r="AB8" s="3533"/>
      <c r="AC8" s="3412" t="s">
        <v>64</v>
      </c>
      <c r="AD8" s="639"/>
      <c r="AE8" s="236"/>
      <c r="AF8" s="639"/>
      <c r="AG8" s="1123"/>
      <c r="AH8" s="3533"/>
      <c r="AI8" s="3412" t="s">
        <v>64</v>
      </c>
      <c r="AJ8" s="3533"/>
      <c r="AK8" s="3412" t="s">
        <v>64</v>
      </c>
      <c r="AL8" s="236"/>
      <c r="AM8" s="3551" t="s">
        <v>672</v>
      </c>
      <c r="AN8" s="409" t="e">
        <f ca="1">STRCHECKDATE(V9:AL9)</f>
        <v>#NAME?</v>
      </c>
      <c r="AO8" s="398"/>
      <c r="AP8" s="398" t="str">
        <f t="shared" si="0"/>
        <v/>
      </c>
      <c r="AQ8" s="398"/>
      <c r="AR8" s="398"/>
    </row>
    <row r="9" spans="1:44" ht="0.75" hidden="1" customHeight="1">
      <c r="A9" s="1224"/>
      <c r="B9" s="1224"/>
      <c r="C9" s="1224"/>
      <c r="D9" s="1224"/>
      <c r="E9" s="3529"/>
      <c r="F9" s="3529"/>
      <c r="G9" s="3529"/>
      <c r="H9" s="3529"/>
      <c r="I9" s="3531"/>
      <c r="J9" s="3531"/>
      <c r="K9" s="3530"/>
      <c r="L9" s="1225"/>
      <c r="M9" s="434"/>
      <c r="N9" s="1227"/>
      <c r="O9" s="1227"/>
      <c r="P9" s="3532"/>
      <c r="Q9" s="3532"/>
      <c r="R9" s="266"/>
      <c r="S9" s="1170"/>
      <c r="T9" s="211"/>
      <c r="U9" s="211"/>
      <c r="V9" s="236"/>
      <c r="W9" s="236"/>
      <c r="X9" s="236"/>
      <c r="Y9" s="239" t="str">
        <f>Z8&amp;"-"&amp;AB8</f>
        <v>-</v>
      </c>
      <c r="Z9" s="3534"/>
      <c r="AA9" s="3412"/>
      <c r="AB9" s="3534"/>
      <c r="AC9" s="3412"/>
      <c r="AD9" s="236"/>
      <c r="AE9" s="236"/>
      <c r="AF9" s="236"/>
      <c r="AG9" s="239" t="str">
        <f>AH8&amp;"-"&amp;AJ8</f>
        <v>-</v>
      </c>
      <c r="AH9" s="3534"/>
      <c r="AI9" s="3412"/>
      <c r="AJ9" s="3534"/>
      <c r="AK9" s="3412"/>
      <c r="AL9" s="236"/>
      <c r="AM9" s="3552"/>
      <c r="AO9" s="398"/>
      <c r="AP9" s="398" t="str">
        <f t="shared" si="0"/>
        <v/>
      </c>
      <c r="AQ9" s="398"/>
      <c r="AR9" s="398"/>
    </row>
    <row r="10" spans="1:44" ht="15" hidden="1" customHeight="1">
      <c r="A10" s="1224"/>
      <c r="B10" s="1224"/>
      <c r="C10" s="1224"/>
      <c r="D10" s="1224"/>
      <c r="E10" s="3529"/>
      <c r="F10" s="3529"/>
      <c r="G10" s="3529"/>
      <c r="H10" s="3529"/>
      <c r="I10" s="3531"/>
      <c r="J10" s="3530"/>
      <c r="K10" s="1224"/>
      <c r="L10" s="1225"/>
      <c r="M10" s="434"/>
      <c r="N10" s="1227"/>
      <c r="P10" s="3532"/>
      <c r="Q10" s="3532"/>
      <c r="R10" s="265"/>
      <c r="S10" s="1144"/>
      <c r="T10" s="200" t="s">
        <v>673</v>
      </c>
      <c r="U10" s="275"/>
      <c r="V10" s="275"/>
      <c r="W10" s="275"/>
      <c r="X10" s="275"/>
      <c r="Y10" s="275"/>
      <c r="Z10" s="275"/>
      <c r="AA10" s="275"/>
      <c r="AB10" s="275"/>
      <c r="AC10" s="275"/>
      <c r="AD10" s="275"/>
      <c r="AE10" s="275"/>
      <c r="AF10" s="275"/>
      <c r="AG10" s="275"/>
      <c r="AH10" s="275"/>
      <c r="AI10" s="275"/>
      <c r="AJ10" s="275"/>
      <c r="AK10" s="275"/>
      <c r="AL10" s="235"/>
      <c r="AM10" s="3553"/>
      <c r="AO10" s="398"/>
      <c r="AP10" s="398" t="str">
        <f t="shared" si="0"/>
        <v>Добавить вид теплоносителя (параметры теплоносителя)</v>
      </c>
      <c r="AQ10" s="398"/>
      <c r="AR10" s="398"/>
    </row>
    <row r="11" spans="1:44" ht="15" hidden="1" customHeight="1">
      <c r="A11" s="1224"/>
      <c r="B11" s="1224"/>
      <c r="C11" s="1224"/>
      <c r="D11" s="1224"/>
      <c r="E11" s="3529"/>
      <c r="F11" s="3529"/>
      <c r="G11" s="3529"/>
      <c r="H11" s="3529"/>
      <c r="I11" s="3530"/>
      <c r="J11" s="1224"/>
      <c r="K11" s="1224"/>
      <c r="L11" s="1225"/>
      <c r="M11" s="434"/>
      <c r="P11" s="3532"/>
      <c r="Q11" s="1169"/>
      <c r="R11" s="265"/>
      <c r="S11" s="1144"/>
      <c r="T11" s="199" t="s">
        <v>674</v>
      </c>
      <c r="U11" s="275"/>
      <c r="V11" s="275"/>
      <c r="W11" s="275"/>
      <c r="X11" s="275"/>
      <c r="Y11" s="275"/>
      <c r="Z11" s="275"/>
      <c r="AA11" s="275"/>
      <c r="AB11" s="275"/>
      <c r="AC11" s="274"/>
      <c r="AD11" s="275"/>
      <c r="AE11" s="275"/>
      <c r="AF11" s="275"/>
      <c r="AG11" s="275"/>
      <c r="AH11" s="275"/>
      <c r="AI11" s="275"/>
      <c r="AJ11" s="275"/>
      <c r="AK11" s="274"/>
      <c r="AL11" s="275"/>
      <c r="AM11" s="214"/>
      <c r="AO11" s="398"/>
      <c r="AP11" s="398" t="str">
        <f t="shared" si="0"/>
        <v>Добавить группу потребителей</v>
      </c>
      <c r="AQ11" s="398"/>
      <c r="AR11" s="398"/>
    </row>
    <row r="12" spans="1:44" ht="14.25" hidden="1" customHeight="1">
      <c r="A12" s="1224"/>
      <c r="B12" s="1224"/>
      <c r="C12" s="1224"/>
      <c r="D12" s="1224"/>
      <c r="E12" s="3529"/>
      <c r="F12" s="3529"/>
      <c r="G12" s="3529"/>
      <c r="H12" s="3528"/>
      <c r="I12" s="1224"/>
      <c r="J12" s="1224"/>
      <c r="K12" s="1224"/>
      <c r="L12" s="1225"/>
      <c r="M12" s="1226"/>
      <c r="N12" s="1226"/>
      <c r="O12" s="434"/>
      <c r="P12" s="269"/>
      <c r="Q12" s="282"/>
      <c r="R12" s="264"/>
      <c r="S12" s="1144"/>
      <c r="T12" s="273" t="s">
        <v>675</v>
      </c>
      <c r="U12" s="275"/>
      <c r="V12" s="275"/>
      <c r="W12" s="275"/>
      <c r="X12" s="275"/>
      <c r="Y12" s="275"/>
      <c r="Z12" s="275"/>
      <c r="AA12" s="275"/>
      <c r="AB12" s="275"/>
      <c r="AC12" s="274"/>
      <c r="AD12" s="275"/>
      <c r="AE12" s="275"/>
      <c r="AF12" s="275"/>
      <c r="AG12" s="275"/>
      <c r="AH12" s="275"/>
      <c r="AI12" s="275"/>
      <c r="AJ12" s="275"/>
      <c r="AK12" s="274"/>
      <c r="AL12" s="275"/>
      <c r="AM12" s="214"/>
      <c r="AO12" s="398"/>
      <c r="AP12" s="398" t="str">
        <f t="shared" si="0"/>
        <v>Добавить схему подключения</v>
      </c>
      <c r="AQ12" s="398"/>
      <c r="AR12" s="398"/>
    </row>
    <row r="13" spans="1:44" s="1866" customFormat="1" ht="0.75" hidden="1" customHeight="1">
      <c r="A13" s="1177"/>
      <c r="B13" s="1177"/>
      <c r="C13" s="1177"/>
      <c r="D13" s="1177"/>
      <c r="E13" s="3529"/>
      <c r="F13" s="3529"/>
      <c r="G13" s="3528"/>
      <c r="H13" s="1177"/>
      <c r="I13" s="1177"/>
      <c r="J13" s="1177"/>
      <c r="K13" s="1177"/>
      <c r="L13" s="1201"/>
      <c r="M13" s="1178"/>
      <c r="N13" s="1178"/>
      <c r="P13" s="1179"/>
      <c r="Q13" s="1180"/>
      <c r="R13" s="1179"/>
      <c r="S13" s="1181"/>
      <c r="T13" s="1182" t="s">
        <v>676</v>
      </c>
      <c r="U13" s="1183"/>
      <c r="V13" s="1183"/>
      <c r="W13" s="1183"/>
      <c r="X13" s="1183"/>
      <c r="Y13" s="1183"/>
      <c r="Z13" s="1183"/>
      <c r="AA13" s="1183"/>
      <c r="AB13" s="1183"/>
      <c r="AC13" s="1183"/>
      <c r="AD13" s="1183"/>
      <c r="AE13" s="1183"/>
      <c r="AF13" s="1183"/>
      <c r="AG13" s="1183"/>
      <c r="AH13" s="1183"/>
      <c r="AI13" s="1183"/>
      <c r="AJ13" s="1183"/>
      <c r="AK13" s="1183"/>
      <c r="AL13" s="1183"/>
      <c r="AM13" s="1183"/>
      <c r="AO13" s="670"/>
      <c r="AP13" s="670" t="str">
        <f t="shared" si="0"/>
        <v>Добавить источник для дифференциации</v>
      </c>
      <c r="AQ13" s="670"/>
      <c r="AR13" s="670"/>
    </row>
    <row r="14" spans="1:44" s="1866" customFormat="1" ht="0.75" hidden="1" customHeight="1">
      <c r="A14" s="1177"/>
      <c r="B14" s="1177"/>
      <c r="C14" s="1177"/>
      <c r="D14" s="1177"/>
      <c r="E14" s="3529"/>
      <c r="F14" s="3528"/>
      <c r="G14" s="1177"/>
      <c r="H14" s="1177"/>
      <c r="I14" s="1177"/>
      <c r="J14" s="1177"/>
      <c r="K14" s="1177"/>
      <c r="L14" s="1201"/>
      <c r="M14" s="1184"/>
      <c r="N14" s="1184"/>
      <c r="P14" s="1179"/>
      <c r="Q14" s="1180"/>
      <c r="R14" s="1179"/>
      <c r="S14" s="1185"/>
      <c r="T14" s="1186" t="s">
        <v>677</v>
      </c>
      <c r="U14" s="1187"/>
      <c r="V14" s="1187"/>
      <c r="W14" s="1187"/>
      <c r="X14" s="1187"/>
      <c r="Y14" s="1187"/>
      <c r="Z14" s="1187"/>
      <c r="AA14" s="1187"/>
      <c r="AB14" s="1187"/>
      <c r="AC14" s="1187"/>
      <c r="AD14" s="1187"/>
      <c r="AE14" s="1187"/>
      <c r="AF14" s="1187"/>
      <c r="AG14" s="1187"/>
      <c r="AH14" s="1187"/>
      <c r="AI14" s="1187"/>
      <c r="AJ14" s="1187"/>
      <c r="AK14" s="1187"/>
      <c r="AL14" s="1187"/>
      <c r="AM14" s="1187"/>
      <c r="AO14" s="670"/>
      <c r="AP14" s="670" t="str">
        <f t="shared" si="0"/>
        <v>Добавить централизованную систему для дифференциации</v>
      </c>
      <c r="AQ14" s="670"/>
      <c r="AR14" s="670"/>
    </row>
    <row r="15" spans="1:44" s="1866" customFormat="1" ht="0.75" hidden="1" customHeight="1">
      <c r="A15" s="1177"/>
      <c r="B15" s="1177"/>
      <c r="C15" s="1177"/>
      <c r="D15" s="1177"/>
      <c r="E15" s="3528"/>
      <c r="F15" s="1177"/>
      <c r="G15" s="1177"/>
      <c r="H15" s="1177"/>
      <c r="I15" s="1177"/>
      <c r="J15" s="1177"/>
      <c r="K15" s="1177"/>
      <c r="L15" s="1201"/>
      <c r="M15" s="1184"/>
      <c r="N15" s="1184"/>
      <c r="P15" s="1179"/>
      <c r="Q15" s="1180"/>
      <c r="R15" s="1179"/>
      <c r="S15" s="1185"/>
      <c r="T15" s="1188" t="s">
        <v>678</v>
      </c>
      <c r="U15" s="1187"/>
      <c r="V15" s="1187"/>
      <c r="W15" s="1187"/>
      <c r="X15" s="1187"/>
      <c r="Y15" s="1187"/>
      <c r="Z15" s="1187"/>
      <c r="AA15" s="1187"/>
      <c r="AB15" s="1187"/>
      <c r="AC15" s="1187"/>
      <c r="AD15" s="1187"/>
      <c r="AE15" s="1187"/>
      <c r="AF15" s="1187"/>
      <c r="AG15" s="1187"/>
      <c r="AH15" s="1187"/>
      <c r="AI15" s="1187"/>
      <c r="AJ15" s="1187"/>
      <c r="AK15" s="1187"/>
      <c r="AL15" s="1187"/>
      <c r="AM15" s="1187"/>
      <c r="AO15" s="670"/>
      <c r="AP15" s="670" t="str">
        <f t="shared" si="0"/>
        <v>Добавить территорию для дифференциации</v>
      </c>
      <c r="AQ15" s="670"/>
      <c r="AR15" s="670"/>
    </row>
    <row r="16" spans="1:44" ht="14.25" hidden="1" customHeight="1">
      <c r="AC16" s="238"/>
      <c r="AK16" s="238"/>
    </row>
    <row r="17" spans="1:44" ht="14.25" hidden="1" customHeight="1">
      <c r="P17" s="1174"/>
      <c r="AD17" s="1221"/>
      <c r="AE17" s="1221"/>
      <c r="AF17" s="1221"/>
      <c r="AG17" s="1222"/>
      <c r="AH17" s="3526"/>
      <c r="AI17" s="3525" t="s">
        <v>64</v>
      </c>
      <c r="AJ17" s="3526"/>
      <c r="AK17" s="3525" t="s">
        <v>64</v>
      </c>
    </row>
    <row r="18" spans="1:44" ht="14.25" hidden="1" customHeight="1">
      <c r="P18" s="1174"/>
      <c r="AD18" s="1221"/>
      <c r="AE18" s="1221"/>
      <c r="AF18" s="1221"/>
      <c r="AG18" s="239" t="str">
        <f>AH17&amp;"-"&amp;AJ17</f>
        <v>-</v>
      </c>
      <c r="AH18" s="3525"/>
      <c r="AI18" s="3525"/>
      <c r="AJ18" s="3525"/>
      <c r="AK18" s="3525"/>
    </row>
    <row r="19" spans="1:44" ht="14.25" hidden="1" customHeight="1">
      <c r="P19" s="1174"/>
      <c r="AK19" s="238"/>
    </row>
    <row r="20" spans="1:44" s="1903" customFormat="1" ht="22.5" hidden="1" customHeight="1">
      <c r="L20" s="1191"/>
      <c r="M20" s="1223"/>
      <c r="N20" s="1223"/>
      <c r="O20" s="1228" t="s">
        <v>679</v>
      </c>
      <c r="P20" s="1223"/>
      <c r="Q20" s="1232"/>
      <c r="R20" s="1232"/>
      <c r="S20" s="619"/>
      <c r="Z20" s="1228"/>
      <c r="AB20" s="1228"/>
      <c r="AC20" s="1227"/>
      <c r="AH20" s="1228"/>
      <c r="AJ20" s="1228"/>
      <c r="AK20" s="1227"/>
      <c r="AN20" s="409"/>
      <c r="AO20" s="409"/>
      <c r="AP20" s="409"/>
      <c r="AQ20" s="409"/>
      <c r="AR20" s="409"/>
    </row>
    <row r="21" spans="1:44" s="1903" customFormat="1" ht="14.25" hidden="1" customHeight="1">
      <c r="L21" s="1191"/>
      <c r="M21" s="1223"/>
      <c r="N21" s="1223"/>
      <c r="O21" s="1223"/>
      <c r="P21" s="1223"/>
      <c r="Q21" s="1232"/>
      <c r="R21" s="1232"/>
      <c r="S21" s="619"/>
      <c r="AC21" s="1227"/>
      <c r="AK21" s="1227"/>
      <c r="AN21" s="409"/>
      <c r="AO21" s="409"/>
      <c r="AP21" s="409"/>
      <c r="AQ21" s="409"/>
      <c r="AR21" s="409"/>
    </row>
    <row r="22" spans="1:44" s="1903" customFormat="1" ht="14.25" hidden="1" customHeight="1">
      <c r="L22" s="1191"/>
      <c r="M22" s="1223"/>
      <c r="N22" s="1223"/>
      <c r="O22" s="1225" t="s">
        <v>680</v>
      </c>
      <c r="P22" s="1223"/>
      <c r="Q22" s="1232"/>
      <c r="R22" s="1232"/>
      <c r="S22" s="619"/>
      <c r="T22" s="1023" t="s">
        <v>681</v>
      </c>
      <c r="AA22" s="103" t="s">
        <v>682</v>
      </c>
      <c r="AC22" s="103" t="s">
        <v>683</v>
      </c>
      <c r="AD22" s="1023" t="s">
        <v>681</v>
      </c>
      <c r="AI22" s="103" t="s">
        <v>684</v>
      </c>
      <c r="AK22" s="103" t="s">
        <v>683</v>
      </c>
      <c r="AN22" s="409"/>
      <c r="AO22" s="409"/>
      <c r="AP22" s="409"/>
      <c r="AQ22" s="409"/>
      <c r="AR22" s="409"/>
    </row>
    <row r="23" spans="1:44" ht="14.25" hidden="1" customHeight="1">
      <c r="O23" s="1225"/>
      <c r="P23" s="1174"/>
    </row>
    <row r="24" spans="1:44" ht="14.25" hidden="1" customHeight="1">
      <c r="O24" s="1225"/>
      <c r="P24" s="1174"/>
    </row>
    <row r="25" spans="1:44" ht="14.25" customHeight="1">
      <c r="Q25" s="283"/>
      <c r="R25" s="283"/>
      <c r="S25" s="1141"/>
      <c r="T25" s="272"/>
      <c r="U25" s="272"/>
      <c r="V25" s="407"/>
      <c r="W25" s="407"/>
      <c r="X25" s="407"/>
      <c r="Y25" s="407"/>
      <c r="Z25" s="407"/>
      <c r="AA25" s="407"/>
      <c r="AB25" s="407"/>
      <c r="AC25" s="407"/>
      <c r="AD25" s="407"/>
      <c r="AE25" s="407"/>
      <c r="AF25" s="407"/>
      <c r="AG25" s="407"/>
      <c r="AH25" s="407"/>
      <c r="AI25" s="407"/>
      <c r="AJ25" s="407"/>
      <c r="AK25" s="407"/>
    </row>
    <row r="26" spans="1:44" ht="14.25" customHeight="1">
      <c r="Q26" s="283"/>
      <c r="R26" s="283"/>
      <c r="S26" s="350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509"/>
      <c r="U26" s="3509"/>
      <c r="V26" s="3509"/>
      <c r="W26" s="3509"/>
      <c r="X26" s="3509"/>
      <c r="Y26" s="3509"/>
      <c r="Z26" s="3509"/>
      <c r="AA26" s="3509"/>
      <c r="AB26" s="3509"/>
      <c r="AC26" s="3509"/>
      <c r="AD26" s="3509"/>
      <c r="AE26" s="3509"/>
      <c r="AF26" s="3509"/>
      <c r="AG26" s="3509"/>
      <c r="AH26" s="3509"/>
      <c r="AI26" s="3509"/>
      <c r="AJ26" s="3509"/>
      <c r="AK26" s="1109"/>
    </row>
    <row r="27" spans="1:44" ht="14.25" customHeight="1">
      <c r="Q27" s="283"/>
      <c r="R27" s="283"/>
      <c r="S27" s="3480" t="str">
        <f>IF(org=0,"Не определено",org)</f>
        <v>АО "Орелгортеплоэнерго"</v>
      </c>
      <c r="T27" s="3480"/>
      <c r="U27" s="3480"/>
      <c r="V27" s="3480"/>
      <c r="W27" s="3480"/>
      <c r="X27" s="3480"/>
      <c r="Y27" s="3480"/>
      <c r="Z27" s="3480"/>
      <c r="AA27" s="3480"/>
      <c r="AB27" s="3480"/>
      <c r="AC27" s="3480"/>
      <c r="AD27" s="3480"/>
      <c r="AE27" s="3480"/>
      <c r="AF27" s="3480"/>
      <c r="AG27" s="3480"/>
      <c r="AH27" s="3480"/>
      <c r="AI27" s="3480"/>
      <c r="AJ27" s="3480"/>
      <c r="AK27" s="1109"/>
    </row>
    <row r="28" spans="1:44" ht="14.25" hidden="1" customHeight="1">
      <c r="Q28" s="283"/>
      <c r="R28" s="283"/>
      <c r="S28" s="1141"/>
      <c r="T28" s="272"/>
      <c r="U28" s="272"/>
      <c r="V28" s="233"/>
      <c r="W28" s="233"/>
      <c r="X28" s="233"/>
      <c r="Y28" s="233"/>
      <c r="Z28" s="233"/>
      <c r="AA28" s="233"/>
      <c r="AB28" s="233"/>
      <c r="AC28" s="233"/>
      <c r="AD28" s="233"/>
      <c r="AE28" s="233"/>
      <c r="AF28" s="233"/>
      <c r="AG28" s="233"/>
      <c r="AH28" s="233"/>
      <c r="AI28" s="233"/>
      <c r="AJ28" s="233"/>
      <c r="AK28" s="233"/>
      <c r="AL28" s="407"/>
    </row>
    <row r="29" spans="1:44" s="1944" customFormat="1" ht="25.5" hidden="1" customHeight="1">
      <c r="A29" s="1229"/>
      <c r="B29" s="1229"/>
      <c r="C29" s="1229"/>
      <c r="D29" s="1229"/>
      <c r="E29" s="1229"/>
      <c r="F29" s="1229"/>
      <c r="G29" s="1229"/>
      <c r="H29" s="1229"/>
      <c r="I29" s="1229"/>
      <c r="J29" s="1229"/>
      <c r="K29" s="1229"/>
      <c r="L29" s="1230"/>
      <c r="M29" s="1229"/>
      <c r="N29" s="1229"/>
      <c r="O29" s="1229"/>
      <c r="S29" s="3519" t="s">
        <v>38</v>
      </c>
      <c r="T29" s="3519"/>
      <c r="U29" s="1233"/>
      <c r="V29" s="3521" t="str">
        <f>IF(TITLE_NAME_OR_PR_CHANGE="",IF(TITLE_NAME_OR_PR="","",TITLE_NAME_OR_PR),TITLE_NAME_OR_PR_CHANGE)</f>
        <v/>
      </c>
      <c r="W29" s="3521"/>
      <c r="X29" s="3521"/>
      <c r="Y29" s="3521"/>
      <c r="Z29" s="3521"/>
      <c r="AA29" s="3521"/>
      <c r="AB29" s="3521"/>
      <c r="AC29" s="237"/>
      <c r="AD29" s="3521" t="str">
        <f>IF(TITLE_NAME_OR_PR_CHANGE="",IF(TITLE_NAME_OR_PR="","",TITLE_NAME_OR_PR),TITLE_NAME_OR_PR_CHANGE)</f>
        <v/>
      </c>
      <c r="AE29" s="3521"/>
      <c r="AF29" s="3521"/>
      <c r="AG29" s="3521"/>
      <c r="AH29" s="3521"/>
      <c r="AI29" s="3521"/>
      <c r="AJ29" s="3521"/>
      <c r="AK29" s="237"/>
      <c r="AL29" s="237"/>
      <c r="AM29" s="193"/>
      <c r="AN29" s="276"/>
      <c r="AO29" s="276"/>
      <c r="AP29" s="276"/>
      <c r="AQ29" s="276"/>
      <c r="AR29" s="276"/>
    </row>
    <row r="30" spans="1:44" s="1944" customFormat="1" ht="18.75" hidden="1" customHeight="1">
      <c r="A30" s="1229"/>
      <c r="B30" s="1229"/>
      <c r="C30" s="1229"/>
      <c r="D30" s="1229"/>
      <c r="E30" s="1229"/>
      <c r="F30" s="1229"/>
      <c r="G30" s="1229"/>
      <c r="H30" s="1229"/>
      <c r="I30" s="1229"/>
      <c r="J30" s="1229"/>
      <c r="K30" s="1229"/>
      <c r="L30" s="1230"/>
      <c r="M30" s="1229"/>
      <c r="N30" s="1229"/>
      <c r="O30" s="1229"/>
      <c r="S30" s="3519" t="s">
        <v>685</v>
      </c>
      <c r="T30" s="3519"/>
      <c r="U30" s="1233"/>
      <c r="V30" s="3520" t="str">
        <f>IF(TITLE_DATE_PR_CHANGE="",IF(TITLE_DATE_PR="","",TITLE_DATE_PR),TITLE_DATE_PR_CHANGE)</f>
        <v/>
      </c>
      <c r="W30" s="3520"/>
      <c r="X30" s="3520"/>
      <c r="Y30" s="3520"/>
      <c r="Z30" s="3520"/>
      <c r="AA30" s="3520"/>
      <c r="AB30" s="3520"/>
      <c r="AC30" s="237"/>
      <c r="AD30" s="3520" t="str">
        <f>IF(TITLE_DATE_PR_CHANGE="",IF(TITLE_DATE_PR="","",TITLE_DATE_PR),TITLE_DATE_PR_CHANGE)</f>
        <v/>
      </c>
      <c r="AE30" s="3520"/>
      <c r="AF30" s="3520"/>
      <c r="AG30" s="3520"/>
      <c r="AH30" s="3520"/>
      <c r="AI30" s="3520"/>
      <c r="AJ30" s="3520"/>
      <c r="AK30" s="237"/>
      <c r="AL30" s="237"/>
      <c r="AM30" s="193"/>
      <c r="AN30" s="276"/>
      <c r="AO30" s="276"/>
      <c r="AP30" s="276"/>
      <c r="AQ30" s="276"/>
      <c r="AR30" s="276"/>
    </row>
    <row r="31" spans="1:44" s="1944" customFormat="1" ht="18.75" hidden="1" customHeight="1">
      <c r="A31" s="1229"/>
      <c r="B31" s="1229"/>
      <c r="C31" s="1229"/>
      <c r="D31" s="1229"/>
      <c r="E31" s="1229"/>
      <c r="F31" s="1229"/>
      <c r="G31" s="1229"/>
      <c r="H31" s="1229"/>
      <c r="I31" s="1229"/>
      <c r="J31" s="1229"/>
      <c r="K31" s="1229"/>
      <c r="L31" s="1230"/>
      <c r="M31" s="1229"/>
      <c r="N31" s="1229"/>
      <c r="O31" s="1229"/>
      <c r="S31" s="3519" t="s">
        <v>686</v>
      </c>
      <c r="T31" s="3519"/>
      <c r="U31" s="1233"/>
      <c r="V31" s="3521" t="str">
        <f>IF(TITLE_NUMBER_PR_CHANGE="",IF(TITLE_NUMBER_PR="","",TITLE_NUMBER_PR),TITLE_NUMBER_PR_CHANGE)</f>
        <v/>
      </c>
      <c r="W31" s="3521"/>
      <c r="X31" s="3521"/>
      <c r="Y31" s="3521"/>
      <c r="Z31" s="3521"/>
      <c r="AA31" s="3521"/>
      <c r="AB31" s="3521"/>
      <c r="AC31" s="237"/>
      <c r="AD31" s="3521" t="str">
        <f>IF(TITLE_NUMBER_PR_CHANGE="",IF(TITLE_NUMBER_PR="","",TITLE_NUMBER_PR),TITLE_NUMBER_PR_CHANGE)</f>
        <v/>
      </c>
      <c r="AE31" s="3521"/>
      <c r="AF31" s="3521"/>
      <c r="AG31" s="3521"/>
      <c r="AH31" s="3521"/>
      <c r="AI31" s="3521"/>
      <c r="AJ31" s="3521"/>
      <c r="AK31" s="237"/>
      <c r="AL31" s="237"/>
      <c r="AM31" s="193"/>
      <c r="AN31" s="276"/>
      <c r="AO31" s="276"/>
      <c r="AP31" s="276"/>
      <c r="AQ31" s="276"/>
      <c r="AR31" s="276"/>
    </row>
    <row r="32" spans="1:44" s="1944" customFormat="1" ht="18.75" hidden="1" customHeight="1">
      <c r="A32" s="1229"/>
      <c r="B32" s="1229"/>
      <c r="C32" s="1229"/>
      <c r="D32" s="1229"/>
      <c r="E32" s="1229"/>
      <c r="F32" s="1229"/>
      <c r="G32" s="1229"/>
      <c r="H32" s="1229"/>
      <c r="I32" s="1229"/>
      <c r="J32" s="1229"/>
      <c r="K32" s="1229"/>
      <c r="L32" s="1230"/>
      <c r="M32" s="1229"/>
      <c r="N32" s="1229"/>
      <c r="O32" s="1229"/>
      <c r="S32" s="3519" t="s">
        <v>39</v>
      </c>
      <c r="T32" s="3519"/>
      <c r="U32" s="1233"/>
      <c r="V32" s="3521" t="str">
        <f>IF(TITLE_IST_PUB_CHANGE="",IF(TITLE_IST_PUB="","",TITLE_IST_PUB),TITLE_IST_PUB_CHANGE)</f>
        <v/>
      </c>
      <c r="W32" s="3521"/>
      <c r="X32" s="3521"/>
      <c r="Y32" s="3521"/>
      <c r="Z32" s="3521"/>
      <c r="AA32" s="3521"/>
      <c r="AB32" s="3521"/>
      <c r="AC32" s="237"/>
      <c r="AD32" s="3521" t="str">
        <f>IF(TITLE_IST_PUB_CHANGE="",IF(TITLE_IST_PUB="","",TITLE_IST_PUB),TITLE_IST_PUB_CHANGE)</f>
        <v/>
      </c>
      <c r="AE32" s="3521"/>
      <c r="AF32" s="3521"/>
      <c r="AG32" s="3521"/>
      <c r="AH32" s="3521"/>
      <c r="AI32" s="3521"/>
      <c r="AJ32" s="3521"/>
      <c r="AK32" s="237"/>
      <c r="AL32" s="237"/>
      <c r="AM32" s="193"/>
      <c r="AN32" s="276"/>
      <c r="AO32" s="276"/>
      <c r="AP32" s="276"/>
      <c r="AQ32" s="276"/>
      <c r="AR32" s="276"/>
    </row>
    <row r="33" spans="1:44" ht="14.25" hidden="1" customHeight="1">
      <c r="P33" s="1190"/>
      <c r="Q33" s="283"/>
      <c r="R33" s="283"/>
      <c r="S33" s="1141"/>
      <c r="T33" s="272"/>
      <c r="U33" s="272"/>
      <c r="V33" s="233"/>
      <c r="W33" s="233"/>
      <c r="X33" s="233"/>
      <c r="Y33" s="233"/>
      <c r="Z33" s="233"/>
      <c r="AA33" s="233"/>
      <c r="AB33" s="233"/>
      <c r="AC33" s="233"/>
      <c r="AD33" s="233"/>
      <c r="AE33" s="233"/>
      <c r="AF33" s="233"/>
      <c r="AG33" s="233"/>
      <c r="AH33" s="233"/>
      <c r="AI33" s="233"/>
      <c r="AJ33" s="233"/>
      <c r="AK33" s="233"/>
      <c r="AL33" s="407"/>
    </row>
    <row r="34" spans="1:44" s="1944" customFormat="1" ht="18.75" hidden="1" customHeight="1">
      <c r="A34" s="1229"/>
      <c r="B34" s="1229"/>
      <c r="C34" s="1229"/>
      <c r="D34" s="1229"/>
      <c r="E34" s="1229"/>
      <c r="F34" s="1229"/>
      <c r="G34" s="1229"/>
      <c r="H34" s="1229"/>
      <c r="I34" s="1229"/>
      <c r="J34" s="1229"/>
      <c r="K34" s="1229"/>
      <c r="L34" s="1230"/>
      <c r="M34" s="1229"/>
      <c r="N34" s="1229"/>
      <c r="O34" s="1229"/>
      <c r="S34" s="3519" t="s">
        <v>687</v>
      </c>
      <c r="T34" s="3519"/>
      <c r="U34" s="1233"/>
      <c r="V34" s="3520" t="str">
        <f>IF(TITLE_DATE_PR_CHANGE="",IF(TITLE_DATE_PR="","",TITLE_DATE_PR),TITLE_DATE_PR_CHANGE)</f>
        <v/>
      </c>
      <c r="W34" s="3520"/>
      <c r="X34" s="3520"/>
      <c r="Y34" s="3520"/>
      <c r="Z34" s="3520"/>
      <c r="AA34" s="3520"/>
      <c r="AB34" s="3520"/>
      <c r="AC34" s="237"/>
      <c r="AD34" s="3520" t="str">
        <f>IF(TITLE_DATE_PR_CHANGE="",IF(TITLE_DATE_PR="","",TITLE_DATE_PR),TITLE_DATE_PR_CHANGE)</f>
        <v/>
      </c>
      <c r="AE34" s="3520"/>
      <c r="AF34" s="3520"/>
      <c r="AG34" s="3520"/>
      <c r="AH34" s="3520"/>
      <c r="AI34" s="3520"/>
      <c r="AJ34" s="3520"/>
      <c r="AK34" s="237"/>
      <c r="AL34" s="237"/>
      <c r="AM34" s="193"/>
      <c r="AN34" s="276"/>
      <c r="AO34" s="276"/>
      <c r="AP34" s="276"/>
      <c r="AQ34" s="276"/>
      <c r="AR34" s="276"/>
    </row>
    <row r="35" spans="1:44" s="1944" customFormat="1" ht="18.75" hidden="1" customHeight="1">
      <c r="A35" s="1229"/>
      <c r="B35" s="1229"/>
      <c r="C35" s="1229"/>
      <c r="D35" s="1229"/>
      <c r="E35" s="1229"/>
      <c r="F35" s="1229"/>
      <c r="G35" s="1229"/>
      <c r="H35" s="1229"/>
      <c r="I35" s="1229"/>
      <c r="J35" s="1229"/>
      <c r="K35" s="1229"/>
      <c r="L35" s="1230"/>
      <c r="M35" s="1229"/>
      <c r="N35" s="1229"/>
      <c r="O35" s="1229"/>
      <c r="S35" s="3519" t="s">
        <v>688</v>
      </c>
      <c r="T35" s="3519"/>
      <c r="U35" s="1233"/>
      <c r="V35" s="3521" t="str">
        <f>IF(TITLE_NUMBER_PR_CHANGE="",IF(TITLE_NUMBER_PR="","",TITLE_NUMBER_PR),TITLE_NUMBER_PR_CHANGE)</f>
        <v/>
      </c>
      <c r="W35" s="3521"/>
      <c r="X35" s="3521"/>
      <c r="Y35" s="3521"/>
      <c r="Z35" s="3521"/>
      <c r="AA35" s="3521"/>
      <c r="AB35" s="3521"/>
      <c r="AC35" s="237"/>
      <c r="AD35" s="3521" t="str">
        <f>IF(TITLE_NUMBER_PR_CHANGE="",IF(TITLE_NUMBER_PR="","",TITLE_NUMBER_PR),TITLE_NUMBER_PR_CHANGE)</f>
        <v/>
      </c>
      <c r="AE35" s="3521"/>
      <c r="AF35" s="3521"/>
      <c r="AG35" s="3521"/>
      <c r="AH35" s="3521"/>
      <c r="AI35" s="3521"/>
      <c r="AJ35" s="3521"/>
      <c r="AK35" s="237"/>
      <c r="AL35" s="237"/>
      <c r="AM35" s="193"/>
      <c r="AN35" s="276"/>
      <c r="AO35" s="276"/>
      <c r="AP35" s="276"/>
      <c r="AQ35" s="276"/>
      <c r="AR35" s="276"/>
    </row>
    <row r="36" spans="1:44" s="1944" customFormat="1" ht="0" hidden="1" customHeight="1">
      <c r="A36" s="1229"/>
      <c r="B36" s="1229"/>
      <c r="C36" s="1229"/>
      <c r="D36" s="1229"/>
      <c r="E36" s="1229"/>
      <c r="F36" s="1229"/>
      <c r="G36" s="1229"/>
      <c r="H36" s="1229"/>
      <c r="I36" s="1229"/>
      <c r="J36" s="1229"/>
      <c r="K36" s="1229"/>
      <c r="L36" s="1230"/>
      <c r="M36" s="1229"/>
      <c r="N36" s="1229"/>
      <c r="O36" s="1229"/>
      <c r="S36" s="234"/>
      <c r="T36" s="234"/>
      <c r="U36" s="1085"/>
      <c r="V36" s="237"/>
      <c r="W36" s="237"/>
      <c r="X36" s="237"/>
      <c r="Y36" s="237"/>
      <c r="Z36" s="237"/>
      <c r="AA36" s="237"/>
      <c r="AB36" s="237"/>
      <c r="AC36" s="191" t="s">
        <v>689</v>
      </c>
      <c r="AD36" s="237"/>
      <c r="AE36" s="237"/>
      <c r="AF36" s="237"/>
      <c r="AG36" s="237"/>
      <c r="AH36" s="237"/>
      <c r="AI36" s="237"/>
      <c r="AJ36" s="237"/>
      <c r="AK36" s="191" t="s">
        <v>689</v>
      </c>
      <c r="AN36" s="276"/>
      <c r="AO36" s="276"/>
      <c r="AP36" s="276"/>
      <c r="AQ36" s="276"/>
      <c r="AR36" s="276"/>
    </row>
    <row r="37" spans="1:44" ht="14.25" customHeight="1">
      <c r="Q37" s="283"/>
      <c r="R37" s="283"/>
      <c r="S37" s="1141"/>
      <c r="T37" s="272"/>
      <c r="U37" s="1110"/>
      <c r="V37" s="3540"/>
      <c r="W37" s="3540"/>
      <c r="X37" s="3540"/>
      <c r="Y37" s="3540"/>
      <c r="Z37" s="3540"/>
      <c r="AA37" s="3540"/>
      <c r="AB37" s="3540"/>
      <c r="AC37" s="3540"/>
      <c r="AD37" s="3540"/>
      <c r="AE37" s="3540"/>
      <c r="AF37" s="3540"/>
      <c r="AG37" s="3540"/>
      <c r="AH37" s="3540"/>
      <c r="AI37" s="3540"/>
      <c r="AJ37" s="3540"/>
      <c r="AK37" s="3540"/>
    </row>
    <row r="38" spans="1:44" ht="14.25" customHeight="1">
      <c r="Q38" s="283"/>
      <c r="R38" s="283"/>
      <c r="S38" s="3401" t="s">
        <v>560</v>
      </c>
      <c r="T38" s="3401"/>
      <c r="U38" s="3401"/>
      <c r="V38" s="3401"/>
      <c r="W38" s="3401"/>
      <c r="X38" s="3401"/>
      <c r="Y38" s="3401"/>
      <c r="Z38" s="3401"/>
      <c r="AA38" s="3401"/>
      <c r="AB38" s="3401"/>
      <c r="AC38" s="3401"/>
      <c r="AD38" s="3401"/>
      <c r="AE38" s="3401"/>
      <c r="AF38" s="3401"/>
      <c r="AG38" s="3401"/>
      <c r="AH38" s="3401"/>
      <c r="AI38" s="3401"/>
      <c r="AJ38" s="3401"/>
      <c r="AK38" s="3401"/>
      <c r="AL38" s="3401"/>
      <c r="AM38" s="3401" t="s">
        <v>561</v>
      </c>
    </row>
    <row r="39" spans="1:44" ht="14.25" customHeight="1">
      <c r="Q39" s="283"/>
      <c r="R39" s="283"/>
      <c r="S39" s="3541" t="s">
        <v>85</v>
      </c>
      <c r="T39" s="3489" t="s">
        <v>690</v>
      </c>
      <c r="U39" s="212"/>
      <c r="V39" s="3542" t="s">
        <v>691</v>
      </c>
      <c r="W39" s="3543"/>
      <c r="X39" s="3543"/>
      <c r="Y39" s="3543"/>
      <c r="Z39" s="3543"/>
      <c r="AA39" s="3543"/>
      <c r="AB39" s="3544"/>
      <c r="AC39" s="3545" t="s">
        <v>692</v>
      </c>
      <c r="AD39" s="3542" t="s">
        <v>691</v>
      </c>
      <c r="AE39" s="3543"/>
      <c r="AF39" s="3543"/>
      <c r="AG39" s="3543"/>
      <c r="AH39" s="3543"/>
      <c r="AI39" s="3543"/>
      <c r="AJ39" s="3544"/>
      <c r="AK39" s="3545" t="s">
        <v>693</v>
      </c>
      <c r="AL39" s="3548" t="s">
        <v>694</v>
      </c>
      <c r="AM39" s="3401"/>
    </row>
    <row r="40" spans="1:44" ht="33.75" customHeight="1">
      <c r="Q40" s="283"/>
      <c r="R40" s="283"/>
      <c r="S40" s="3541"/>
      <c r="T40" s="3489"/>
      <c r="U40" s="901"/>
      <c r="V40" s="3458" t="s">
        <v>695</v>
      </c>
      <c r="W40" s="3537" t="s">
        <v>696</v>
      </c>
      <c r="X40" s="3383" t="s">
        <v>697</v>
      </c>
      <c r="Y40" s="3382"/>
      <c r="Z40" s="3383" t="s">
        <v>698</v>
      </c>
      <c r="AA40" s="3388"/>
      <c r="AB40" s="3382"/>
      <c r="AC40" s="3546"/>
      <c r="AD40" s="3458" t="s">
        <v>695</v>
      </c>
      <c r="AE40" s="3537" t="s">
        <v>696</v>
      </c>
      <c r="AF40" s="3383" t="s">
        <v>697</v>
      </c>
      <c r="AG40" s="3382"/>
      <c r="AH40" s="3383" t="s">
        <v>698</v>
      </c>
      <c r="AI40" s="3388"/>
      <c r="AJ40" s="3382"/>
      <c r="AK40" s="3546"/>
      <c r="AL40" s="3549"/>
      <c r="AM40" s="3401"/>
    </row>
    <row r="41" spans="1:44" ht="33.75" customHeight="1">
      <c r="A41" s="1231"/>
      <c r="B41" s="1231" t="s">
        <v>403</v>
      </c>
      <c r="C41" s="1231" t="s">
        <v>404</v>
      </c>
      <c r="D41" s="1231" t="s">
        <v>405</v>
      </c>
      <c r="E41" s="1225" t="s">
        <v>699</v>
      </c>
      <c r="F41" s="1225" t="s">
        <v>700</v>
      </c>
      <c r="G41" s="1225" t="s">
        <v>701</v>
      </c>
      <c r="H41" s="1225" t="s">
        <v>702</v>
      </c>
      <c r="I41" s="1225" t="s">
        <v>703</v>
      </c>
      <c r="J41" s="1225" t="s">
        <v>704</v>
      </c>
      <c r="K41" s="1225" t="s">
        <v>705</v>
      </c>
      <c r="L41" s="1225" t="s">
        <v>680</v>
      </c>
      <c r="Q41" s="283"/>
      <c r="R41" s="283"/>
      <c r="S41" s="3541"/>
      <c r="T41" s="3489"/>
      <c r="U41" s="213"/>
      <c r="V41" s="3514"/>
      <c r="W41" s="3538"/>
      <c r="X41" s="1088" t="s">
        <v>706</v>
      </c>
      <c r="Y41" s="1088" t="s">
        <v>707</v>
      </c>
      <c r="Z41" s="1087" t="s">
        <v>708</v>
      </c>
      <c r="AA41" s="3494" t="s">
        <v>709</v>
      </c>
      <c r="AB41" s="3508"/>
      <c r="AC41" s="3547"/>
      <c r="AD41" s="3514"/>
      <c r="AE41" s="3538"/>
      <c r="AF41" s="1088" t="s">
        <v>706</v>
      </c>
      <c r="AG41" s="1088" t="s">
        <v>707</v>
      </c>
      <c r="AH41" s="1176" t="s">
        <v>708</v>
      </c>
      <c r="AI41" s="3494" t="s">
        <v>709</v>
      </c>
      <c r="AJ41" s="3508"/>
      <c r="AK41" s="3547"/>
      <c r="AL41" s="3550"/>
      <c r="AM41" s="3401"/>
    </row>
    <row r="42" spans="1:44" s="1838" customFormat="1" ht="11.25" hidden="1" customHeight="1">
      <c r="A42" s="1231"/>
      <c r="B42" s="1231"/>
      <c r="C42" s="1231"/>
      <c r="D42" s="1231"/>
      <c r="E42" s="1231"/>
      <c r="F42" s="1231"/>
      <c r="G42" s="1231"/>
      <c r="H42" s="1231"/>
      <c r="I42" s="1231"/>
      <c r="J42" s="1231"/>
      <c r="K42" s="1231"/>
      <c r="L42" s="1225"/>
      <c r="M42" s="1223"/>
      <c r="N42" s="1223"/>
      <c r="O42" s="1223"/>
      <c r="P42" s="1112"/>
      <c r="Q42" s="1113"/>
      <c r="R42" s="1120">
        <v>1</v>
      </c>
      <c r="S42" s="1143" t="s">
        <v>106</v>
      </c>
      <c r="T42" s="1121" t="s">
        <v>107</v>
      </c>
      <c r="U42" s="1111" t="str">
        <f ca="1">OFFSET(U42,0,-1)</f>
        <v>2</v>
      </c>
      <c r="V42" s="1122">
        <f ca="1">OFFSET(V42,0,-1)+1</f>
        <v>3</v>
      </c>
      <c r="W42" s="1122"/>
      <c r="X42" s="1122">
        <f ca="1">OFFSET(X42,0,-1)+1</f>
        <v>1</v>
      </c>
      <c r="Y42" s="1122">
        <f ca="1">OFFSET(Y42,0,-1)+1</f>
        <v>2</v>
      </c>
      <c r="Z42" s="1122">
        <f ca="1">OFFSET(Z42,0,-1)+1</f>
        <v>3</v>
      </c>
      <c r="AA42" s="3539">
        <f ca="1">OFFSET(AA42,0,-1)+1</f>
        <v>4</v>
      </c>
      <c r="AB42" s="3539"/>
      <c r="AC42" s="1122">
        <f ca="1">OFFSET(AC42,0,-2)+1</f>
        <v>5</v>
      </c>
      <c r="AD42" s="1175">
        <f ca="1">OFFSET(AD42,0,-1)+1</f>
        <v>6</v>
      </c>
      <c r="AE42" s="1175"/>
      <c r="AF42" s="1175">
        <f ca="1">OFFSET(AF42,0,-1)+1</f>
        <v>1</v>
      </c>
      <c r="AG42" s="1175">
        <f ca="1">OFFSET(AG42,0,-1)+1</f>
        <v>2</v>
      </c>
      <c r="AH42" s="1175">
        <f ca="1">OFFSET(AH42,0,-1)+1</f>
        <v>3</v>
      </c>
      <c r="AI42" s="3539">
        <f ca="1">OFFSET(AI42,0,-1)+1</f>
        <v>4</v>
      </c>
      <c r="AJ42" s="3539"/>
      <c r="AK42" s="1175">
        <f ca="1">OFFSET(AK42,0,-2)+1</f>
        <v>5</v>
      </c>
      <c r="AL42" s="1111">
        <f ca="1">OFFSET(AL42,0,-1)</f>
        <v>5</v>
      </c>
      <c r="AM42" s="1122">
        <f ca="1">OFFSET(AM42,0,-1)+1</f>
        <v>6</v>
      </c>
      <c r="AN42" s="409"/>
      <c r="AO42" s="409"/>
      <c r="AP42" s="409"/>
      <c r="AQ42" s="409"/>
      <c r="AR42" s="409"/>
    </row>
    <row r="43" spans="1:44" ht="23.25" customHeight="1">
      <c r="A43" s="1224" t="s">
        <v>418</v>
      </c>
      <c r="B43" s="1224"/>
      <c r="C43" s="1224"/>
      <c r="D43" s="1224"/>
      <c r="E43" s="3528">
        <v>1</v>
      </c>
      <c r="F43" s="1224"/>
      <c r="G43" s="1224"/>
      <c r="H43" s="1224"/>
      <c r="I43" s="1224"/>
      <c r="J43" s="1224"/>
      <c r="K43" s="1224"/>
      <c r="L43" s="1225"/>
      <c r="M43" s="1226"/>
      <c r="N43" s="1226"/>
      <c r="O43" s="1226"/>
      <c r="P43" s="270"/>
      <c r="Q43" s="269"/>
      <c r="R43" s="264"/>
      <c r="S43" s="1090">
        <f>INDEX(PT_DIFFERENTIATION_NUM_NTAR,MATCH(A43,PT_DIFFERENTIATION_NTAR_ID,0))</f>
        <v>0</v>
      </c>
      <c r="T43" s="209" t="s">
        <v>391</v>
      </c>
      <c r="U43" s="211"/>
      <c r="V43" s="3522"/>
      <c r="W43" s="3523"/>
      <c r="X43" s="3523"/>
      <c r="Y43" s="3523"/>
      <c r="Z43" s="3523"/>
      <c r="AA43" s="3523"/>
      <c r="AB43" s="3523"/>
      <c r="AC43" s="3524"/>
      <c r="AD43" s="3522" t="str">
        <f>INDEX(PT_DIFFERENTIATION_NTAR,MATCH(A43,PT_DIFFERENTIATION_NTAR_ID,0))</f>
        <v/>
      </c>
      <c r="AE43" s="3523"/>
      <c r="AF43" s="3523"/>
      <c r="AG43" s="3523"/>
      <c r="AH43" s="3523"/>
      <c r="AI43" s="3523"/>
      <c r="AJ43" s="3523"/>
      <c r="AK43" s="3523"/>
      <c r="AL43" s="3524"/>
      <c r="AM43" s="112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398"/>
      <c r="AP43" s="398" t="str">
        <f t="shared" ref="AP43:AP57" si="1">IF(T43="","",T43)</f>
        <v>Наименование тарифа</v>
      </c>
      <c r="AQ43" s="398"/>
      <c r="AR43" s="398"/>
    </row>
    <row r="44" spans="1:44" ht="23.25" customHeight="1">
      <c r="A44" s="1224" t="s">
        <v>418</v>
      </c>
      <c r="B44" s="1224" t="s">
        <v>419</v>
      </c>
      <c r="C44" s="1224"/>
      <c r="D44" s="1224"/>
      <c r="E44" s="3529"/>
      <c r="F44" s="3528">
        <v>1</v>
      </c>
      <c r="G44" s="1224"/>
      <c r="H44" s="1224"/>
      <c r="I44" s="1224"/>
      <c r="J44" s="1224"/>
      <c r="K44" s="1224"/>
      <c r="L44" s="1225"/>
      <c r="M44" s="1226"/>
      <c r="N44" s="1226"/>
      <c r="O44" s="1226"/>
      <c r="P44" s="420"/>
      <c r="Q44" s="261"/>
      <c r="R44" s="262"/>
      <c r="S44" s="1090" t="str">
        <f>INDEX(PT_DIFFERENTIATION_NUM_TER,MATCH(B44,PT_DIFFERENTIATION_TER_ID,0))</f>
        <v>.</v>
      </c>
      <c r="T44" s="219" t="s">
        <v>659</v>
      </c>
      <c r="U44" s="211"/>
      <c r="V44" s="3522"/>
      <c r="W44" s="3523"/>
      <c r="X44" s="3523"/>
      <c r="Y44" s="3523"/>
      <c r="Z44" s="3523"/>
      <c r="AA44" s="3523"/>
      <c r="AB44" s="3523"/>
      <c r="AC44" s="3524"/>
      <c r="AD44" s="3522" t="str">
        <f>INDEX(PT_DIFFERENTIATION_TER,MATCH(B44,PT_DIFFERENTIATION_TER_ID,0))</f>
        <v/>
      </c>
      <c r="AE44" s="3523"/>
      <c r="AF44" s="3523"/>
      <c r="AG44" s="3523"/>
      <c r="AH44" s="3523"/>
      <c r="AI44" s="3523"/>
      <c r="AJ44" s="3523"/>
      <c r="AK44" s="3523"/>
      <c r="AL44" s="3524"/>
      <c r="AM44" s="1124" t="s">
        <v>660</v>
      </c>
      <c r="AO44" s="398"/>
      <c r="AP44" s="398" t="str">
        <f t="shared" si="1"/>
        <v>Территория действия тарифа</v>
      </c>
      <c r="AQ44" s="398"/>
      <c r="AR44" s="398"/>
    </row>
    <row r="45" spans="1:44" ht="23.25" customHeight="1">
      <c r="A45" s="1224" t="s">
        <v>418</v>
      </c>
      <c r="B45" s="1224" t="s">
        <v>419</v>
      </c>
      <c r="C45" s="1224" t="s">
        <v>420</v>
      </c>
      <c r="D45" s="1224"/>
      <c r="E45" s="3529"/>
      <c r="F45" s="3529"/>
      <c r="G45" s="3528">
        <v>1</v>
      </c>
      <c r="H45" s="1224"/>
      <c r="I45" s="1224"/>
      <c r="J45" s="1224"/>
      <c r="K45" s="1224"/>
      <c r="L45" s="1225"/>
      <c r="M45" s="1226"/>
      <c r="N45" s="1226"/>
      <c r="O45" s="1226"/>
      <c r="P45" s="263"/>
      <c r="Q45" s="261"/>
      <c r="R45" s="262"/>
      <c r="S45" s="1090" t="str">
        <f>INDEX(PT_DIFFERENTIATION_NUM_CS,MATCH(C45,PT_DIFFERENTIATION_CS_ID,0))</f>
        <v>..</v>
      </c>
      <c r="T45" s="220" t="s">
        <v>661</v>
      </c>
      <c r="U45" s="211"/>
      <c r="V45" s="3522"/>
      <c r="W45" s="3523"/>
      <c r="X45" s="3523"/>
      <c r="Y45" s="3523"/>
      <c r="Z45" s="3523"/>
      <c r="AA45" s="3523"/>
      <c r="AB45" s="3523"/>
      <c r="AC45" s="3524"/>
      <c r="AD45" s="3522" t="str">
        <f>INDEX(PT_DIFFERENTIATION_CS,MATCH(C45,PT_DIFFERENTIATION_CS_ID,0))</f>
        <v/>
      </c>
      <c r="AE45" s="3523"/>
      <c r="AF45" s="3523"/>
      <c r="AG45" s="3523"/>
      <c r="AH45" s="3523"/>
      <c r="AI45" s="3523"/>
      <c r="AJ45" s="3523"/>
      <c r="AK45" s="3523"/>
      <c r="AL45" s="3524"/>
      <c r="AM45" s="1124" t="s">
        <v>662</v>
      </c>
      <c r="AO45" s="398"/>
      <c r="AP45" s="398" t="str">
        <f t="shared" si="1"/>
        <v xml:space="preserve">Наименование системы теплоснабжения </v>
      </c>
      <c r="AQ45" s="398"/>
      <c r="AR45" s="398"/>
    </row>
    <row r="46" spans="1:44" ht="23.25" customHeight="1">
      <c r="A46" s="1224" t="s">
        <v>418</v>
      </c>
      <c r="B46" s="1224" t="s">
        <v>419</v>
      </c>
      <c r="C46" s="1224" t="s">
        <v>420</v>
      </c>
      <c r="D46" s="1224" t="s">
        <v>421</v>
      </c>
      <c r="E46" s="3529"/>
      <c r="F46" s="3529"/>
      <c r="G46" s="3529"/>
      <c r="H46" s="3528">
        <v>1</v>
      </c>
      <c r="I46" s="1224"/>
      <c r="J46" s="1224"/>
      <c r="K46" s="1224"/>
      <c r="L46" s="1225"/>
      <c r="M46" s="1226"/>
      <c r="N46" s="1226"/>
      <c r="O46" s="1226"/>
      <c r="P46" s="263"/>
      <c r="Q46" s="261"/>
      <c r="R46" s="262"/>
      <c r="S46" s="1090" t="str">
        <f>INDEX(PT_DIFFERENTIATION_NUM_IST_TE,MATCH(D46,PT_DIFFERENTIATION_IST_TE_ID,0))</f>
        <v>...</v>
      </c>
      <c r="T46" s="221" t="s">
        <v>663</v>
      </c>
      <c r="U46" s="211"/>
      <c r="V46" s="3522"/>
      <c r="W46" s="3523"/>
      <c r="X46" s="3523"/>
      <c r="Y46" s="3523"/>
      <c r="Z46" s="3523"/>
      <c r="AA46" s="3523"/>
      <c r="AB46" s="3523"/>
      <c r="AC46" s="3524"/>
      <c r="AD46" s="3522" t="str">
        <f>INDEX(PT_DIFFERENTIATION_IST_TE,MATCH(D46,PT_DIFFERENTIATION_IST_TE_ID,0))</f>
        <v/>
      </c>
      <c r="AE46" s="3523"/>
      <c r="AF46" s="3523"/>
      <c r="AG46" s="3523"/>
      <c r="AH46" s="3523"/>
      <c r="AI46" s="3523"/>
      <c r="AJ46" s="3523"/>
      <c r="AK46" s="3523"/>
      <c r="AL46" s="3524"/>
      <c r="AM46" s="1124" t="s">
        <v>664</v>
      </c>
      <c r="AO46" s="398"/>
      <c r="AP46" s="398" t="str">
        <f t="shared" si="1"/>
        <v xml:space="preserve">Источник тепловой энергии  </v>
      </c>
      <c r="AQ46" s="398"/>
      <c r="AR46" s="398"/>
    </row>
    <row r="47" spans="1:44" ht="47.25" customHeight="1">
      <c r="A47" s="1224" t="s">
        <v>418</v>
      </c>
      <c r="B47" s="1224" t="s">
        <v>419</v>
      </c>
      <c r="C47" s="1224" t="s">
        <v>420</v>
      </c>
      <c r="D47" s="1224" t="s">
        <v>421</v>
      </c>
      <c r="E47" s="3529"/>
      <c r="F47" s="3529"/>
      <c r="G47" s="3529"/>
      <c r="H47" s="3529"/>
      <c r="I47" s="3530" t="str">
        <f>S46&amp;".1"</f>
        <v>....1</v>
      </c>
      <c r="J47" s="1224"/>
      <c r="K47" s="1224"/>
      <c r="L47" s="1225" t="s">
        <v>665</v>
      </c>
      <c r="P47" s="3532">
        <v>1</v>
      </c>
      <c r="Q47" s="1086"/>
      <c r="R47" s="265"/>
      <c r="S47" s="1090" t="str">
        <f>$I47</f>
        <v>....1</v>
      </c>
      <c r="T47" s="197" t="s">
        <v>666</v>
      </c>
      <c r="U47" s="211"/>
      <c r="V47" s="3516"/>
      <c r="W47" s="3517"/>
      <c r="X47" s="3517"/>
      <c r="Y47" s="3517"/>
      <c r="Z47" s="3517"/>
      <c r="AA47" s="3517"/>
      <c r="AB47" s="3517"/>
      <c r="AC47" s="3518"/>
      <c r="AD47" s="3516"/>
      <c r="AE47" s="3517"/>
      <c r="AF47" s="3517"/>
      <c r="AG47" s="3517"/>
      <c r="AH47" s="3517"/>
      <c r="AI47" s="3517"/>
      <c r="AJ47" s="3517"/>
      <c r="AK47" s="3517"/>
      <c r="AL47" s="3518"/>
      <c r="AM47" s="1124" t="s">
        <v>667</v>
      </c>
      <c r="AO47" s="398"/>
      <c r="AP47" s="398" t="str">
        <f t="shared" si="1"/>
        <v>Схема подключения теплопотребляющей установки к коллектору источника тепловой энергии</v>
      </c>
      <c r="AQ47" s="398"/>
      <c r="AR47" s="398"/>
    </row>
    <row r="48" spans="1:44" ht="23.25" customHeight="1">
      <c r="A48" s="1224" t="s">
        <v>418</v>
      </c>
      <c r="B48" s="1224" t="s">
        <v>419</v>
      </c>
      <c r="C48" s="1224" t="s">
        <v>420</v>
      </c>
      <c r="D48" s="1224" t="s">
        <v>421</v>
      </c>
      <c r="E48" s="3529"/>
      <c r="F48" s="3529"/>
      <c r="G48" s="3529"/>
      <c r="H48" s="3529"/>
      <c r="I48" s="3531"/>
      <c r="J48" s="3530" t="str">
        <f>I47&amp;".1"</f>
        <v>....1.1</v>
      </c>
      <c r="K48" s="1224"/>
      <c r="L48" s="1225" t="s">
        <v>668</v>
      </c>
      <c r="P48" s="3532"/>
      <c r="Q48" s="3532">
        <v>1</v>
      </c>
      <c r="R48" s="266"/>
      <c r="S48" s="1090" t="str">
        <f>$J48</f>
        <v>....1.1</v>
      </c>
      <c r="T48" s="198" t="s">
        <v>669</v>
      </c>
      <c r="U48" s="211"/>
      <c r="V48" s="3516"/>
      <c r="W48" s="3517"/>
      <c r="X48" s="3517"/>
      <c r="Y48" s="3517"/>
      <c r="Z48" s="3517"/>
      <c r="AA48" s="3517"/>
      <c r="AB48" s="3517"/>
      <c r="AC48" s="3518"/>
      <c r="AD48" s="3516"/>
      <c r="AE48" s="3517"/>
      <c r="AF48" s="3517"/>
      <c r="AG48" s="3517"/>
      <c r="AH48" s="3517"/>
      <c r="AI48" s="3517"/>
      <c r="AJ48" s="3517"/>
      <c r="AK48" s="3517"/>
      <c r="AL48" s="3518"/>
      <c r="AM48" s="1124" t="s">
        <v>670</v>
      </c>
      <c r="AO48" s="398"/>
      <c r="AP48" s="398" t="str">
        <f t="shared" si="1"/>
        <v>Группа потребителей</v>
      </c>
      <c r="AQ48" s="398"/>
      <c r="AR48" s="398"/>
    </row>
    <row r="49" spans="1:44" ht="23.25" customHeight="1">
      <c r="A49" s="1224" t="s">
        <v>418</v>
      </c>
      <c r="B49" s="1224" t="s">
        <v>419</v>
      </c>
      <c r="C49" s="1224" t="s">
        <v>420</v>
      </c>
      <c r="D49" s="1224" t="s">
        <v>421</v>
      </c>
      <c r="E49" s="3529"/>
      <c r="F49" s="3529"/>
      <c r="G49" s="3529"/>
      <c r="H49" s="3529"/>
      <c r="I49" s="3531"/>
      <c r="J49" s="3531"/>
      <c r="K49" s="3530" t="str">
        <f>J48&amp;".1"</f>
        <v>....1.1.1</v>
      </c>
      <c r="L49" s="1225" t="s">
        <v>671</v>
      </c>
      <c r="P49" s="3532"/>
      <c r="Q49" s="3532"/>
      <c r="R49" s="266">
        <v>1</v>
      </c>
      <c r="S49" s="1090" t="str">
        <f>$K49</f>
        <v>....1.1.1</v>
      </c>
      <c r="T49" s="1209"/>
      <c r="U49" s="211"/>
      <c r="V49" s="639"/>
      <c r="W49" s="236"/>
      <c r="X49" s="639"/>
      <c r="Y49" s="1123"/>
      <c r="Z49" s="3533"/>
      <c r="AA49" s="3412" t="s">
        <v>64</v>
      </c>
      <c r="AB49" s="3533"/>
      <c r="AC49" s="3412" t="s">
        <v>64</v>
      </c>
      <c r="AD49" s="639"/>
      <c r="AE49" s="236"/>
      <c r="AF49" s="639"/>
      <c r="AG49" s="1123"/>
      <c r="AH49" s="3533"/>
      <c r="AI49" s="3412" t="s">
        <v>64</v>
      </c>
      <c r="AJ49" s="3535"/>
      <c r="AK49" s="3412" t="s">
        <v>64</v>
      </c>
      <c r="AL49" s="1210"/>
      <c r="AM49" s="3551" t="s">
        <v>672</v>
      </c>
      <c r="AN49" s="409" t="e">
        <f ca="1">STRCHECKDATE(V50:AL50)</f>
        <v>#NAME?</v>
      </c>
      <c r="AO49" s="398"/>
      <c r="AP49" s="398" t="str">
        <f t="shared" si="1"/>
        <v/>
      </c>
      <c r="AQ49" s="398"/>
      <c r="AR49" s="398"/>
    </row>
    <row r="50" spans="1:44" ht="0.75" customHeight="1">
      <c r="A50" s="1224" t="s">
        <v>418</v>
      </c>
      <c r="B50" s="1224" t="s">
        <v>419</v>
      </c>
      <c r="C50" s="1224" t="s">
        <v>420</v>
      </c>
      <c r="D50" s="1224" t="s">
        <v>421</v>
      </c>
      <c r="E50" s="3529"/>
      <c r="F50" s="3529"/>
      <c r="G50" s="3529"/>
      <c r="H50" s="3529"/>
      <c r="I50" s="3531"/>
      <c r="J50" s="3531"/>
      <c r="K50" s="3530"/>
      <c r="L50" s="1225"/>
      <c r="P50" s="3532"/>
      <c r="Q50" s="3532"/>
      <c r="R50" s="266"/>
      <c r="S50" s="1089"/>
      <c r="T50" s="211"/>
      <c r="U50" s="211"/>
      <c r="V50" s="236"/>
      <c r="W50" s="236"/>
      <c r="X50" s="236"/>
      <c r="Y50" s="239" t="str">
        <f>Z49&amp;"-"&amp;AB49</f>
        <v>-</v>
      </c>
      <c r="Z50" s="3534"/>
      <c r="AA50" s="3412"/>
      <c r="AB50" s="3534"/>
      <c r="AC50" s="3412"/>
      <c r="AD50" s="236"/>
      <c r="AE50" s="236"/>
      <c r="AF50" s="236"/>
      <c r="AG50" s="239" t="str">
        <f>AH49&amp;"-"&amp;AJ49</f>
        <v>-</v>
      </c>
      <c r="AH50" s="3534"/>
      <c r="AI50" s="3412"/>
      <c r="AJ50" s="3536"/>
      <c r="AK50" s="3412"/>
      <c r="AL50" s="1211"/>
      <c r="AM50" s="3552"/>
      <c r="AO50" s="398"/>
      <c r="AP50" s="398" t="str">
        <f t="shared" si="1"/>
        <v/>
      </c>
      <c r="AQ50" s="398"/>
      <c r="AR50" s="398"/>
    </row>
    <row r="51" spans="1:44" ht="11.25" customHeight="1">
      <c r="A51" s="1224" t="s">
        <v>418</v>
      </c>
      <c r="B51" s="1224" t="s">
        <v>419</v>
      </c>
      <c r="C51" s="1224" t="s">
        <v>420</v>
      </c>
      <c r="D51" s="1224" t="s">
        <v>421</v>
      </c>
      <c r="E51" s="3529"/>
      <c r="F51" s="3529"/>
      <c r="G51" s="3529"/>
      <c r="H51" s="3529"/>
      <c r="I51" s="3531"/>
      <c r="J51" s="3530"/>
      <c r="K51" s="1224"/>
      <c r="L51" s="1225"/>
      <c r="P51" s="3532"/>
      <c r="Q51" s="3532"/>
      <c r="R51" s="265"/>
      <c r="S51" s="1144"/>
      <c r="T51" s="200" t="s">
        <v>673</v>
      </c>
      <c r="U51" s="275"/>
      <c r="V51" s="275"/>
      <c r="W51" s="275"/>
      <c r="X51" s="275"/>
      <c r="Y51" s="275"/>
      <c r="Z51" s="275"/>
      <c r="AA51" s="275"/>
      <c r="AB51" s="275"/>
      <c r="AC51" s="275"/>
      <c r="AD51" s="275"/>
      <c r="AE51" s="275"/>
      <c r="AF51" s="275"/>
      <c r="AG51" s="275"/>
      <c r="AH51" s="275"/>
      <c r="AI51" s="275"/>
      <c r="AJ51" s="275"/>
      <c r="AK51" s="275"/>
      <c r="AL51" s="235"/>
      <c r="AM51" s="3553"/>
      <c r="AO51" s="398"/>
      <c r="AP51" s="398" t="str">
        <f t="shared" si="1"/>
        <v>Добавить вид теплоносителя (параметры теплоносителя)</v>
      </c>
      <c r="AQ51" s="398"/>
      <c r="AR51" s="398"/>
    </row>
    <row r="52" spans="1:44" ht="11.25" customHeight="1">
      <c r="A52" s="1224" t="s">
        <v>418</v>
      </c>
      <c r="B52" s="1224" t="s">
        <v>419</v>
      </c>
      <c r="C52" s="1224" t="s">
        <v>420</v>
      </c>
      <c r="D52" s="1224" t="s">
        <v>421</v>
      </c>
      <c r="E52" s="3529"/>
      <c r="F52" s="3529"/>
      <c r="G52" s="3529"/>
      <c r="H52" s="3529"/>
      <c r="I52" s="3530"/>
      <c r="J52" s="1224"/>
      <c r="K52" s="1224"/>
      <c r="L52" s="1225"/>
      <c r="P52" s="3532"/>
      <c r="Q52" s="1086"/>
      <c r="R52" s="265"/>
      <c r="S52" s="1144"/>
      <c r="T52" s="199" t="s">
        <v>674</v>
      </c>
      <c r="U52" s="275"/>
      <c r="V52" s="275"/>
      <c r="W52" s="275"/>
      <c r="X52" s="275"/>
      <c r="Y52" s="275"/>
      <c r="Z52" s="275"/>
      <c r="AA52" s="275"/>
      <c r="AB52" s="275"/>
      <c r="AC52" s="274"/>
      <c r="AD52" s="275"/>
      <c r="AE52" s="275"/>
      <c r="AF52" s="275"/>
      <c r="AG52" s="275"/>
      <c r="AH52" s="275"/>
      <c r="AI52" s="275"/>
      <c r="AJ52" s="275"/>
      <c r="AK52" s="274"/>
      <c r="AL52" s="275"/>
      <c r="AM52" s="214"/>
      <c r="AO52" s="398"/>
      <c r="AP52" s="398" t="str">
        <f t="shared" si="1"/>
        <v>Добавить группу потребителей</v>
      </c>
      <c r="AQ52" s="398"/>
      <c r="AR52" s="398"/>
    </row>
    <row r="53" spans="1:44" ht="14.25" customHeight="1">
      <c r="A53" s="1224" t="s">
        <v>418</v>
      </c>
      <c r="B53" s="1224" t="s">
        <v>419</v>
      </c>
      <c r="C53" s="1224" t="s">
        <v>420</v>
      </c>
      <c r="D53" s="1224" t="s">
        <v>421</v>
      </c>
      <c r="E53" s="3529"/>
      <c r="F53" s="3529"/>
      <c r="G53" s="3529"/>
      <c r="H53" s="3528"/>
      <c r="I53" s="1224"/>
      <c r="J53" s="1224"/>
      <c r="K53" s="1224"/>
      <c r="L53" s="1225"/>
      <c r="M53" s="1226"/>
      <c r="N53" s="1226"/>
      <c r="O53" s="434"/>
      <c r="P53" s="269"/>
      <c r="Q53" s="282"/>
      <c r="R53" s="264"/>
      <c r="S53" s="1144"/>
      <c r="T53" s="273" t="s">
        <v>675</v>
      </c>
      <c r="U53" s="275"/>
      <c r="V53" s="275"/>
      <c r="W53" s="275"/>
      <c r="X53" s="275"/>
      <c r="Y53" s="275"/>
      <c r="Z53" s="275"/>
      <c r="AA53" s="275"/>
      <c r="AB53" s="275"/>
      <c r="AC53" s="274"/>
      <c r="AD53" s="275"/>
      <c r="AE53" s="275"/>
      <c r="AF53" s="275"/>
      <c r="AG53" s="275"/>
      <c r="AH53" s="275"/>
      <c r="AI53" s="275"/>
      <c r="AJ53" s="275"/>
      <c r="AK53" s="274"/>
      <c r="AL53" s="275"/>
      <c r="AM53" s="214"/>
      <c r="AO53" s="398"/>
      <c r="AP53" s="398" t="str">
        <f t="shared" si="1"/>
        <v>Добавить схему подключения</v>
      </c>
      <c r="AQ53" s="398"/>
      <c r="AR53" s="398"/>
    </row>
    <row r="54" spans="1:44" s="1866" customFormat="1" ht="0.75" customHeight="1">
      <c r="A54" s="1205" t="s">
        <v>418</v>
      </c>
      <c r="B54" s="1205" t="s">
        <v>419</v>
      </c>
      <c r="C54" s="1205" t="s">
        <v>420</v>
      </c>
      <c r="D54" s="1177"/>
      <c r="E54" s="3529"/>
      <c r="F54" s="3529"/>
      <c r="G54" s="3528"/>
      <c r="H54" s="1177"/>
      <c r="I54" s="1177"/>
      <c r="J54" s="1177"/>
      <c r="K54" s="1177"/>
      <c r="L54" s="1201"/>
      <c r="M54" s="1178"/>
      <c r="N54" s="1178"/>
      <c r="P54" s="1179"/>
      <c r="Q54" s="1180"/>
      <c r="R54" s="1179"/>
      <c r="S54" s="1185"/>
      <c r="T54" s="1188" t="s">
        <v>676</v>
      </c>
      <c r="U54" s="1187"/>
      <c r="V54" s="1187"/>
      <c r="W54" s="1187"/>
      <c r="X54" s="1187"/>
      <c r="Y54" s="1187"/>
      <c r="Z54" s="1187"/>
      <c r="AA54" s="1187"/>
      <c r="AB54" s="1187"/>
      <c r="AC54" s="1187"/>
      <c r="AD54" s="1187"/>
      <c r="AE54" s="1187"/>
      <c r="AF54" s="1187"/>
      <c r="AG54" s="1187"/>
      <c r="AH54" s="1187"/>
      <c r="AI54" s="1187"/>
      <c r="AJ54" s="1187"/>
      <c r="AK54" s="1187"/>
      <c r="AL54" s="1187"/>
      <c r="AM54" s="1187"/>
      <c r="AO54" s="670"/>
      <c r="AP54" s="670" t="str">
        <f t="shared" si="1"/>
        <v>Добавить источник для дифференциации</v>
      </c>
      <c r="AQ54" s="670"/>
      <c r="AR54" s="670"/>
    </row>
    <row r="55" spans="1:44" s="1866" customFormat="1" ht="0.75" customHeight="1">
      <c r="A55" s="1205" t="s">
        <v>418</v>
      </c>
      <c r="B55" s="1205" t="s">
        <v>419</v>
      </c>
      <c r="C55" s="1177"/>
      <c r="D55" s="1177"/>
      <c r="E55" s="3529"/>
      <c r="F55" s="3528"/>
      <c r="G55" s="1177"/>
      <c r="H55" s="1177"/>
      <c r="I55" s="1177"/>
      <c r="J55" s="1177"/>
      <c r="K55" s="1177"/>
      <c r="L55" s="1201"/>
      <c r="M55" s="1184"/>
      <c r="N55" s="1184"/>
      <c r="P55" s="1179"/>
      <c r="Q55" s="1180"/>
      <c r="R55" s="1179"/>
      <c r="S55" s="1185"/>
      <c r="T55" s="1188" t="s">
        <v>677</v>
      </c>
      <c r="U55" s="1187"/>
      <c r="V55" s="1187"/>
      <c r="W55" s="1187"/>
      <c r="X55" s="1187"/>
      <c r="Y55" s="1187"/>
      <c r="Z55" s="1187"/>
      <c r="AA55" s="1187"/>
      <c r="AB55" s="1187"/>
      <c r="AC55" s="1187"/>
      <c r="AD55" s="1187"/>
      <c r="AE55" s="1187"/>
      <c r="AF55" s="1187"/>
      <c r="AG55" s="1187"/>
      <c r="AH55" s="1187"/>
      <c r="AI55" s="1187"/>
      <c r="AJ55" s="1187"/>
      <c r="AK55" s="1187"/>
      <c r="AL55" s="1187"/>
      <c r="AM55" s="1187"/>
      <c r="AO55" s="670"/>
      <c r="AP55" s="670" t="str">
        <f t="shared" si="1"/>
        <v>Добавить централизованную систему для дифференциации</v>
      </c>
      <c r="AQ55" s="670"/>
      <c r="AR55" s="670"/>
    </row>
    <row r="56" spans="1:44" s="1866" customFormat="1" ht="0.75" customHeight="1">
      <c r="A56" s="1205" t="s">
        <v>418</v>
      </c>
      <c r="B56" s="1205"/>
      <c r="C56" s="1205"/>
      <c r="D56" s="1205"/>
      <c r="E56" s="3528"/>
      <c r="F56" s="1205"/>
      <c r="G56" s="1205"/>
      <c r="H56" s="1205"/>
      <c r="I56" s="1205"/>
      <c r="J56" s="1205"/>
      <c r="K56" s="1205"/>
      <c r="L56" s="1208"/>
      <c r="M56" s="1184"/>
      <c r="N56" s="1184"/>
      <c r="O56" s="416"/>
      <c r="P56" s="287"/>
      <c r="Q56" s="1206"/>
      <c r="R56" s="287"/>
      <c r="S56" s="1185"/>
      <c r="T56" s="1188" t="s">
        <v>678</v>
      </c>
      <c r="U56" s="1187"/>
      <c r="V56" s="1187"/>
      <c r="W56" s="1187"/>
      <c r="X56" s="1187"/>
      <c r="Y56" s="1187"/>
      <c r="Z56" s="1187"/>
      <c r="AA56" s="1187"/>
      <c r="AB56" s="1187"/>
      <c r="AC56" s="1187"/>
      <c r="AD56" s="1187"/>
      <c r="AE56" s="1187"/>
      <c r="AF56" s="1187"/>
      <c r="AG56" s="1187"/>
      <c r="AH56" s="1187"/>
      <c r="AI56" s="1187"/>
      <c r="AJ56" s="1187"/>
      <c r="AK56" s="1187"/>
      <c r="AL56" s="1187"/>
      <c r="AM56" s="1187"/>
      <c r="AO56" s="398"/>
      <c r="AP56" s="398" t="str">
        <f t="shared" si="1"/>
        <v>Добавить территорию для дифференциации</v>
      </c>
      <c r="AQ56" s="398"/>
      <c r="AR56" s="398"/>
    </row>
    <row r="57" spans="1:44" s="1866" customFormat="1" ht="0.75" customHeight="1">
      <c r="A57" s="1177"/>
      <c r="B57" s="1177"/>
      <c r="C57" s="1177"/>
      <c r="D57" s="1177"/>
      <c r="E57" s="1205"/>
      <c r="F57" s="1177"/>
      <c r="G57" s="1177"/>
      <c r="H57" s="1177"/>
      <c r="I57" s="1177"/>
      <c r="J57" s="1177"/>
      <c r="K57" s="1177"/>
      <c r="L57" s="1201"/>
      <c r="M57" s="1184"/>
      <c r="N57" s="1184"/>
      <c r="P57" s="1179"/>
      <c r="Q57" s="1180"/>
      <c r="R57" s="1179"/>
      <c r="S57" s="1185"/>
      <c r="T57" s="1188" t="s">
        <v>710</v>
      </c>
      <c r="U57" s="1187"/>
      <c r="V57" s="1187"/>
      <c r="W57" s="1187"/>
      <c r="X57" s="1187"/>
      <c r="Y57" s="1187"/>
      <c r="Z57" s="1187"/>
      <c r="AA57" s="1187"/>
      <c r="AB57" s="1187"/>
      <c r="AC57" s="1187"/>
      <c r="AD57" s="1187"/>
      <c r="AE57" s="1187"/>
      <c r="AF57" s="1187"/>
      <c r="AG57" s="1187"/>
      <c r="AH57" s="1187"/>
      <c r="AI57" s="1187"/>
      <c r="AJ57" s="1187"/>
      <c r="AK57" s="1187"/>
      <c r="AL57" s="1187"/>
      <c r="AM57" s="1187"/>
      <c r="AO57" s="670"/>
      <c r="AP57" s="670" t="str">
        <f t="shared" si="1"/>
        <v>Добавить наименование тарифа</v>
      </c>
      <c r="AQ57" s="670"/>
      <c r="AR57" s="670"/>
    </row>
    <row r="58" spans="1:44" ht="11.25" customHeight="1">
      <c r="M58" s="1023"/>
      <c r="N58" s="1023"/>
      <c r="O58" s="434"/>
      <c r="P58" s="1018"/>
      <c r="Q58" s="1018"/>
      <c r="R58" s="1018"/>
      <c r="S58" s="1018"/>
      <c r="AN58" s="1018"/>
      <c r="AO58" s="1018"/>
      <c r="AP58" s="1018"/>
      <c r="AQ58" s="1018"/>
      <c r="AR58" s="1018"/>
    </row>
    <row r="59" spans="1:44" ht="27" customHeight="1">
      <c r="O59" s="434"/>
      <c r="S59" s="1119"/>
      <c r="T59" s="3527"/>
      <c r="U59" s="3527"/>
      <c r="V59" s="3527"/>
      <c r="W59" s="3527"/>
      <c r="X59" s="3527"/>
      <c r="Y59" s="3527"/>
      <c r="Z59" s="3527"/>
      <c r="AA59" s="3527"/>
      <c r="AB59" s="3527"/>
      <c r="AC59" s="3527"/>
      <c r="AD59" s="3527"/>
      <c r="AE59" s="3527"/>
      <c r="AF59" s="3527"/>
      <c r="AG59" s="3527"/>
      <c r="AH59" s="3527"/>
      <c r="AI59" s="3527"/>
      <c r="AJ59" s="3527"/>
      <c r="AK59" s="3527"/>
      <c r="AL59" s="3527"/>
      <c r="AM59" s="3527"/>
    </row>
    <row r="60" spans="1:44" ht="64.5" customHeight="1">
      <c r="O60" s="434"/>
      <c r="P60" s="1167"/>
      <c r="T60" s="3527"/>
      <c r="U60" s="3527"/>
      <c r="V60" s="3527"/>
      <c r="W60" s="3527"/>
      <c r="X60" s="3527"/>
      <c r="Y60" s="3527"/>
      <c r="Z60" s="3527"/>
      <c r="AA60" s="3527"/>
      <c r="AB60" s="3527"/>
      <c r="AC60" s="3527"/>
      <c r="AD60" s="3527"/>
      <c r="AE60" s="3527"/>
      <c r="AF60" s="3527"/>
      <c r="AG60" s="3527"/>
      <c r="AH60" s="3527"/>
      <c r="AI60" s="3527"/>
      <c r="AJ60" s="3527"/>
      <c r="AK60" s="3527"/>
      <c r="AL60" s="3527"/>
      <c r="AM60" s="3527"/>
    </row>
    <row r="61" spans="1:44" ht="14.25" customHeight="1">
      <c r="O61" s="434"/>
    </row>
    <row r="62" spans="1:44" ht="18" customHeight="1">
      <c r="O62" s="434"/>
      <c r="P62" s="1190"/>
      <c r="S62" s="1119"/>
      <c r="T62" s="3527"/>
      <c r="U62" s="3527"/>
      <c r="V62" s="3527"/>
      <c r="W62" s="3527"/>
      <c r="X62" s="3527"/>
      <c r="Y62" s="3527"/>
      <c r="Z62" s="3527"/>
      <c r="AA62" s="3527"/>
      <c r="AB62" s="3527"/>
      <c r="AC62" s="3527"/>
      <c r="AD62" s="3527"/>
      <c r="AE62" s="3527"/>
      <c r="AF62" s="3527"/>
      <c r="AG62" s="3527"/>
      <c r="AH62" s="3527"/>
      <c r="AI62" s="3527"/>
      <c r="AJ62" s="3527"/>
      <c r="AK62" s="3527"/>
      <c r="AL62" s="3527"/>
      <c r="AM62" s="3527"/>
    </row>
    <row r="63" spans="1:44" ht="18" customHeight="1">
      <c r="O63" s="434"/>
      <c r="P63" s="1190"/>
      <c r="T63" s="3527"/>
      <c r="U63" s="3527"/>
      <c r="V63" s="3527"/>
      <c r="W63" s="3527"/>
      <c r="X63" s="3527"/>
      <c r="Y63" s="3527"/>
      <c r="Z63" s="3527"/>
      <c r="AA63" s="3527"/>
      <c r="AB63" s="3527"/>
      <c r="AC63" s="3527"/>
      <c r="AD63" s="3527"/>
      <c r="AE63" s="3527"/>
      <c r="AF63" s="3527"/>
      <c r="AG63" s="3527"/>
      <c r="AH63" s="3527"/>
      <c r="AI63" s="3527"/>
      <c r="AJ63" s="3527"/>
      <c r="AK63" s="3527"/>
      <c r="AL63" s="3527"/>
      <c r="AM63" s="3527"/>
    </row>
    <row r="64" spans="1:44" ht="27.75" customHeight="1">
      <c r="O64" s="434"/>
      <c r="P64" s="1190"/>
      <c r="S64" s="1119"/>
      <c r="T64" s="3527"/>
      <c r="U64" s="3527"/>
      <c r="V64" s="3527"/>
      <c r="W64" s="3527"/>
      <c r="X64" s="3527"/>
      <c r="Y64" s="3527"/>
      <c r="Z64" s="3527"/>
      <c r="AA64" s="3527"/>
      <c r="AB64" s="3527"/>
      <c r="AC64" s="3527"/>
      <c r="AD64" s="3527"/>
      <c r="AE64" s="3527"/>
      <c r="AF64" s="3527"/>
      <c r="AG64" s="3527"/>
      <c r="AH64" s="3527"/>
      <c r="AI64" s="3527"/>
      <c r="AJ64" s="3527"/>
      <c r="AK64" s="3527"/>
      <c r="AL64" s="3527"/>
      <c r="AM64" s="3527"/>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456F7-58FC-D4C5-18E8-E7BBA0D6E12D}">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03" hidden="1"/>
    <col min="2" max="2" width="11" style="1903" hidden="1" customWidth="1"/>
    <col min="3" max="3" width="10.5703125" style="1903" hidden="1"/>
    <col min="4" max="4" width="11.85546875" style="1903" hidden="1" customWidth="1"/>
    <col min="5" max="5" width="10" style="1903" hidden="1" customWidth="1"/>
    <col min="6" max="6" width="8.7109375" style="1903" hidden="1" customWidth="1"/>
    <col min="7" max="7" width="7.5703125" style="1903" hidden="1" customWidth="1"/>
    <col min="8" max="8" width="11.42578125" style="1903" hidden="1" customWidth="1"/>
    <col min="9" max="9" width="12" style="1903" hidden="1" customWidth="1"/>
    <col min="10" max="10" width="9.85546875" style="1903" hidden="1" customWidth="1"/>
    <col min="11" max="11" width="11.42578125" style="1903" hidden="1" customWidth="1"/>
    <col min="12" max="12" width="19.140625" style="1953" hidden="1" customWidth="1"/>
    <col min="13" max="14" width="12.28515625" style="1839" hidden="1" customWidth="1"/>
    <col min="15" max="15" width="23.42578125" style="1839" hidden="1" customWidth="1"/>
    <col min="16" max="16" width="3.7109375" style="1957" customWidth="1"/>
    <col min="17" max="18" width="3.7109375" style="1906" customWidth="1"/>
    <col min="19" max="19" width="12.7109375" style="1951" customWidth="1"/>
    <col min="20" max="20" width="32" style="1910" customWidth="1"/>
    <col min="21" max="21" width="0.140625" style="1910" customWidth="1"/>
    <col min="22" max="22" width="24.7109375" style="1910" hidden="1" customWidth="1"/>
    <col min="23" max="23" width="0.140625" style="1910" hidden="1" customWidth="1"/>
    <col min="24" max="25" width="24.7109375" style="1910" hidden="1" customWidth="1"/>
    <col min="26" max="26" width="11.7109375" style="1910" hidden="1" customWidth="1"/>
    <col min="27" max="27" width="3.7109375" style="1910" hidden="1" customWidth="1"/>
    <col min="28" max="28" width="11.7109375" style="1910" hidden="1" customWidth="1"/>
    <col min="29" max="29" width="8.5703125" style="1910" hidden="1" customWidth="1"/>
    <col min="30" max="30" width="24.7109375" style="1910" customWidth="1"/>
    <col min="31" max="31" width="0.140625" style="1910" customWidth="1"/>
    <col min="32" max="33" width="24.7109375" style="1910" customWidth="1"/>
    <col min="34" max="34" width="11.7109375" style="1910" customWidth="1"/>
    <col min="35" max="35" width="3.7109375" style="1910" customWidth="1"/>
    <col min="36" max="36" width="11.7109375" style="1910" customWidth="1"/>
    <col min="37" max="37" width="8.5703125" style="1910" hidden="1" customWidth="1"/>
    <col min="38" max="38" width="4.7109375" style="1910" customWidth="1"/>
    <col min="39" max="39" width="115.7109375" style="1910" customWidth="1"/>
    <col min="40" max="41" width="10.5703125" style="1866"/>
    <col min="42" max="42" width="11.140625" style="1866" customWidth="1"/>
    <col min="43" max="44" width="10.5703125" style="1866"/>
  </cols>
  <sheetData>
    <row r="1" spans="1:44" ht="14.25" hidden="1" customHeight="1">
      <c r="Y1" s="238"/>
      <c r="Z1" s="238"/>
      <c r="AG1" s="238"/>
      <c r="AH1" s="238"/>
    </row>
    <row r="2" spans="1:44" ht="21" hidden="1" customHeight="1">
      <c r="A2" s="1224"/>
      <c r="B2" s="1224"/>
      <c r="C2" s="1224"/>
      <c r="D2" s="1224"/>
      <c r="E2" s="3528">
        <v>1</v>
      </c>
      <c r="F2" s="1224"/>
      <c r="G2" s="1224"/>
      <c r="H2" s="1224"/>
      <c r="I2" s="1224"/>
      <c r="J2" s="1224"/>
      <c r="K2" s="1224"/>
      <c r="L2" s="1225"/>
      <c r="M2" s="1226"/>
      <c r="N2" s="1226"/>
      <c r="O2" s="1226"/>
      <c r="P2" s="270"/>
      <c r="Q2" s="269"/>
      <c r="R2" s="264"/>
      <c r="S2" s="1198" t="e">
        <f>INDEX(PT_DIFFERENTIATION_NUM_NTAR,MATCH(A2,PT_DIFFERENTIATION_NTAR_ID,0))</f>
        <v>#N/A</v>
      </c>
      <c r="T2" s="209" t="s">
        <v>391</v>
      </c>
      <c r="U2" s="211"/>
      <c r="V2" s="3522"/>
      <c r="W2" s="3523"/>
      <c r="X2" s="3523"/>
      <c r="Y2" s="3523"/>
      <c r="Z2" s="3523"/>
      <c r="AA2" s="3523"/>
      <c r="AB2" s="3523"/>
      <c r="AC2" s="3524"/>
      <c r="AD2" s="3522" t="e">
        <f>INDEX(PT_DIFFERENTIATION_NTAR,MATCH(A2,PT_DIFFERENTIATION_NTAR_ID,0))</f>
        <v>#N/A</v>
      </c>
      <c r="AE2" s="3523"/>
      <c r="AF2" s="3523"/>
      <c r="AG2" s="3523"/>
      <c r="AH2" s="3523"/>
      <c r="AI2" s="3523"/>
      <c r="AJ2" s="3523"/>
      <c r="AK2" s="3523"/>
      <c r="AL2" s="3524"/>
      <c r="AM2" s="1124" t="s">
        <v>658</v>
      </c>
      <c r="AO2" s="398"/>
      <c r="AP2" s="398" t="str">
        <f t="shared" ref="AP2:AP15" si="0">IF(T2="","",T2)</f>
        <v>Наименование тарифа</v>
      </c>
      <c r="AQ2" s="398"/>
      <c r="AR2" s="398"/>
    </row>
    <row r="3" spans="1:44" ht="21" hidden="1" customHeight="1">
      <c r="A3" s="1224"/>
      <c r="B3" s="1224"/>
      <c r="C3" s="1224"/>
      <c r="D3" s="1224"/>
      <c r="E3" s="3529"/>
      <c r="F3" s="3528">
        <v>1</v>
      </c>
      <c r="G3" s="1224"/>
      <c r="H3" s="1224"/>
      <c r="I3" s="1224"/>
      <c r="J3" s="1224"/>
      <c r="K3" s="1224"/>
      <c r="L3" s="1225"/>
      <c r="M3" s="1226"/>
      <c r="N3" s="1226"/>
      <c r="O3" s="1226"/>
      <c r="P3" s="1194"/>
      <c r="Q3" s="261"/>
      <c r="R3" s="262"/>
      <c r="S3" s="1198" t="e">
        <f>INDEX(PT_DIFFERENTIATION_NUM_TER,MATCH(B3,PT_DIFFERENTIATION_TER_ID,0))</f>
        <v>#N/A</v>
      </c>
      <c r="T3" s="219" t="s">
        <v>659</v>
      </c>
      <c r="U3" s="211"/>
      <c r="V3" s="3522"/>
      <c r="W3" s="3523"/>
      <c r="X3" s="3523"/>
      <c r="Y3" s="3523"/>
      <c r="Z3" s="3523"/>
      <c r="AA3" s="3523"/>
      <c r="AB3" s="3523"/>
      <c r="AC3" s="3524"/>
      <c r="AD3" s="3522" t="e">
        <f>INDEX(PT_DIFFERENTIATION_TER,MATCH(B3,PT_DIFFERENTIATION_TER_ID,0))</f>
        <v>#N/A</v>
      </c>
      <c r="AE3" s="3523"/>
      <c r="AF3" s="3523"/>
      <c r="AG3" s="3523"/>
      <c r="AH3" s="3523"/>
      <c r="AI3" s="3523"/>
      <c r="AJ3" s="3523"/>
      <c r="AK3" s="3523"/>
      <c r="AL3" s="3524"/>
      <c r="AM3" s="1124" t="s">
        <v>660</v>
      </c>
      <c r="AO3" s="398"/>
      <c r="AP3" s="398" t="str">
        <f t="shared" si="0"/>
        <v>Территория действия тарифа</v>
      </c>
      <c r="AQ3" s="398"/>
      <c r="AR3" s="398"/>
    </row>
    <row r="4" spans="1:44" ht="23.25" hidden="1" customHeight="1">
      <c r="A4" s="1224"/>
      <c r="B4" s="1224"/>
      <c r="C4" s="1224"/>
      <c r="D4" s="1224"/>
      <c r="E4" s="3529"/>
      <c r="F4" s="3529"/>
      <c r="G4" s="3528">
        <v>1</v>
      </c>
      <c r="H4" s="1224"/>
      <c r="I4" s="1224"/>
      <c r="J4" s="1224"/>
      <c r="K4" s="1224"/>
      <c r="L4" s="1225"/>
      <c r="M4" s="1226"/>
      <c r="N4" s="1226"/>
      <c r="O4" s="1226"/>
      <c r="P4" s="263"/>
      <c r="Q4" s="261"/>
      <c r="R4" s="262"/>
      <c r="S4" s="1198" t="e">
        <f>INDEX(PT_DIFFERENTIATION_NUM_CS,MATCH(C4,PT_DIFFERENTIATION_CS_ID,0))</f>
        <v>#N/A</v>
      </c>
      <c r="T4" s="220" t="s">
        <v>661</v>
      </c>
      <c r="U4" s="211"/>
      <c r="V4" s="3522"/>
      <c r="W4" s="3523"/>
      <c r="X4" s="3523"/>
      <c r="Y4" s="3523"/>
      <c r="Z4" s="3523"/>
      <c r="AA4" s="3523"/>
      <c r="AB4" s="3523"/>
      <c r="AC4" s="3524"/>
      <c r="AD4" s="3522" t="e">
        <f>INDEX(PT_DIFFERENTIATION_CS,MATCH(C4,PT_DIFFERENTIATION_CS_ID,0))</f>
        <v>#N/A</v>
      </c>
      <c r="AE4" s="3523"/>
      <c r="AF4" s="3523"/>
      <c r="AG4" s="3523"/>
      <c r="AH4" s="3523"/>
      <c r="AI4" s="3523"/>
      <c r="AJ4" s="3523"/>
      <c r="AK4" s="3523"/>
      <c r="AL4" s="3524"/>
      <c r="AM4" s="1124" t="s">
        <v>662</v>
      </c>
      <c r="AO4" s="398"/>
      <c r="AP4" s="398" t="str">
        <f t="shared" si="0"/>
        <v xml:space="preserve">Наименование системы теплоснабжения </v>
      </c>
      <c r="AQ4" s="398"/>
      <c r="AR4" s="398"/>
    </row>
    <row r="5" spans="1:44" ht="21" hidden="1" customHeight="1">
      <c r="A5" s="1224"/>
      <c r="B5" s="1224"/>
      <c r="C5" s="1224"/>
      <c r="D5" s="1224"/>
      <c r="E5" s="3529"/>
      <c r="F5" s="3529"/>
      <c r="G5" s="3529"/>
      <c r="H5" s="3528">
        <v>1</v>
      </c>
      <c r="I5" s="1224"/>
      <c r="J5" s="1224"/>
      <c r="K5" s="1224"/>
      <c r="L5" s="1225"/>
      <c r="M5" s="1226"/>
      <c r="N5" s="1226"/>
      <c r="O5" s="1226"/>
      <c r="P5" s="263"/>
      <c r="Q5" s="261"/>
      <c r="R5" s="262"/>
      <c r="S5" s="1198" t="e">
        <f>INDEX(PT_DIFFERENTIATION_NUM_IST_TE,MATCH(D5,PT_DIFFERENTIATION_IST_TE_ID,0))</f>
        <v>#N/A</v>
      </c>
      <c r="T5" s="221" t="s">
        <v>663</v>
      </c>
      <c r="U5" s="211"/>
      <c r="V5" s="3522"/>
      <c r="W5" s="3523"/>
      <c r="X5" s="3523"/>
      <c r="Y5" s="3523"/>
      <c r="Z5" s="3523"/>
      <c r="AA5" s="3523"/>
      <c r="AB5" s="3523"/>
      <c r="AC5" s="3524"/>
      <c r="AD5" s="3522" t="e">
        <f>INDEX(PT_DIFFERENTIATION_IST_TE,MATCH(D5,PT_DIFFERENTIATION_IST_TE_ID,0))</f>
        <v>#N/A</v>
      </c>
      <c r="AE5" s="3523"/>
      <c r="AF5" s="3523"/>
      <c r="AG5" s="3523"/>
      <c r="AH5" s="3523"/>
      <c r="AI5" s="3523"/>
      <c r="AJ5" s="3523"/>
      <c r="AK5" s="3523"/>
      <c r="AL5" s="3524"/>
      <c r="AM5" s="1124" t="s">
        <v>664</v>
      </c>
      <c r="AO5" s="398"/>
      <c r="AP5" s="398" t="str">
        <f t="shared" si="0"/>
        <v xml:space="preserve">Источник тепловой энергии  </v>
      </c>
      <c r="AQ5" s="398"/>
      <c r="AR5" s="398"/>
    </row>
    <row r="6" spans="1:44" ht="47.25" hidden="1" customHeight="1">
      <c r="A6" s="1224"/>
      <c r="B6" s="1224"/>
      <c r="C6" s="1224"/>
      <c r="D6" s="1224"/>
      <c r="E6" s="3529"/>
      <c r="F6" s="3529"/>
      <c r="G6" s="3529"/>
      <c r="H6" s="3529"/>
      <c r="I6" s="3530" t="e">
        <f>S5&amp;".1"</f>
        <v>#N/A</v>
      </c>
      <c r="J6" s="1224"/>
      <c r="K6" s="1224"/>
      <c r="L6" s="1225" t="s">
        <v>665</v>
      </c>
      <c r="M6" s="434"/>
      <c r="P6" s="3532">
        <v>1</v>
      </c>
      <c r="Q6" s="1193"/>
      <c r="R6" s="265"/>
      <c r="S6" s="1198" t="e">
        <f>$I6</f>
        <v>#N/A</v>
      </c>
      <c r="T6" s="197" t="s">
        <v>666</v>
      </c>
      <c r="U6" s="211"/>
      <c r="V6" s="3516"/>
      <c r="W6" s="3517"/>
      <c r="X6" s="3517"/>
      <c r="Y6" s="3517"/>
      <c r="Z6" s="3517"/>
      <c r="AA6" s="3517"/>
      <c r="AB6" s="3517"/>
      <c r="AC6" s="3518"/>
      <c r="AD6" s="3516"/>
      <c r="AE6" s="3517"/>
      <c r="AF6" s="3517"/>
      <c r="AG6" s="3517"/>
      <c r="AH6" s="3517"/>
      <c r="AI6" s="3517"/>
      <c r="AJ6" s="3517"/>
      <c r="AK6" s="3517"/>
      <c r="AL6" s="3518"/>
      <c r="AM6" s="1124" t="s">
        <v>667</v>
      </c>
      <c r="AO6" s="398"/>
      <c r="AP6" s="398" t="str">
        <f t="shared" si="0"/>
        <v>Схема подключения теплопотребляющей установки к коллектору источника тепловой энергии</v>
      </c>
      <c r="AQ6" s="398"/>
      <c r="AR6" s="398"/>
    </row>
    <row r="7" spans="1:44" ht="21" hidden="1" customHeight="1">
      <c r="A7" s="1224"/>
      <c r="B7" s="1224"/>
      <c r="C7" s="1224"/>
      <c r="D7" s="1224"/>
      <c r="E7" s="3529"/>
      <c r="F7" s="3529"/>
      <c r="G7" s="3529"/>
      <c r="H7" s="3529"/>
      <c r="I7" s="3531"/>
      <c r="J7" s="3530" t="e">
        <f>I6&amp;".1"</f>
        <v>#N/A</v>
      </c>
      <c r="K7" s="1224"/>
      <c r="L7" s="1225" t="s">
        <v>668</v>
      </c>
      <c r="M7" s="434"/>
      <c r="N7" s="1227"/>
      <c r="P7" s="3532"/>
      <c r="Q7" s="3532">
        <v>1</v>
      </c>
      <c r="R7" s="266"/>
      <c r="S7" s="1198" t="e">
        <f>$J7</f>
        <v>#N/A</v>
      </c>
      <c r="T7" s="198" t="s">
        <v>669</v>
      </c>
      <c r="U7" s="211"/>
      <c r="V7" s="3516"/>
      <c r="W7" s="3517"/>
      <c r="X7" s="3517"/>
      <c r="Y7" s="3517"/>
      <c r="Z7" s="3517"/>
      <c r="AA7" s="3517"/>
      <c r="AB7" s="3517"/>
      <c r="AC7" s="3518"/>
      <c r="AD7" s="3516"/>
      <c r="AE7" s="3517"/>
      <c r="AF7" s="3517"/>
      <c r="AG7" s="3517"/>
      <c r="AH7" s="3517"/>
      <c r="AI7" s="3517"/>
      <c r="AJ7" s="3517"/>
      <c r="AK7" s="3517"/>
      <c r="AL7" s="3518"/>
      <c r="AM7" s="1124" t="s">
        <v>670</v>
      </c>
      <c r="AO7" s="398"/>
      <c r="AP7" s="398" t="str">
        <f t="shared" si="0"/>
        <v>Группа потребителей</v>
      </c>
      <c r="AQ7" s="398"/>
      <c r="AR7" s="398"/>
    </row>
    <row r="8" spans="1:44" ht="21" hidden="1" customHeight="1">
      <c r="A8" s="1224"/>
      <c r="B8" s="1224"/>
      <c r="C8" s="1224"/>
      <c r="D8" s="1224"/>
      <c r="E8" s="3529"/>
      <c r="F8" s="3529"/>
      <c r="G8" s="3529"/>
      <c r="H8" s="3529"/>
      <c r="I8" s="3531"/>
      <c r="J8" s="3531"/>
      <c r="K8" s="3530" t="e">
        <f>J7&amp;".1"</f>
        <v>#N/A</v>
      </c>
      <c r="L8" s="1225" t="s">
        <v>671</v>
      </c>
      <c r="M8" s="434"/>
      <c r="N8" s="1227"/>
      <c r="O8" s="1227"/>
      <c r="P8" s="3532"/>
      <c r="Q8" s="3532"/>
      <c r="R8" s="266">
        <v>1</v>
      </c>
      <c r="S8" s="1198" t="e">
        <f>$K8</f>
        <v>#N/A</v>
      </c>
      <c r="T8" s="1209"/>
      <c r="U8" s="211"/>
      <c r="V8" s="639"/>
      <c r="W8" s="236"/>
      <c r="X8" s="639"/>
      <c r="Y8" s="1123"/>
      <c r="Z8" s="3533"/>
      <c r="AA8" s="3412" t="s">
        <v>64</v>
      </c>
      <c r="AB8" s="3533"/>
      <c r="AC8" s="3412" t="s">
        <v>64</v>
      </c>
      <c r="AD8" s="639"/>
      <c r="AE8" s="236"/>
      <c r="AF8" s="639"/>
      <c r="AG8" s="1123"/>
      <c r="AH8" s="3533"/>
      <c r="AI8" s="3412" t="s">
        <v>64</v>
      </c>
      <c r="AJ8" s="3533"/>
      <c r="AK8" s="3412" t="s">
        <v>64</v>
      </c>
      <c r="AL8" s="236"/>
      <c r="AM8" s="3551" t="s">
        <v>672</v>
      </c>
      <c r="AN8" s="409" t="e">
        <f ca="1">STRCHECKDATE(V9:AL9)</f>
        <v>#NAME?</v>
      </c>
      <c r="AO8" s="398"/>
      <c r="AP8" s="398" t="str">
        <f t="shared" si="0"/>
        <v/>
      </c>
      <c r="AQ8" s="398"/>
      <c r="AR8" s="398"/>
    </row>
    <row r="9" spans="1:44" ht="0.75" hidden="1" customHeight="1">
      <c r="A9" s="1224"/>
      <c r="B9" s="1224"/>
      <c r="C9" s="1224"/>
      <c r="D9" s="1224"/>
      <c r="E9" s="3529"/>
      <c r="F9" s="3529"/>
      <c r="G9" s="3529"/>
      <c r="H9" s="3529"/>
      <c r="I9" s="3531"/>
      <c r="J9" s="3531"/>
      <c r="K9" s="3530"/>
      <c r="L9" s="1225"/>
      <c r="M9" s="434"/>
      <c r="N9" s="1227"/>
      <c r="O9" s="1227"/>
      <c r="P9" s="3532"/>
      <c r="Q9" s="3532"/>
      <c r="R9" s="266"/>
      <c r="S9" s="1204"/>
      <c r="T9" s="211"/>
      <c r="U9" s="211"/>
      <c r="V9" s="236"/>
      <c r="W9" s="236"/>
      <c r="X9" s="236"/>
      <c r="Y9" s="239" t="str">
        <f>Z8&amp;"-"&amp;AB8</f>
        <v>-</v>
      </c>
      <c r="Z9" s="3534"/>
      <c r="AA9" s="3412"/>
      <c r="AB9" s="3534"/>
      <c r="AC9" s="3412"/>
      <c r="AD9" s="236"/>
      <c r="AE9" s="236"/>
      <c r="AF9" s="236"/>
      <c r="AG9" s="239" t="str">
        <f>AH8&amp;"-"&amp;AJ8</f>
        <v>-</v>
      </c>
      <c r="AH9" s="3534"/>
      <c r="AI9" s="3412"/>
      <c r="AJ9" s="3534"/>
      <c r="AK9" s="3412"/>
      <c r="AL9" s="236"/>
      <c r="AM9" s="3552"/>
      <c r="AO9" s="398"/>
      <c r="AP9" s="398" t="str">
        <f t="shared" si="0"/>
        <v/>
      </c>
      <c r="AQ9" s="398"/>
      <c r="AR9" s="398"/>
    </row>
    <row r="10" spans="1:44" ht="15" hidden="1" customHeight="1">
      <c r="A10" s="1224"/>
      <c r="B10" s="1224"/>
      <c r="C10" s="1224"/>
      <c r="D10" s="1224"/>
      <c r="E10" s="3529"/>
      <c r="F10" s="3529"/>
      <c r="G10" s="3529"/>
      <c r="H10" s="3529"/>
      <c r="I10" s="3531"/>
      <c r="J10" s="3530"/>
      <c r="K10" s="1224"/>
      <c r="L10" s="1225"/>
      <c r="M10" s="434"/>
      <c r="N10" s="1227"/>
      <c r="P10" s="3532"/>
      <c r="Q10" s="3532"/>
      <c r="R10" s="265"/>
      <c r="S10" s="1144"/>
      <c r="T10" s="200" t="s">
        <v>673</v>
      </c>
      <c r="U10" s="275"/>
      <c r="V10" s="275"/>
      <c r="W10" s="275"/>
      <c r="X10" s="275"/>
      <c r="Y10" s="275"/>
      <c r="Z10" s="275"/>
      <c r="AA10" s="275"/>
      <c r="AB10" s="275"/>
      <c r="AC10" s="275"/>
      <c r="AD10" s="275"/>
      <c r="AE10" s="275"/>
      <c r="AF10" s="275"/>
      <c r="AG10" s="275"/>
      <c r="AH10" s="275"/>
      <c r="AI10" s="275"/>
      <c r="AJ10" s="275"/>
      <c r="AK10" s="275"/>
      <c r="AL10" s="235"/>
      <c r="AM10" s="3553"/>
      <c r="AO10" s="398"/>
      <c r="AP10" s="398" t="str">
        <f t="shared" si="0"/>
        <v>Добавить вид теплоносителя (параметры теплоносителя)</v>
      </c>
      <c r="AQ10" s="398"/>
      <c r="AR10" s="398"/>
    </row>
    <row r="11" spans="1:44" ht="15" hidden="1" customHeight="1">
      <c r="A11" s="1224"/>
      <c r="B11" s="1224"/>
      <c r="C11" s="1224"/>
      <c r="D11" s="1224"/>
      <c r="E11" s="3529"/>
      <c r="F11" s="3529"/>
      <c r="G11" s="3529"/>
      <c r="H11" s="3529"/>
      <c r="I11" s="3530"/>
      <c r="J11" s="1224"/>
      <c r="K11" s="1224"/>
      <c r="L11" s="1225"/>
      <c r="M11" s="434"/>
      <c r="P11" s="3532"/>
      <c r="Q11" s="1193"/>
      <c r="R11" s="265"/>
      <c r="S11" s="1144"/>
      <c r="T11" s="199" t="s">
        <v>674</v>
      </c>
      <c r="U11" s="275"/>
      <c r="V11" s="275"/>
      <c r="W11" s="275"/>
      <c r="X11" s="275"/>
      <c r="Y11" s="275"/>
      <c r="Z11" s="275"/>
      <c r="AA11" s="275"/>
      <c r="AB11" s="275"/>
      <c r="AC11" s="274"/>
      <c r="AD11" s="275"/>
      <c r="AE11" s="275"/>
      <c r="AF11" s="275"/>
      <c r="AG11" s="275"/>
      <c r="AH11" s="275"/>
      <c r="AI11" s="275"/>
      <c r="AJ11" s="275"/>
      <c r="AK11" s="274"/>
      <c r="AL11" s="275"/>
      <c r="AM11" s="214"/>
      <c r="AO11" s="398"/>
      <c r="AP11" s="398" t="str">
        <f t="shared" si="0"/>
        <v>Добавить группу потребителей</v>
      </c>
      <c r="AQ11" s="398"/>
      <c r="AR11" s="398"/>
    </row>
    <row r="12" spans="1:44" ht="14.25" hidden="1" customHeight="1">
      <c r="A12" s="1224"/>
      <c r="B12" s="1224"/>
      <c r="C12" s="1224"/>
      <c r="D12" s="1224"/>
      <c r="E12" s="3529"/>
      <c r="F12" s="3529"/>
      <c r="G12" s="3529"/>
      <c r="H12" s="3528"/>
      <c r="I12" s="1224"/>
      <c r="J12" s="1224"/>
      <c r="K12" s="1224"/>
      <c r="L12" s="1225"/>
      <c r="M12" s="1226"/>
      <c r="N12" s="1226"/>
      <c r="O12" s="434"/>
      <c r="P12" s="269"/>
      <c r="Q12" s="282"/>
      <c r="R12" s="264"/>
      <c r="S12" s="1144"/>
      <c r="T12" s="273" t="s">
        <v>675</v>
      </c>
      <c r="U12" s="275"/>
      <c r="V12" s="275"/>
      <c r="W12" s="275"/>
      <c r="X12" s="275"/>
      <c r="Y12" s="275"/>
      <c r="Z12" s="275"/>
      <c r="AA12" s="275"/>
      <c r="AB12" s="275"/>
      <c r="AC12" s="274"/>
      <c r="AD12" s="275"/>
      <c r="AE12" s="275"/>
      <c r="AF12" s="275"/>
      <c r="AG12" s="275"/>
      <c r="AH12" s="275"/>
      <c r="AI12" s="275"/>
      <c r="AJ12" s="275"/>
      <c r="AK12" s="274"/>
      <c r="AL12" s="275"/>
      <c r="AM12" s="214"/>
      <c r="AO12" s="398"/>
      <c r="AP12" s="398" t="str">
        <f t="shared" si="0"/>
        <v>Добавить схему подключения</v>
      </c>
      <c r="AQ12" s="398"/>
      <c r="AR12" s="398"/>
    </row>
    <row r="13" spans="1:44" s="1866" customFormat="1" ht="0.75" hidden="1" customHeight="1">
      <c r="A13" s="1177"/>
      <c r="B13" s="1177"/>
      <c r="C13" s="1177"/>
      <c r="D13" s="1177"/>
      <c r="E13" s="3529"/>
      <c r="F13" s="3529"/>
      <c r="G13" s="3528"/>
      <c r="H13" s="1177"/>
      <c r="I13" s="1177"/>
      <c r="J13" s="1177"/>
      <c r="K13" s="1177"/>
      <c r="L13" s="1201"/>
      <c r="M13" s="1178"/>
      <c r="N13" s="1178"/>
      <c r="P13" s="1179"/>
      <c r="Q13" s="1180"/>
      <c r="R13" s="1179"/>
      <c r="S13" s="1181"/>
      <c r="T13" s="1182" t="s">
        <v>676</v>
      </c>
      <c r="U13" s="1183"/>
      <c r="V13" s="1183"/>
      <c r="W13" s="1183"/>
      <c r="X13" s="1183"/>
      <c r="Y13" s="1183"/>
      <c r="Z13" s="1183"/>
      <c r="AA13" s="1183"/>
      <c r="AB13" s="1183"/>
      <c r="AC13" s="1183"/>
      <c r="AD13" s="1183"/>
      <c r="AE13" s="1183"/>
      <c r="AF13" s="1183"/>
      <c r="AG13" s="1183"/>
      <c r="AH13" s="1183"/>
      <c r="AI13" s="1183"/>
      <c r="AJ13" s="1183"/>
      <c r="AK13" s="1183"/>
      <c r="AL13" s="1183"/>
      <c r="AM13" s="1183"/>
      <c r="AO13" s="670"/>
      <c r="AP13" s="670" t="str">
        <f t="shared" si="0"/>
        <v>Добавить источник для дифференциации</v>
      </c>
      <c r="AQ13" s="670"/>
      <c r="AR13" s="670"/>
    </row>
    <row r="14" spans="1:44" s="1866" customFormat="1" ht="0.75" hidden="1" customHeight="1">
      <c r="A14" s="1177"/>
      <c r="B14" s="1177"/>
      <c r="C14" s="1177"/>
      <c r="D14" s="1177"/>
      <c r="E14" s="3529"/>
      <c r="F14" s="3528"/>
      <c r="G14" s="1177"/>
      <c r="H14" s="1177"/>
      <c r="I14" s="1177"/>
      <c r="J14" s="1177"/>
      <c r="K14" s="1177"/>
      <c r="L14" s="1201"/>
      <c r="M14" s="1184"/>
      <c r="N14" s="1184"/>
      <c r="P14" s="1179"/>
      <c r="Q14" s="1180"/>
      <c r="R14" s="1179"/>
      <c r="S14" s="1185"/>
      <c r="T14" s="1186" t="s">
        <v>677</v>
      </c>
      <c r="U14" s="1187"/>
      <c r="V14" s="1187"/>
      <c r="W14" s="1187"/>
      <c r="X14" s="1187"/>
      <c r="Y14" s="1187"/>
      <c r="Z14" s="1187"/>
      <c r="AA14" s="1187"/>
      <c r="AB14" s="1187"/>
      <c r="AC14" s="1187"/>
      <c r="AD14" s="1187"/>
      <c r="AE14" s="1187"/>
      <c r="AF14" s="1187"/>
      <c r="AG14" s="1187"/>
      <c r="AH14" s="1187"/>
      <c r="AI14" s="1187"/>
      <c r="AJ14" s="1187"/>
      <c r="AK14" s="1187"/>
      <c r="AL14" s="1187"/>
      <c r="AM14" s="1187"/>
      <c r="AO14" s="670"/>
      <c r="AP14" s="670" t="str">
        <f t="shared" si="0"/>
        <v>Добавить централизованную систему для дифференциации</v>
      </c>
      <c r="AQ14" s="670"/>
      <c r="AR14" s="670"/>
    </row>
    <row r="15" spans="1:44" s="1866" customFormat="1" ht="0.75" hidden="1" customHeight="1">
      <c r="A15" s="1177"/>
      <c r="B15" s="1177"/>
      <c r="C15" s="1177"/>
      <c r="D15" s="1177"/>
      <c r="E15" s="3528"/>
      <c r="F15" s="1177"/>
      <c r="G15" s="1177"/>
      <c r="H15" s="1177"/>
      <c r="I15" s="1177"/>
      <c r="J15" s="1177"/>
      <c r="K15" s="1177"/>
      <c r="L15" s="1201"/>
      <c r="M15" s="1184"/>
      <c r="N15" s="1184"/>
      <c r="P15" s="1179"/>
      <c r="Q15" s="1180"/>
      <c r="R15" s="1179"/>
      <c r="S15" s="1185"/>
      <c r="T15" s="1188" t="s">
        <v>678</v>
      </c>
      <c r="U15" s="1187"/>
      <c r="V15" s="1187"/>
      <c r="W15" s="1187"/>
      <c r="X15" s="1187"/>
      <c r="Y15" s="1187"/>
      <c r="Z15" s="1187"/>
      <c r="AA15" s="1187"/>
      <c r="AB15" s="1187"/>
      <c r="AC15" s="1187"/>
      <c r="AD15" s="1187"/>
      <c r="AE15" s="1187"/>
      <c r="AF15" s="1187"/>
      <c r="AG15" s="1187"/>
      <c r="AH15" s="1187"/>
      <c r="AI15" s="1187"/>
      <c r="AJ15" s="1187"/>
      <c r="AK15" s="1187"/>
      <c r="AL15" s="1187"/>
      <c r="AM15" s="1187"/>
      <c r="AO15" s="670"/>
      <c r="AP15" s="670" t="str">
        <f t="shared" si="0"/>
        <v>Добавить территорию для дифференциации</v>
      </c>
      <c r="AQ15" s="670"/>
      <c r="AR15" s="670"/>
    </row>
    <row r="16" spans="1:44" ht="14.25" hidden="1" customHeight="1">
      <c r="AC16" s="238"/>
      <c r="AK16" s="238"/>
    </row>
    <row r="17" spans="1:44" ht="14.25" hidden="1" customHeight="1">
      <c r="AD17" s="1221"/>
      <c r="AE17" s="1221"/>
      <c r="AF17" s="1221"/>
      <c r="AG17" s="1222"/>
      <c r="AH17" s="3526"/>
      <c r="AI17" s="3525" t="s">
        <v>64</v>
      </c>
      <c r="AJ17" s="3526"/>
      <c r="AK17" s="3525" t="s">
        <v>64</v>
      </c>
    </row>
    <row r="18" spans="1:44" ht="14.25" hidden="1" customHeight="1">
      <c r="AD18" s="1221"/>
      <c r="AE18" s="1221"/>
      <c r="AF18" s="1221"/>
      <c r="AG18" s="239" t="str">
        <f>AH17&amp;"-"&amp;AJ17</f>
        <v>-</v>
      </c>
      <c r="AH18" s="3525"/>
      <c r="AI18" s="3525"/>
      <c r="AJ18" s="3525"/>
      <c r="AK18" s="3525"/>
    </row>
    <row r="19" spans="1:44" ht="14.25" hidden="1" customHeight="1">
      <c r="AK19" s="238"/>
    </row>
    <row r="20" spans="1:44" s="1903" customFormat="1" ht="22.5" hidden="1" customHeight="1">
      <c r="L20" s="1191"/>
      <c r="M20" s="1223"/>
      <c r="N20" s="1223"/>
      <c r="O20" s="1228" t="s">
        <v>679</v>
      </c>
      <c r="P20" s="1223"/>
      <c r="Q20" s="1232"/>
      <c r="R20" s="1232"/>
      <c r="S20" s="619"/>
      <c r="Z20" s="1228"/>
      <c r="AB20" s="1228"/>
      <c r="AC20" s="1227"/>
      <c r="AH20" s="1228"/>
      <c r="AJ20" s="1228"/>
      <c r="AK20" s="1227"/>
      <c r="AN20" s="409"/>
      <c r="AO20" s="409"/>
      <c r="AP20" s="409"/>
      <c r="AQ20" s="409"/>
      <c r="AR20" s="409"/>
    </row>
    <row r="21" spans="1:44" s="1903" customFormat="1" ht="14.25" hidden="1" customHeight="1">
      <c r="L21" s="1191"/>
      <c r="M21" s="1223"/>
      <c r="N21" s="1223"/>
      <c r="O21" s="1223"/>
      <c r="P21" s="1223"/>
      <c r="Q21" s="1232"/>
      <c r="R21" s="1232"/>
      <c r="S21" s="619"/>
      <c r="AC21" s="1227"/>
      <c r="AK21" s="1227"/>
      <c r="AN21" s="409"/>
      <c r="AO21" s="409"/>
      <c r="AP21" s="409"/>
      <c r="AQ21" s="409"/>
      <c r="AR21" s="409"/>
    </row>
    <row r="22" spans="1:44" s="1903" customFormat="1" ht="14.25" hidden="1" customHeight="1">
      <c r="L22" s="1191"/>
      <c r="M22" s="1223"/>
      <c r="N22" s="1223"/>
      <c r="O22" s="1225" t="s">
        <v>680</v>
      </c>
      <c r="P22" s="1223"/>
      <c r="Q22" s="1232"/>
      <c r="R22" s="1232"/>
      <c r="S22" s="619"/>
      <c r="T22" s="1023" t="s">
        <v>681</v>
      </c>
      <c r="AA22" s="103" t="s">
        <v>682</v>
      </c>
      <c r="AC22" s="103" t="s">
        <v>683</v>
      </c>
      <c r="AD22" s="1023" t="s">
        <v>681</v>
      </c>
      <c r="AI22" s="103" t="s">
        <v>684</v>
      </c>
      <c r="AK22" s="103" t="s">
        <v>683</v>
      </c>
      <c r="AN22" s="409"/>
      <c r="AO22" s="409"/>
      <c r="AP22" s="409"/>
      <c r="AQ22" s="409"/>
      <c r="AR22" s="409"/>
    </row>
    <row r="23" spans="1:44" ht="14.25" hidden="1" customHeight="1">
      <c r="O23" s="1225"/>
    </row>
    <row r="24" spans="1:44" ht="14.25" hidden="1" customHeight="1">
      <c r="O24" s="1225"/>
    </row>
    <row r="25" spans="1:44" ht="14.25" customHeight="1">
      <c r="Q25" s="283"/>
      <c r="R25" s="283"/>
      <c r="S25" s="1141"/>
      <c r="T25" s="272"/>
      <c r="U25" s="272"/>
      <c r="V25" s="407"/>
      <c r="W25" s="407"/>
      <c r="X25" s="407"/>
      <c r="Y25" s="407"/>
      <c r="Z25" s="407"/>
      <c r="AA25" s="407"/>
      <c r="AB25" s="407"/>
      <c r="AC25" s="407"/>
      <c r="AD25" s="407"/>
      <c r="AE25" s="407"/>
      <c r="AF25" s="407"/>
      <c r="AG25" s="407"/>
      <c r="AH25" s="407"/>
      <c r="AI25" s="407"/>
      <c r="AJ25" s="407"/>
      <c r="AK25" s="407"/>
    </row>
    <row r="26" spans="1:44" ht="14.25" customHeight="1">
      <c r="Q26" s="283"/>
      <c r="R26" s="283"/>
      <c r="S26" s="350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509"/>
      <c r="U26" s="3509"/>
      <c r="V26" s="3509"/>
      <c r="W26" s="3509"/>
      <c r="X26" s="3509"/>
      <c r="Y26" s="3509"/>
      <c r="Z26" s="3509"/>
      <c r="AA26" s="3509"/>
      <c r="AB26" s="3509"/>
      <c r="AC26" s="3509"/>
      <c r="AD26" s="3509"/>
      <c r="AE26" s="3509"/>
      <c r="AF26" s="3509"/>
      <c r="AG26" s="3509"/>
      <c r="AH26" s="3509"/>
      <c r="AI26" s="3509"/>
      <c r="AJ26" s="3509"/>
      <c r="AK26" s="1109"/>
    </row>
    <row r="27" spans="1:44" ht="14.25" customHeight="1">
      <c r="Q27" s="283"/>
      <c r="R27" s="283"/>
      <c r="S27" s="3480" t="str">
        <f>IF(org=0,"Не определено",org)</f>
        <v>АО "Орелгортеплоэнерго"</v>
      </c>
      <c r="T27" s="3480"/>
      <c r="U27" s="3480"/>
      <c r="V27" s="3480"/>
      <c r="W27" s="3480"/>
      <c r="X27" s="3480"/>
      <c r="Y27" s="3480"/>
      <c r="Z27" s="3480"/>
      <c r="AA27" s="3480"/>
      <c r="AB27" s="3480"/>
      <c r="AC27" s="3480"/>
      <c r="AD27" s="3480"/>
      <c r="AE27" s="3480"/>
      <c r="AF27" s="3480"/>
      <c r="AG27" s="3480"/>
      <c r="AH27" s="3480"/>
      <c r="AI27" s="3480"/>
      <c r="AJ27" s="3480"/>
      <c r="AK27" s="1109"/>
    </row>
    <row r="28" spans="1:44" ht="14.25" hidden="1" customHeight="1">
      <c r="Q28" s="283"/>
      <c r="R28" s="283"/>
      <c r="S28" s="1141"/>
      <c r="T28" s="272"/>
      <c r="U28" s="272"/>
      <c r="V28" s="233"/>
      <c r="W28" s="233"/>
      <c r="X28" s="233"/>
      <c r="Y28" s="233"/>
      <c r="Z28" s="233"/>
      <c r="AA28" s="233"/>
      <c r="AB28" s="233"/>
      <c r="AC28" s="233"/>
      <c r="AD28" s="233"/>
      <c r="AE28" s="233"/>
      <c r="AF28" s="233"/>
      <c r="AG28" s="233"/>
      <c r="AH28" s="233"/>
      <c r="AI28" s="233"/>
      <c r="AJ28" s="233"/>
      <c r="AK28" s="233"/>
      <c r="AL28" s="407"/>
    </row>
    <row r="29" spans="1:44" s="1944" customFormat="1" ht="25.5" hidden="1" customHeight="1">
      <c r="A29" s="1229"/>
      <c r="B29" s="1229"/>
      <c r="C29" s="1229"/>
      <c r="D29" s="1229"/>
      <c r="E29" s="1229"/>
      <c r="F29" s="1229"/>
      <c r="G29" s="1229"/>
      <c r="H29" s="1229"/>
      <c r="I29" s="1229"/>
      <c r="J29" s="1229"/>
      <c r="K29" s="1229"/>
      <c r="L29" s="1230"/>
      <c r="M29" s="1229"/>
      <c r="N29" s="1229"/>
      <c r="O29" s="1229"/>
      <c r="S29" s="3519" t="s">
        <v>38</v>
      </c>
      <c r="T29" s="3519"/>
      <c r="U29" s="1233"/>
      <c r="V29" s="3521" t="str">
        <f>IF(TITLE_NAME_OR_PR_CHANGE="",IF(TITLE_NAME_OR_PR="","",TITLE_NAME_OR_PR),TITLE_NAME_OR_PR_CHANGE)</f>
        <v/>
      </c>
      <c r="W29" s="3521"/>
      <c r="X29" s="3521"/>
      <c r="Y29" s="3521"/>
      <c r="Z29" s="3521"/>
      <c r="AA29" s="3521"/>
      <c r="AB29" s="3521"/>
      <c r="AC29" s="237"/>
      <c r="AD29" s="3521" t="str">
        <f>IF(TITLE_NAME_OR_PR_CHANGE="",IF(TITLE_NAME_OR_PR="","",TITLE_NAME_OR_PR),TITLE_NAME_OR_PR_CHANGE)</f>
        <v/>
      </c>
      <c r="AE29" s="3521"/>
      <c r="AF29" s="3521"/>
      <c r="AG29" s="3521"/>
      <c r="AH29" s="3521"/>
      <c r="AI29" s="3521"/>
      <c r="AJ29" s="3521"/>
      <c r="AK29" s="237"/>
      <c r="AL29" s="237"/>
      <c r="AM29" s="193"/>
      <c r="AN29" s="276"/>
      <c r="AO29" s="276"/>
      <c r="AP29" s="276"/>
      <c r="AQ29" s="276"/>
      <c r="AR29" s="276"/>
    </row>
    <row r="30" spans="1:44" s="1944" customFormat="1" ht="18.75" hidden="1" customHeight="1">
      <c r="A30" s="1229"/>
      <c r="B30" s="1229"/>
      <c r="C30" s="1229"/>
      <c r="D30" s="1229"/>
      <c r="E30" s="1229"/>
      <c r="F30" s="1229"/>
      <c r="G30" s="1229"/>
      <c r="H30" s="1229"/>
      <c r="I30" s="1229"/>
      <c r="J30" s="1229"/>
      <c r="K30" s="1229"/>
      <c r="L30" s="1230"/>
      <c r="M30" s="1229"/>
      <c r="N30" s="1229"/>
      <c r="O30" s="1229"/>
      <c r="S30" s="3519" t="s">
        <v>685</v>
      </c>
      <c r="T30" s="3519"/>
      <c r="U30" s="1233"/>
      <c r="V30" s="3520" t="str">
        <f>IF(TITLE_DATE_PR_CHANGE="",IF(TITLE_DATE_PR="","",TITLE_DATE_PR),TITLE_DATE_PR_CHANGE)</f>
        <v/>
      </c>
      <c r="W30" s="3520"/>
      <c r="X30" s="3520"/>
      <c r="Y30" s="3520"/>
      <c r="Z30" s="3520"/>
      <c r="AA30" s="3520"/>
      <c r="AB30" s="3520"/>
      <c r="AC30" s="237"/>
      <c r="AD30" s="3520" t="str">
        <f>IF(TITLE_DATE_PR_CHANGE="",IF(TITLE_DATE_PR="","",TITLE_DATE_PR),TITLE_DATE_PR_CHANGE)</f>
        <v/>
      </c>
      <c r="AE30" s="3520"/>
      <c r="AF30" s="3520"/>
      <c r="AG30" s="3520"/>
      <c r="AH30" s="3520"/>
      <c r="AI30" s="3520"/>
      <c r="AJ30" s="3520"/>
      <c r="AK30" s="237"/>
      <c r="AL30" s="237"/>
      <c r="AM30" s="193"/>
      <c r="AN30" s="276"/>
      <c r="AO30" s="276"/>
      <c r="AP30" s="276"/>
      <c r="AQ30" s="276"/>
      <c r="AR30" s="276"/>
    </row>
    <row r="31" spans="1:44" s="1944" customFormat="1" ht="18.75" hidden="1" customHeight="1">
      <c r="A31" s="1229"/>
      <c r="B31" s="1229"/>
      <c r="C31" s="1229"/>
      <c r="D31" s="1229"/>
      <c r="E31" s="1229"/>
      <c r="F31" s="1229"/>
      <c r="G31" s="1229"/>
      <c r="H31" s="1229"/>
      <c r="I31" s="1229"/>
      <c r="J31" s="1229"/>
      <c r="K31" s="1229"/>
      <c r="L31" s="1230"/>
      <c r="M31" s="1229"/>
      <c r="N31" s="1229"/>
      <c r="O31" s="1229"/>
      <c r="S31" s="3519" t="s">
        <v>686</v>
      </c>
      <c r="T31" s="3519"/>
      <c r="U31" s="1233"/>
      <c r="V31" s="3521" t="str">
        <f>IF(TITLE_NUMBER_PR_CHANGE="",IF(TITLE_NUMBER_PR="","",TITLE_NUMBER_PR),TITLE_NUMBER_PR_CHANGE)</f>
        <v/>
      </c>
      <c r="W31" s="3521"/>
      <c r="X31" s="3521"/>
      <c r="Y31" s="3521"/>
      <c r="Z31" s="3521"/>
      <c r="AA31" s="3521"/>
      <c r="AB31" s="3521"/>
      <c r="AC31" s="237"/>
      <c r="AD31" s="3521" t="str">
        <f>IF(TITLE_NUMBER_PR_CHANGE="",IF(TITLE_NUMBER_PR="","",TITLE_NUMBER_PR),TITLE_NUMBER_PR_CHANGE)</f>
        <v/>
      </c>
      <c r="AE31" s="3521"/>
      <c r="AF31" s="3521"/>
      <c r="AG31" s="3521"/>
      <c r="AH31" s="3521"/>
      <c r="AI31" s="3521"/>
      <c r="AJ31" s="3521"/>
      <c r="AK31" s="237"/>
      <c r="AL31" s="237"/>
      <c r="AM31" s="193"/>
      <c r="AN31" s="276"/>
      <c r="AO31" s="276"/>
      <c r="AP31" s="276"/>
      <c r="AQ31" s="276"/>
      <c r="AR31" s="276"/>
    </row>
    <row r="32" spans="1:44" s="1944" customFormat="1" ht="18.75" hidden="1" customHeight="1">
      <c r="A32" s="1229"/>
      <c r="B32" s="1229"/>
      <c r="C32" s="1229"/>
      <c r="D32" s="1229"/>
      <c r="E32" s="1229"/>
      <c r="F32" s="1229"/>
      <c r="G32" s="1229"/>
      <c r="H32" s="1229"/>
      <c r="I32" s="1229"/>
      <c r="J32" s="1229"/>
      <c r="K32" s="1229"/>
      <c r="L32" s="1230"/>
      <c r="M32" s="1229"/>
      <c r="N32" s="1229"/>
      <c r="O32" s="1229"/>
      <c r="S32" s="3519" t="s">
        <v>39</v>
      </c>
      <c r="T32" s="3519"/>
      <c r="U32" s="1233"/>
      <c r="V32" s="3521" t="str">
        <f>IF(TITLE_IST_PUB_CHANGE="",IF(TITLE_IST_PUB="","",TITLE_IST_PUB),TITLE_IST_PUB_CHANGE)</f>
        <v/>
      </c>
      <c r="W32" s="3521"/>
      <c r="X32" s="3521"/>
      <c r="Y32" s="3521"/>
      <c r="Z32" s="3521"/>
      <c r="AA32" s="3521"/>
      <c r="AB32" s="3521"/>
      <c r="AC32" s="237"/>
      <c r="AD32" s="3521" t="str">
        <f>IF(TITLE_IST_PUB_CHANGE="",IF(TITLE_IST_PUB="","",TITLE_IST_PUB),TITLE_IST_PUB_CHANGE)</f>
        <v/>
      </c>
      <c r="AE32" s="3521"/>
      <c r="AF32" s="3521"/>
      <c r="AG32" s="3521"/>
      <c r="AH32" s="3521"/>
      <c r="AI32" s="3521"/>
      <c r="AJ32" s="3521"/>
      <c r="AK32" s="237"/>
      <c r="AL32" s="237"/>
      <c r="AM32" s="193"/>
      <c r="AN32" s="276"/>
      <c r="AO32" s="276"/>
      <c r="AP32" s="276"/>
      <c r="AQ32" s="276"/>
      <c r="AR32" s="276"/>
    </row>
    <row r="33" spans="1:44" ht="14.25" hidden="1" customHeight="1">
      <c r="Q33" s="283"/>
      <c r="R33" s="283"/>
      <c r="S33" s="1141"/>
      <c r="T33" s="272"/>
      <c r="U33" s="272"/>
      <c r="V33" s="233"/>
      <c r="W33" s="233"/>
      <c r="X33" s="233"/>
      <c r="Y33" s="233"/>
      <c r="Z33" s="233"/>
      <c r="AA33" s="233"/>
      <c r="AB33" s="233"/>
      <c r="AC33" s="233"/>
      <c r="AD33" s="233"/>
      <c r="AE33" s="233"/>
      <c r="AF33" s="233"/>
      <c r="AG33" s="233"/>
      <c r="AH33" s="233"/>
      <c r="AI33" s="233"/>
      <c r="AJ33" s="233"/>
      <c r="AK33" s="233"/>
      <c r="AL33" s="407"/>
    </row>
    <row r="34" spans="1:44" s="1944" customFormat="1" ht="18.75" hidden="1" customHeight="1">
      <c r="A34" s="1229"/>
      <c r="B34" s="1229"/>
      <c r="C34" s="1229"/>
      <c r="D34" s="1229"/>
      <c r="E34" s="1229"/>
      <c r="F34" s="1229"/>
      <c r="G34" s="1229"/>
      <c r="H34" s="1229"/>
      <c r="I34" s="1229"/>
      <c r="J34" s="1229"/>
      <c r="K34" s="1229"/>
      <c r="L34" s="1230"/>
      <c r="M34" s="1229"/>
      <c r="N34" s="1229"/>
      <c r="O34" s="1229"/>
      <c r="S34" s="3519" t="s">
        <v>687</v>
      </c>
      <c r="T34" s="3519"/>
      <c r="U34" s="1233"/>
      <c r="V34" s="3520" t="str">
        <f>IF(TITLE_DATE_PR_CHANGE="",IF(TITLE_DATE_PR="","",TITLE_DATE_PR),TITLE_DATE_PR_CHANGE)</f>
        <v/>
      </c>
      <c r="W34" s="3520"/>
      <c r="X34" s="3520"/>
      <c r="Y34" s="3520"/>
      <c r="Z34" s="3520"/>
      <c r="AA34" s="3520"/>
      <c r="AB34" s="3520"/>
      <c r="AC34" s="237"/>
      <c r="AD34" s="3520" t="str">
        <f>IF(TITLE_DATE_PR_CHANGE="",IF(TITLE_DATE_PR="","",TITLE_DATE_PR),TITLE_DATE_PR_CHANGE)</f>
        <v/>
      </c>
      <c r="AE34" s="3520"/>
      <c r="AF34" s="3520"/>
      <c r="AG34" s="3520"/>
      <c r="AH34" s="3520"/>
      <c r="AI34" s="3520"/>
      <c r="AJ34" s="3520"/>
      <c r="AK34" s="237"/>
      <c r="AL34" s="237"/>
      <c r="AM34" s="193"/>
      <c r="AN34" s="276"/>
      <c r="AO34" s="276"/>
      <c r="AP34" s="276"/>
      <c r="AQ34" s="276"/>
      <c r="AR34" s="276"/>
    </row>
    <row r="35" spans="1:44" s="1944" customFormat="1" ht="18.75" hidden="1" customHeight="1">
      <c r="A35" s="1229"/>
      <c r="B35" s="1229"/>
      <c r="C35" s="1229"/>
      <c r="D35" s="1229"/>
      <c r="E35" s="1229"/>
      <c r="F35" s="1229"/>
      <c r="G35" s="1229"/>
      <c r="H35" s="1229"/>
      <c r="I35" s="1229"/>
      <c r="J35" s="1229"/>
      <c r="K35" s="1229"/>
      <c r="L35" s="1230"/>
      <c r="M35" s="1229"/>
      <c r="N35" s="1229"/>
      <c r="O35" s="1229"/>
      <c r="S35" s="3519" t="s">
        <v>688</v>
      </c>
      <c r="T35" s="3519"/>
      <c r="U35" s="1233"/>
      <c r="V35" s="3521" t="str">
        <f>IF(TITLE_NUMBER_PR_CHANGE="",IF(TITLE_NUMBER_PR="","",TITLE_NUMBER_PR),TITLE_NUMBER_PR_CHANGE)</f>
        <v/>
      </c>
      <c r="W35" s="3521"/>
      <c r="X35" s="3521"/>
      <c r="Y35" s="3521"/>
      <c r="Z35" s="3521"/>
      <c r="AA35" s="3521"/>
      <c r="AB35" s="3521"/>
      <c r="AC35" s="237"/>
      <c r="AD35" s="3521" t="str">
        <f>IF(TITLE_NUMBER_PR_CHANGE="",IF(TITLE_NUMBER_PR="","",TITLE_NUMBER_PR),TITLE_NUMBER_PR_CHANGE)</f>
        <v/>
      </c>
      <c r="AE35" s="3521"/>
      <c r="AF35" s="3521"/>
      <c r="AG35" s="3521"/>
      <c r="AH35" s="3521"/>
      <c r="AI35" s="3521"/>
      <c r="AJ35" s="3521"/>
      <c r="AK35" s="237"/>
      <c r="AL35" s="237"/>
      <c r="AM35" s="193"/>
      <c r="AN35" s="276"/>
      <c r="AO35" s="276"/>
      <c r="AP35" s="276"/>
      <c r="AQ35" s="276"/>
      <c r="AR35" s="276"/>
    </row>
    <row r="36" spans="1:44" s="1944" customFormat="1" ht="0" hidden="1" customHeight="1">
      <c r="A36" s="1229"/>
      <c r="B36" s="1229"/>
      <c r="C36" s="1229"/>
      <c r="D36" s="1229"/>
      <c r="E36" s="1229"/>
      <c r="F36" s="1229"/>
      <c r="G36" s="1229"/>
      <c r="H36" s="1229"/>
      <c r="I36" s="1229"/>
      <c r="J36" s="1229"/>
      <c r="K36" s="1229"/>
      <c r="L36" s="1230"/>
      <c r="M36" s="1229"/>
      <c r="N36" s="1229"/>
      <c r="O36" s="1229"/>
      <c r="S36" s="234"/>
      <c r="T36" s="234"/>
      <c r="U36" s="1202"/>
      <c r="V36" s="237"/>
      <c r="W36" s="237"/>
      <c r="X36" s="237"/>
      <c r="Y36" s="237"/>
      <c r="Z36" s="237"/>
      <c r="AA36" s="237"/>
      <c r="AB36" s="237"/>
      <c r="AC36" s="191" t="s">
        <v>689</v>
      </c>
      <c r="AD36" s="237"/>
      <c r="AE36" s="237"/>
      <c r="AF36" s="237"/>
      <c r="AG36" s="237"/>
      <c r="AH36" s="237"/>
      <c r="AI36" s="237"/>
      <c r="AJ36" s="237"/>
      <c r="AK36" s="191" t="s">
        <v>689</v>
      </c>
      <c r="AN36" s="276"/>
      <c r="AO36" s="276"/>
      <c r="AP36" s="276"/>
      <c r="AQ36" s="276"/>
      <c r="AR36" s="276"/>
    </row>
    <row r="37" spans="1:44" ht="14.25" customHeight="1">
      <c r="Q37" s="283"/>
      <c r="R37" s="283"/>
      <c r="S37" s="1141"/>
      <c r="T37" s="272"/>
      <c r="U37" s="1110"/>
      <c r="V37" s="3540"/>
      <c r="W37" s="3540"/>
      <c r="X37" s="3540"/>
      <c r="Y37" s="3540"/>
      <c r="Z37" s="3540"/>
      <c r="AA37" s="3540"/>
      <c r="AB37" s="3540"/>
      <c r="AC37" s="3540"/>
      <c r="AD37" s="3540"/>
      <c r="AE37" s="3540"/>
      <c r="AF37" s="3540"/>
      <c r="AG37" s="3540"/>
      <c r="AH37" s="3540"/>
      <c r="AI37" s="3540"/>
      <c r="AJ37" s="3540"/>
      <c r="AK37" s="3540"/>
    </row>
    <row r="38" spans="1:44" ht="14.25" customHeight="1">
      <c r="Q38" s="283"/>
      <c r="R38" s="283"/>
      <c r="S38" s="3401" t="s">
        <v>560</v>
      </c>
      <c r="T38" s="3401"/>
      <c r="U38" s="3401"/>
      <c r="V38" s="3401"/>
      <c r="W38" s="3401"/>
      <c r="X38" s="3401"/>
      <c r="Y38" s="3401"/>
      <c r="Z38" s="3401"/>
      <c r="AA38" s="3401"/>
      <c r="AB38" s="3401"/>
      <c r="AC38" s="3401"/>
      <c r="AD38" s="3401"/>
      <c r="AE38" s="3401"/>
      <c r="AF38" s="3401"/>
      <c r="AG38" s="3401"/>
      <c r="AH38" s="3401"/>
      <c r="AI38" s="3401"/>
      <c r="AJ38" s="3401"/>
      <c r="AK38" s="3401"/>
      <c r="AL38" s="3401"/>
      <c r="AM38" s="3401" t="s">
        <v>561</v>
      </c>
    </row>
    <row r="39" spans="1:44" ht="14.25" customHeight="1">
      <c r="Q39" s="283"/>
      <c r="R39" s="283"/>
      <c r="S39" s="3541" t="s">
        <v>85</v>
      </c>
      <c r="T39" s="3489" t="s">
        <v>690</v>
      </c>
      <c r="U39" s="212"/>
      <c r="V39" s="3542" t="s">
        <v>691</v>
      </c>
      <c r="W39" s="3543"/>
      <c r="X39" s="3543"/>
      <c r="Y39" s="3543"/>
      <c r="Z39" s="3543"/>
      <c r="AA39" s="3543"/>
      <c r="AB39" s="3544"/>
      <c r="AC39" s="3545" t="s">
        <v>692</v>
      </c>
      <c r="AD39" s="3542" t="s">
        <v>691</v>
      </c>
      <c r="AE39" s="3543"/>
      <c r="AF39" s="3543"/>
      <c r="AG39" s="3543"/>
      <c r="AH39" s="3543"/>
      <c r="AI39" s="3543"/>
      <c r="AJ39" s="3544"/>
      <c r="AK39" s="3545" t="s">
        <v>693</v>
      </c>
      <c r="AL39" s="3548" t="s">
        <v>694</v>
      </c>
      <c r="AM39" s="3401"/>
    </row>
    <row r="40" spans="1:44" ht="33.75" customHeight="1">
      <c r="Q40" s="283"/>
      <c r="R40" s="283"/>
      <c r="S40" s="3541"/>
      <c r="T40" s="3489"/>
      <c r="U40" s="901"/>
      <c r="V40" s="3458" t="s">
        <v>695</v>
      </c>
      <c r="W40" s="3537" t="s">
        <v>696</v>
      </c>
      <c r="X40" s="3383" t="s">
        <v>697</v>
      </c>
      <c r="Y40" s="3382"/>
      <c r="Z40" s="3383" t="s">
        <v>711</v>
      </c>
      <c r="AA40" s="3388"/>
      <c r="AB40" s="3382"/>
      <c r="AC40" s="3546"/>
      <c r="AD40" s="3458" t="s">
        <v>695</v>
      </c>
      <c r="AE40" s="3537" t="s">
        <v>696</v>
      </c>
      <c r="AF40" s="3383" t="s">
        <v>697</v>
      </c>
      <c r="AG40" s="3382"/>
      <c r="AH40" s="3383" t="s">
        <v>698</v>
      </c>
      <c r="AI40" s="3388"/>
      <c r="AJ40" s="3382"/>
      <c r="AK40" s="3546"/>
      <c r="AL40" s="3549"/>
      <c r="AM40" s="3401"/>
    </row>
    <row r="41" spans="1:44" ht="33.75" customHeight="1">
      <c r="A41" s="1231"/>
      <c r="B41" s="1231" t="s">
        <v>403</v>
      </c>
      <c r="C41" s="1231" t="s">
        <v>404</v>
      </c>
      <c r="D41" s="1231" t="s">
        <v>405</v>
      </c>
      <c r="E41" s="1225" t="s">
        <v>699</v>
      </c>
      <c r="F41" s="1225" t="s">
        <v>700</v>
      </c>
      <c r="G41" s="1225" t="s">
        <v>701</v>
      </c>
      <c r="H41" s="1225" t="s">
        <v>702</v>
      </c>
      <c r="I41" s="1225" t="s">
        <v>703</v>
      </c>
      <c r="J41" s="1225" t="s">
        <v>704</v>
      </c>
      <c r="K41" s="1225" t="s">
        <v>705</v>
      </c>
      <c r="L41" s="1225" t="s">
        <v>680</v>
      </c>
      <c r="Q41" s="283"/>
      <c r="R41" s="283"/>
      <c r="S41" s="3541"/>
      <c r="T41" s="3489"/>
      <c r="U41" s="213"/>
      <c r="V41" s="3514"/>
      <c r="W41" s="3538"/>
      <c r="X41" s="1088" t="s">
        <v>706</v>
      </c>
      <c r="Y41" s="1088" t="s">
        <v>707</v>
      </c>
      <c r="Z41" s="1200" t="s">
        <v>708</v>
      </c>
      <c r="AA41" s="3494" t="s">
        <v>709</v>
      </c>
      <c r="AB41" s="3508"/>
      <c r="AC41" s="3547"/>
      <c r="AD41" s="3514"/>
      <c r="AE41" s="3538"/>
      <c r="AF41" s="1088" t="s">
        <v>706</v>
      </c>
      <c r="AG41" s="1088" t="s">
        <v>707</v>
      </c>
      <c r="AH41" s="1200" t="s">
        <v>708</v>
      </c>
      <c r="AI41" s="3494" t="s">
        <v>709</v>
      </c>
      <c r="AJ41" s="3508"/>
      <c r="AK41" s="3547"/>
      <c r="AL41" s="3550"/>
      <c r="AM41" s="3401"/>
    </row>
    <row r="42" spans="1:44" s="1838" customFormat="1" ht="11.25" hidden="1" customHeight="1">
      <c r="A42" s="1231"/>
      <c r="B42" s="1231"/>
      <c r="C42" s="1231"/>
      <c r="D42" s="1231"/>
      <c r="E42" s="1231"/>
      <c r="F42" s="1231"/>
      <c r="G42" s="1231"/>
      <c r="H42" s="1231"/>
      <c r="I42" s="1231"/>
      <c r="J42" s="1231"/>
      <c r="K42" s="1231"/>
      <c r="L42" s="1225"/>
      <c r="M42" s="1223"/>
      <c r="N42" s="1223"/>
      <c r="O42" s="1223"/>
      <c r="P42" s="1112"/>
      <c r="Q42" s="1113"/>
      <c r="R42" s="1120">
        <v>1</v>
      </c>
      <c r="S42" s="1143" t="s">
        <v>106</v>
      </c>
      <c r="T42" s="1121" t="s">
        <v>107</v>
      </c>
      <c r="U42" s="1111" t="str">
        <f ca="1">OFFSET(U42,0,-1)</f>
        <v>2</v>
      </c>
      <c r="V42" s="1197">
        <f ca="1">OFFSET(V42,0,-1)+1</f>
        <v>3</v>
      </c>
      <c r="W42" s="1197"/>
      <c r="X42" s="1197">
        <f ca="1">OFFSET(X42,0,-1)+1</f>
        <v>1</v>
      </c>
      <c r="Y42" s="1197">
        <f ca="1">OFFSET(Y42,0,-1)+1</f>
        <v>2</v>
      </c>
      <c r="Z42" s="1197">
        <f ca="1">OFFSET(Z42,0,-1)+1</f>
        <v>3</v>
      </c>
      <c r="AA42" s="3539">
        <f ca="1">OFFSET(AA42,0,-1)+1</f>
        <v>4</v>
      </c>
      <c r="AB42" s="3539"/>
      <c r="AC42" s="1197">
        <f ca="1">OFFSET(AC42,0,-2)+1</f>
        <v>5</v>
      </c>
      <c r="AD42" s="1197">
        <f ca="1">OFFSET(AD42,0,-1)+1</f>
        <v>6</v>
      </c>
      <c r="AE42" s="1197"/>
      <c r="AF42" s="1197">
        <f ca="1">OFFSET(AF42,0,-1)+1</f>
        <v>1</v>
      </c>
      <c r="AG42" s="1197">
        <f ca="1">OFFSET(AG42,0,-1)+1</f>
        <v>2</v>
      </c>
      <c r="AH42" s="1197">
        <f ca="1">OFFSET(AH42,0,-1)+1</f>
        <v>3</v>
      </c>
      <c r="AI42" s="3539">
        <f ca="1">OFFSET(AI42,0,-1)+1</f>
        <v>4</v>
      </c>
      <c r="AJ42" s="3539"/>
      <c r="AK42" s="1197">
        <f ca="1">OFFSET(AK42,0,-2)+1</f>
        <v>5</v>
      </c>
      <c r="AL42" s="1111">
        <f ca="1">OFFSET(AL42,0,-1)</f>
        <v>5</v>
      </c>
      <c r="AM42" s="1197">
        <f ca="1">OFFSET(AM42,0,-1)+1</f>
        <v>6</v>
      </c>
      <c r="AN42" s="409"/>
      <c r="AO42" s="409"/>
      <c r="AP42" s="409"/>
      <c r="AQ42" s="409"/>
      <c r="AR42" s="409"/>
    </row>
    <row r="43" spans="1:44" ht="21" customHeight="1">
      <c r="A43" s="1224" t="s">
        <v>424</v>
      </c>
      <c r="B43" s="1224"/>
      <c r="C43" s="1224"/>
      <c r="D43" s="1224"/>
      <c r="E43" s="3528">
        <v>1</v>
      </c>
      <c r="F43" s="1224"/>
      <c r="G43" s="1224"/>
      <c r="H43" s="1224"/>
      <c r="I43" s="1224"/>
      <c r="J43" s="1224"/>
      <c r="K43" s="1224"/>
      <c r="L43" s="1225"/>
      <c r="M43" s="1226"/>
      <c r="N43" s="1226"/>
      <c r="O43" s="1226"/>
      <c r="P43" s="270"/>
      <c r="Q43" s="269"/>
      <c r="R43" s="264"/>
      <c r="S43" s="1198">
        <f>INDEX(PT_DIFFERENTIATION_NUM_NTAR,MATCH(A43,PT_DIFFERENTIATION_NTAR_ID,0))</f>
        <v>0</v>
      </c>
      <c r="T43" s="209" t="s">
        <v>391</v>
      </c>
      <c r="U43" s="211"/>
      <c r="V43" s="3522"/>
      <c r="W43" s="3523"/>
      <c r="X43" s="3523"/>
      <c r="Y43" s="3523"/>
      <c r="Z43" s="3523"/>
      <c r="AA43" s="3523"/>
      <c r="AB43" s="3523"/>
      <c r="AC43" s="3524"/>
      <c r="AD43" s="3522" t="str">
        <f>INDEX(PT_DIFFERENTIATION_NTAR,MATCH(A43,PT_DIFFERENTIATION_NTAR_ID,0))</f>
        <v/>
      </c>
      <c r="AE43" s="3523"/>
      <c r="AF43" s="3523"/>
      <c r="AG43" s="3523"/>
      <c r="AH43" s="3523"/>
      <c r="AI43" s="3523"/>
      <c r="AJ43" s="3523"/>
      <c r="AK43" s="3523"/>
      <c r="AL43" s="3524"/>
      <c r="AM43" s="112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398"/>
      <c r="AP43" s="398" t="str">
        <f t="shared" ref="AP43:AP57" si="1">IF(T43="","",T43)</f>
        <v>Наименование тарифа</v>
      </c>
      <c r="AQ43" s="398"/>
      <c r="AR43" s="398"/>
    </row>
    <row r="44" spans="1:44" ht="21" customHeight="1">
      <c r="A44" s="1224" t="s">
        <v>424</v>
      </c>
      <c r="B44" s="1224" t="s">
        <v>425</v>
      </c>
      <c r="C44" s="1224"/>
      <c r="D44" s="1224"/>
      <c r="E44" s="3529"/>
      <c r="F44" s="3528">
        <v>1</v>
      </c>
      <c r="G44" s="1224"/>
      <c r="H44" s="1224"/>
      <c r="I44" s="1224"/>
      <c r="J44" s="1224"/>
      <c r="K44" s="1224"/>
      <c r="L44" s="1225"/>
      <c r="M44" s="1226"/>
      <c r="N44" s="1226"/>
      <c r="O44" s="1226"/>
      <c r="P44" s="1194"/>
      <c r="Q44" s="261"/>
      <c r="R44" s="262"/>
      <c r="S44" s="1198" t="str">
        <f>INDEX(PT_DIFFERENTIATION_NUM_TER,MATCH(B44,PT_DIFFERENTIATION_TER_ID,0))</f>
        <v>.</v>
      </c>
      <c r="T44" s="219" t="s">
        <v>659</v>
      </c>
      <c r="U44" s="211"/>
      <c r="V44" s="3522"/>
      <c r="W44" s="3523"/>
      <c r="X44" s="3523"/>
      <c r="Y44" s="3523"/>
      <c r="Z44" s="3523"/>
      <c r="AA44" s="3523"/>
      <c r="AB44" s="3523"/>
      <c r="AC44" s="3524"/>
      <c r="AD44" s="3522" t="str">
        <f>INDEX(PT_DIFFERENTIATION_TER,MATCH(B44,PT_DIFFERENTIATION_TER_ID,0))</f>
        <v/>
      </c>
      <c r="AE44" s="3523"/>
      <c r="AF44" s="3523"/>
      <c r="AG44" s="3523"/>
      <c r="AH44" s="3523"/>
      <c r="AI44" s="3523"/>
      <c r="AJ44" s="3523"/>
      <c r="AK44" s="3523"/>
      <c r="AL44" s="3524"/>
      <c r="AM44" s="1124" t="s">
        <v>660</v>
      </c>
      <c r="AO44" s="398"/>
      <c r="AP44" s="398" t="str">
        <f t="shared" si="1"/>
        <v>Территория действия тарифа</v>
      </c>
      <c r="AQ44" s="398"/>
      <c r="AR44" s="398"/>
    </row>
    <row r="45" spans="1:44" ht="23.25" customHeight="1">
      <c r="A45" s="1224" t="s">
        <v>424</v>
      </c>
      <c r="B45" s="1224" t="s">
        <v>425</v>
      </c>
      <c r="C45" s="1224" t="s">
        <v>426</v>
      </c>
      <c r="D45" s="1224"/>
      <c r="E45" s="3529"/>
      <c r="F45" s="3529"/>
      <c r="G45" s="3528">
        <v>1</v>
      </c>
      <c r="H45" s="1224"/>
      <c r="I45" s="1224"/>
      <c r="J45" s="1224"/>
      <c r="K45" s="1224"/>
      <c r="L45" s="1225"/>
      <c r="M45" s="1226"/>
      <c r="N45" s="1226"/>
      <c r="O45" s="1226"/>
      <c r="P45" s="263"/>
      <c r="Q45" s="261"/>
      <c r="R45" s="262"/>
      <c r="S45" s="1198" t="str">
        <f>INDEX(PT_DIFFERENTIATION_NUM_CS,MATCH(C45,PT_DIFFERENTIATION_CS_ID,0))</f>
        <v>..</v>
      </c>
      <c r="T45" s="220" t="s">
        <v>661</v>
      </c>
      <c r="U45" s="211"/>
      <c r="V45" s="3522"/>
      <c r="W45" s="3523"/>
      <c r="X45" s="3523"/>
      <c r="Y45" s="3523"/>
      <c r="Z45" s="3523"/>
      <c r="AA45" s="3523"/>
      <c r="AB45" s="3523"/>
      <c r="AC45" s="3524"/>
      <c r="AD45" s="3522" t="str">
        <f>INDEX(PT_DIFFERENTIATION_CS,MATCH(C45,PT_DIFFERENTIATION_CS_ID,0))</f>
        <v/>
      </c>
      <c r="AE45" s="3523"/>
      <c r="AF45" s="3523"/>
      <c r="AG45" s="3523"/>
      <c r="AH45" s="3523"/>
      <c r="AI45" s="3523"/>
      <c r="AJ45" s="3523"/>
      <c r="AK45" s="3523"/>
      <c r="AL45" s="3524"/>
      <c r="AM45" s="1124" t="s">
        <v>662</v>
      </c>
      <c r="AO45" s="398"/>
      <c r="AP45" s="398" t="str">
        <f t="shared" si="1"/>
        <v xml:space="preserve">Наименование системы теплоснабжения </v>
      </c>
      <c r="AQ45" s="398"/>
      <c r="AR45" s="398"/>
    </row>
    <row r="46" spans="1:44" ht="21" customHeight="1">
      <c r="A46" s="1224" t="s">
        <v>424</v>
      </c>
      <c r="B46" s="1224" t="s">
        <v>425</v>
      </c>
      <c r="C46" s="1224" t="s">
        <v>426</v>
      </c>
      <c r="D46" s="1224" t="s">
        <v>427</v>
      </c>
      <c r="E46" s="3529"/>
      <c r="F46" s="3529"/>
      <c r="G46" s="3529"/>
      <c r="H46" s="3528">
        <v>1</v>
      </c>
      <c r="I46" s="1224"/>
      <c r="J46" s="1224"/>
      <c r="K46" s="1224"/>
      <c r="L46" s="1225"/>
      <c r="M46" s="1226"/>
      <c r="N46" s="1226"/>
      <c r="O46" s="1226"/>
      <c r="P46" s="263"/>
      <c r="Q46" s="261"/>
      <c r="R46" s="262"/>
      <c r="S46" s="1198" t="str">
        <f>INDEX(PT_DIFFERENTIATION_NUM_IST_TE,MATCH(D46,PT_DIFFERENTIATION_IST_TE_ID,0))</f>
        <v>...</v>
      </c>
      <c r="T46" s="221" t="s">
        <v>663</v>
      </c>
      <c r="U46" s="211"/>
      <c r="V46" s="3522"/>
      <c r="W46" s="3523"/>
      <c r="X46" s="3523"/>
      <c r="Y46" s="3523"/>
      <c r="Z46" s="3523"/>
      <c r="AA46" s="3523"/>
      <c r="AB46" s="3523"/>
      <c r="AC46" s="3524"/>
      <c r="AD46" s="3522" t="str">
        <f>INDEX(PT_DIFFERENTIATION_IST_TE,MATCH(D46,PT_DIFFERENTIATION_IST_TE_ID,0))</f>
        <v/>
      </c>
      <c r="AE46" s="3523"/>
      <c r="AF46" s="3523"/>
      <c r="AG46" s="3523"/>
      <c r="AH46" s="3523"/>
      <c r="AI46" s="3523"/>
      <c r="AJ46" s="3523"/>
      <c r="AK46" s="3523"/>
      <c r="AL46" s="3524"/>
      <c r="AM46" s="1124" t="s">
        <v>664</v>
      </c>
      <c r="AO46" s="398"/>
      <c r="AP46" s="398" t="str">
        <f t="shared" si="1"/>
        <v xml:space="preserve">Источник тепловой энергии  </v>
      </c>
      <c r="AQ46" s="398"/>
      <c r="AR46" s="398"/>
    </row>
    <row r="47" spans="1:44" ht="47.25" customHeight="1">
      <c r="A47" s="1224" t="s">
        <v>424</v>
      </c>
      <c r="B47" s="1224" t="s">
        <v>425</v>
      </c>
      <c r="C47" s="1224" t="s">
        <v>426</v>
      </c>
      <c r="D47" s="1224" t="s">
        <v>427</v>
      </c>
      <c r="E47" s="3529"/>
      <c r="F47" s="3529"/>
      <c r="G47" s="3529"/>
      <c r="H47" s="3529"/>
      <c r="I47" s="3530" t="str">
        <f>S46&amp;".1"</f>
        <v>....1</v>
      </c>
      <c r="J47" s="1224"/>
      <c r="K47" s="1224"/>
      <c r="L47" s="1225" t="s">
        <v>665</v>
      </c>
      <c r="P47" s="3532">
        <v>1</v>
      </c>
      <c r="Q47" s="1193"/>
      <c r="R47" s="265"/>
      <c r="S47" s="1198" t="str">
        <f>$I47</f>
        <v>....1</v>
      </c>
      <c r="T47" s="197" t="s">
        <v>666</v>
      </c>
      <c r="U47" s="211"/>
      <c r="V47" s="3516"/>
      <c r="W47" s="3517"/>
      <c r="X47" s="3517"/>
      <c r="Y47" s="3517"/>
      <c r="Z47" s="3517"/>
      <c r="AA47" s="3517"/>
      <c r="AB47" s="3517"/>
      <c r="AC47" s="3518"/>
      <c r="AD47" s="3516"/>
      <c r="AE47" s="3517"/>
      <c r="AF47" s="3517"/>
      <c r="AG47" s="3517"/>
      <c r="AH47" s="3517"/>
      <c r="AI47" s="3517"/>
      <c r="AJ47" s="3517"/>
      <c r="AK47" s="3517"/>
      <c r="AL47" s="3518"/>
      <c r="AM47" s="1124" t="s">
        <v>667</v>
      </c>
      <c r="AO47" s="398"/>
      <c r="AP47" s="398" t="str">
        <f t="shared" si="1"/>
        <v>Схема подключения теплопотребляющей установки к коллектору источника тепловой энергии</v>
      </c>
      <c r="AQ47" s="398"/>
      <c r="AR47" s="398"/>
    </row>
    <row r="48" spans="1:44" ht="21" customHeight="1">
      <c r="A48" s="1224" t="s">
        <v>424</v>
      </c>
      <c r="B48" s="1224" t="s">
        <v>425</v>
      </c>
      <c r="C48" s="1224" t="s">
        <v>426</v>
      </c>
      <c r="D48" s="1224" t="s">
        <v>427</v>
      </c>
      <c r="E48" s="3529"/>
      <c r="F48" s="3529"/>
      <c r="G48" s="3529"/>
      <c r="H48" s="3529"/>
      <c r="I48" s="3531"/>
      <c r="J48" s="3530" t="str">
        <f>I47&amp;".1"</f>
        <v>....1.1</v>
      </c>
      <c r="K48" s="1224"/>
      <c r="L48" s="1225" t="s">
        <v>668</v>
      </c>
      <c r="P48" s="3532"/>
      <c r="Q48" s="3532">
        <v>1</v>
      </c>
      <c r="R48" s="266"/>
      <c r="S48" s="1198" t="str">
        <f>$J48</f>
        <v>....1.1</v>
      </c>
      <c r="T48" s="198" t="s">
        <v>669</v>
      </c>
      <c r="U48" s="211"/>
      <c r="V48" s="3516"/>
      <c r="W48" s="3517"/>
      <c r="X48" s="3517"/>
      <c r="Y48" s="3517"/>
      <c r="Z48" s="3517"/>
      <c r="AA48" s="3517"/>
      <c r="AB48" s="3517"/>
      <c r="AC48" s="3518"/>
      <c r="AD48" s="3516"/>
      <c r="AE48" s="3517"/>
      <c r="AF48" s="3517"/>
      <c r="AG48" s="3517"/>
      <c r="AH48" s="3517"/>
      <c r="AI48" s="3517"/>
      <c r="AJ48" s="3517"/>
      <c r="AK48" s="3517"/>
      <c r="AL48" s="3518"/>
      <c r="AM48" s="1124" t="s">
        <v>670</v>
      </c>
      <c r="AO48" s="398"/>
      <c r="AP48" s="398" t="str">
        <f t="shared" si="1"/>
        <v>Группа потребителей</v>
      </c>
      <c r="AQ48" s="398"/>
      <c r="AR48" s="398"/>
    </row>
    <row r="49" spans="1:44" ht="21" customHeight="1">
      <c r="A49" s="1224" t="s">
        <v>424</v>
      </c>
      <c r="B49" s="1224" t="s">
        <v>425</v>
      </c>
      <c r="C49" s="1224" t="s">
        <v>426</v>
      </c>
      <c r="D49" s="1224" t="s">
        <v>427</v>
      </c>
      <c r="E49" s="3529"/>
      <c r="F49" s="3529"/>
      <c r="G49" s="3529"/>
      <c r="H49" s="3529"/>
      <c r="I49" s="3531"/>
      <c r="J49" s="3531"/>
      <c r="K49" s="3530" t="str">
        <f>J48&amp;".1"</f>
        <v>....1.1.1</v>
      </c>
      <c r="L49" s="1225" t="s">
        <v>671</v>
      </c>
      <c r="P49" s="3532"/>
      <c r="Q49" s="3532"/>
      <c r="R49" s="266">
        <v>1</v>
      </c>
      <c r="S49" s="1198" t="str">
        <f>$K49</f>
        <v>....1.1.1</v>
      </c>
      <c r="T49" s="1209"/>
      <c r="U49" s="211"/>
      <c r="V49" s="639"/>
      <c r="W49" s="236"/>
      <c r="X49" s="639"/>
      <c r="Y49" s="1123"/>
      <c r="Z49" s="3533"/>
      <c r="AA49" s="3412" t="s">
        <v>64</v>
      </c>
      <c r="AB49" s="3533"/>
      <c r="AC49" s="3412" t="s">
        <v>64</v>
      </c>
      <c r="AD49" s="639"/>
      <c r="AE49" s="236"/>
      <c r="AF49" s="639"/>
      <c r="AG49" s="1123"/>
      <c r="AH49" s="3533"/>
      <c r="AI49" s="3412" t="s">
        <v>64</v>
      </c>
      <c r="AJ49" s="3535"/>
      <c r="AK49" s="3412" t="s">
        <v>64</v>
      </c>
      <c r="AL49" s="1210"/>
      <c r="AM49" s="3551" t="s">
        <v>672</v>
      </c>
      <c r="AN49" s="409" t="e">
        <f ca="1">STRCHECKDATE(V50:AL50)</f>
        <v>#NAME?</v>
      </c>
      <c r="AO49" s="398"/>
      <c r="AP49" s="398" t="str">
        <f t="shared" si="1"/>
        <v/>
      </c>
      <c r="AQ49" s="398"/>
      <c r="AR49" s="398"/>
    </row>
    <row r="50" spans="1:44" ht="0.75" customHeight="1">
      <c r="A50" s="1224" t="s">
        <v>424</v>
      </c>
      <c r="B50" s="1224" t="s">
        <v>425</v>
      </c>
      <c r="C50" s="1224" t="s">
        <v>426</v>
      </c>
      <c r="D50" s="1224" t="s">
        <v>427</v>
      </c>
      <c r="E50" s="3529"/>
      <c r="F50" s="3529"/>
      <c r="G50" s="3529"/>
      <c r="H50" s="3529"/>
      <c r="I50" s="3531"/>
      <c r="J50" s="3531"/>
      <c r="K50" s="3530"/>
      <c r="L50" s="1225"/>
      <c r="P50" s="3532"/>
      <c r="Q50" s="3532"/>
      <c r="R50" s="266"/>
      <c r="S50" s="1204"/>
      <c r="T50" s="211"/>
      <c r="U50" s="211"/>
      <c r="V50" s="236"/>
      <c r="W50" s="236"/>
      <c r="X50" s="236"/>
      <c r="Y50" s="239" t="str">
        <f>Z49&amp;"-"&amp;AB49</f>
        <v>-</v>
      </c>
      <c r="Z50" s="3534"/>
      <c r="AA50" s="3412"/>
      <c r="AB50" s="3534"/>
      <c r="AC50" s="3412"/>
      <c r="AD50" s="236"/>
      <c r="AE50" s="236"/>
      <c r="AF50" s="236"/>
      <c r="AG50" s="239" t="str">
        <f>AH49&amp;"-"&amp;AJ49</f>
        <v>-</v>
      </c>
      <c r="AH50" s="3534"/>
      <c r="AI50" s="3412"/>
      <c r="AJ50" s="3536"/>
      <c r="AK50" s="3412"/>
      <c r="AL50" s="1211"/>
      <c r="AM50" s="3552"/>
      <c r="AO50" s="398"/>
      <c r="AP50" s="398" t="str">
        <f t="shared" si="1"/>
        <v/>
      </c>
      <c r="AQ50" s="398"/>
      <c r="AR50" s="398"/>
    </row>
    <row r="51" spans="1:44" ht="11.25" customHeight="1">
      <c r="A51" s="1224" t="s">
        <v>424</v>
      </c>
      <c r="B51" s="1224" t="s">
        <v>425</v>
      </c>
      <c r="C51" s="1224" t="s">
        <v>426</v>
      </c>
      <c r="D51" s="1224" t="s">
        <v>427</v>
      </c>
      <c r="E51" s="3529"/>
      <c r="F51" s="3529"/>
      <c r="G51" s="3529"/>
      <c r="H51" s="3529"/>
      <c r="I51" s="3531"/>
      <c r="J51" s="3530"/>
      <c r="K51" s="1224"/>
      <c r="L51" s="1225"/>
      <c r="P51" s="3532"/>
      <c r="Q51" s="3532"/>
      <c r="R51" s="265"/>
      <c r="S51" s="1144"/>
      <c r="T51" s="200" t="s">
        <v>673</v>
      </c>
      <c r="U51" s="275"/>
      <c r="V51" s="275"/>
      <c r="W51" s="275"/>
      <c r="X51" s="275"/>
      <c r="Y51" s="275"/>
      <c r="Z51" s="275"/>
      <c r="AA51" s="275"/>
      <c r="AB51" s="275"/>
      <c r="AC51" s="275"/>
      <c r="AD51" s="275"/>
      <c r="AE51" s="275"/>
      <c r="AF51" s="275"/>
      <c r="AG51" s="275"/>
      <c r="AH51" s="275"/>
      <c r="AI51" s="275"/>
      <c r="AJ51" s="275"/>
      <c r="AK51" s="275"/>
      <c r="AL51" s="235"/>
      <c r="AM51" s="3553"/>
      <c r="AO51" s="398"/>
      <c r="AP51" s="398" t="str">
        <f t="shared" si="1"/>
        <v>Добавить вид теплоносителя (параметры теплоносителя)</v>
      </c>
      <c r="AQ51" s="398"/>
      <c r="AR51" s="398"/>
    </row>
    <row r="52" spans="1:44" ht="11.25" customHeight="1">
      <c r="A52" s="1224" t="s">
        <v>424</v>
      </c>
      <c r="B52" s="1224" t="s">
        <v>425</v>
      </c>
      <c r="C52" s="1224" t="s">
        <v>426</v>
      </c>
      <c r="D52" s="1224" t="s">
        <v>427</v>
      </c>
      <c r="E52" s="3529"/>
      <c r="F52" s="3529"/>
      <c r="G52" s="3529"/>
      <c r="H52" s="3529"/>
      <c r="I52" s="3530"/>
      <c r="J52" s="1224"/>
      <c r="K52" s="1224"/>
      <c r="L52" s="1225"/>
      <c r="P52" s="3532"/>
      <c r="Q52" s="1193"/>
      <c r="R52" s="265"/>
      <c r="S52" s="1144"/>
      <c r="T52" s="199" t="s">
        <v>674</v>
      </c>
      <c r="U52" s="275"/>
      <c r="V52" s="275"/>
      <c r="W52" s="275"/>
      <c r="X52" s="275"/>
      <c r="Y52" s="275"/>
      <c r="Z52" s="275"/>
      <c r="AA52" s="275"/>
      <c r="AB52" s="275"/>
      <c r="AC52" s="274"/>
      <c r="AD52" s="275"/>
      <c r="AE52" s="275"/>
      <c r="AF52" s="275"/>
      <c r="AG52" s="275"/>
      <c r="AH52" s="275"/>
      <c r="AI52" s="275"/>
      <c r="AJ52" s="275"/>
      <c r="AK52" s="274"/>
      <c r="AL52" s="275"/>
      <c r="AM52" s="214"/>
      <c r="AO52" s="398"/>
      <c r="AP52" s="398" t="str">
        <f t="shared" si="1"/>
        <v>Добавить группу потребителей</v>
      </c>
      <c r="AQ52" s="398"/>
      <c r="AR52" s="398"/>
    </row>
    <row r="53" spans="1:44" ht="14.25" customHeight="1">
      <c r="A53" s="1224" t="s">
        <v>424</v>
      </c>
      <c r="B53" s="1224" t="s">
        <v>425</v>
      </c>
      <c r="C53" s="1224" t="s">
        <v>426</v>
      </c>
      <c r="D53" s="1224" t="s">
        <v>427</v>
      </c>
      <c r="E53" s="3529"/>
      <c r="F53" s="3529"/>
      <c r="G53" s="3529"/>
      <c r="H53" s="3528"/>
      <c r="I53" s="1224"/>
      <c r="J53" s="1224"/>
      <c r="K53" s="1224"/>
      <c r="L53" s="1225"/>
      <c r="M53" s="1226"/>
      <c r="N53" s="1226"/>
      <c r="O53" s="434"/>
      <c r="P53" s="269"/>
      <c r="Q53" s="282"/>
      <c r="R53" s="264"/>
      <c r="S53" s="1144"/>
      <c r="T53" s="273" t="s">
        <v>675</v>
      </c>
      <c r="U53" s="275"/>
      <c r="V53" s="275"/>
      <c r="W53" s="275"/>
      <c r="X53" s="275"/>
      <c r="Y53" s="275"/>
      <c r="Z53" s="275"/>
      <c r="AA53" s="275"/>
      <c r="AB53" s="275"/>
      <c r="AC53" s="274"/>
      <c r="AD53" s="275"/>
      <c r="AE53" s="275"/>
      <c r="AF53" s="275"/>
      <c r="AG53" s="275"/>
      <c r="AH53" s="275"/>
      <c r="AI53" s="275"/>
      <c r="AJ53" s="275"/>
      <c r="AK53" s="274"/>
      <c r="AL53" s="275"/>
      <c r="AM53" s="214"/>
      <c r="AO53" s="398"/>
      <c r="AP53" s="398" t="str">
        <f t="shared" si="1"/>
        <v>Добавить схему подключения</v>
      </c>
      <c r="AQ53" s="398"/>
      <c r="AR53" s="398"/>
    </row>
    <row r="54" spans="1:44" s="1866" customFormat="1" ht="0.75" customHeight="1">
      <c r="A54" s="1205" t="s">
        <v>424</v>
      </c>
      <c r="B54" s="1205" t="s">
        <v>425</v>
      </c>
      <c r="C54" s="1205" t="s">
        <v>426</v>
      </c>
      <c r="D54" s="1177"/>
      <c r="E54" s="3529"/>
      <c r="F54" s="3529"/>
      <c r="G54" s="3528"/>
      <c r="H54" s="1177"/>
      <c r="I54" s="1177"/>
      <c r="J54" s="1177"/>
      <c r="K54" s="1177"/>
      <c r="L54" s="1201"/>
      <c r="M54" s="1178"/>
      <c r="N54" s="1178"/>
      <c r="P54" s="1179"/>
      <c r="Q54" s="1180"/>
      <c r="R54" s="1179"/>
      <c r="S54" s="1185"/>
      <c r="T54" s="1188" t="s">
        <v>676</v>
      </c>
      <c r="U54" s="1187"/>
      <c r="V54" s="1187"/>
      <c r="W54" s="1187"/>
      <c r="X54" s="1187"/>
      <c r="Y54" s="1187"/>
      <c r="Z54" s="1187"/>
      <c r="AA54" s="1187"/>
      <c r="AB54" s="1187"/>
      <c r="AC54" s="1187"/>
      <c r="AD54" s="1187"/>
      <c r="AE54" s="1187"/>
      <c r="AF54" s="1187"/>
      <c r="AG54" s="1187"/>
      <c r="AH54" s="1187"/>
      <c r="AI54" s="1187"/>
      <c r="AJ54" s="1187"/>
      <c r="AK54" s="1187"/>
      <c r="AL54" s="1187"/>
      <c r="AM54" s="1187"/>
      <c r="AO54" s="670"/>
      <c r="AP54" s="670" t="str">
        <f t="shared" si="1"/>
        <v>Добавить источник для дифференциации</v>
      </c>
      <c r="AQ54" s="670"/>
      <c r="AR54" s="670"/>
    </row>
    <row r="55" spans="1:44" s="1866" customFormat="1" ht="0.75" customHeight="1">
      <c r="A55" s="1205" t="s">
        <v>424</v>
      </c>
      <c r="B55" s="1205" t="s">
        <v>425</v>
      </c>
      <c r="C55" s="1177"/>
      <c r="D55" s="1177"/>
      <c r="E55" s="3529"/>
      <c r="F55" s="3528"/>
      <c r="G55" s="1177"/>
      <c r="H55" s="1177"/>
      <c r="I55" s="1177"/>
      <c r="J55" s="1177"/>
      <c r="K55" s="1177"/>
      <c r="L55" s="1201"/>
      <c r="M55" s="1184"/>
      <c r="N55" s="1184"/>
      <c r="P55" s="1179"/>
      <c r="Q55" s="1180"/>
      <c r="R55" s="1179"/>
      <c r="S55" s="1185"/>
      <c r="T55" s="1188" t="s">
        <v>677</v>
      </c>
      <c r="U55" s="1187"/>
      <c r="V55" s="1187"/>
      <c r="W55" s="1187"/>
      <c r="X55" s="1187"/>
      <c r="Y55" s="1187"/>
      <c r="Z55" s="1187"/>
      <c r="AA55" s="1187"/>
      <c r="AB55" s="1187"/>
      <c r="AC55" s="1187"/>
      <c r="AD55" s="1187"/>
      <c r="AE55" s="1187"/>
      <c r="AF55" s="1187"/>
      <c r="AG55" s="1187"/>
      <c r="AH55" s="1187"/>
      <c r="AI55" s="1187"/>
      <c r="AJ55" s="1187"/>
      <c r="AK55" s="1187"/>
      <c r="AL55" s="1187"/>
      <c r="AM55" s="1187"/>
      <c r="AO55" s="670"/>
      <c r="AP55" s="670" t="str">
        <f t="shared" si="1"/>
        <v>Добавить централизованную систему для дифференциации</v>
      </c>
      <c r="AQ55" s="670"/>
      <c r="AR55" s="670"/>
    </row>
    <row r="56" spans="1:44" s="1866" customFormat="1" ht="0.75" customHeight="1">
      <c r="A56" s="1205" t="s">
        <v>424</v>
      </c>
      <c r="B56" s="1205"/>
      <c r="C56" s="1205"/>
      <c r="D56" s="1205"/>
      <c r="E56" s="3528"/>
      <c r="F56" s="1205"/>
      <c r="G56" s="1205"/>
      <c r="H56" s="1205"/>
      <c r="I56" s="1205"/>
      <c r="J56" s="1205"/>
      <c r="K56" s="1205"/>
      <c r="L56" s="1208"/>
      <c r="M56" s="1184"/>
      <c r="N56" s="1184"/>
      <c r="O56" s="416"/>
      <c r="P56" s="287"/>
      <c r="Q56" s="1206"/>
      <c r="R56" s="287"/>
      <c r="S56" s="1185"/>
      <c r="T56" s="1188" t="s">
        <v>678</v>
      </c>
      <c r="U56" s="1187"/>
      <c r="V56" s="1187"/>
      <c r="W56" s="1187"/>
      <c r="X56" s="1187"/>
      <c r="Y56" s="1187"/>
      <c r="Z56" s="1187"/>
      <c r="AA56" s="1187"/>
      <c r="AB56" s="1187"/>
      <c r="AC56" s="1187"/>
      <c r="AD56" s="1187"/>
      <c r="AE56" s="1187"/>
      <c r="AF56" s="1187"/>
      <c r="AG56" s="1187"/>
      <c r="AH56" s="1187"/>
      <c r="AI56" s="1187"/>
      <c r="AJ56" s="1187"/>
      <c r="AK56" s="1187"/>
      <c r="AL56" s="1187"/>
      <c r="AM56" s="1187"/>
      <c r="AO56" s="398"/>
      <c r="AP56" s="398" t="str">
        <f t="shared" si="1"/>
        <v>Добавить территорию для дифференциации</v>
      </c>
      <c r="AQ56" s="398"/>
      <c r="AR56" s="398"/>
    </row>
    <row r="57" spans="1:44" s="1866" customFormat="1" ht="0.75" customHeight="1">
      <c r="A57" s="1177"/>
      <c r="B57" s="1177"/>
      <c r="C57" s="1177"/>
      <c r="D57" s="1177"/>
      <c r="E57" s="1205"/>
      <c r="F57" s="1177"/>
      <c r="G57" s="1177"/>
      <c r="H57" s="1177"/>
      <c r="I57" s="1177"/>
      <c r="J57" s="1177"/>
      <c r="K57" s="1177"/>
      <c r="L57" s="1201"/>
      <c r="M57" s="1184"/>
      <c r="N57" s="1184"/>
      <c r="P57" s="1179"/>
      <c r="Q57" s="1180"/>
      <c r="R57" s="1179"/>
      <c r="S57" s="1185"/>
      <c r="T57" s="1188" t="s">
        <v>710</v>
      </c>
      <c r="U57" s="1187"/>
      <c r="V57" s="1187"/>
      <c r="W57" s="1187"/>
      <c r="X57" s="1187"/>
      <c r="Y57" s="1187"/>
      <c r="Z57" s="1187"/>
      <c r="AA57" s="1187"/>
      <c r="AB57" s="1187"/>
      <c r="AC57" s="1187"/>
      <c r="AD57" s="1187"/>
      <c r="AE57" s="1187"/>
      <c r="AF57" s="1187"/>
      <c r="AG57" s="1187"/>
      <c r="AH57" s="1187"/>
      <c r="AI57" s="1187"/>
      <c r="AJ57" s="1187"/>
      <c r="AK57" s="1187"/>
      <c r="AL57" s="1187"/>
      <c r="AM57" s="1187"/>
      <c r="AO57" s="670"/>
      <c r="AP57" s="670" t="str">
        <f t="shared" si="1"/>
        <v>Добавить наименование тарифа</v>
      </c>
      <c r="AQ57" s="670"/>
      <c r="AR57" s="670"/>
    </row>
    <row r="58" spans="1:44" ht="11.25" customHeight="1">
      <c r="M58" s="1023"/>
      <c r="N58" s="1023"/>
      <c r="O58" s="434"/>
      <c r="P58" s="1018"/>
      <c r="Q58" s="1018"/>
      <c r="R58" s="1018"/>
      <c r="S58" s="1018"/>
      <c r="AN58" s="1018"/>
      <c r="AO58" s="1018"/>
      <c r="AP58" s="1018"/>
      <c r="AQ58" s="1018"/>
      <c r="AR58" s="1018"/>
    </row>
    <row r="59" spans="1:44" ht="27" customHeight="1">
      <c r="O59" s="434"/>
      <c r="S59" s="1119"/>
      <c r="T59" s="3527"/>
      <c r="U59" s="3527"/>
      <c r="V59" s="3527"/>
      <c r="W59" s="3527"/>
      <c r="X59" s="3527"/>
      <c r="Y59" s="3527"/>
      <c r="Z59" s="3527"/>
      <c r="AA59" s="3527"/>
      <c r="AB59" s="3527"/>
      <c r="AC59" s="3527"/>
      <c r="AD59" s="3527"/>
      <c r="AE59" s="3527"/>
      <c r="AF59" s="3527"/>
      <c r="AG59" s="3527"/>
      <c r="AH59" s="3527"/>
      <c r="AI59" s="3527"/>
      <c r="AJ59" s="3527"/>
      <c r="AK59" s="3527"/>
      <c r="AL59" s="3527"/>
      <c r="AM59" s="3527"/>
    </row>
    <row r="60" spans="1:44" ht="62.25" customHeight="1">
      <c r="O60" s="434"/>
      <c r="T60" s="3527"/>
      <c r="U60" s="3527"/>
      <c r="V60" s="3527"/>
      <c r="W60" s="3527"/>
      <c r="X60" s="3527"/>
      <c r="Y60" s="3527"/>
      <c r="Z60" s="3527"/>
      <c r="AA60" s="3527"/>
      <c r="AB60" s="3527"/>
      <c r="AC60" s="3527"/>
      <c r="AD60" s="3527"/>
      <c r="AE60" s="3527"/>
      <c r="AF60" s="3527"/>
      <c r="AG60" s="3527"/>
      <c r="AH60" s="3527"/>
      <c r="AI60" s="3527"/>
      <c r="AJ60" s="3527"/>
      <c r="AK60" s="3527"/>
      <c r="AL60" s="3527"/>
      <c r="AM60" s="3527"/>
    </row>
    <row r="61" spans="1:44" ht="14.25" customHeight="1">
      <c r="O61" s="434"/>
    </row>
    <row r="62" spans="1:44" ht="18" customHeight="1">
      <c r="O62" s="434"/>
      <c r="S62" s="1119"/>
      <c r="T62" s="3527"/>
      <c r="U62" s="3527"/>
      <c r="V62" s="3527"/>
      <c r="W62" s="3527"/>
      <c r="X62" s="3527"/>
      <c r="Y62" s="3527"/>
      <c r="Z62" s="3527"/>
      <c r="AA62" s="3527"/>
      <c r="AB62" s="3527"/>
      <c r="AC62" s="3527"/>
      <c r="AD62" s="3527"/>
      <c r="AE62" s="3527"/>
      <c r="AF62" s="3527"/>
      <c r="AG62" s="3527"/>
      <c r="AH62" s="3527"/>
      <c r="AI62" s="3527"/>
      <c r="AJ62" s="3527"/>
      <c r="AK62" s="3527"/>
      <c r="AL62" s="3527"/>
      <c r="AM62" s="3527"/>
    </row>
    <row r="63" spans="1:44" ht="18" customHeight="1">
      <c r="O63" s="434"/>
      <c r="T63" s="3527"/>
      <c r="U63" s="3527"/>
      <c r="V63" s="3527"/>
      <c r="W63" s="3527"/>
      <c r="X63" s="3527"/>
      <c r="Y63" s="3527"/>
      <c r="Z63" s="3527"/>
      <c r="AA63" s="3527"/>
      <c r="AB63" s="3527"/>
      <c r="AC63" s="3527"/>
      <c r="AD63" s="3527"/>
      <c r="AE63" s="3527"/>
      <c r="AF63" s="3527"/>
      <c r="AG63" s="3527"/>
      <c r="AH63" s="3527"/>
      <c r="AI63" s="3527"/>
      <c r="AJ63" s="3527"/>
      <c r="AK63" s="3527"/>
      <c r="AL63" s="3527"/>
      <c r="AM63" s="3527"/>
    </row>
    <row r="64" spans="1:44" ht="27.75" customHeight="1">
      <c r="O64" s="434"/>
      <c r="S64" s="1119"/>
      <c r="T64" s="3527"/>
      <c r="U64" s="3527"/>
      <c r="V64" s="3527"/>
      <c r="W64" s="3527"/>
      <c r="X64" s="3527"/>
      <c r="Y64" s="3527"/>
      <c r="Z64" s="3527"/>
      <c r="AA64" s="3527"/>
      <c r="AB64" s="3527"/>
      <c r="AC64" s="3527"/>
      <c r="AD64" s="3527"/>
      <c r="AE64" s="3527"/>
      <c r="AF64" s="3527"/>
      <c r="AG64" s="3527"/>
      <c r="AH64" s="3527"/>
      <c r="AI64" s="3527"/>
      <c r="AJ64" s="3527"/>
      <c r="AK64" s="3527"/>
      <c r="AL64" s="3527"/>
      <c r="AM64" s="3527"/>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6418D-6097-18EF-2E42-D7863BFF3527}">
  <sheetPr>
    <tabColor theme="6" tint="0.39997558519241921"/>
  </sheetPr>
  <dimension ref="A1:AR64"/>
  <sheetViews>
    <sheetView showGridLines="0" topLeftCell="P25" workbookViewId="0"/>
  </sheetViews>
  <sheetFormatPr defaultColWidth="10.5703125" defaultRowHeight="14.25" customHeight="1"/>
  <cols>
    <col min="1" max="1" width="10.5703125" style="1910" hidden="1"/>
    <col min="2" max="2" width="11" style="1910" hidden="1" customWidth="1"/>
    <col min="3" max="3" width="10.5703125" style="1910" hidden="1"/>
    <col min="4" max="4" width="11.85546875" style="1910" hidden="1" customWidth="1"/>
    <col min="5" max="5" width="10" style="1910" hidden="1" customWidth="1"/>
    <col min="6" max="6" width="8.7109375" style="1910" hidden="1" customWidth="1"/>
    <col min="7" max="7" width="7.5703125" style="1910" hidden="1" customWidth="1"/>
    <col min="8" max="8" width="11.42578125" style="1910" hidden="1" customWidth="1"/>
    <col min="9" max="9" width="12" style="1910" hidden="1" customWidth="1"/>
    <col min="10" max="10" width="9.85546875" style="1910" hidden="1" customWidth="1"/>
    <col min="11" max="11" width="11.42578125" style="1910" hidden="1" customWidth="1"/>
    <col min="12" max="12" width="19.140625" style="1952" hidden="1" customWidth="1"/>
    <col min="13" max="14" width="12.28515625" style="1957" hidden="1" customWidth="1"/>
    <col min="15" max="15" width="23.42578125" style="1957" hidden="1" customWidth="1"/>
    <col min="16" max="16" width="3.7109375" style="1957" customWidth="1"/>
    <col min="17" max="18" width="3.7109375" style="1906" customWidth="1"/>
    <col min="19" max="19" width="12.7109375" style="1951" customWidth="1"/>
    <col min="20" max="20" width="32" style="1910" customWidth="1"/>
    <col min="21" max="21" width="0.140625" style="1910" customWidth="1"/>
    <col min="22" max="22" width="24.7109375" style="1910" hidden="1" customWidth="1"/>
    <col min="23" max="23" width="0.140625" style="1910" hidden="1" customWidth="1"/>
    <col min="24" max="25" width="24.7109375" style="1910" hidden="1" customWidth="1"/>
    <col min="26" max="26" width="11.7109375" style="1910" hidden="1" customWidth="1"/>
    <col min="27" max="27" width="3.7109375" style="1910" hidden="1" customWidth="1"/>
    <col min="28" max="28" width="11.7109375" style="1910" hidden="1" customWidth="1"/>
    <col min="29" max="29" width="8.5703125" style="1910" hidden="1" customWidth="1"/>
    <col min="30" max="30" width="24.7109375" style="1910" customWidth="1"/>
    <col min="31" max="31" width="0.140625" style="1910" customWidth="1"/>
    <col min="32" max="33" width="24.7109375" style="1910" customWidth="1"/>
    <col min="34" max="34" width="11.7109375" style="1910" customWidth="1"/>
    <col min="35" max="35" width="3.7109375" style="1910" customWidth="1"/>
    <col min="36" max="36" width="11.7109375" style="1910" customWidth="1"/>
    <col min="37" max="37" width="8.5703125" style="1910" hidden="1" customWidth="1"/>
    <col min="38" max="38" width="4.7109375" style="1910" customWidth="1"/>
    <col min="39" max="39" width="115.7109375" style="1910" customWidth="1"/>
    <col min="40" max="41" width="10.5703125" style="1866"/>
    <col min="42" max="42" width="11.140625" style="1866" customWidth="1"/>
    <col min="43" max="44" width="10.5703125" style="1866"/>
  </cols>
  <sheetData>
    <row r="1" spans="1:44" ht="14.25" hidden="1" customHeight="1"/>
    <row r="2" spans="1:44" ht="21" hidden="1" customHeight="1">
      <c r="A2" s="1133"/>
      <c r="B2" s="1133"/>
      <c r="C2" s="1133"/>
      <c r="D2" s="1133"/>
      <c r="E2" s="3554">
        <v>1</v>
      </c>
      <c r="F2" s="1133"/>
      <c r="G2" s="1133"/>
      <c r="H2" s="1133"/>
      <c r="I2" s="1133"/>
      <c r="J2" s="1133"/>
      <c r="K2" s="1133"/>
      <c r="L2" s="1173"/>
      <c r="M2" s="1458"/>
      <c r="N2" s="1458"/>
      <c r="O2" s="1458"/>
      <c r="P2" s="1441"/>
      <c r="Q2" s="269"/>
      <c r="R2" s="264"/>
      <c r="S2" s="1794" t="e">
        <f>INDEX(PT_DIFFERENTIATION_NUM_NTAR,MATCH(A2,PT_DIFFERENTIATION_NTAR_ID,0))</f>
        <v>#N/A</v>
      </c>
      <c r="T2" s="1380" t="s">
        <v>391</v>
      </c>
      <c r="U2" s="211"/>
      <c r="V2" s="3522"/>
      <c r="W2" s="3523"/>
      <c r="X2" s="3523"/>
      <c r="Y2" s="3523"/>
      <c r="Z2" s="3523"/>
      <c r="AA2" s="3523"/>
      <c r="AB2" s="3523"/>
      <c r="AC2" s="3524"/>
      <c r="AD2" s="3522" t="e">
        <f>INDEX(PT_DIFFERENTIATION_NTAR,MATCH(A2,PT_DIFFERENTIATION_NTAR_ID,0))</f>
        <v>#N/A</v>
      </c>
      <c r="AE2" s="3523"/>
      <c r="AF2" s="3523"/>
      <c r="AG2" s="3523"/>
      <c r="AH2" s="3523"/>
      <c r="AI2" s="3523"/>
      <c r="AJ2" s="3523"/>
      <c r="AK2" s="3523"/>
      <c r="AL2" s="3524"/>
      <c r="AM2" s="1124" t="s">
        <v>658</v>
      </c>
      <c r="AO2" s="1469"/>
      <c r="AP2" s="1469" t="str">
        <f t="shared" ref="AP2:AP15" si="0">IF(T2="","",T2)</f>
        <v>Наименование тарифа</v>
      </c>
      <c r="AQ2" s="1469"/>
      <c r="AR2" s="1469"/>
    </row>
    <row r="3" spans="1:44" ht="21" hidden="1" customHeight="1">
      <c r="A3" s="1133"/>
      <c r="B3" s="1133"/>
      <c r="C3" s="1133"/>
      <c r="D3" s="1133"/>
      <c r="E3" s="3555"/>
      <c r="F3" s="3554">
        <v>1</v>
      </c>
      <c r="G3" s="1133"/>
      <c r="H3" s="1133"/>
      <c r="I3" s="1133"/>
      <c r="J3" s="1133"/>
      <c r="K3" s="1133"/>
      <c r="L3" s="1173"/>
      <c r="M3" s="1458"/>
      <c r="N3" s="1458"/>
      <c r="O3" s="1458"/>
      <c r="P3" s="1776"/>
      <c r="Q3" s="261"/>
      <c r="R3" s="262"/>
      <c r="S3" s="1794" t="e">
        <f>INDEX(PT_DIFFERENTIATION_NUM_TER,MATCH(B3,PT_DIFFERENTIATION_TER_ID,0))</f>
        <v>#N/A</v>
      </c>
      <c r="T3" s="1377" t="s">
        <v>659</v>
      </c>
      <c r="U3" s="211"/>
      <c r="V3" s="3522"/>
      <c r="W3" s="3523"/>
      <c r="X3" s="3523"/>
      <c r="Y3" s="3523"/>
      <c r="Z3" s="3523"/>
      <c r="AA3" s="3523"/>
      <c r="AB3" s="3523"/>
      <c r="AC3" s="3524"/>
      <c r="AD3" s="3522" t="e">
        <f>INDEX(PT_DIFFERENTIATION_TER,MATCH(B3,PT_DIFFERENTIATION_TER_ID,0))</f>
        <v>#N/A</v>
      </c>
      <c r="AE3" s="3523"/>
      <c r="AF3" s="3523"/>
      <c r="AG3" s="3523"/>
      <c r="AH3" s="3523"/>
      <c r="AI3" s="3523"/>
      <c r="AJ3" s="3523"/>
      <c r="AK3" s="3523"/>
      <c r="AL3" s="3524"/>
      <c r="AM3" s="1124" t="s">
        <v>660</v>
      </c>
      <c r="AO3" s="1469"/>
      <c r="AP3" s="1469" t="str">
        <f t="shared" si="0"/>
        <v>Территория действия тарифа</v>
      </c>
      <c r="AQ3" s="1469"/>
      <c r="AR3" s="1469"/>
    </row>
    <row r="4" spans="1:44" ht="23.25" hidden="1" customHeight="1">
      <c r="A4" s="1133"/>
      <c r="B4" s="1133"/>
      <c r="C4" s="1133"/>
      <c r="D4" s="1133"/>
      <c r="E4" s="3555"/>
      <c r="F4" s="3555"/>
      <c r="G4" s="3554">
        <v>1</v>
      </c>
      <c r="H4" s="1133"/>
      <c r="I4" s="1133"/>
      <c r="J4" s="1133"/>
      <c r="K4" s="1133"/>
      <c r="L4" s="1173"/>
      <c r="M4" s="1458"/>
      <c r="N4" s="1458"/>
      <c r="O4" s="1458"/>
      <c r="P4" s="263"/>
      <c r="Q4" s="261"/>
      <c r="R4" s="262"/>
      <c r="S4" s="1794" t="e">
        <f>INDEX(PT_DIFFERENTIATION_NUM_CS,MATCH(C4,PT_DIFFERENTIATION_CS_ID,0))</f>
        <v>#N/A</v>
      </c>
      <c r="T4" s="220" t="s">
        <v>661</v>
      </c>
      <c r="U4" s="211"/>
      <c r="V4" s="3522"/>
      <c r="W4" s="3523"/>
      <c r="X4" s="3523"/>
      <c r="Y4" s="3523"/>
      <c r="Z4" s="3523"/>
      <c r="AA4" s="3523"/>
      <c r="AB4" s="3523"/>
      <c r="AC4" s="3524"/>
      <c r="AD4" s="3522" t="e">
        <f>INDEX(PT_DIFFERENTIATION_CS,MATCH(C4,PT_DIFFERENTIATION_CS_ID,0))</f>
        <v>#N/A</v>
      </c>
      <c r="AE4" s="3523"/>
      <c r="AF4" s="3523"/>
      <c r="AG4" s="3523"/>
      <c r="AH4" s="3523"/>
      <c r="AI4" s="3523"/>
      <c r="AJ4" s="3523"/>
      <c r="AK4" s="3523"/>
      <c r="AL4" s="3524"/>
      <c r="AM4" s="1124" t="s">
        <v>662</v>
      </c>
      <c r="AO4" s="1469"/>
      <c r="AP4" s="1469" t="str">
        <f t="shared" si="0"/>
        <v xml:space="preserve">Наименование системы теплоснабжения </v>
      </c>
      <c r="AQ4" s="1469"/>
      <c r="AR4" s="1469"/>
    </row>
    <row r="5" spans="1:44" ht="21" hidden="1" customHeight="1">
      <c r="A5" s="1133"/>
      <c r="B5" s="1133"/>
      <c r="C5" s="1133"/>
      <c r="D5" s="1133"/>
      <c r="E5" s="3555"/>
      <c r="F5" s="3555"/>
      <c r="G5" s="3555"/>
      <c r="H5" s="3554">
        <v>1</v>
      </c>
      <c r="I5" s="1133"/>
      <c r="J5" s="1133"/>
      <c r="K5" s="1133"/>
      <c r="L5" s="1173"/>
      <c r="M5" s="1458"/>
      <c r="N5" s="1458"/>
      <c r="O5" s="1458"/>
      <c r="P5" s="263"/>
      <c r="Q5" s="261"/>
      <c r="R5" s="262"/>
      <c r="S5" s="1794" t="e">
        <f>INDEX(PT_DIFFERENTIATION_NUM_IST_TE,MATCH(D5,PT_DIFFERENTIATION_IST_TE_ID,0))</f>
        <v>#N/A</v>
      </c>
      <c r="T5" s="221" t="s">
        <v>663</v>
      </c>
      <c r="U5" s="211"/>
      <c r="V5" s="3522"/>
      <c r="W5" s="3523"/>
      <c r="X5" s="3523"/>
      <c r="Y5" s="3523"/>
      <c r="Z5" s="3523"/>
      <c r="AA5" s="3523"/>
      <c r="AB5" s="3523"/>
      <c r="AC5" s="3524"/>
      <c r="AD5" s="3522" t="e">
        <f>INDEX(PT_DIFFERENTIATION_IST_TE,MATCH(D5,PT_DIFFERENTIATION_IST_TE_ID,0))</f>
        <v>#N/A</v>
      </c>
      <c r="AE5" s="3523"/>
      <c r="AF5" s="3523"/>
      <c r="AG5" s="3523"/>
      <c r="AH5" s="3523"/>
      <c r="AI5" s="3523"/>
      <c r="AJ5" s="3523"/>
      <c r="AK5" s="3523"/>
      <c r="AL5" s="3524"/>
      <c r="AM5" s="1124" t="s">
        <v>664</v>
      </c>
      <c r="AO5" s="1469"/>
      <c r="AP5" s="1469" t="str">
        <f t="shared" si="0"/>
        <v xml:space="preserve">Источник тепловой энергии  </v>
      </c>
      <c r="AQ5" s="1469"/>
      <c r="AR5" s="1469"/>
    </row>
    <row r="6" spans="1:44" ht="47.25" hidden="1" customHeight="1">
      <c r="A6" s="1133"/>
      <c r="B6" s="1133"/>
      <c r="C6" s="1133"/>
      <c r="D6" s="1133"/>
      <c r="E6" s="3555"/>
      <c r="F6" s="3555"/>
      <c r="G6" s="3555"/>
      <c r="H6" s="3555"/>
      <c r="I6" s="3401" t="e">
        <f>S5&amp;".1"</f>
        <v>#N/A</v>
      </c>
      <c r="J6" s="1133"/>
      <c r="K6" s="1133"/>
      <c r="L6" s="1173" t="s">
        <v>665</v>
      </c>
      <c r="M6" s="1480"/>
      <c r="P6" s="3532">
        <v>1</v>
      </c>
      <c r="Q6" s="1790"/>
      <c r="R6" s="265"/>
      <c r="S6" s="1794" t="e">
        <f>$I6</f>
        <v>#N/A</v>
      </c>
      <c r="T6" s="197" t="s">
        <v>666</v>
      </c>
      <c r="U6" s="211"/>
      <c r="V6" s="3516"/>
      <c r="W6" s="3517"/>
      <c r="X6" s="3517"/>
      <c r="Y6" s="3517"/>
      <c r="Z6" s="3517"/>
      <c r="AA6" s="3517"/>
      <c r="AB6" s="3517"/>
      <c r="AC6" s="3518"/>
      <c r="AD6" s="3516"/>
      <c r="AE6" s="3517"/>
      <c r="AF6" s="3517"/>
      <c r="AG6" s="3517"/>
      <c r="AH6" s="3517"/>
      <c r="AI6" s="3517"/>
      <c r="AJ6" s="3517"/>
      <c r="AK6" s="3517"/>
      <c r="AL6" s="3518"/>
      <c r="AM6" s="1124" t="s">
        <v>667</v>
      </c>
      <c r="AO6" s="1469"/>
      <c r="AP6" s="1469" t="str">
        <f t="shared" si="0"/>
        <v>Схема подключения теплопотребляющей установки к коллектору источника тепловой энергии</v>
      </c>
      <c r="AQ6" s="1469"/>
      <c r="AR6" s="1469"/>
    </row>
    <row r="7" spans="1:44" ht="21" hidden="1" customHeight="1">
      <c r="A7" s="1133"/>
      <c r="B7" s="1133"/>
      <c r="C7" s="1133"/>
      <c r="D7" s="1133"/>
      <c r="E7" s="3555"/>
      <c r="F7" s="3555"/>
      <c r="G7" s="3555"/>
      <c r="H7" s="3555"/>
      <c r="I7" s="3383"/>
      <c r="J7" s="3401" t="e">
        <f>I6&amp;".1"</f>
        <v>#N/A</v>
      </c>
      <c r="K7" s="1133"/>
      <c r="L7" s="1173" t="s">
        <v>668</v>
      </c>
      <c r="M7" s="1480"/>
      <c r="N7" s="1476"/>
      <c r="P7" s="3532"/>
      <c r="Q7" s="3532">
        <v>1</v>
      </c>
      <c r="R7" s="266"/>
      <c r="S7" s="1794" t="e">
        <f>$J7</f>
        <v>#N/A</v>
      </c>
      <c r="T7" s="198" t="s">
        <v>669</v>
      </c>
      <c r="U7" s="211"/>
      <c r="V7" s="3516"/>
      <c r="W7" s="3517"/>
      <c r="X7" s="3517"/>
      <c r="Y7" s="3517"/>
      <c r="Z7" s="3517"/>
      <c r="AA7" s="3517"/>
      <c r="AB7" s="3517"/>
      <c r="AC7" s="3518"/>
      <c r="AD7" s="3516"/>
      <c r="AE7" s="3517"/>
      <c r="AF7" s="3517"/>
      <c r="AG7" s="3517"/>
      <c r="AH7" s="3517"/>
      <c r="AI7" s="3517"/>
      <c r="AJ7" s="3517"/>
      <c r="AK7" s="3517"/>
      <c r="AL7" s="3518"/>
      <c r="AM7" s="1124" t="s">
        <v>670</v>
      </c>
      <c r="AO7" s="1469"/>
      <c r="AP7" s="1469" t="str">
        <f t="shared" si="0"/>
        <v>Группа потребителей</v>
      </c>
      <c r="AQ7" s="1469"/>
      <c r="AR7" s="1469"/>
    </row>
    <row r="8" spans="1:44" ht="21" hidden="1" customHeight="1">
      <c r="A8" s="1133"/>
      <c r="B8" s="1133"/>
      <c r="C8" s="1133"/>
      <c r="D8" s="1133"/>
      <c r="E8" s="3555"/>
      <c r="F8" s="3555"/>
      <c r="G8" s="3555"/>
      <c r="H8" s="3555"/>
      <c r="I8" s="3383"/>
      <c r="J8" s="3383"/>
      <c r="K8" s="3401" t="e">
        <f>J7&amp;".1"</f>
        <v>#N/A</v>
      </c>
      <c r="L8" s="1173" t="s">
        <v>671</v>
      </c>
      <c r="M8" s="1480"/>
      <c r="N8" s="1476"/>
      <c r="O8" s="1476"/>
      <c r="P8" s="3532"/>
      <c r="Q8" s="3532"/>
      <c r="R8" s="266">
        <v>1</v>
      </c>
      <c r="S8" s="1794" t="e">
        <f>$K8</f>
        <v>#N/A</v>
      </c>
      <c r="T8" s="1209"/>
      <c r="U8" s="211"/>
      <c r="V8" s="639"/>
      <c r="W8" s="236"/>
      <c r="X8" s="639"/>
      <c r="Y8" s="1123"/>
      <c r="Z8" s="3533"/>
      <c r="AA8" s="3412" t="s">
        <v>64</v>
      </c>
      <c r="AB8" s="3533"/>
      <c r="AC8" s="3412" t="s">
        <v>64</v>
      </c>
      <c r="AD8" s="639"/>
      <c r="AE8" s="236"/>
      <c r="AF8" s="639"/>
      <c r="AG8" s="1123"/>
      <c r="AH8" s="3533"/>
      <c r="AI8" s="3412" t="s">
        <v>64</v>
      </c>
      <c r="AJ8" s="3533"/>
      <c r="AK8" s="3412" t="s">
        <v>64</v>
      </c>
      <c r="AL8" s="236"/>
      <c r="AM8" s="3551" t="s">
        <v>672</v>
      </c>
      <c r="AN8" s="1481" t="e">
        <f ca="1">STRCHECKDATE(V9:AL9)</f>
        <v>#NAME?</v>
      </c>
      <c r="AO8" s="1469"/>
      <c r="AP8" s="1469" t="str">
        <f t="shared" si="0"/>
        <v/>
      </c>
      <c r="AQ8" s="1469"/>
      <c r="AR8" s="1469"/>
    </row>
    <row r="9" spans="1:44" ht="0.75" hidden="1" customHeight="1">
      <c r="A9" s="1133"/>
      <c r="B9" s="1133"/>
      <c r="C9" s="1133"/>
      <c r="D9" s="1133"/>
      <c r="E9" s="3555"/>
      <c r="F9" s="3555"/>
      <c r="G9" s="3555"/>
      <c r="H9" s="3555"/>
      <c r="I9" s="3383"/>
      <c r="J9" s="3383"/>
      <c r="K9" s="3401"/>
      <c r="L9" s="1173"/>
      <c r="M9" s="1480"/>
      <c r="N9" s="1476"/>
      <c r="O9" s="1476"/>
      <c r="P9" s="3532"/>
      <c r="Q9" s="3532"/>
      <c r="R9" s="266"/>
      <c r="S9" s="1806"/>
      <c r="T9" s="211"/>
      <c r="U9" s="211"/>
      <c r="V9" s="236"/>
      <c r="W9" s="236"/>
      <c r="X9" s="236"/>
      <c r="Y9" s="239" t="str">
        <f>Z8&amp;"-"&amp;AB8</f>
        <v>-</v>
      </c>
      <c r="Z9" s="3534"/>
      <c r="AA9" s="3412"/>
      <c r="AB9" s="3534"/>
      <c r="AC9" s="3412"/>
      <c r="AD9" s="236"/>
      <c r="AE9" s="236"/>
      <c r="AF9" s="236"/>
      <c r="AG9" s="239" t="str">
        <f>AH8&amp;"-"&amp;AJ8</f>
        <v>-</v>
      </c>
      <c r="AH9" s="3534"/>
      <c r="AI9" s="3412"/>
      <c r="AJ9" s="3534"/>
      <c r="AK9" s="3412"/>
      <c r="AL9" s="236"/>
      <c r="AM9" s="3552"/>
      <c r="AO9" s="1469"/>
      <c r="AP9" s="1469" t="str">
        <f t="shared" si="0"/>
        <v/>
      </c>
      <c r="AQ9" s="1469"/>
      <c r="AR9" s="1469"/>
    </row>
    <row r="10" spans="1:44" ht="15" hidden="1" customHeight="1">
      <c r="A10" s="1133"/>
      <c r="B10" s="1133"/>
      <c r="C10" s="1133"/>
      <c r="D10" s="1133"/>
      <c r="E10" s="3555"/>
      <c r="F10" s="3555"/>
      <c r="G10" s="3555"/>
      <c r="H10" s="3555"/>
      <c r="I10" s="3383"/>
      <c r="J10" s="3401"/>
      <c r="K10" s="1133"/>
      <c r="L10" s="1173"/>
      <c r="M10" s="1480"/>
      <c r="N10" s="1476"/>
      <c r="P10" s="3532"/>
      <c r="Q10" s="3532"/>
      <c r="R10" s="265"/>
      <c r="S10" s="1144"/>
      <c r="T10" s="200" t="s">
        <v>673</v>
      </c>
      <c r="U10" s="494"/>
      <c r="V10" s="494"/>
      <c r="W10" s="494"/>
      <c r="X10" s="494"/>
      <c r="Y10" s="494"/>
      <c r="Z10" s="494"/>
      <c r="AA10" s="494"/>
      <c r="AB10" s="494"/>
      <c r="AC10" s="494"/>
      <c r="AD10" s="494"/>
      <c r="AE10" s="494"/>
      <c r="AF10" s="494"/>
      <c r="AG10" s="494"/>
      <c r="AH10" s="494"/>
      <c r="AI10" s="494"/>
      <c r="AJ10" s="494"/>
      <c r="AK10" s="494"/>
      <c r="AL10" s="235"/>
      <c r="AM10" s="3553"/>
      <c r="AO10" s="1469"/>
      <c r="AP10" s="1469" t="str">
        <f t="shared" si="0"/>
        <v>Добавить вид теплоносителя (параметры теплоносителя)</v>
      </c>
      <c r="AQ10" s="1469"/>
      <c r="AR10" s="1469"/>
    </row>
    <row r="11" spans="1:44" ht="15" hidden="1" customHeight="1">
      <c r="A11" s="1133"/>
      <c r="B11" s="1133"/>
      <c r="C11" s="1133"/>
      <c r="D11" s="1133"/>
      <c r="E11" s="3555"/>
      <c r="F11" s="3555"/>
      <c r="G11" s="3555"/>
      <c r="H11" s="3555"/>
      <c r="I11" s="3401"/>
      <c r="J11" s="1133"/>
      <c r="K11" s="1133"/>
      <c r="L11" s="1173"/>
      <c r="M11" s="1480"/>
      <c r="P11" s="3532"/>
      <c r="Q11" s="1790"/>
      <c r="R11" s="265"/>
      <c r="S11" s="1144"/>
      <c r="T11" s="199" t="s">
        <v>674</v>
      </c>
      <c r="U11" s="494"/>
      <c r="V11" s="494"/>
      <c r="W11" s="494"/>
      <c r="X11" s="494"/>
      <c r="Y11" s="494"/>
      <c r="Z11" s="494"/>
      <c r="AA11" s="494"/>
      <c r="AB11" s="494"/>
      <c r="AC11" s="274"/>
      <c r="AD11" s="494"/>
      <c r="AE11" s="494"/>
      <c r="AF11" s="494"/>
      <c r="AG11" s="494"/>
      <c r="AH11" s="494"/>
      <c r="AI11" s="494"/>
      <c r="AJ11" s="494"/>
      <c r="AK11" s="274"/>
      <c r="AL11" s="494"/>
      <c r="AM11" s="214"/>
      <c r="AO11" s="1469"/>
      <c r="AP11" s="1469" t="str">
        <f t="shared" si="0"/>
        <v>Добавить группу потребителей</v>
      </c>
      <c r="AQ11" s="1469"/>
      <c r="AR11" s="1469"/>
    </row>
    <row r="12" spans="1:44" ht="14.25" hidden="1" customHeight="1">
      <c r="A12" s="1133"/>
      <c r="B12" s="1133"/>
      <c r="C12" s="1133"/>
      <c r="D12" s="1133"/>
      <c r="E12" s="3555"/>
      <c r="F12" s="3555"/>
      <c r="G12" s="3555"/>
      <c r="H12" s="3554"/>
      <c r="I12" s="1133"/>
      <c r="J12" s="1133"/>
      <c r="K12" s="1133"/>
      <c r="L12" s="1173"/>
      <c r="M12" s="1458"/>
      <c r="N12" s="1458"/>
      <c r="O12" s="1480"/>
      <c r="P12" s="269"/>
      <c r="Q12" s="282"/>
      <c r="R12" s="264"/>
      <c r="S12" s="1144"/>
      <c r="T12" s="273" t="s">
        <v>675</v>
      </c>
      <c r="U12" s="494"/>
      <c r="V12" s="494"/>
      <c r="W12" s="494"/>
      <c r="X12" s="494"/>
      <c r="Y12" s="494"/>
      <c r="Z12" s="494"/>
      <c r="AA12" s="494"/>
      <c r="AB12" s="494"/>
      <c r="AC12" s="274"/>
      <c r="AD12" s="494"/>
      <c r="AE12" s="494"/>
      <c r="AF12" s="494"/>
      <c r="AG12" s="494"/>
      <c r="AH12" s="494"/>
      <c r="AI12" s="494"/>
      <c r="AJ12" s="494"/>
      <c r="AK12" s="274"/>
      <c r="AL12" s="494"/>
      <c r="AM12" s="214"/>
      <c r="AO12" s="1469"/>
      <c r="AP12" s="1469" t="str">
        <f t="shared" si="0"/>
        <v>Добавить схему подключения</v>
      </c>
      <c r="AQ12" s="1469"/>
      <c r="AR12" s="1469"/>
    </row>
    <row r="13" spans="1:44" s="1866" customFormat="1" ht="0.75" hidden="1" customHeight="1">
      <c r="A13" s="1235"/>
      <c r="B13" s="1235"/>
      <c r="C13" s="1235"/>
      <c r="D13" s="1235"/>
      <c r="E13" s="3555"/>
      <c r="F13" s="3555"/>
      <c r="G13" s="3554"/>
      <c r="H13" s="1235"/>
      <c r="I13" s="1235"/>
      <c r="J13" s="1235"/>
      <c r="K13" s="1235"/>
      <c r="L13" s="1238"/>
      <c r="M13" s="1239"/>
      <c r="N13" s="1239"/>
      <c r="O13" s="260"/>
      <c r="P13" s="1179"/>
      <c r="Q13" s="1180"/>
      <c r="R13" s="1179"/>
      <c r="S13" s="1181"/>
      <c r="T13" s="1182" t="s">
        <v>676</v>
      </c>
      <c r="U13" s="1183"/>
      <c r="V13" s="1183"/>
      <c r="W13" s="1183"/>
      <c r="X13" s="1183"/>
      <c r="Y13" s="1183"/>
      <c r="Z13" s="1183"/>
      <c r="AA13" s="1183"/>
      <c r="AB13" s="1183"/>
      <c r="AC13" s="1183"/>
      <c r="AD13" s="1183"/>
      <c r="AE13" s="1183"/>
      <c r="AF13" s="1183"/>
      <c r="AG13" s="1183"/>
      <c r="AH13" s="1183"/>
      <c r="AI13" s="1183"/>
      <c r="AJ13" s="1183"/>
      <c r="AK13" s="1183"/>
      <c r="AL13" s="1183"/>
      <c r="AM13" s="1183"/>
      <c r="AO13" s="1117"/>
      <c r="AP13" s="1117" t="str">
        <f t="shared" si="0"/>
        <v>Добавить источник для дифференциации</v>
      </c>
      <c r="AQ13" s="1117"/>
      <c r="AR13" s="1117"/>
    </row>
    <row r="14" spans="1:44" s="1866" customFormat="1" ht="0.75" hidden="1" customHeight="1">
      <c r="A14" s="1235"/>
      <c r="B14" s="1235"/>
      <c r="C14" s="1235"/>
      <c r="D14" s="1235"/>
      <c r="E14" s="3555"/>
      <c r="F14" s="3554"/>
      <c r="G14" s="1235"/>
      <c r="H14" s="1235"/>
      <c r="I14" s="1235"/>
      <c r="J14" s="1235"/>
      <c r="K14" s="1235"/>
      <c r="L14" s="1238"/>
      <c r="M14" s="1240"/>
      <c r="N14" s="1240"/>
      <c r="O14" s="260"/>
      <c r="P14" s="1179"/>
      <c r="Q14" s="1180"/>
      <c r="R14" s="1179"/>
      <c r="S14" s="1185"/>
      <c r="T14" s="1186" t="s">
        <v>677</v>
      </c>
      <c r="U14" s="1187"/>
      <c r="V14" s="1187"/>
      <c r="W14" s="1187"/>
      <c r="X14" s="1187"/>
      <c r="Y14" s="1187"/>
      <c r="Z14" s="1187"/>
      <c r="AA14" s="1187"/>
      <c r="AB14" s="1187"/>
      <c r="AC14" s="1187"/>
      <c r="AD14" s="1187"/>
      <c r="AE14" s="1187"/>
      <c r="AF14" s="1187"/>
      <c r="AG14" s="1187"/>
      <c r="AH14" s="1187"/>
      <c r="AI14" s="1187"/>
      <c r="AJ14" s="1187"/>
      <c r="AK14" s="1187"/>
      <c r="AL14" s="1187"/>
      <c r="AM14" s="1187"/>
      <c r="AO14" s="1117"/>
      <c r="AP14" s="1117" t="str">
        <f t="shared" si="0"/>
        <v>Добавить централизованную систему для дифференциации</v>
      </c>
      <c r="AQ14" s="1117"/>
      <c r="AR14" s="1117"/>
    </row>
    <row r="15" spans="1:44" s="1866" customFormat="1" ht="0.75" hidden="1" customHeight="1">
      <c r="A15" s="1235"/>
      <c r="B15" s="1235"/>
      <c r="C15" s="1235"/>
      <c r="D15" s="1235"/>
      <c r="E15" s="3554"/>
      <c r="F15" s="1235"/>
      <c r="G15" s="1235"/>
      <c r="H15" s="1235"/>
      <c r="I15" s="1235"/>
      <c r="J15" s="1235"/>
      <c r="K15" s="1235"/>
      <c r="L15" s="1238"/>
      <c r="M15" s="1240"/>
      <c r="N15" s="1240"/>
      <c r="O15" s="260"/>
      <c r="P15" s="1179"/>
      <c r="Q15" s="1180"/>
      <c r="R15" s="1179"/>
      <c r="S15" s="1185"/>
      <c r="T15" s="1188" t="s">
        <v>678</v>
      </c>
      <c r="U15" s="1187"/>
      <c r="V15" s="1187"/>
      <c r="W15" s="1187"/>
      <c r="X15" s="1187"/>
      <c r="Y15" s="1187"/>
      <c r="Z15" s="1187"/>
      <c r="AA15" s="1187"/>
      <c r="AB15" s="1187"/>
      <c r="AC15" s="1187"/>
      <c r="AD15" s="1187"/>
      <c r="AE15" s="1187"/>
      <c r="AF15" s="1187"/>
      <c r="AG15" s="1187"/>
      <c r="AH15" s="1187"/>
      <c r="AI15" s="1187"/>
      <c r="AJ15" s="1187"/>
      <c r="AK15" s="1187"/>
      <c r="AL15" s="1187"/>
      <c r="AM15" s="1187"/>
      <c r="AO15" s="1117"/>
      <c r="AP15" s="1117" t="str">
        <f t="shared" si="0"/>
        <v>Добавить территорию для дифференциации</v>
      </c>
      <c r="AQ15" s="1117"/>
      <c r="AR15" s="1117"/>
    </row>
    <row r="16" spans="1:44" ht="14.25" hidden="1" customHeight="1"/>
    <row r="17" spans="1:44" ht="14.25" hidden="1" customHeight="1">
      <c r="AD17" s="1221"/>
      <c r="AE17" s="1221"/>
      <c r="AF17" s="1221"/>
      <c r="AG17" s="1222"/>
      <c r="AH17" s="3526"/>
      <c r="AI17" s="3525" t="s">
        <v>64</v>
      </c>
      <c r="AJ17" s="3526"/>
      <c r="AK17" s="3525" t="s">
        <v>64</v>
      </c>
    </row>
    <row r="18" spans="1:44" ht="14.25" hidden="1" customHeight="1">
      <c r="AD18" s="1221"/>
      <c r="AE18" s="1221"/>
      <c r="AF18" s="1221"/>
      <c r="AG18" s="239" t="str">
        <f>AH17&amp;"-"&amp;AJ17</f>
        <v>-</v>
      </c>
      <c r="AH18" s="3525"/>
      <c r="AI18" s="3525"/>
      <c r="AJ18" s="3525"/>
      <c r="AK18" s="3525"/>
    </row>
    <row r="19" spans="1:44" ht="14.25" hidden="1" customHeight="1"/>
    <row r="20" spans="1:44" s="1903" customFormat="1" ht="14.25" hidden="1" customHeight="1">
      <c r="A20" s="1476"/>
      <c r="B20" s="1476"/>
      <c r="C20" s="1476"/>
      <c r="D20" s="1476"/>
      <c r="E20" s="1476"/>
      <c r="F20" s="1476"/>
      <c r="G20" s="1476"/>
      <c r="H20" s="1476"/>
      <c r="I20" s="1476"/>
      <c r="J20" s="1476"/>
      <c r="K20" s="1476"/>
      <c r="L20" s="1775"/>
      <c r="M20" s="1804"/>
      <c r="N20" s="1804"/>
      <c r="O20" s="1207" t="s">
        <v>679</v>
      </c>
      <c r="P20" s="1223"/>
      <c r="Q20" s="1232"/>
      <c r="R20" s="1232"/>
      <c r="S20" s="619"/>
      <c r="Z20" s="1228"/>
      <c r="AB20" s="1228"/>
      <c r="AH20" s="1228"/>
      <c r="AJ20" s="1228"/>
      <c r="AN20" s="1481"/>
      <c r="AO20" s="1481"/>
      <c r="AP20" s="1481"/>
      <c r="AQ20" s="1481"/>
      <c r="AR20" s="1481"/>
    </row>
    <row r="21" spans="1:44" s="1903" customFormat="1" ht="14.25" hidden="1" customHeight="1">
      <c r="A21" s="1476"/>
      <c r="B21" s="1476"/>
      <c r="C21" s="1476"/>
      <c r="D21" s="1476"/>
      <c r="E21" s="1476"/>
      <c r="F21" s="1476"/>
      <c r="G21" s="1476"/>
      <c r="H21" s="1476"/>
      <c r="I21" s="1476"/>
      <c r="J21" s="1476"/>
      <c r="K21" s="1476"/>
      <c r="L21" s="1775"/>
      <c r="M21" s="1804"/>
      <c r="N21" s="1804"/>
      <c r="O21" s="1804"/>
      <c r="P21" s="1223"/>
      <c r="Q21" s="1232"/>
      <c r="R21" s="1232"/>
      <c r="S21" s="619"/>
      <c r="AN21" s="1481"/>
      <c r="AO21" s="1481"/>
      <c r="AP21" s="1481"/>
      <c r="AQ21" s="1481"/>
      <c r="AR21" s="1481"/>
    </row>
    <row r="22" spans="1:44" s="1903" customFormat="1" ht="14.25" hidden="1" customHeight="1">
      <c r="A22" s="1476"/>
      <c r="B22" s="1476"/>
      <c r="C22" s="1476"/>
      <c r="D22" s="1476"/>
      <c r="E22" s="1476"/>
      <c r="F22" s="1476"/>
      <c r="G22" s="1476"/>
      <c r="H22" s="1476"/>
      <c r="I22" s="1476"/>
      <c r="J22" s="1476"/>
      <c r="K22" s="1476"/>
      <c r="L22" s="1775"/>
      <c r="M22" s="1804"/>
      <c r="N22" s="1804"/>
      <c r="O22" s="1173" t="s">
        <v>680</v>
      </c>
      <c r="P22" s="1223"/>
      <c r="Q22" s="1232"/>
      <c r="R22" s="1232"/>
      <c r="S22" s="619"/>
      <c r="T22" s="1227" t="s">
        <v>681</v>
      </c>
      <c r="AA22" s="490" t="s">
        <v>682</v>
      </c>
      <c r="AC22" s="490" t="s">
        <v>683</v>
      </c>
      <c r="AD22" s="1227" t="s">
        <v>681</v>
      </c>
      <c r="AI22" s="490" t="s">
        <v>684</v>
      </c>
      <c r="AK22" s="490" t="s">
        <v>683</v>
      </c>
      <c r="AN22" s="1481"/>
      <c r="AO22" s="1481"/>
      <c r="AP22" s="1481"/>
      <c r="AQ22" s="1481"/>
      <c r="AR22" s="1481"/>
    </row>
    <row r="23" spans="1:44" ht="14.25" hidden="1" customHeight="1">
      <c r="O23" s="1173"/>
    </row>
    <row r="24" spans="1:44" ht="14.25" hidden="1" customHeight="1">
      <c r="O24" s="1173"/>
    </row>
    <row r="25" spans="1:44" ht="14.25" customHeight="1">
      <c r="Q25" s="283"/>
      <c r="R25" s="283"/>
      <c r="S25" s="1141"/>
      <c r="T25" s="357"/>
      <c r="U25" s="357"/>
      <c r="V25" s="1480"/>
      <c r="W25" s="1480"/>
      <c r="X25" s="1480"/>
      <c r="Y25" s="1480"/>
      <c r="Z25" s="1480"/>
      <c r="AA25" s="1480"/>
      <c r="AB25" s="1480"/>
      <c r="AC25" s="1480"/>
      <c r="AD25" s="1480"/>
      <c r="AE25" s="1480"/>
      <c r="AF25" s="1480"/>
      <c r="AG25" s="1480"/>
      <c r="AH25" s="1480"/>
      <c r="AI25" s="1480"/>
      <c r="AJ25" s="1480"/>
      <c r="AK25" s="1480"/>
    </row>
    <row r="26" spans="1:44" ht="14.25" customHeight="1">
      <c r="Q26" s="283"/>
      <c r="R26" s="283"/>
      <c r="S26" s="350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509"/>
      <c r="U26" s="3509"/>
      <c r="V26" s="3509"/>
      <c r="W26" s="3509"/>
      <c r="X26" s="3509"/>
      <c r="Y26" s="3509"/>
      <c r="Z26" s="3509"/>
      <c r="AA26" s="3509"/>
      <c r="AB26" s="3509"/>
      <c r="AC26" s="3509"/>
      <c r="AD26" s="3509"/>
      <c r="AE26" s="3509"/>
      <c r="AF26" s="3509"/>
      <c r="AG26" s="3509"/>
      <c r="AH26" s="3509"/>
      <c r="AI26" s="3509"/>
      <c r="AJ26" s="3509"/>
      <c r="AK26" s="1109"/>
    </row>
    <row r="27" spans="1:44" ht="14.25" customHeight="1">
      <c r="Q27" s="283"/>
      <c r="R27" s="283"/>
      <c r="S27" s="3480" t="str">
        <f>IF(org=0,"Не определено",org)</f>
        <v>АО "Орелгортеплоэнерго"</v>
      </c>
      <c r="T27" s="3480"/>
      <c r="U27" s="3480"/>
      <c r="V27" s="3480"/>
      <c r="W27" s="3480"/>
      <c r="X27" s="3480"/>
      <c r="Y27" s="3480"/>
      <c r="Z27" s="3480"/>
      <c r="AA27" s="3480"/>
      <c r="AB27" s="3480"/>
      <c r="AC27" s="3480"/>
      <c r="AD27" s="3480"/>
      <c r="AE27" s="3480"/>
      <c r="AF27" s="3480"/>
      <c r="AG27" s="3480"/>
      <c r="AH27" s="3480"/>
      <c r="AI27" s="3480"/>
      <c r="AJ27" s="3480"/>
      <c r="AK27" s="1109"/>
    </row>
    <row r="28" spans="1:44" ht="14.25" hidden="1" customHeight="1">
      <c r="Q28" s="283"/>
      <c r="R28" s="283"/>
      <c r="S28" s="1141"/>
      <c r="T28" s="357"/>
      <c r="U28" s="357"/>
      <c r="V28" s="233"/>
      <c r="W28" s="233"/>
      <c r="X28" s="233"/>
      <c r="Y28" s="233"/>
      <c r="Z28" s="233"/>
      <c r="AA28" s="233"/>
      <c r="AB28" s="233"/>
      <c r="AC28" s="233"/>
      <c r="AD28" s="233"/>
      <c r="AE28" s="233"/>
      <c r="AF28" s="233"/>
      <c r="AG28" s="233"/>
      <c r="AH28" s="233"/>
      <c r="AI28" s="233"/>
      <c r="AJ28" s="233"/>
      <c r="AK28" s="233"/>
      <c r="AL28" s="1480"/>
    </row>
    <row r="29" spans="1:44" s="1944" customFormat="1" ht="25.5" hidden="1" customHeight="1">
      <c r="A29" s="1114"/>
      <c r="B29" s="1114"/>
      <c r="C29" s="1114"/>
      <c r="D29" s="1114"/>
      <c r="E29" s="1114"/>
      <c r="F29" s="1114"/>
      <c r="G29" s="1114"/>
      <c r="H29" s="1114"/>
      <c r="I29" s="1114"/>
      <c r="J29" s="1114"/>
      <c r="K29" s="1114"/>
      <c r="L29" s="1241"/>
      <c r="M29" s="1114"/>
      <c r="N29" s="1114"/>
      <c r="O29" s="1114"/>
      <c r="S29" s="3519" t="s">
        <v>38</v>
      </c>
      <c r="T29" s="3519"/>
      <c r="U29" s="1233"/>
      <c r="V29" s="3521" t="str">
        <f>IF(TITLE_NAME_OR_PR_CHANGE="",IF(TITLE_NAME_OR_PR="","",TITLE_NAME_OR_PR),TITLE_NAME_OR_PR_CHANGE)</f>
        <v/>
      </c>
      <c r="W29" s="3521"/>
      <c r="X29" s="3521"/>
      <c r="Y29" s="3521"/>
      <c r="Z29" s="3521"/>
      <c r="AA29" s="3521"/>
      <c r="AB29" s="3521"/>
      <c r="AC29" s="1480"/>
      <c r="AD29" s="3521" t="str">
        <f>IF(TITLE_NAME_OR_PR_CHANGE="",IF(TITLE_NAME_OR_PR="","",TITLE_NAME_OR_PR),TITLE_NAME_OR_PR_CHANGE)</f>
        <v/>
      </c>
      <c r="AE29" s="3521"/>
      <c r="AF29" s="3521"/>
      <c r="AG29" s="3521"/>
      <c r="AH29" s="3521"/>
      <c r="AI29" s="3521"/>
      <c r="AJ29" s="3521"/>
      <c r="AK29" s="1480"/>
      <c r="AL29" s="1480"/>
      <c r="AM29" s="193"/>
      <c r="AN29" s="276"/>
      <c r="AO29" s="276"/>
      <c r="AP29" s="276"/>
      <c r="AQ29" s="276"/>
      <c r="AR29" s="276"/>
    </row>
    <row r="30" spans="1:44" s="1944" customFormat="1" ht="18.75" hidden="1" customHeight="1">
      <c r="A30" s="1114"/>
      <c r="B30" s="1114"/>
      <c r="C30" s="1114"/>
      <c r="D30" s="1114"/>
      <c r="E30" s="1114"/>
      <c r="F30" s="1114"/>
      <c r="G30" s="1114"/>
      <c r="H30" s="1114"/>
      <c r="I30" s="1114"/>
      <c r="J30" s="1114"/>
      <c r="K30" s="1114"/>
      <c r="L30" s="1241"/>
      <c r="M30" s="1114"/>
      <c r="N30" s="1114"/>
      <c r="O30" s="1114"/>
      <c r="S30" s="3519" t="s">
        <v>685</v>
      </c>
      <c r="T30" s="3519"/>
      <c r="U30" s="1233"/>
      <c r="V30" s="3520" t="str">
        <f>IF(TITLE_DATE_PR_CHANGE="",IF(TITLE_DATE_PR="","",TITLE_DATE_PR),TITLE_DATE_PR_CHANGE)</f>
        <v/>
      </c>
      <c r="W30" s="3520"/>
      <c r="X30" s="3520"/>
      <c r="Y30" s="3520"/>
      <c r="Z30" s="3520"/>
      <c r="AA30" s="3520"/>
      <c r="AB30" s="3520"/>
      <c r="AC30" s="1480"/>
      <c r="AD30" s="3520" t="str">
        <f>IF(TITLE_DATE_PR_CHANGE="",IF(TITLE_DATE_PR="","",TITLE_DATE_PR),TITLE_DATE_PR_CHANGE)</f>
        <v/>
      </c>
      <c r="AE30" s="3520"/>
      <c r="AF30" s="3520"/>
      <c r="AG30" s="3520"/>
      <c r="AH30" s="3520"/>
      <c r="AI30" s="3520"/>
      <c r="AJ30" s="3520"/>
      <c r="AK30" s="1480"/>
      <c r="AL30" s="1480"/>
      <c r="AM30" s="193"/>
      <c r="AN30" s="276"/>
      <c r="AO30" s="276"/>
      <c r="AP30" s="276"/>
      <c r="AQ30" s="276"/>
      <c r="AR30" s="276"/>
    </row>
    <row r="31" spans="1:44" s="1944" customFormat="1" ht="18.75" hidden="1" customHeight="1">
      <c r="A31" s="1114"/>
      <c r="B31" s="1114"/>
      <c r="C31" s="1114"/>
      <c r="D31" s="1114"/>
      <c r="E31" s="1114"/>
      <c r="F31" s="1114"/>
      <c r="G31" s="1114"/>
      <c r="H31" s="1114"/>
      <c r="I31" s="1114"/>
      <c r="J31" s="1114"/>
      <c r="K31" s="1114"/>
      <c r="L31" s="1241"/>
      <c r="M31" s="1114"/>
      <c r="N31" s="1114"/>
      <c r="O31" s="1114"/>
      <c r="S31" s="3519" t="s">
        <v>686</v>
      </c>
      <c r="T31" s="3519"/>
      <c r="U31" s="1233"/>
      <c r="V31" s="3521" t="str">
        <f>IF(TITLE_NUMBER_PR_CHANGE="",IF(TITLE_NUMBER_PR="","",TITLE_NUMBER_PR),TITLE_NUMBER_PR_CHANGE)</f>
        <v/>
      </c>
      <c r="W31" s="3521"/>
      <c r="X31" s="3521"/>
      <c r="Y31" s="3521"/>
      <c r="Z31" s="3521"/>
      <c r="AA31" s="3521"/>
      <c r="AB31" s="3521"/>
      <c r="AC31" s="1480"/>
      <c r="AD31" s="3521" t="str">
        <f>IF(TITLE_NUMBER_PR_CHANGE="",IF(TITLE_NUMBER_PR="","",TITLE_NUMBER_PR),TITLE_NUMBER_PR_CHANGE)</f>
        <v/>
      </c>
      <c r="AE31" s="3521"/>
      <c r="AF31" s="3521"/>
      <c r="AG31" s="3521"/>
      <c r="AH31" s="3521"/>
      <c r="AI31" s="3521"/>
      <c r="AJ31" s="3521"/>
      <c r="AK31" s="1480"/>
      <c r="AL31" s="1480"/>
      <c r="AM31" s="193"/>
      <c r="AN31" s="276"/>
      <c r="AO31" s="276"/>
      <c r="AP31" s="276"/>
      <c r="AQ31" s="276"/>
      <c r="AR31" s="276"/>
    </row>
    <row r="32" spans="1:44" s="1944" customFormat="1" ht="18.75" hidden="1" customHeight="1">
      <c r="A32" s="1114"/>
      <c r="B32" s="1114"/>
      <c r="C32" s="1114"/>
      <c r="D32" s="1114"/>
      <c r="E32" s="1114"/>
      <c r="F32" s="1114"/>
      <c r="G32" s="1114"/>
      <c r="H32" s="1114"/>
      <c r="I32" s="1114"/>
      <c r="J32" s="1114"/>
      <c r="K32" s="1114"/>
      <c r="L32" s="1241"/>
      <c r="M32" s="1114"/>
      <c r="N32" s="1114"/>
      <c r="O32" s="1114"/>
      <c r="S32" s="3519" t="s">
        <v>39</v>
      </c>
      <c r="T32" s="3519"/>
      <c r="U32" s="1233"/>
      <c r="V32" s="3521" t="str">
        <f>IF(TITLE_IST_PUB_CHANGE="",IF(TITLE_IST_PUB="","",TITLE_IST_PUB),TITLE_IST_PUB_CHANGE)</f>
        <v/>
      </c>
      <c r="W32" s="3521"/>
      <c r="X32" s="3521"/>
      <c r="Y32" s="3521"/>
      <c r="Z32" s="3521"/>
      <c r="AA32" s="3521"/>
      <c r="AB32" s="3521"/>
      <c r="AC32" s="1480"/>
      <c r="AD32" s="3521" t="str">
        <f>IF(TITLE_IST_PUB_CHANGE="",IF(TITLE_IST_PUB="","",TITLE_IST_PUB),TITLE_IST_PUB_CHANGE)</f>
        <v/>
      </c>
      <c r="AE32" s="3521"/>
      <c r="AF32" s="3521"/>
      <c r="AG32" s="3521"/>
      <c r="AH32" s="3521"/>
      <c r="AI32" s="3521"/>
      <c r="AJ32" s="3521"/>
      <c r="AK32" s="1480"/>
      <c r="AL32" s="1480"/>
      <c r="AM32" s="193"/>
      <c r="AN32" s="276"/>
      <c r="AO32" s="276"/>
      <c r="AP32" s="276"/>
      <c r="AQ32" s="276"/>
      <c r="AR32" s="276"/>
    </row>
    <row r="33" spans="1:44" ht="14.25" hidden="1" customHeight="1">
      <c r="Q33" s="283"/>
      <c r="R33" s="283"/>
      <c r="S33" s="1141"/>
      <c r="T33" s="357"/>
      <c r="U33" s="357"/>
      <c r="V33" s="233"/>
      <c r="W33" s="233"/>
      <c r="X33" s="233"/>
      <c r="Y33" s="233"/>
      <c r="Z33" s="233"/>
      <c r="AA33" s="233"/>
      <c r="AB33" s="233"/>
      <c r="AC33" s="233"/>
      <c r="AD33" s="233"/>
      <c r="AE33" s="233"/>
      <c r="AF33" s="233"/>
      <c r="AG33" s="233"/>
      <c r="AH33" s="233"/>
      <c r="AI33" s="233"/>
      <c r="AJ33" s="233"/>
      <c r="AK33" s="233"/>
      <c r="AL33" s="1480"/>
    </row>
    <row r="34" spans="1:44" s="1944" customFormat="1" ht="18.75" hidden="1" customHeight="1">
      <c r="A34" s="1114"/>
      <c r="B34" s="1114"/>
      <c r="C34" s="1114"/>
      <c r="D34" s="1114"/>
      <c r="E34" s="1114"/>
      <c r="F34" s="1114"/>
      <c r="G34" s="1114"/>
      <c r="H34" s="1114"/>
      <c r="I34" s="1114"/>
      <c r="J34" s="1114"/>
      <c r="K34" s="1114"/>
      <c r="L34" s="1241"/>
      <c r="M34" s="1114"/>
      <c r="N34" s="1114"/>
      <c r="O34" s="1114"/>
      <c r="S34" s="3519" t="s">
        <v>687</v>
      </c>
      <c r="T34" s="3519"/>
      <c r="U34" s="1233"/>
      <c r="V34" s="3520" t="str">
        <f>IF(TITLE_DATE_PR_CHANGE="",IF(TITLE_DATE_PR="","",TITLE_DATE_PR),TITLE_DATE_PR_CHANGE)</f>
        <v/>
      </c>
      <c r="W34" s="3520"/>
      <c r="X34" s="3520"/>
      <c r="Y34" s="3520"/>
      <c r="Z34" s="3520"/>
      <c r="AA34" s="3520"/>
      <c r="AB34" s="3520"/>
      <c r="AC34" s="1480"/>
      <c r="AD34" s="3520" t="str">
        <f>IF(TITLE_DATE_PR_CHANGE="",IF(TITLE_DATE_PR="","",TITLE_DATE_PR),TITLE_DATE_PR_CHANGE)</f>
        <v/>
      </c>
      <c r="AE34" s="3520"/>
      <c r="AF34" s="3520"/>
      <c r="AG34" s="3520"/>
      <c r="AH34" s="3520"/>
      <c r="AI34" s="3520"/>
      <c r="AJ34" s="3520"/>
      <c r="AK34" s="1480"/>
      <c r="AL34" s="1480"/>
      <c r="AM34" s="193"/>
      <c r="AN34" s="276"/>
      <c r="AO34" s="276"/>
      <c r="AP34" s="276"/>
      <c r="AQ34" s="276"/>
      <c r="AR34" s="276"/>
    </row>
    <row r="35" spans="1:44" s="1944" customFormat="1" ht="18.75" hidden="1" customHeight="1">
      <c r="A35" s="1114"/>
      <c r="B35" s="1114"/>
      <c r="C35" s="1114"/>
      <c r="D35" s="1114"/>
      <c r="E35" s="1114"/>
      <c r="F35" s="1114"/>
      <c r="G35" s="1114"/>
      <c r="H35" s="1114"/>
      <c r="I35" s="1114"/>
      <c r="J35" s="1114"/>
      <c r="K35" s="1114"/>
      <c r="L35" s="1241"/>
      <c r="M35" s="1114"/>
      <c r="N35" s="1114"/>
      <c r="O35" s="1114"/>
      <c r="S35" s="3519" t="s">
        <v>688</v>
      </c>
      <c r="T35" s="3519"/>
      <c r="U35" s="1233"/>
      <c r="V35" s="3521" t="str">
        <f>IF(TITLE_NUMBER_PR_CHANGE="",IF(TITLE_NUMBER_PR="","",TITLE_NUMBER_PR),TITLE_NUMBER_PR_CHANGE)</f>
        <v/>
      </c>
      <c r="W35" s="3521"/>
      <c r="X35" s="3521"/>
      <c r="Y35" s="3521"/>
      <c r="Z35" s="3521"/>
      <c r="AA35" s="3521"/>
      <c r="AB35" s="3521"/>
      <c r="AC35" s="1480"/>
      <c r="AD35" s="3521" t="str">
        <f>IF(TITLE_NUMBER_PR_CHANGE="",IF(TITLE_NUMBER_PR="","",TITLE_NUMBER_PR),TITLE_NUMBER_PR_CHANGE)</f>
        <v/>
      </c>
      <c r="AE35" s="3521"/>
      <c r="AF35" s="3521"/>
      <c r="AG35" s="3521"/>
      <c r="AH35" s="3521"/>
      <c r="AI35" s="3521"/>
      <c r="AJ35" s="3521"/>
      <c r="AK35" s="1480"/>
      <c r="AL35" s="1480"/>
      <c r="AM35" s="193"/>
      <c r="AN35" s="276"/>
      <c r="AO35" s="276"/>
      <c r="AP35" s="276"/>
      <c r="AQ35" s="276"/>
      <c r="AR35" s="276"/>
    </row>
    <row r="36" spans="1:44" s="1944" customFormat="1" ht="0" hidden="1" customHeight="1">
      <c r="A36" s="1114"/>
      <c r="B36" s="1114"/>
      <c r="C36" s="1114"/>
      <c r="D36" s="1114"/>
      <c r="E36" s="1114"/>
      <c r="F36" s="1114"/>
      <c r="G36" s="1114"/>
      <c r="H36" s="1114"/>
      <c r="I36" s="1114"/>
      <c r="J36" s="1114"/>
      <c r="K36" s="1114"/>
      <c r="L36" s="1241"/>
      <c r="M36" s="1114"/>
      <c r="N36" s="1114"/>
      <c r="O36" s="1114"/>
      <c r="S36" s="1480"/>
      <c r="T36" s="1480"/>
      <c r="U36" s="1809"/>
      <c r="V36" s="1480"/>
      <c r="W36" s="1480"/>
      <c r="X36" s="1480"/>
      <c r="Y36" s="1480"/>
      <c r="Z36" s="1480"/>
      <c r="AA36" s="1480"/>
      <c r="AB36" s="1480"/>
      <c r="AC36" s="1487" t="s">
        <v>689</v>
      </c>
      <c r="AD36" s="1480"/>
      <c r="AE36" s="1480"/>
      <c r="AF36" s="1480"/>
      <c r="AG36" s="1480"/>
      <c r="AH36" s="1480"/>
      <c r="AI36" s="1480"/>
      <c r="AJ36" s="1480"/>
      <c r="AK36" s="1487" t="s">
        <v>689</v>
      </c>
      <c r="AN36" s="276"/>
      <c r="AO36" s="276"/>
      <c r="AP36" s="276"/>
      <c r="AQ36" s="276"/>
      <c r="AR36" s="276"/>
    </row>
    <row r="37" spans="1:44" ht="14.25" customHeight="1">
      <c r="Q37" s="283"/>
      <c r="R37" s="283"/>
      <c r="S37" s="1141"/>
      <c r="T37" s="357"/>
      <c r="U37" s="1110"/>
      <c r="V37" s="3540"/>
      <c r="W37" s="3540"/>
      <c r="X37" s="3540"/>
      <c r="Y37" s="3540"/>
      <c r="Z37" s="3540"/>
      <c r="AA37" s="3540"/>
      <c r="AB37" s="3540"/>
      <c r="AC37" s="3540"/>
      <c r="AD37" s="3540"/>
      <c r="AE37" s="3540"/>
      <c r="AF37" s="3540"/>
      <c r="AG37" s="3540"/>
      <c r="AH37" s="3540"/>
      <c r="AI37" s="3540"/>
      <c r="AJ37" s="3540"/>
      <c r="AK37" s="3540"/>
    </row>
    <row r="38" spans="1:44" ht="14.25" customHeight="1">
      <c r="Q38" s="283"/>
      <c r="R38" s="283"/>
      <c r="S38" s="3401" t="s">
        <v>560</v>
      </c>
      <c r="T38" s="3401"/>
      <c r="U38" s="3401"/>
      <c r="V38" s="3401"/>
      <c r="W38" s="3401"/>
      <c r="X38" s="3401"/>
      <c r="Y38" s="3401"/>
      <c r="Z38" s="3401"/>
      <c r="AA38" s="3401"/>
      <c r="AB38" s="3401"/>
      <c r="AC38" s="3401"/>
      <c r="AD38" s="3401"/>
      <c r="AE38" s="3401"/>
      <c r="AF38" s="3401"/>
      <c r="AG38" s="3401"/>
      <c r="AH38" s="3401"/>
      <c r="AI38" s="3401"/>
      <c r="AJ38" s="3401"/>
      <c r="AK38" s="3401"/>
      <c r="AL38" s="3401"/>
      <c r="AM38" s="3401" t="s">
        <v>561</v>
      </c>
    </row>
    <row r="39" spans="1:44" ht="14.25" customHeight="1">
      <c r="Q39" s="283"/>
      <c r="R39" s="283"/>
      <c r="S39" s="3541" t="s">
        <v>85</v>
      </c>
      <c r="T39" s="3489" t="s">
        <v>690</v>
      </c>
      <c r="U39" s="248"/>
      <c r="V39" s="3542" t="s">
        <v>691</v>
      </c>
      <c r="W39" s="3543"/>
      <c r="X39" s="3543"/>
      <c r="Y39" s="3543"/>
      <c r="Z39" s="3543"/>
      <c r="AA39" s="3543"/>
      <c r="AB39" s="3544"/>
      <c r="AC39" s="3545" t="s">
        <v>692</v>
      </c>
      <c r="AD39" s="3542" t="s">
        <v>691</v>
      </c>
      <c r="AE39" s="3543"/>
      <c r="AF39" s="3543"/>
      <c r="AG39" s="3543"/>
      <c r="AH39" s="3543"/>
      <c r="AI39" s="3543"/>
      <c r="AJ39" s="3544"/>
      <c r="AK39" s="3545" t="s">
        <v>693</v>
      </c>
      <c r="AL39" s="3548" t="s">
        <v>694</v>
      </c>
      <c r="AM39" s="3401"/>
    </row>
    <row r="40" spans="1:44" ht="33.75" customHeight="1">
      <c r="Q40" s="283"/>
      <c r="R40" s="283"/>
      <c r="S40" s="3541"/>
      <c r="T40" s="3489"/>
      <c r="U40" s="901"/>
      <c r="V40" s="3458" t="s">
        <v>695</v>
      </c>
      <c r="W40" s="3537" t="s">
        <v>696</v>
      </c>
      <c r="X40" s="3383" t="s">
        <v>697</v>
      </c>
      <c r="Y40" s="3382"/>
      <c r="Z40" s="3383" t="s">
        <v>711</v>
      </c>
      <c r="AA40" s="3388"/>
      <c r="AB40" s="3382"/>
      <c r="AC40" s="3546"/>
      <c r="AD40" s="3458" t="s">
        <v>695</v>
      </c>
      <c r="AE40" s="3537" t="s">
        <v>696</v>
      </c>
      <c r="AF40" s="3383" t="s">
        <v>697</v>
      </c>
      <c r="AG40" s="3382"/>
      <c r="AH40" s="3383" t="s">
        <v>698</v>
      </c>
      <c r="AI40" s="3388"/>
      <c r="AJ40" s="3382"/>
      <c r="AK40" s="3546"/>
      <c r="AL40" s="3549"/>
      <c r="AM40" s="3401"/>
    </row>
    <row r="41" spans="1:44" ht="33.75" customHeight="1">
      <c r="A41" s="1132"/>
      <c r="B41" s="1132" t="s">
        <v>403</v>
      </c>
      <c r="C41" s="1132" t="s">
        <v>404</v>
      </c>
      <c r="D41" s="1132" t="s">
        <v>405</v>
      </c>
      <c r="E41" s="1173" t="s">
        <v>699</v>
      </c>
      <c r="F41" s="1173" t="s">
        <v>700</v>
      </c>
      <c r="G41" s="1173" t="s">
        <v>701</v>
      </c>
      <c r="H41" s="1173" t="s">
        <v>702</v>
      </c>
      <c r="I41" s="1173" t="s">
        <v>703</v>
      </c>
      <c r="J41" s="1173" t="s">
        <v>704</v>
      </c>
      <c r="K41" s="1173" t="s">
        <v>705</v>
      </c>
      <c r="L41" s="1173" t="s">
        <v>680</v>
      </c>
      <c r="Q41" s="283"/>
      <c r="R41" s="283"/>
      <c r="S41" s="3541"/>
      <c r="T41" s="3489"/>
      <c r="U41" s="213"/>
      <c r="V41" s="3514"/>
      <c r="W41" s="3538"/>
      <c r="X41" s="1774" t="s">
        <v>706</v>
      </c>
      <c r="Y41" s="1774" t="s">
        <v>707</v>
      </c>
      <c r="Z41" s="1774" t="s">
        <v>708</v>
      </c>
      <c r="AA41" s="3494" t="s">
        <v>709</v>
      </c>
      <c r="AB41" s="3508"/>
      <c r="AC41" s="3547"/>
      <c r="AD41" s="3514"/>
      <c r="AE41" s="3538"/>
      <c r="AF41" s="1774" t="s">
        <v>706</v>
      </c>
      <c r="AG41" s="1774" t="s">
        <v>707</v>
      </c>
      <c r="AH41" s="1774" t="s">
        <v>708</v>
      </c>
      <c r="AI41" s="3494" t="s">
        <v>709</v>
      </c>
      <c r="AJ41" s="3508"/>
      <c r="AK41" s="3547"/>
      <c r="AL41" s="3550"/>
      <c r="AM41" s="3401"/>
    </row>
    <row r="42" spans="1:44" s="1838" customFormat="1" ht="11.25" hidden="1" customHeight="1">
      <c r="A42" s="1132"/>
      <c r="B42" s="1132"/>
      <c r="C42" s="1132"/>
      <c r="D42" s="1132"/>
      <c r="E42" s="1132"/>
      <c r="F42" s="1132"/>
      <c r="G42" s="1132"/>
      <c r="H42" s="1132"/>
      <c r="I42" s="1132"/>
      <c r="J42" s="1132"/>
      <c r="K42" s="1132"/>
      <c r="L42" s="1173"/>
      <c r="M42" s="1804"/>
      <c r="N42" s="1804"/>
      <c r="O42" s="1804"/>
      <c r="P42" s="1112"/>
      <c r="Q42" s="1113"/>
      <c r="R42" s="1120">
        <v>1</v>
      </c>
      <c r="S42" s="1143" t="s">
        <v>106</v>
      </c>
      <c r="T42" s="1121" t="s">
        <v>107</v>
      </c>
      <c r="U42" s="1111" t="str">
        <f ca="1">OFFSET(U42,0,-1)</f>
        <v>2</v>
      </c>
      <c r="V42" s="1792">
        <f ca="1">OFFSET(V42,0,-1)+1</f>
        <v>3</v>
      </c>
      <c r="W42" s="1792"/>
      <c r="X42" s="1792">
        <f ca="1">OFFSET(X42,0,-1)+1</f>
        <v>1</v>
      </c>
      <c r="Y42" s="1792">
        <f ca="1">OFFSET(Y42,0,-1)+1</f>
        <v>2</v>
      </c>
      <c r="Z42" s="1792">
        <f ca="1">OFFSET(Z42,0,-1)+1</f>
        <v>3</v>
      </c>
      <c r="AA42" s="3539">
        <f ca="1">OFFSET(AA42,0,-1)+1</f>
        <v>4</v>
      </c>
      <c r="AB42" s="3539"/>
      <c r="AC42" s="1792">
        <f ca="1">OFFSET(AC42,0,-2)+1</f>
        <v>5</v>
      </c>
      <c r="AD42" s="1792">
        <f ca="1">OFFSET(AD42,0,-1)+1</f>
        <v>6</v>
      </c>
      <c r="AE42" s="1792"/>
      <c r="AF42" s="1792">
        <f ca="1">OFFSET(AF42,0,-1)+1</f>
        <v>1</v>
      </c>
      <c r="AG42" s="1792">
        <f ca="1">OFFSET(AG42,0,-1)+1</f>
        <v>2</v>
      </c>
      <c r="AH42" s="1792">
        <f ca="1">OFFSET(AH42,0,-1)+1</f>
        <v>3</v>
      </c>
      <c r="AI42" s="3539">
        <f ca="1">OFFSET(AI42,0,-1)+1</f>
        <v>4</v>
      </c>
      <c r="AJ42" s="3539"/>
      <c r="AK42" s="1792">
        <f ca="1">OFFSET(AK42,0,-2)+1</f>
        <v>5</v>
      </c>
      <c r="AL42" s="1111">
        <f ca="1">OFFSET(AL42,0,-1)</f>
        <v>5</v>
      </c>
      <c r="AM42" s="1792">
        <f ca="1">OFFSET(AM42,0,-1)+1</f>
        <v>6</v>
      </c>
      <c r="AN42" s="1481"/>
      <c r="AO42" s="1481"/>
      <c r="AP42" s="1481"/>
      <c r="AQ42" s="1481"/>
      <c r="AR42" s="1481"/>
    </row>
    <row r="43" spans="1:44" ht="21" customHeight="1">
      <c r="A43" s="1133" t="s">
        <v>472</v>
      </c>
      <c r="B43" s="1133"/>
      <c r="C43" s="1133"/>
      <c r="D43" s="1133"/>
      <c r="E43" s="3554">
        <v>1</v>
      </c>
      <c r="F43" s="1133"/>
      <c r="G43" s="1133"/>
      <c r="H43" s="1133"/>
      <c r="I43" s="1133"/>
      <c r="J43" s="1133"/>
      <c r="K43" s="1133"/>
      <c r="L43" s="1173"/>
      <c r="M43" s="1458"/>
      <c r="N43" s="1458"/>
      <c r="O43" s="1458"/>
      <c r="P43" s="1441"/>
      <c r="Q43" s="269"/>
      <c r="R43" s="264"/>
      <c r="S43" s="1794">
        <f>INDEX(PT_DIFFERENTIATION_NUM_NTAR,MATCH(A43,PT_DIFFERENTIATION_NTAR_ID,0))</f>
        <v>0</v>
      </c>
      <c r="T43" s="1380" t="s">
        <v>391</v>
      </c>
      <c r="U43" s="211"/>
      <c r="V43" s="3522"/>
      <c r="W43" s="3523"/>
      <c r="X43" s="3523"/>
      <c r="Y43" s="3523"/>
      <c r="Z43" s="3523"/>
      <c r="AA43" s="3523"/>
      <c r="AB43" s="3523"/>
      <c r="AC43" s="3524"/>
      <c r="AD43" s="3522" t="str">
        <f>INDEX(PT_DIFFERENTIATION_NTAR,MATCH(A43,PT_DIFFERENTIATION_NTAR_ID,0))</f>
        <v/>
      </c>
      <c r="AE43" s="3523"/>
      <c r="AF43" s="3523"/>
      <c r="AG43" s="3523"/>
      <c r="AH43" s="3523"/>
      <c r="AI43" s="3523"/>
      <c r="AJ43" s="3523"/>
      <c r="AK43" s="3523"/>
      <c r="AL43" s="3524"/>
      <c r="AM43" s="112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69"/>
      <c r="AP43" s="1469" t="str">
        <f t="shared" ref="AP43:AP57" si="1">IF(T43="","",T43)</f>
        <v>Наименование тарифа</v>
      </c>
      <c r="AQ43" s="1469"/>
      <c r="AR43" s="1469"/>
    </row>
    <row r="44" spans="1:44" ht="21" customHeight="1">
      <c r="A44" s="1133" t="s">
        <v>472</v>
      </c>
      <c r="B44" s="1133" t="s">
        <v>473</v>
      </c>
      <c r="C44" s="1133"/>
      <c r="D44" s="1133"/>
      <c r="E44" s="3555"/>
      <c r="F44" s="3554">
        <v>1</v>
      </c>
      <c r="G44" s="1133"/>
      <c r="H44" s="1133"/>
      <c r="I44" s="1133"/>
      <c r="J44" s="1133"/>
      <c r="K44" s="1133"/>
      <c r="L44" s="1173"/>
      <c r="M44" s="1458"/>
      <c r="N44" s="1458"/>
      <c r="O44" s="1458"/>
      <c r="P44" s="1776"/>
      <c r="Q44" s="261"/>
      <c r="R44" s="262"/>
      <c r="S44" s="1794" t="str">
        <f>INDEX(PT_DIFFERENTIATION_NUM_TER,MATCH(B44,PT_DIFFERENTIATION_TER_ID,0))</f>
        <v>.</v>
      </c>
      <c r="T44" s="1377" t="s">
        <v>659</v>
      </c>
      <c r="U44" s="211"/>
      <c r="V44" s="3522"/>
      <c r="W44" s="3523"/>
      <c r="X44" s="3523"/>
      <c r="Y44" s="3523"/>
      <c r="Z44" s="3523"/>
      <c r="AA44" s="3523"/>
      <c r="AB44" s="3523"/>
      <c r="AC44" s="3524"/>
      <c r="AD44" s="3522" t="str">
        <f>INDEX(PT_DIFFERENTIATION_TER,MATCH(B44,PT_DIFFERENTIATION_TER_ID,0))</f>
        <v/>
      </c>
      <c r="AE44" s="3523"/>
      <c r="AF44" s="3523"/>
      <c r="AG44" s="3523"/>
      <c r="AH44" s="3523"/>
      <c r="AI44" s="3523"/>
      <c r="AJ44" s="3523"/>
      <c r="AK44" s="3523"/>
      <c r="AL44" s="3524"/>
      <c r="AM44" s="1124" t="s">
        <v>660</v>
      </c>
      <c r="AO44" s="1469"/>
      <c r="AP44" s="1469" t="str">
        <f t="shared" si="1"/>
        <v>Территория действия тарифа</v>
      </c>
      <c r="AQ44" s="1469"/>
      <c r="AR44" s="1469"/>
    </row>
    <row r="45" spans="1:44" ht="23.25" customHeight="1">
      <c r="A45" s="1133" t="s">
        <v>472</v>
      </c>
      <c r="B45" s="1133" t="s">
        <v>473</v>
      </c>
      <c r="C45" s="1133" t="s">
        <v>474</v>
      </c>
      <c r="D45" s="1133"/>
      <c r="E45" s="3555"/>
      <c r="F45" s="3555"/>
      <c r="G45" s="3554">
        <v>1</v>
      </c>
      <c r="H45" s="1133"/>
      <c r="I45" s="1133"/>
      <c r="J45" s="1133"/>
      <c r="K45" s="1133"/>
      <c r="L45" s="1173"/>
      <c r="M45" s="1458"/>
      <c r="N45" s="1458"/>
      <c r="O45" s="1458"/>
      <c r="P45" s="263"/>
      <c r="Q45" s="261"/>
      <c r="R45" s="262"/>
      <c r="S45" s="1794" t="str">
        <f>INDEX(PT_DIFFERENTIATION_NUM_CS,MATCH(C45,PT_DIFFERENTIATION_CS_ID,0))</f>
        <v>..</v>
      </c>
      <c r="T45" s="220" t="s">
        <v>661</v>
      </c>
      <c r="U45" s="211"/>
      <c r="V45" s="3522"/>
      <c r="W45" s="3523"/>
      <c r="X45" s="3523"/>
      <c r="Y45" s="3523"/>
      <c r="Z45" s="3523"/>
      <c r="AA45" s="3523"/>
      <c r="AB45" s="3523"/>
      <c r="AC45" s="3524"/>
      <c r="AD45" s="3522" t="str">
        <f>INDEX(PT_DIFFERENTIATION_CS,MATCH(C45,PT_DIFFERENTIATION_CS_ID,0))</f>
        <v/>
      </c>
      <c r="AE45" s="3523"/>
      <c r="AF45" s="3523"/>
      <c r="AG45" s="3523"/>
      <c r="AH45" s="3523"/>
      <c r="AI45" s="3523"/>
      <c r="AJ45" s="3523"/>
      <c r="AK45" s="3523"/>
      <c r="AL45" s="3524"/>
      <c r="AM45" s="1124" t="s">
        <v>662</v>
      </c>
      <c r="AO45" s="1469"/>
      <c r="AP45" s="1469" t="str">
        <f t="shared" si="1"/>
        <v xml:space="preserve">Наименование системы теплоснабжения </v>
      </c>
      <c r="AQ45" s="1469"/>
      <c r="AR45" s="1469"/>
    </row>
    <row r="46" spans="1:44" ht="21" customHeight="1">
      <c r="A46" s="1133" t="s">
        <v>472</v>
      </c>
      <c r="B46" s="1133" t="s">
        <v>473</v>
      </c>
      <c r="C46" s="1133" t="s">
        <v>474</v>
      </c>
      <c r="D46" s="1133" t="s">
        <v>475</v>
      </c>
      <c r="E46" s="3555"/>
      <c r="F46" s="3555"/>
      <c r="G46" s="3555"/>
      <c r="H46" s="3554">
        <v>1</v>
      </c>
      <c r="I46" s="1133"/>
      <c r="J46" s="1133"/>
      <c r="K46" s="1133"/>
      <c r="L46" s="1173"/>
      <c r="M46" s="1458"/>
      <c r="N46" s="1458"/>
      <c r="O46" s="1458"/>
      <c r="P46" s="263"/>
      <c r="Q46" s="261"/>
      <c r="R46" s="262"/>
      <c r="S46" s="1794" t="str">
        <f>INDEX(PT_DIFFERENTIATION_NUM_IST_TE,MATCH(D46,PT_DIFFERENTIATION_IST_TE_ID,0))</f>
        <v>...</v>
      </c>
      <c r="T46" s="221" t="s">
        <v>663</v>
      </c>
      <c r="U46" s="211"/>
      <c r="V46" s="3522"/>
      <c r="W46" s="3523"/>
      <c r="X46" s="3523"/>
      <c r="Y46" s="3523"/>
      <c r="Z46" s="3523"/>
      <c r="AA46" s="3523"/>
      <c r="AB46" s="3523"/>
      <c r="AC46" s="3524"/>
      <c r="AD46" s="3522" t="str">
        <f>INDEX(PT_DIFFERENTIATION_IST_TE,MATCH(D46,PT_DIFFERENTIATION_IST_TE_ID,0))</f>
        <v/>
      </c>
      <c r="AE46" s="3523"/>
      <c r="AF46" s="3523"/>
      <c r="AG46" s="3523"/>
      <c r="AH46" s="3523"/>
      <c r="AI46" s="3523"/>
      <c r="AJ46" s="3523"/>
      <c r="AK46" s="3523"/>
      <c r="AL46" s="3524"/>
      <c r="AM46" s="1124" t="s">
        <v>664</v>
      </c>
      <c r="AO46" s="1469"/>
      <c r="AP46" s="1469" t="str">
        <f t="shared" si="1"/>
        <v xml:space="preserve">Источник тепловой энергии  </v>
      </c>
      <c r="AQ46" s="1469"/>
      <c r="AR46" s="1469"/>
    </row>
    <row r="47" spans="1:44" ht="47.25" customHeight="1">
      <c r="A47" s="1133" t="s">
        <v>472</v>
      </c>
      <c r="B47" s="1133" t="s">
        <v>473</v>
      </c>
      <c r="C47" s="1133" t="s">
        <v>474</v>
      </c>
      <c r="D47" s="1133" t="s">
        <v>475</v>
      </c>
      <c r="E47" s="3555"/>
      <c r="F47" s="3555"/>
      <c r="G47" s="3555"/>
      <c r="H47" s="3555"/>
      <c r="I47" s="3401" t="str">
        <f>S46&amp;".1"</f>
        <v>....1</v>
      </c>
      <c r="J47" s="1133"/>
      <c r="K47" s="1133"/>
      <c r="L47" s="1173" t="s">
        <v>665</v>
      </c>
      <c r="P47" s="3532">
        <v>1</v>
      </c>
      <c r="Q47" s="1790"/>
      <c r="R47" s="265"/>
      <c r="S47" s="1794" t="str">
        <f>$I47</f>
        <v>....1</v>
      </c>
      <c r="T47" s="197" t="s">
        <v>666</v>
      </c>
      <c r="U47" s="211"/>
      <c r="V47" s="3516"/>
      <c r="W47" s="3517"/>
      <c r="X47" s="3517"/>
      <c r="Y47" s="3517"/>
      <c r="Z47" s="3517"/>
      <c r="AA47" s="3517"/>
      <c r="AB47" s="3517"/>
      <c r="AC47" s="3518"/>
      <c r="AD47" s="3516"/>
      <c r="AE47" s="3517"/>
      <c r="AF47" s="3517"/>
      <c r="AG47" s="3517"/>
      <c r="AH47" s="3517"/>
      <c r="AI47" s="3517"/>
      <c r="AJ47" s="3517"/>
      <c r="AK47" s="3517"/>
      <c r="AL47" s="3518"/>
      <c r="AM47" s="1124" t="s">
        <v>667</v>
      </c>
      <c r="AO47" s="1469"/>
      <c r="AP47" s="1469" t="str">
        <f t="shared" si="1"/>
        <v>Схема подключения теплопотребляющей установки к коллектору источника тепловой энергии</v>
      </c>
      <c r="AQ47" s="1469"/>
      <c r="AR47" s="1469"/>
    </row>
    <row r="48" spans="1:44" ht="21" customHeight="1">
      <c r="A48" s="1133" t="s">
        <v>472</v>
      </c>
      <c r="B48" s="1133" t="s">
        <v>473</v>
      </c>
      <c r="C48" s="1133" t="s">
        <v>474</v>
      </c>
      <c r="D48" s="1133" t="s">
        <v>475</v>
      </c>
      <c r="E48" s="3555"/>
      <c r="F48" s="3555"/>
      <c r="G48" s="3555"/>
      <c r="H48" s="3555"/>
      <c r="I48" s="3383"/>
      <c r="J48" s="3401" t="str">
        <f>I47&amp;".1"</f>
        <v>....1.1</v>
      </c>
      <c r="K48" s="1133"/>
      <c r="L48" s="1173" t="s">
        <v>668</v>
      </c>
      <c r="P48" s="3532"/>
      <c r="Q48" s="3532">
        <v>1</v>
      </c>
      <c r="R48" s="266"/>
      <c r="S48" s="1794" t="str">
        <f>$J48</f>
        <v>....1.1</v>
      </c>
      <c r="T48" s="198" t="s">
        <v>669</v>
      </c>
      <c r="U48" s="211"/>
      <c r="V48" s="3516"/>
      <c r="W48" s="3517"/>
      <c r="X48" s="3517"/>
      <c r="Y48" s="3517"/>
      <c r="Z48" s="3517"/>
      <c r="AA48" s="3517"/>
      <c r="AB48" s="3517"/>
      <c r="AC48" s="3518"/>
      <c r="AD48" s="3516"/>
      <c r="AE48" s="3517"/>
      <c r="AF48" s="3517"/>
      <c r="AG48" s="3517"/>
      <c r="AH48" s="3517"/>
      <c r="AI48" s="3517"/>
      <c r="AJ48" s="3517"/>
      <c r="AK48" s="3517"/>
      <c r="AL48" s="3518"/>
      <c r="AM48" s="1124" t="s">
        <v>670</v>
      </c>
      <c r="AO48" s="1469"/>
      <c r="AP48" s="1469" t="str">
        <f t="shared" si="1"/>
        <v>Группа потребителей</v>
      </c>
      <c r="AQ48" s="1469"/>
      <c r="AR48" s="1469"/>
    </row>
    <row r="49" spans="1:44" ht="21" customHeight="1">
      <c r="A49" s="1133" t="s">
        <v>472</v>
      </c>
      <c r="B49" s="1133" t="s">
        <v>473</v>
      </c>
      <c r="C49" s="1133" t="s">
        <v>474</v>
      </c>
      <c r="D49" s="1133" t="s">
        <v>475</v>
      </c>
      <c r="E49" s="3555"/>
      <c r="F49" s="3555"/>
      <c r="G49" s="3555"/>
      <c r="H49" s="3555"/>
      <c r="I49" s="3383"/>
      <c r="J49" s="3383"/>
      <c r="K49" s="3401" t="str">
        <f>J48&amp;".1"</f>
        <v>....1.1.1</v>
      </c>
      <c r="L49" s="1173" t="s">
        <v>671</v>
      </c>
      <c r="P49" s="3532"/>
      <c r="Q49" s="3532"/>
      <c r="R49" s="266">
        <v>1</v>
      </c>
      <c r="S49" s="1794" t="str">
        <f>$K49</f>
        <v>....1.1.1</v>
      </c>
      <c r="T49" s="1209"/>
      <c r="U49" s="211"/>
      <c r="V49" s="639"/>
      <c r="W49" s="236"/>
      <c r="X49" s="639"/>
      <c r="Y49" s="1123"/>
      <c r="Z49" s="3533"/>
      <c r="AA49" s="3412" t="s">
        <v>64</v>
      </c>
      <c r="AB49" s="3533"/>
      <c r="AC49" s="3412" t="s">
        <v>64</v>
      </c>
      <c r="AD49" s="639"/>
      <c r="AE49" s="236"/>
      <c r="AF49" s="639"/>
      <c r="AG49" s="1123"/>
      <c r="AH49" s="3533"/>
      <c r="AI49" s="3412" t="s">
        <v>64</v>
      </c>
      <c r="AJ49" s="3535"/>
      <c r="AK49" s="3412" t="s">
        <v>64</v>
      </c>
      <c r="AL49" s="1210"/>
      <c r="AM49" s="3551" t="s">
        <v>672</v>
      </c>
      <c r="AN49" s="1481" t="e">
        <f ca="1">STRCHECKDATE(V50:AL50)</f>
        <v>#NAME?</v>
      </c>
      <c r="AO49" s="1469"/>
      <c r="AP49" s="1469" t="str">
        <f t="shared" si="1"/>
        <v/>
      </c>
      <c r="AQ49" s="1469"/>
      <c r="AR49" s="1469"/>
    </row>
    <row r="50" spans="1:44" ht="0.75" customHeight="1">
      <c r="A50" s="1133" t="s">
        <v>472</v>
      </c>
      <c r="B50" s="1133" t="s">
        <v>473</v>
      </c>
      <c r="C50" s="1133" t="s">
        <v>474</v>
      </c>
      <c r="D50" s="1133" t="s">
        <v>475</v>
      </c>
      <c r="E50" s="3555"/>
      <c r="F50" s="3555"/>
      <c r="G50" s="3555"/>
      <c r="H50" s="3555"/>
      <c r="I50" s="3383"/>
      <c r="J50" s="3383"/>
      <c r="K50" s="3401"/>
      <c r="L50" s="1173"/>
      <c r="P50" s="3532"/>
      <c r="Q50" s="3532"/>
      <c r="R50" s="266"/>
      <c r="S50" s="1806"/>
      <c r="T50" s="211"/>
      <c r="U50" s="211"/>
      <c r="V50" s="236"/>
      <c r="W50" s="236"/>
      <c r="X50" s="236"/>
      <c r="Y50" s="239" t="str">
        <f>Z49&amp;"-"&amp;AB49</f>
        <v>-</v>
      </c>
      <c r="Z50" s="3534"/>
      <c r="AA50" s="3412"/>
      <c r="AB50" s="3534"/>
      <c r="AC50" s="3412"/>
      <c r="AD50" s="236"/>
      <c r="AE50" s="236"/>
      <c r="AF50" s="236"/>
      <c r="AG50" s="239" t="str">
        <f>AH49&amp;"-"&amp;AJ49</f>
        <v>-</v>
      </c>
      <c r="AH50" s="3534"/>
      <c r="AI50" s="3412"/>
      <c r="AJ50" s="3536"/>
      <c r="AK50" s="3412"/>
      <c r="AL50" s="1211"/>
      <c r="AM50" s="3552"/>
      <c r="AO50" s="1469"/>
      <c r="AP50" s="1469" t="str">
        <f t="shared" si="1"/>
        <v/>
      </c>
      <c r="AQ50" s="1469"/>
      <c r="AR50" s="1469"/>
    </row>
    <row r="51" spans="1:44" ht="11.25" customHeight="1">
      <c r="A51" s="1133" t="s">
        <v>472</v>
      </c>
      <c r="B51" s="1133" t="s">
        <v>473</v>
      </c>
      <c r="C51" s="1133" t="s">
        <v>474</v>
      </c>
      <c r="D51" s="1133" t="s">
        <v>475</v>
      </c>
      <c r="E51" s="3555"/>
      <c r="F51" s="3555"/>
      <c r="G51" s="3555"/>
      <c r="H51" s="3555"/>
      <c r="I51" s="3383"/>
      <c r="J51" s="3401"/>
      <c r="K51" s="1133"/>
      <c r="L51" s="1173"/>
      <c r="P51" s="3532"/>
      <c r="Q51" s="3532"/>
      <c r="R51" s="265"/>
      <c r="S51" s="1144"/>
      <c r="T51" s="200" t="s">
        <v>673</v>
      </c>
      <c r="U51" s="494"/>
      <c r="V51" s="494"/>
      <c r="W51" s="494"/>
      <c r="X51" s="494"/>
      <c r="Y51" s="494"/>
      <c r="Z51" s="494"/>
      <c r="AA51" s="494"/>
      <c r="AB51" s="494"/>
      <c r="AC51" s="494"/>
      <c r="AD51" s="494"/>
      <c r="AE51" s="494"/>
      <c r="AF51" s="494"/>
      <c r="AG51" s="494"/>
      <c r="AH51" s="494"/>
      <c r="AI51" s="494"/>
      <c r="AJ51" s="494"/>
      <c r="AK51" s="494"/>
      <c r="AL51" s="235"/>
      <c r="AM51" s="3553"/>
      <c r="AO51" s="1469"/>
      <c r="AP51" s="1469" t="str">
        <f t="shared" si="1"/>
        <v>Добавить вид теплоносителя (параметры теплоносителя)</v>
      </c>
      <c r="AQ51" s="1469"/>
      <c r="AR51" s="1469"/>
    </row>
    <row r="52" spans="1:44" ht="11.25" customHeight="1">
      <c r="A52" s="1133" t="s">
        <v>472</v>
      </c>
      <c r="B52" s="1133" t="s">
        <v>473</v>
      </c>
      <c r="C52" s="1133" t="s">
        <v>474</v>
      </c>
      <c r="D52" s="1133" t="s">
        <v>475</v>
      </c>
      <c r="E52" s="3555"/>
      <c r="F52" s="3555"/>
      <c r="G52" s="3555"/>
      <c r="H52" s="3555"/>
      <c r="I52" s="3401"/>
      <c r="J52" s="1133"/>
      <c r="K52" s="1133"/>
      <c r="L52" s="1173"/>
      <c r="P52" s="3532"/>
      <c r="Q52" s="1790"/>
      <c r="R52" s="265"/>
      <c r="S52" s="1144"/>
      <c r="T52" s="199" t="s">
        <v>674</v>
      </c>
      <c r="U52" s="494"/>
      <c r="V52" s="494"/>
      <c r="W52" s="494"/>
      <c r="X52" s="494"/>
      <c r="Y52" s="494"/>
      <c r="Z52" s="494"/>
      <c r="AA52" s="494"/>
      <c r="AB52" s="494"/>
      <c r="AC52" s="274"/>
      <c r="AD52" s="494"/>
      <c r="AE52" s="494"/>
      <c r="AF52" s="494"/>
      <c r="AG52" s="494"/>
      <c r="AH52" s="494"/>
      <c r="AI52" s="494"/>
      <c r="AJ52" s="494"/>
      <c r="AK52" s="274"/>
      <c r="AL52" s="494"/>
      <c r="AM52" s="214"/>
      <c r="AO52" s="1469"/>
      <c r="AP52" s="1469" t="str">
        <f t="shared" si="1"/>
        <v>Добавить группу потребителей</v>
      </c>
      <c r="AQ52" s="1469"/>
      <c r="AR52" s="1469"/>
    </row>
    <row r="53" spans="1:44" ht="14.25" customHeight="1">
      <c r="A53" s="1133" t="s">
        <v>472</v>
      </c>
      <c r="B53" s="1133" t="s">
        <v>473</v>
      </c>
      <c r="C53" s="1133" t="s">
        <v>474</v>
      </c>
      <c r="D53" s="1133" t="s">
        <v>475</v>
      </c>
      <c r="E53" s="3555"/>
      <c r="F53" s="3555"/>
      <c r="G53" s="3555"/>
      <c r="H53" s="3554"/>
      <c r="I53" s="1133"/>
      <c r="J53" s="1133"/>
      <c r="K53" s="1133"/>
      <c r="L53" s="1173"/>
      <c r="M53" s="1458"/>
      <c r="N53" s="1458"/>
      <c r="O53" s="1480"/>
      <c r="P53" s="269"/>
      <c r="Q53" s="282"/>
      <c r="R53" s="264"/>
      <c r="S53" s="1144"/>
      <c r="T53" s="273" t="s">
        <v>675</v>
      </c>
      <c r="U53" s="494"/>
      <c r="V53" s="494"/>
      <c r="W53" s="494"/>
      <c r="X53" s="494"/>
      <c r="Y53" s="494"/>
      <c r="Z53" s="494"/>
      <c r="AA53" s="494"/>
      <c r="AB53" s="494"/>
      <c r="AC53" s="274"/>
      <c r="AD53" s="494"/>
      <c r="AE53" s="494"/>
      <c r="AF53" s="494"/>
      <c r="AG53" s="494"/>
      <c r="AH53" s="494"/>
      <c r="AI53" s="494"/>
      <c r="AJ53" s="494"/>
      <c r="AK53" s="274"/>
      <c r="AL53" s="494"/>
      <c r="AM53" s="214"/>
      <c r="AO53" s="1469"/>
      <c r="AP53" s="1469" t="str">
        <f t="shared" si="1"/>
        <v>Добавить схему подключения</v>
      </c>
      <c r="AQ53" s="1469"/>
      <c r="AR53" s="1469"/>
    </row>
    <row r="54" spans="1:44" s="1866" customFormat="1" ht="0.75" customHeight="1">
      <c r="A54" s="1236" t="s">
        <v>472</v>
      </c>
      <c r="B54" s="1236" t="s">
        <v>473</v>
      </c>
      <c r="C54" s="1236" t="s">
        <v>474</v>
      </c>
      <c r="D54" s="1235"/>
      <c r="E54" s="3555"/>
      <c r="F54" s="3555"/>
      <c r="G54" s="3554"/>
      <c r="H54" s="1235"/>
      <c r="I54" s="1235"/>
      <c r="J54" s="1235"/>
      <c r="K54" s="1235"/>
      <c r="L54" s="1238"/>
      <c r="M54" s="1239"/>
      <c r="N54" s="1239"/>
      <c r="O54" s="260"/>
      <c r="P54" s="1179"/>
      <c r="Q54" s="1180"/>
      <c r="R54" s="1179"/>
      <c r="S54" s="1185"/>
      <c r="T54" s="1188" t="s">
        <v>676</v>
      </c>
      <c r="U54" s="1187"/>
      <c r="V54" s="1187"/>
      <c r="W54" s="1187"/>
      <c r="X54" s="1187"/>
      <c r="Y54" s="1187"/>
      <c r="Z54" s="1187"/>
      <c r="AA54" s="1187"/>
      <c r="AB54" s="1187"/>
      <c r="AC54" s="1187"/>
      <c r="AD54" s="1187"/>
      <c r="AE54" s="1187"/>
      <c r="AF54" s="1187"/>
      <c r="AG54" s="1187"/>
      <c r="AH54" s="1187"/>
      <c r="AI54" s="1187"/>
      <c r="AJ54" s="1187"/>
      <c r="AK54" s="1187"/>
      <c r="AL54" s="1187"/>
      <c r="AM54" s="1187"/>
      <c r="AO54" s="1117"/>
      <c r="AP54" s="1117" t="str">
        <f t="shared" si="1"/>
        <v>Добавить источник для дифференциации</v>
      </c>
      <c r="AQ54" s="1117"/>
      <c r="AR54" s="1117"/>
    </row>
    <row r="55" spans="1:44" s="1866" customFormat="1" ht="0.75" customHeight="1">
      <c r="A55" s="1236" t="s">
        <v>472</v>
      </c>
      <c r="B55" s="1236" t="s">
        <v>473</v>
      </c>
      <c r="C55" s="1235"/>
      <c r="D55" s="1235"/>
      <c r="E55" s="3555"/>
      <c r="F55" s="3554"/>
      <c r="G55" s="1235"/>
      <c r="H55" s="1235"/>
      <c r="I55" s="1235"/>
      <c r="J55" s="1235"/>
      <c r="K55" s="1235"/>
      <c r="L55" s="1238"/>
      <c r="M55" s="1240"/>
      <c r="N55" s="1240"/>
      <c r="O55" s="260"/>
      <c r="P55" s="1179"/>
      <c r="Q55" s="1180"/>
      <c r="R55" s="1179"/>
      <c r="S55" s="1185"/>
      <c r="T55" s="1188" t="s">
        <v>677</v>
      </c>
      <c r="U55" s="1187"/>
      <c r="V55" s="1187"/>
      <c r="W55" s="1187"/>
      <c r="X55" s="1187"/>
      <c r="Y55" s="1187"/>
      <c r="Z55" s="1187"/>
      <c r="AA55" s="1187"/>
      <c r="AB55" s="1187"/>
      <c r="AC55" s="1187"/>
      <c r="AD55" s="1187"/>
      <c r="AE55" s="1187"/>
      <c r="AF55" s="1187"/>
      <c r="AG55" s="1187"/>
      <c r="AH55" s="1187"/>
      <c r="AI55" s="1187"/>
      <c r="AJ55" s="1187"/>
      <c r="AK55" s="1187"/>
      <c r="AL55" s="1187"/>
      <c r="AM55" s="1187"/>
      <c r="AO55" s="1117"/>
      <c r="AP55" s="1117" t="str">
        <f t="shared" si="1"/>
        <v>Добавить централизованную систему для дифференциации</v>
      </c>
      <c r="AQ55" s="1117"/>
      <c r="AR55" s="1117"/>
    </row>
    <row r="56" spans="1:44" s="1866" customFormat="1" ht="0.75" customHeight="1">
      <c r="A56" s="1236" t="s">
        <v>472</v>
      </c>
      <c r="B56" s="1236"/>
      <c r="C56" s="1236"/>
      <c r="D56" s="1236"/>
      <c r="E56" s="3554"/>
      <c r="F56" s="1236"/>
      <c r="G56" s="1236"/>
      <c r="H56" s="1236"/>
      <c r="I56" s="1236"/>
      <c r="J56" s="1236"/>
      <c r="K56" s="1236"/>
      <c r="L56" s="1242"/>
      <c r="M56" s="1240"/>
      <c r="N56" s="1240"/>
      <c r="O56" s="260"/>
      <c r="P56" s="287"/>
      <c r="Q56" s="1206"/>
      <c r="R56" s="287"/>
      <c r="S56" s="1185"/>
      <c r="T56" s="1188" t="s">
        <v>678</v>
      </c>
      <c r="U56" s="1187"/>
      <c r="V56" s="1187"/>
      <c r="W56" s="1187"/>
      <c r="X56" s="1187"/>
      <c r="Y56" s="1187"/>
      <c r="Z56" s="1187"/>
      <c r="AA56" s="1187"/>
      <c r="AB56" s="1187"/>
      <c r="AC56" s="1187"/>
      <c r="AD56" s="1187"/>
      <c r="AE56" s="1187"/>
      <c r="AF56" s="1187"/>
      <c r="AG56" s="1187"/>
      <c r="AH56" s="1187"/>
      <c r="AI56" s="1187"/>
      <c r="AJ56" s="1187"/>
      <c r="AK56" s="1187"/>
      <c r="AL56" s="1187"/>
      <c r="AM56" s="1187"/>
      <c r="AO56" s="1469"/>
      <c r="AP56" s="1469" t="str">
        <f t="shared" si="1"/>
        <v>Добавить территорию для дифференциации</v>
      </c>
      <c r="AQ56" s="1469"/>
      <c r="AR56" s="1469"/>
    </row>
    <row r="57" spans="1:44" s="1866" customFormat="1" ht="0.75" customHeight="1">
      <c r="A57" s="1235"/>
      <c r="B57" s="1235"/>
      <c r="C57" s="1235"/>
      <c r="D57" s="1235"/>
      <c r="E57" s="1236"/>
      <c r="F57" s="1235"/>
      <c r="G57" s="1235"/>
      <c r="H57" s="1235"/>
      <c r="I57" s="1235"/>
      <c r="J57" s="1235"/>
      <c r="K57" s="1235"/>
      <c r="L57" s="1238"/>
      <c r="M57" s="1240"/>
      <c r="N57" s="1240"/>
      <c r="O57" s="260"/>
      <c r="P57" s="1179"/>
      <c r="Q57" s="1180"/>
      <c r="R57" s="1179"/>
      <c r="S57" s="1185"/>
      <c r="T57" s="1188" t="s">
        <v>710</v>
      </c>
      <c r="U57" s="1187"/>
      <c r="V57" s="1187"/>
      <c r="W57" s="1187"/>
      <c r="X57" s="1187"/>
      <c r="Y57" s="1187"/>
      <c r="Z57" s="1187"/>
      <c r="AA57" s="1187"/>
      <c r="AB57" s="1187"/>
      <c r="AC57" s="1187"/>
      <c r="AD57" s="1187"/>
      <c r="AE57" s="1187"/>
      <c r="AF57" s="1187"/>
      <c r="AG57" s="1187"/>
      <c r="AH57" s="1187"/>
      <c r="AI57" s="1187"/>
      <c r="AJ57" s="1187"/>
      <c r="AK57" s="1187"/>
      <c r="AL57" s="1187"/>
      <c r="AM57" s="1187"/>
      <c r="AO57" s="1117"/>
      <c r="AP57" s="1117" t="str">
        <f t="shared" si="1"/>
        <v>Добавить наименование тарифа</v>
      </c>
      <c r="AQ57" s="1117"/>
      <c r="AR57" s="1117"/>
    </row>
    <row r="58" spans="1:44" ht="11.25" customHeight="1">
      <c r="M58" s="1476"/>
      <c r="N58" s="1476"/>
      <c r="O58" s="1480"/>
      <c r="P58" s="1476"/>
      <c r="Q58" s="1476"/>
      <c r="R58" s="1476"/>
      <c r="S58" s="1476"/>
      <c r="AN58" s="1476"/>
      <c r="AO58" s="1476"/>
      <c r="AP58" s="1476"/>
      <c r="AQ58" s="1476"/>
      <c r="AR58" s="1476"/>
    </row>
    <row r="59" spans="1:44" ht="27" customHeight="1">
      <c r="O59" s="1480"/>
      <c r="S59" s="1119"/>
      <c r="T59" s="3527"/>
      <c r="U59" s="3527"/>
      <c r="V59" s="3527"/>
      <c r="W59" s="3527"/>
      <c r="X59" s="3527"/>
      <c r="Y59" s="3527"/>
      <c r="Z59" s="3527"/>
      <c r="AA59" s="3527"/>
      <c r="AB59" s="3527"/>
      <c r="AC59" s="3527"/>
      <c r="AD59" s="3527"/>
      <c r="AE59" s="3527"/>
      <c r="AF59" s="3527"/>
      <c r="AG59" s="3527"/>
      <c r="AH59" s="3527"/>
      <c r="AI59" s="3527"/>
      <c r="AJ59" s="3527"/>
      <c r="AK59" s="3527"/>
      <c r="AL59" s="3527"/>
      <c r="AM59" s="3527"/>
    </row>
    <row r="60" spans="1:44" ht="62.25" customHeight="1">
      <c r="O60" s="1480"/>
      <c r="T60" s="3527"/>
      <c r="U60" s="3527"/>
      <c r="V60" s="3527"/>
      <c r="W60" s="3527"/>
      <c r="X60" s="3527"/>
      <c r="Y60" s="3527"/>
      <c r="Z60" s="3527"/>
      <c r="AA60" s="3527"/>
      <c r="AB60" s="3527"/>
      <c r="AC60" s="3527"/>
      <c r="AD60" s="3527"/>
      <c r="AE60" s="3527"/>
      <c r="AF60" s="3527"/>
      <c r="AG60" s="3527"/>
      <c r="AH60" s="3527"/>
      <c r="AI60" s="3527"/>
      <c r="AJ60" s="3527"/>
      <c r="AK60" s="3527"/>
      <c r="AL60" s="3527"/>
      <c r="AM60" s="3527"/>
    </row>
    <row r="61" spans="1:44" ht="14.25" customHeight="1">
      <c r="O61" s="1480"/>
    </row>
    <row r="62" spans="1:44" ht="18" customHeight="1">
      <c r="O62" s="1480"/>
      <c r="S62" s="1119"/>
      <c r="T62" s="3527"/>
      <c r="U62" s="3527"/>
      <c r="V62" s="3527"/>
      <c r="W62" s="3527"/>
      <c r="X62" s="3527"/>
      <c r="Y62" s="3527"/>
      <c r="Z62" s="3527"/>
      <c r="AA62" s="3527"/>
      <c r="AB62" s="3527"/>
      <c r="AC62" s="3527"/>
      <c r="AD62" s="3527"/>
      <c r="AE62" s="3527"/>
      <c r="AF62" s="3527"/>
      <c r="AG62" s="3527"/>
      <c r="AH62" s="3527"/>
      <c r="AI62" s="3527"/>
      <c r="AJ62" s="3527"/>
      <c r="AK62" s="3527"/>
      <c r="AL62" s="3527"/>
      <c r="AM62" s="3527"/>
    </row>
    <row r="63" spans="1:44" ht="18" customHeight="1">
      <c r="O63" s="1480"/>
      <c r="T63" s="3527"/>
      <c r="U63" s="3527"/>
      <c r="V63" s="3527"/>
      <c r="W63" s="3527"/>
      <c r="X63" s="3527"/>
      <c r="Y63" s="3527"/>
      <c r="Z63" s="3527"/>
      <c r="AA63" s="3527"/>
      <c r="AB63" s="3527"/>
      <c r="AC63" s="3527"/>
      <c r="AD63" s="3527"/>
      <c r="AE63" s="3527"/>
      <c r="AF63" s="3527"/>
      <c r="AG63" s="3527"/>
      <c r="AH63" s="3527"/>
      <c r="AI63" s="3527"/>
      <c r="AJ63" s="3527"/>
      <c r="AK63" s="3527"/>
      <c r="AL63" s="3527"/>
      <c r="AM63" s="3527"/>
    </row>
    <row r="64" spans="1:44" ht="27.75" customHeight="1">
      <c r="O64" s="1480"/>
      <c r="S64" s="1119"/>
      <c r="T64" s="3527"/>
      <c r="U64" s="3527"/>
      <c r="V64" s="3527"/>
      <c r="W64" s="3527"/>
      <c r="X64" s="3527"/>
      <c r="Y64" s="3527"/>
      <c r="Z64" s="3527"/>
      <c r="AA64" s="3527"/>
      <c r="AB64" s="3527"/>
      <c r="AC64" s="3527"/>
      <c r="AD64" s="3527"/>
      <c r="AE64" s="3527"/>
      <c r="AF64" s="3527"/>
      <c r="AG64" s="3527"/>
      <c r="AH64" s="3527"/>
      <c r="AI64" s="3527"/>
      <c r="AJ64" s="3527"/>
      <c r="AK64" s="3527"/>
      <c r="AL64" s="3527"/>
      <c r="AM64" s="3527"/>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D121A-F5D7-F0D3-393C-F75715054A35}">
  <sheetPr>
    <tabColor theme="6" tint="0.39997558519241921"/>
  </sheetPr>
  <dimension ref="A1:AR64"/>
  <sheetViews>
    <sheetView showGridLines="0" topLeftCell="P25" workbookViewId="0"/>
  </sheetViews>
  <sheetFormatPr defaultColWidth="10.5703125" defaultRowHeight="14.25" customHeight="1"/>
  <cols>
    <col min="1" max="1" width="10.5703125" style="1910" hidden="1"/>
    <col min="2" max="2" width="11" style="1910" hidden="1" customWidth="1"/>
    <col min="3" max="3" width="10.5703125" style="1910" hidden="1"/>
    <col min="4" max="4" width="11.85546875" style="1910" hidden="1" customWidth="1"/>
    <col min="5" max="5" width="10" style="1910" hidden="1" customWidth="1"/>
    <col min="6" max="6" width="8.7109375" style="1910" hidden="1" customWidth="1"/>
    <col min="7" max="7" width="7.5703125" style="1910" hidden="1" customWidth="1"/>
    <col min="8" max="8" width="11.42578125" style="1910" hidden="1" customWidth="1"/>
    <col min="9" max="9" width="12" style="1910" hidden="1" customWidth="1"/>
    <col min="10" max="10" width="9.85546875" style="1910" hidden="1" customWidth="1"/>
    <col min="11" max="11" width="11.42578125" style="1910" hidden="1" customWidth="1"/>
    <col min="12" max="12" width="19.140625" style="1952" hidden="1" customWidth="1"/>
    <col min="13" max="14" width="12.28515625" style="1957" hidden="1" customWidth="1"/>
    <col min="15" max="15" width="23.42578125" style="1957" hidden="1" customWidth="1"/>
    <col min="16" max="16" width="3.7109375" style="1957" customWidth="1"/>
    <col min="17" max="18" width="3.7109375" style="1906" customWidth="1"/>
    <col min="19" max="19" width="12.7109375" style="1951" customWidth="1"/>
    <col min="20" max="20" width="32" style="1910" customWidth="1"/>
    <col min="21" max="21" width="0.140625" style="1910" customWidth="1"/>
    <col min="22" max="22" width="24.7109375" style="1910" hidden="1" customWidth="1"/>
    <col min="23" max="23" width="0.140625" style="1910" hidden="1" customWidth="1"/>
    <col min="24" max="25" width="24.7109375" style="1910" hidden="1" customWidth="1"/>
    <col min="26" max="26" width="11.7109375" style="1910" hidden="1" customWidth="1"/>
    <col min="27" max="27" width="3.7109375" style="1910" hidden="1" customWidth="1"/>
    <col min="28" max="28" width="11.7109375" style="1910" hidden="1" customWidth="1"/>
    <col min="29" max="29" width="8.5703125" style="1910" hidden="1" customWidth="1"/>
    <col min="30" max="30" width="24.7109375" style="1910" customWidth="1"/>
    <col min="31" max="31" width="0.140625" style="1910" customWidth="1"/>
    <col min="32" max="33" width="24.7109375" style="1910" customWidth="1"/>
    <col min="34" max="34" width="11.7109375" style="1910" customWidth="1"/>
    <col min="35" max="35" width="3.7109375" style="1910" customWidth="1"/>
    <col min="36" max="36" width="11.7109375" style="1910" customWidth="1"/>
    <col min="37" max="37" width="8.5703125" style="1910" hidden="1" customWidth="1"/>
    <col min="38" max="38" width="4.7109375" style="1910" customWidth="1"/>
    <col min="39" max="39" width="115.7109375" style="1910" customWidth="1"/>
    <col min="40" max="41" width="10.5703125" style="1866"/>
    <col min="42" max="42" width="11.140625" style="1866" customWidth="1"/>
    <col min="43" max="44" width="10.5703125" style="1866"/>
  </cols>
  <sheetData>
    <row r="1" spans="1:44" ht="14.25" hidden="1" customHeight="1"/>
    <row r="2" spans="1:44" ht="21" hidden="1" customHeight="1">
      <c r="A2" s="1133"/>
      <c r="B2" s="1133"/>
      <c r="C2" s="1133"/>
      <c r="D2" s="1133"/>
      <c r="E2" s="3554">
        <v>1</v>
      </c>
      <c r="F2" s="1133"/>
      <c r="G2" s="1133"/>
      <c r="H2" s="1133"/>
      <c r="I2" s="1133"/>
      <c r="J2" s="1133"/>
      <c r="K2" s="1133"/>
      <c r="L2" s="1173"/>
      <c r="M2" s="1458"/>
      <c r="N2" s="1458"/>
      <c r="O2" s="1458"/>
      <c r="P2" s="1441"/>
      <c r="Q2" s="269"/>
      <c r="R2" s="264"/>
      <c r="S2" s="1794" t="e">
        <f>INDEX(PT_DIFFERENTIATION_NUM_NTAR,MATCH(A2,PT_DIFFERENTIATION_NTAR_ID,0))</f>
        <v>#N/A</v>
      </c>
      <c r="T2" s="1380" t="s">
        <v>391</v>
      </c>
      <c r="U2" s="211"/>
      <c r="V2" s="3522"/>
      <c r="W2" s="3523"/>
      <c r="X2" s="3523"/>
      <c r="Y2" s="3523"/>
      <c r="Z2" s="3523"/>
      <c r="AA2" s="3523"/>
      <c r="AB2" s="3523"/>
      <c r="AC2" s="3524"/>
      <c r="AD2" s="3522" t="e">
        <f>INDEX(PT_DIFFERENTIATION_NTAR,MATCH(A2,PT_DIFFERENTIATION_NTAR_ID,0))</f>
        <v>#N/A</v>
      </c>
      <c r="AE2" s="3523"/>
      <c r="AF2" s="3523"/>
      <c r="AG2" s="3523"/>
      <c r="AH2" s="3523"/>
      <c r="AI2" s="3523"/>
      <c r="AJ2" s="3523"/>
      <c r="AK2" s="3523"/>
      <c r="AL2" s="3524"/>
      <c r="AM2" s="1124" t="s">
        <v>658</v>
      </c>
      <c r="AO2" s="1469"/>
      <c r="AP2" s="1469" t="str">
        <f t="shared" ref="AP2:AP15" si="0">IF(T2="","",T2)</f>
        <v>Наименование тарифа</v>
      </c>
      <c r="AQ2" s="1469"/>
      <c r="AR2" s="1469"/>
    </row>
    <row r="3" spans="1:44" ht="21" hidden="1" customHeight="1">
      <c r="A3" s="1133"/>
      <c r="B3" s="1133"/>
      <c r="C3" s="1133"/>
      <c r="D3" s="1133"/>
      <c r="E3" s="3555"/>
      <c r="F3" s="3554">
        <v>1</v>
      </c>
      <c r="G3" s="1133"/>
      <c r="H3" s="1133"/>
      <c r="I3" s="1133"/>
      <c r="J3" s="1133"/>
      <c r="K3" s="1133"/>
      <c r="L3" s="1173"/>
      <c r="M3" s="1458"/>
      <c r="N3" s="1458"/>
      <c r="O3" s="1458"/>
      <c r="P3" s="1776"/>
      <c r="Q3" s="261"/>
      <c r="R3" s="262"/>
      <c r="S3" s="1794" t="e">
        <f>INDEX(PT_DIFFERENTIATION_NUM_TER,MATCH(B3,PT_DIFFERENTIATION_TER_ID,0))</f>
        <v>#N/A</v>
      </c>
      <c r="T3" s="1377" t="s">
        <v>659</v>
      </c>
      <c r="U3" s="211"/>
      <c r="V3" s="3522"/>
      <c r="W3" s="3523"/>
      <c r="X3" s="3523"/>
      <c r="Y3" s="3523"/>
      <c r="Z3" s="3523"/>
      <c r="AA3" s="3523"/>
      <c r="AB3" s="3523"/>
      <c r="AC3" s="3524"/>
      <c r="AD3" s="3522" t="e">
        <f>INDEX(PT_DIFFERENTIATION_TER,MATCH(B3,PT_DIFFERENTIATION_TER_ID,0))</f>
        <v>#N/A</v>
      </c>
      <c r="AE3" s="3523"/>
      <c r="AF3" s="3523"/>
      <c r="AG3" s="3523"/>
      <c r="AH3" s="3523"/>
      <c r="AI3" s="3523"/>
      <c r="AJ3" s="3523"/>
      <c r="AK3" s="3523"/>
      <c r="AL3" s="3524"/>
      <c r="AM3" s="1124" t="s">
        <v>660</v>
      </c>
      <c r="AO3" s="1469"/>
      <c r="AP3" s="1469" t="str">
        <f t="shared" si="0"/>
        <v>Территория действия тарифа</v>
      </c>
      <c r="AQ3" s="1469"/>
      <c r="AR3" s="1469"/>
    </row>
    <row r="4" spans="1:44" ht="23.25" hidden="1" customHeight="1">
      <c r="A4" s="1133"/>
      <c r="B4" s="1133"/>
      <c r="C4" s="1133"/>
      <c r="D4" s="1133"/>
      <c r="E4" s="3555"/>
      <c r="F4" s="3555"/>
      <c r="G4" s="3554">
        <v>1</v>
      </c>
      <c r="H4" s="1133"/>
      <c r="I4" s="1133"/>
      <c r="J4" s="1133"/>
      <c r="K4" s="1133"/>
      <c r="L4" s="1173"/>
      <c r="M4" s="1458"/>
      <c r="N4" s="1458"/>
      <c r="O4" s="1458"/>
      <c r="P4" s="263"/>
      <c r="Q4" s="261"/>
      <c r="R4" s="262"/>
      <c r="S4" s="1794" t="e">
        <f>INDEX(PT_DIFFERENTIATION_NUM_CS,MATCH(C4,PT_DIFFERENTIATION_CS_ID,0))</f>
        <v>#N/A</v>
      </c>
      <c r="T4" s="220" t="s">
        <v>661</v>
      </c>
      <c r="U4" s="211"/>
      <c r="V4" s="3522"/>
      <c r="W4" s="3523"/>
      <c r="X4" s="3523"/>
      <c r="Y4" s="3523"/>
      <c r="Z4" s="3523"/>
      <c r="AA4" s="3523"/>
      <c r="AB4" s="3523"/>
      <c r="AC4" s="3524"/>
      <c r="AD4" s="3522" t="e">
        <f>INDEX(PT_DIFFERENTIATION_CS,MATCH(C4,PT_DIFFERENTIATION_CS_ID,0))</f>
        <v>#N/A</v>
      </c>
      <c r="AE4" s="3523"/>
      <c r="AF4" s="3523"/>
      <c r="AG4" s="3523"/>
      <c r="AH4" s="3523"/>
      <c r="AI4" s="3523"/>
      <c r="AJ4" s="3523"/>
      <c r="AK4" s="3523"/>
      <c r="AL4" s="3524"/>
      <c r="AM4" s="1124" t="s">
        <v>662</v>
      </c>
      <c r="AO4" s="1469"/>
      <c r="AP4" s="1469" t="str">
        <f t="shared" si="0"/>
        <v xml:space="preserve">Наименование системы теплоснабжения </v>
      </c>
      <c r="AQ4" s="1469"/>
      <c r="AR4" s="1469"/>
    </row>
    <row r="5" spans="1:44" ht="21" hidden="1" customHeight="1">
      <c r="A5" s="1133"/>
      <c r="B5" s="1133"/>
      <c r="C5" s="1133"/>
      <c r="D5" s="1133"/>
      <c r="E5" s="3555"/>
      <c r="F5" s="3555"/>
      <c r="G5" s="3555"/>
      <c r="H5" s="3554">
        <v>1</v>
      </c>
      <c r="I5" s="1133"/>
      <c r="J5" s="1133"/>
      <c r="K5" s="1133"/>
      <c r="L5" s="1173"/>
      <c r="M5" s="1458"/>
      <c r="N5" s="1458"/>
      <c r="O5" s="1458"/>
      <c r="P5" s="263"/>
      <c r="Q5" s="261"/>
      <c r="R5" s="262"/>
      <c r="S5" s="1794" t="e">
        <f>INDEX(PT_DIFFERENTIATION_NUM_IST_TE,MATCH(D5,PT_DIFFERENTIATION_IST_TE_ID,0))</f>
        <v>#N/A</v>
      </c>
      <c r="T5" s="221" t="s">
        <v>663</v>
      </c>
      <c r="U5" s="211"/>
      <c r="V5" s="3522"/>
      <c r="W5" s="3523"/>
      <c r="X5" s="3523"/>
      <c r="Y5" s="3523"/>
      <c r="Z5" s="3523"/>
      <c r="AA5" s="3523"/>
      <c r="AB5" s="3523"/>
      <c r="AC5" s="3524"/>
      <c r="AD5" s="3522" t="e">
        <f>INDEX(PT_DIFFERENTIATION_IST_TE,MATCH(D5,PT_DIFFERENTIATION_IST_TE_ID,0))</f>
        <v>#N/A</v>
      </c>
      <c r="AE5" s="3523"/>
      <c r="AF5" s="3523"/>
      <c r="AG5" s="3523"/>
      <c r="AH5" s="3523"/>
      <c r="AI5" s="3523"/>
      <c r="AJ5" s="3523"/>
      <c r="AK5" s="3523"/>
      <c r="AL5" s="3524"/>
      <c r="AM5" s="1124" t="s">
        <v>664</v>
      </c>
      <c r="AO5" s="1469"/>
      <c r="AP5" s="1469" t="str">
        <f t="shared" si="0"/>
        <v xml:space="preserve">Источник тепловой энергии  </v>
      </c>
      <c r="AQ5" s="1469"/>
      <c r="AR5" s="1469"/>
    </row>
    <row r="6" spans="1:44" ht="47.25" hidden="1" customHeight="1">
      <c r="A6" s="1133"/>
      <c r="B6" s="1133"/>
      <c r="C6" s="1133"/>
      <c r="D6" s="1133"/>
      <c r="E6" s="3555"/>
      <c r="F6" s="3555"/>
      <c r="G6" s="3555"/>
      <c r="H6" s="3555"/>
      <c r="I6" s="3401" t="e">
        <f>S5&amp;".1"</f>
        <v>#N/A</v>
      </c>
      <c r="J6" s="1133"/>
      <c r="K6" s="1133"/>
      <c r="L6" s="1173" t="s">
        <v>665</v>
      </c>
      <c r="M6" s="1480"/>
      <c r="P6" s="3532">
        <v>1</v>
      </c>
      <c r="Q6" s="1790"/>
      <c r="R6" s="265"/>
      <c r="S6" s="1794" t="e">
        <f>$I6</f>
        <v>#N/A</v>
      </c>
      <c r="T6" s="197" t="s">
        <v>666</v>
      </c>
      <c r="U6" s="211"/>
      <c r="V6" s="3516"/>
      <c r="W6" s="3517"/>
      <c r="X6" s="3517"/>
      <c r="Y6" s="3517"/>
      <c r="Z6" s="3517"/>
      <c r="AA6" s="3517"/>
      <c r="AB6" s="3517"/>
      <c r="AC6" s="3518"/>
      <c r="AD6" s="3516"/>
      <c r="AE6" s="3517"/>
      <c r="AF6" s="3517"/>
      <c r="AG6" s="3517"/>
      <c r="AH6" s="3517"/>
      <c r="AI6" s="3517"/>
      <c r="AJ6" s="3517"/>
      <c r="AK6" s="3517"/>
      <c r="AL6" s="3518"/>
      <c r="AM6" s="1124" t="s">
        <v>667</v>
      </c>
      <c r="AO6" s="1469"/>
      <c r="AP6" s="1469" t="str">
        <f t="shared" si="0"/>
        <v>Схема подключения теплопотребляющей установки к коллектору источника тепловой энергии</v>
      </c>
      <c r="AQ6" s="1469"/>
      <c r="AR6" s="1469"/>
    </row>
    <row r="7" spans="1:44" ht="21" hidden="1" customHeight="1">
      <c r="A7" s="1133"/>
      <c r="B7" s="1133"/>
      <c r="C7" s="1133"/>
      <c r="D7" s="1133"/>
      <c r="E7" s="3555"/>
      <c r="F7" s="3555"/>
      <c r="G7" s="3555"/>
      <c r="H7" s="3555"/>
      <c r="I7" s="3383"/>
      <c r="J7" s="3401" t="e">
        <f>I6&amp;".1"</f>
        <v>#N/A</v>
      </c>
      <c r="K7" s="1133"/>
      <c r="L7" s="1173" t="s">
        <v>668</v>
      </c>
      <c r="M7" s="1480"/>
      <c r="N7" s="1476"/>
      <c r="P7" s="3532"/>
      <c r="Q7" s="3532">
        <v>1</v>
      </c>
      <c r="R7" s="266"/>
      <c r="S7" s="1794" t="e">
        <f>$J7</f>
        <v>#N/A</v>
      </c>
      <c r="T7" s="198" t="s">
        <v>669</v>
      </c>
      <c r="U7" s="211"/>
      <c r="V7" s="3516"/>
      <c r="W7" s="3517"/>
      <c r="X7" s="3517"/>
      <c r="Y7" s="3517"/>
      <c r="Z7" s="3517"/>
      <c r="AA7" s="3517"/>
      <c r="AB7" s="3517"/>
      <c r="AC7" s="3518"/>
      <c r="AD7" s="3516"/>
      <c r="AE7" s="3517"/>
      <c r="AF7" s="3517"/>
      <c r="AG7" s="3517"/>
      <c r="AH7" s="3517"/>
      <c r="AI7" s="3517"/>
      <c r="AJ7" s="3517"/>
      <c r="AK7" s="3517"/>
      <c r="AL7" s="3518"/>
      <c r="AM7" s="1124" t="s">
        <v>670</v>
      </c>
      <c r="AO7" s="1469"/>
      <c r="AP7" s="1469" t="str">
        <f t="shared" si="0"/>
        <v>Группа потребителей</v>
      </c>
      <c r="AQ7" s="1469"/>
      <c r="AR7" s="1469"/>
    </row>
    <row r="8" spans="1:44" ht="21" hidden="1" customHeight="1">
      <c r="A8" s="1133"/>
      <c r="B8" s="1133"/>
      <c r="C8" s="1133"/>
      <c r="D8" s="1133"/>
      <c r="E8" s="3555"/>
      <c r="F8" s="3555"/>
      <c r="G8" s="3555"/>
      <c r="H8" s="3555"/>
      <c r="I8" s="3383"/>
      <c r="J8" s="3383"/>
      <c r="K8" s="3401" t="e">
        <f>J7&amp;".1"</f>
        <v>#N/A</v>
      </c>
      <c r="L8" s="1173" t="s">
        <v>671</v>
      </c>
      <c r="M8" s="1480"/>
      <c r="N8" s="1476"/>
      <c r="O8" s="1476"/>
      <c r="P8" s="3532"/>
      <c r="Q8" s="3532"/>
      <c r="R8" s="266">
        <v>1</v>
      </c>
      <c r="S8" s="1794" t="e">
        <f>$K8</f>
        <v>#N/A</v>
      </c>
      <c r="T8" s="1209"/>
      <c r="U8" s="211"/>
      <c r="V8" s="639"/>
      <c r="W8" s="236"/>
      <c r="X8" s="639"/>
      <c r="Y8" s="1123"/>
      <c r="Z8" s="3533"/>
      <c r="AA8" s="3412" t="s">
        <v>64</v>
      </c>
      <c r="AB8" s="3533"/>
      <c r="AC8" s="3412" t="s">
        <v>64</v>
      </c>
      <c r="AD8" s="639"/>
      <c r="AE8" s="236"/>
      <c r="AF8" s="639"/>
      <c r="AG8" s="1123"/>
      <c r="AH8" s="3533"/>
      <c r="AI8" s="3412" t="s">
        <v>64</v>
      </c>
      <c r="AJ8" s="3533"/>
      <c r="AK8" s="3412" t="s">
        <v>64</v>
      </c>
      <c r="AL8" s="236"/>
      <c r="AM8" s="3551" t="s">
        <v>672</v>
      </c>
      <c r="AN8" s="1481" t="e">
        <f ca="1">STRCHECKDATE(V9:AL9)</f>
        <v>#NAME?</v>
      </c>
      <c r="AO8" s="1469"/>
      <c r="AP8" s="1469" t="str">
        <f t="shared" si="0"/>
        <v/>
      </c>
      <c r="AQ8" s="1469"/>
      <c r="AR8" s="1469"/>
    </row>
    <row r="9" spans="1:44" ht="0.75" hidden="1" customHeight="1">
      <c r="A9" s="1133"/>
      <c r="B9" s="1133"/>
      <c r="C9" s="1133"/>
      <c r="D9" s="1133"/>
      <c r="E9" s="3555"/>
      <c r="F9" s="3555"/>
      <c r="G9" s="3555"/>
      <c r="H9" s="3555"/>
      <c r="I9" s="3383"/>
      <c r="J9" s="3383"/>
      <c r="K9" s="3401"/>
      <c r="L9" s="1173"/>
      <c r="M9" s="1480"/>
      <c r="N9" s="1476"/>
      <c r="O9" s="1476"/>
      <c r="P9" s="3532"/>
      <c r="Q9" s="3532"/>
      <c r="R9" s="266"/>
      <c r="S9" s="1806"/>
      <c r="T9" s="211"/>
      <c r="U9" s="211"/>
      <c r="V9" s="236"/>
      <c r="W9" s="236"/>
      <c r="X9" s="236"/>
      <c r="Y9" s="239" t="str">
        <f>Z8&amp;"-"&amp;AB8</f>
        <v>-</v>
      </c>
      <c r="Z9" s="3534"/>
      <c r="AA9" s="3412"/>
      <c r="AB9" s="3534"/>
      <c r="AC9" s="3412"/>
      <c r="AD9" s="236"/>
      <c r="AE9" s="236"/>
      <c r="AF9" s="236"/>
      <c r="AG9" s="239" t="str">
        <f>AH8&amp;"-"&amp;AJ8</f>
        <v>-</v>
      </c>
      <c r="AH9" s="3534"/>
      <c r="AI9" s="3412"/>
      <c r="AJ9" s="3534"/>
      <c r="AK9" s="3412"/>
      <c r="AL9" s="236"/>
      <c r="AM9" s="3552"/>
      <c r="AO9" s="1469"/>
      <c r="AP9" s="1469" t="str">
        <f t="shared" si="0"/>
        <v/>
      </c>
      <c r="AQ9" s="1469"/>
      <c r="AR9" s="1469"/>
    </row>
    <row r="10" spans="1:44" ht="15" hidden="1" customHeight="1">
      <c r="A10" s="1133"/>
      <c r="B10" s="1133"/>
      <c r="C10" s="1133"/>
      <c r="D10" s="1133"/>
      <c r="E10" s="3555"/>
      <c r="F10" s="3555"/>
      <c r="G10" s="3555"/>
      <c r="H10" s="3555"/>
      <c r="I10" s="3383"/>
      <c r="J10" s="3401"/>
      <c r="K10" s="1133"/>
      <c r="L10" s="1173"/>
      <c r="M10" s="1480"/>
      <c r="N10" s="1476"/>
      <c r="P10" s="3532"/>
      <c r="Q10" s="3532"/>
      <c r="R10" s="265"/>
      <c r="S10" s="1144"/>
      <c r="T10" s="200" t="s">
        <v>673</v>
      </c>
      <c r="U10" s="494"/>
      <c r="V10" s="494"/>
      <c r="W10" s="494"/>
      <c r="X10" s="494"/>
      <c r="Y10" s="494"/>
      <c r="Z10" s="494"/>
      <c r="AA10" s="494"/>
      <c r="AB10" s="494"/>
      <c r="AC10" s="494"/>
      <c r="AD10" s="494"/>
      <c r="AE10" s="494"/>
      <c r="AF10" s="494"/>
      <c r="AG10" s="494"/>
      <c r="AH10" s="494"/>
      <c r="AI10" s="494"/>
      <c r="AJ10" s="494"/>
      <c r="AK10" s="494"/>
      <c r="AL10" s="235"/>
      <c r="AM10" s="3553"/>
      <c r="AO10" s="1469"/>
      <c r="AP10" s="1469" t="str">
        <f t="shared" si="0"/>
        <v>Добавить вид теплоносителя (параметры теплоносителя)</v>
      </c>
      <c r="AQ10" s="1469"/>
      <c r="AR10" s="1469"/>
    </row>
    <row r="11" spans="1:44" ht="15" hidden="1" customHeight="1">
      <c r="A11" s="1133"/>
      <c r="B11" s="1133"/>
      <c r="C11" s="1133"/>
      <c r="D11" s="1133"/>
      <c r="E11" s="3555"/>
      <c r="F11" s="3555"/>
      <c r="G11" s="3555"/>
      <c r="H11" s="3555"/>
      <c r="I11" s="3401"/>
      <c r="J11" s="1133"/>
      <c r="K11" s="1133"/>
      <c r="L11" s="1173"/>
      <c r="M11" s="1480"/>
      <c r="P11" s="3532"/>
      <c r="Q11" s="1790"/>
      <c r="R11" s="265"/>
      <c r="S11" s="1144"/>
      <c r="T11" s="199" t="s">
        <v>674</v>
      </c>
      <c r="U11" s="494"/>
      <c r="V11" s="494"/>
      <c r="W11" s="494"/>
      <c r="X11" s="494"/>
      <c r="Y11" s="494"/>
      <c r="Z11" s="494"/>
      <c r="AA11" s="494"/>
      <c r="AB11" s="494"/>
      <c r="AC11" s="274"/>
      <c r="AD11" s="494"/>
      <c r="AE11" s="494"/>
      <c r="AF11" s="494"/>
      <c r="AG11" s="494"/>
      <c r="AH11" s="494"/>
      <c r="AI11" s="494"/>
      <c r="AJ11" s="494"/>
      <c r="AK11" s="274"/>
      <c r="AL11" s="494"/>
      <c r="AM11" s="214"/>
      <c r="AO11" s="1469"/>
      <c r="AP11" s="1469" t="str">
        <f t="shared" si="0"/>
        <v>Добавить группу потребителей</v>
      </c>
      <c r="AQ11" s="1469"/>
      <c r="AR11" s="1469"/>
    </row>
    <row r="12" spans="1:44" ht="14.25" hidden="1" customHeight="1">
      <c r="A12" s="1133"/>
      <c r="B12" s="1133"/>
      <c r="C12" s="1133"/>
      <c r="D12" s="1133"/>
      <c r="E12" s="3555"/>
      <c r="F12" s="3555"/>
      <c r="G12" s="3555"/>
      <c r="H12" s="3554"/>
      <c r="I12" s="1133"/>
      <c r="J12" s="1133"/>
      <c r="K12" s="1133"/>
      <c r="L12" s="1173"/>
      <c r="M12" s="1458"/>
      <c r="N12" s="1458"/>
      <c r="O12" s="1480"/>
      <c r="P12" s="269"/>
      <c r="Q12" s="282"/>
      <c r="R12" s="264"/>
      <c r="S12" s="1144"/>
      <c r="T12" s="273" t="s">
        <v>675</v>
      </c>
      <c r="U12" s="494"/>
      <c r="V12" s="494"/>
      <c r="W12" s="494"/>
      <c r="X12" s="494"/>
      <c r="Y12" s="494"/>
      <c r="Z12" s="494"/>
      <c r="AA12" s="494"/>
      <c r="AB12" s="494"/>
      <c r="AC12" s="274"/>
      <c r="AD12" s="494"/>
      <c r="AE12" s="494"/>
      <c r="AF12" s="494"/>
      <c r="AG12" s="494"/>
      <c r="AH12" s="494"/>
      <c r="AI12" s="494"/>
      <c r="AJ12" s="494"/>
      <c r="AK12" s="274"/>
      <c r="AL12" s="494"/>
      <c r="AM12" s="214"/>
      <c r="AO12" s="1469"/>
      <c r="AP12" s="1469" t="str">
        <f t="shared" si="0"/>
        <v>Добавить схему подключения</v>
      </c>
      <c r="AQ12" s="1469"/>
      <c r="AR12" s="1469"/>
    </row>
    <row r="13" spans="1:44" s="1866" customFormat="1" ht="0.75" hidden="1" customHeight="1">
      <c r="A13" s="1814"/>
      <c r="B13" s="1814"/>
      <c r="C13" s="1814"/>
      <c r="D13" s="1814"/>
      <c r="E13" s="3555"/>
      <c r="F13" s="3555"/>
      <c r="G13" s="3554"/>
      <c r="H13" s="1814"/>
      <c r="I13" s="1814"/>
      <c r="J13" s="1814"/>
      <c r="K13" s="1814"/>
      <c r="L13" s="1241"/>
      <c r="M13" s="1458"/>
      <c r="N13" s="1458"/>
      <c r="O13" s="1480"/>
      <c r="P13" s="1179"/>
      <c r="Q13" s="1180"/>
      <c r="R13" s="1179"/>
      <c r="S13" s="1181"/>
      <c r="T13" s="1182" t="s">
        <v>676</v>
      </c>
      <c r="U13" s="1183"/>
      <c r="V13" s="1183"/>
      <c r="W13" s="1183"/>
      <c r="X13" s="1183"/>
      <c r="Y13" s="1183"/>
      <c r="Z13" s="1183"/>
      <c r="AA13" s="1183"/>
      <c r="AB13" s="1183"/>
      <c r="AC13" s="1183"/>
      <c r="AD13" s="1183"/>
      <c r="AE13" s="1183"/>
      <c r="AF13" s="1183"/>
      <c r="AG13" s="1183"/>
      <c r="AH13" s="1183"/>
      <c r="AI13" s="1183"/>
      <c r="AJ13" s="1183"/>
      <c r="AK13" s="1183"/>
      <c r="AL13" s="1183"/>
      <c r="AM13" s="1183"/>
      <c r="AO13" s="1117"/>
      <c r="AP13" s="1117" t="str">
        <f t="shared" si="0"/>
        <v>Добавить источник для дифференциации</v>
      </c>
      <c r="AQ13" s="1117"/>
      <c r="AR13" s="1117"/>
    </row>
    <row r="14" spans="1:44" s="1866" customFormat="1" ht="0.75" hidden="1" customHeight="1">
      <c r="A14" s="1814"/>
      <c r="B14" s="1814"/>
      <c r="C14" s="1814"/>
      <c r="D14" s="1814"/>
      <c r="E14" s="3555"/>
      <c r="F14" s="3554"/>
      <c r="G14" s="1814"/>
      <c r="H14" s="1814"/>
      <c r="I14" s="1814"/>
      <c r="J14" s="1814"/>
      <c r="K14" s="1814"/>
      <c r="L14" s="1241"/>
      <c r="M14" s="1815"/>
      <c r="N14" s="1815"/>
      <c r="O14" s="1480"/>
      <c r="P14" s="1179"/>
      <c r="Q14" s="1180"/>
      <c r="R14" s="1179"/>
      <c r="S14" s="1185"/>
      <c r="T14" s="1186" t="s">
        <v>677</v>
      </c>
      <c r="U14" s="1187"/>
      <c r="V14" s="1187"/>
      <c r="W14" s="1187"/>
      <c r="X14" s="1187"/>
      <c r="Y14" s="1187"/>
      <c r="Z14" s="1187"/>
      <c r="AA14" s="1187"/>
      <c r="AB14" s="1187"/>
      <c r="AC14" s="1187"/>
      <c r="AD14" s="1187"/>
      <c r="AE14" s="1187"/>
      <c r="AF14" s="1187"/>
      <c r="AG14" s="1187"/>
      <c r="AH14" s="1187"/>
      <c r="AI14" s="1187"/>
      <c r="AJ14" s="1187"/>
      <c r="AK14" s="1187"/>
      <c r="AL14" s="1187"/>
      <c r="AM14" s="1187"/>
      <c r="AO14" s="1117"/>
      <c r="AP14" s="1117" t="str">
        <f t="shared" si="0"/>
        <v>Добавить централизованную систему для дифференциации</v>
      </c>
      <c r="AQ14" s="1117"/>
      <c r="AR14" s="1117"/>
    </row>
    <row r="15" spans="1:44" s="1866" customFormat="1" ht="0.75" hidden="1" customHeight="1">
      <c r="A15" s="1814"/>
      <c r="B15" s="1814"/>
      <c r="C15" s="1814"/>
      <c r="D15" s="1814"/>
      <c r="E15" s="3554"/>
      <c r="F15" s="1814"/>
      <c r="G15" s="1814"/>
      <c r="H15" s="1814"/>
      <c r="I15" s="1814"/>
      <c r="J15" s="1814"/>
      <c r="K15" s="1814"/>
      <c r="L15" s="1241"/>
      <c r="M15" s="1815"/>
      <c r="N15" s="1815"/>
      <c r="O15" s="1480"/>
      <c r="P15" s="1179"/>
      <c r="Q15" s="1180"/>
      <c r="R15" s="1179"/>
      <c r="S15" s="1185"/>
      <c r="T15" s="1188" t="s">
        <v>678</v>
      </c>
      <c r="U15" s="1187"/>
      <c r="V15" s="1187"/>
      <c r="W15" s="1187"/>
      <c r="X15" s="1187"/>
      <c r="Y15" s="1187"/>
      <c r="Z15" s="1187"/>
      <c r="AA15" s="1187"/>
      <c r="AB15" s="1187"/>
      <c r="AC15" s="1187"/>
      <c r="AD15" s="1187"/>
      <c r="AE15" s="1187"/>
      <c r="AF15" s="1187"/>
      <c r="AG15" s="1187"/>
      <c r="AH15" s="1187"/>
      <c r="AI15" s="1187"/>
      <c r="AJ15" s="1187"/>
      <c r="AK15" s="1187"/>
      <c r="AL15" s="1187"/>
      <c r="AM15" s="1187"/>
      <c r="AO15" s="1117"/>
      <c r="AP15" s="1117" t="str">
        <f t="shared" si="0"/>
        <v>Добавить территорию для дифференциации</v>
      </c>
      <c r="AQ15" s="1117"/>
      <c r="AR15" s="1117"/>
    </row>
    <row r="16" spans="1:44" ht="14.25" hidden="1" customHeight="1"/>
    <row r="17" spans="1:44" ht="14.25" hidden="1" customHeight="1">
      <c r="AD17" s="1221"/>
      <c r="AE17" s="1221"/>
      <c r="AF17" s="1221"/>
      <c r="AG17" s="1222"/>
      <c r="AH17" s="3526"/>
      <c r="AI17" s="3525" t="s">
        <v>64</v>
      </c>
      <c r="AJ17" s="3526"/>
      <c r="AK17" s="3525" t="s">
        <v>64</v>
      </c>
    </row>
    <row r="18" spans="1:44" ht="14.25" hidden="1" customHeight="1">
      <c r="AD18" s="1221"/>
      <c r="AE18" s="1221"/>
      <c r="AF18" s="1221"/>
      <c r="AG18" s="239" t="str">
        <f>AH17&amp;"-"&amp;AJ17</f>
        <v>-</v>
      </c>
      <c r="AH18" s="3525"/>
      <c r="AI18" s="3525"/>
      <c r="AJ18" s="3525"/>
      <c r="AK18" s="3525"/>
    </row>
    <row r="19" spans="1:44" ht="14.25" hidden="1" customHeight="1"/>
    <row r="20" spans="1:44" s="1903" customFormat="1" ht="14.25" hidden="1" customHeight="1">
      <c r="A20" s="1476"/>
      <c r="B20" s="1476"/>
      <c r="C20" s="1476"/>
      <c r="D20" s="1476"/>
      <c r="E20" s="1476"/>
      <c r="F20" s="1476"/>
      <c r="G20" s="1476"/>
      <c r="H20" s="1476"/>
      <c r="I20" s="1476"/>
      <c r="J20" s="1476"/>
      <c r="K20" s="1476"/>
      <c r="L20" s="1775"/>
      <c r="M20" s="1804"/>
      <c r="N20" s="1804"/>
      <c r="O20" s="1207" t="s">
        <v>679</v>
      </c>
      <c r="P20" s="1223"/>
      <c r="Q20" s="1232"/>
      <c r="R20" s="1232"/>
      <c r="S20" s="619"/>
      <c r="Z20" s="1228"/>
      <c r="AB20" s="1228"/>
      <c r="AH20" s="1228"/>
      <c r="AJ20" s="1228"/>
      <c r="AN20" s="1481"/>
      <c r="AO20" s="1481"/>
      <c r="AP20" s="1481"/>
      <c r="AQ20" s="1481"/>
      <c r="AR20" s="1481"/>
    </row>
    <row r="21" spans="1:44" s="1903" customFormat="1" ht="14.25" hidden="1" customHeight="1">
      <c r="A21" s="1476"/>
      <c r="B21" s="1476"/>
      <c r="C21" s="1476"/>
      <c r="D21" s="1476"/>
      <c r="E21" s="1476"/>
      <c r="F21" s="1476"/>
      <c r="G21" s="1476"/>
      <c r="H21" s="1476"/>
      <c r="I21" s="1476"/>
      <c r="J21" s="1476"/>
      <c r="K21" s="1476"/>
      <c r="L21" s="1775"/>
      <c r="M21" s="1804"/>
      <c r="N21" s="1804"/>
      <c r="O21" s="1804"/>
      <c r="P21" s="1223"/>
      <c r="Q21" s="1232"/>
      <c r="R21" s="1232"/>
      <c r="S21" s="619"/>
      <c r="AN21" s="1481"/>
      <c r="AO21" s="1481"/>
      <c r="AP21" s="1481"/>
      <c r="AQ21" s="1481"/>
      <c r="AR21" s="1481"/>
    </row>
    <row r="22" spans="1:44" s="1903" customFormat="1" ht="14.25" hidden="1" customHeight="1">
      <c r="A22" s="1476"/>
      <c r="B22" s="1476"/>
      <c r="C22" s="1476"/>
      <c r="D22" s="1476"/>
      <c r="E22" s="1476"/>
      <c r="F22" s="1476"/>
      <c r="G22" s="1476"/>
      <c r="H22" s="1476"/>
      <c r="I22" s="1476"/>
      <c r="J22" s="1476"/>
      <c r="K22" s="1476"/>
      <c r="L22" s="1775"/>
      <c r="M22" s="1804"/>
      <c r="N22" s="1804"/>
      <c r="O22" s="1173" t="s">
        <v>680</v>
      </c>
      <c r="P22" s="1223"/>
      <c r="Q22" s="1232"/>
      <c r="R22" s="1232"/>
      <c r="S22" s="619"/>
      <c r="T22" s="1227" t="s">
        <v>681</v>
      </c>
      <c r="AA22" s="490" t="s">
        <v>682</v>
      </c>
      <c r="AC22" s="490" t="s">
        <v>683</v>
      </c>
      <c r="AD22" s="1227" t="s">
        <v>681</v>
      </c>
      <c r="AI22" s="490" t="s">
        <v>684</v>
      </c>
      <c r="AK22" s="490" t="s">
        <v>683</v>
      </c>
      <c r="AN22" s="1481"/>
      <c r="AO22" s="1481"/>
      <c r="AP22" s="1481"/>
      <c r="AQ22" s="1481"/>
      <c r="AR22" s="1481"/>
    </row>
    <row r="23" spans="1:44" ht="14.25" hidden="1" customHeight="1">
      <c r="O23" s="1173"/>
    </row>
    <row r="24" spans="1:44" ht="14.25" hidden="1" customHeight="1">
      <c r="O24" s="1173"/>
    </row>
    <row r="25" spans="1:44" ht="14.25" customHeight="1">
      <c r="Q25" s="283"/>
      <c r="R25" s="283"/>
      <c r="S25" s="1141"/>
      <c r="T25" s="357"/>
      <c r="U25" s="357"/>
      <c r="V25" s="1480"/>
      <c r="W25" s="1480"/>
      <c r="X25" s="1480"/>
      <c r="Y25" s="1480"/>
      <c r="Z25" s="1480"/>
      <c r="AA25" s="1480"/>
      <c r="AB25" s="1480"/>
      <c r="AC25" s="1480"/>
      <c r="AD25" s="1480"/>
      <c r="AE25" s="1480"/>
      <c r="AF25" s="1480"/>
      <c r="AG25" s="1480"/>
      <c r="AH25" s="1480"/>
      <c r="AI25" s="1480"/>
      <c r="AJ25" s="1480"/>
      <c r="AK25" s="1480"/>
    </row>
    <row r="26" spans="1:44" ht="14.25" customHeight="1">
      <c r="Q26" s="283"/>
      <c r="R26" s="283"/>
      <c r="S26" s="350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509"/>
      <c r="U26" s="3509"/>
      <c r="V26" s="3509"/>
      <c r="W26" s="3509"/>
      <c r="X26" s="3509"/>
      <c r="Y26" s="3509"/>
      <c r="Z26" s="3509"/>
      <c r="AA26" s="3509"/>
      <c r="AB26" s="3509"/>
      <c r="AC26" s="3509"/>
      <c r="AD26" s="3509"/>
      <c r="AE26" s="3509"/>
      <c r="AF26" s="3509"/>
      <c r="AG26" s="3509"/>
      <c r="AH26" s="3509"/>
      <c r="AI26" s="3509"/>
      <c r="AJ26" s="3509"/>
      <c r="AK26" s="1109"/>
    </row>
    <row r="27" spans="1:44" ht="14.25" customHeight="1">
      <c r="Q27" s="283"/>
      <c r="R27" s="283"/>
      <c r="S27" s="3480" t="str">
        <f>IF(org=0,"Не определено",org)</f>
        <v>АО "Орелгортеплоэнерго"</v>
      </c>
      <c r="T27" s="3480"/>
      <c r="U27" s="3480"/>
      <c r="V27" s="3480"/>
      <c r="W27" s="3480"/>
      <c r="X27" s="3480"/>
      <c r="Y27" s="3480"/>
      <c r="Z27" s="3480"/>
      <c r="AA27" s="3480"/>
      <c r="AB27" s="3480"/>
      <c r="AC27" s="3480"/>
      <c r="AD27" s="3480"/>
      <c r="AE27" s="3480"/>
      <c r="AF27" s="3480"/>
      <c r="AG27" s="3480"/>
      <c r="AH27" s="3480"/>
      <c r="AI27" s="3480"/>
      <c r="AJ27" s="3480"/>
      <c r="AK27" s="1109"/>
    </row>
    <row r="28" spans="1:44" ht="14.25" hidden="1" customHeight="1">
      <c r="Q28" s="283"/>
      <c r="R28" s="283"/>
      <c r="S28" s="1141"/>
      <c r="T28" s="357"/>
      <c r="U28" s="357"/>
      <c r="V28" s="233"/>
      <c r="W28" s="233"/>
      <c r="X28" s="233"/>
      <c r="Y28" s="233"/>
      <c r="Z28" s="233"/>
      <c r="AA28" s="233"/>
      <c r="AB28" s="233"/>
      <c r="AC28" s="233"/>
      <c r="AD28" s="233"/>
      <c r="AE28" s="233"/>
      <c r="AF28" s="233"/>
      <c r="AG28" s="233"/>
      <c r="AH28" s="233"/>
      <c r="AI28" s="233"/>
      <c r="AJ28" s="233"/>
      <c r="AK28" s="233"/>
      <c r="AL28" s="1480"/>
    </row>
    <row r="29" spans="1:44" s="1944" customFormat="1" ht="25.5" hidden="1" customHeight="1">
      <c r="A29" s="1114"/>
      <c r="B29" s="1114"/>
      <c r="C29" s="1114"/>
      <c r="D29" s="1114"/>
      <c r="E29" s="1114"/>
      <c r="F29" s="1114"/>
      <c r="G29" s="1114"/>
      <c r="H29" s="1114"/>
      <c r="I29" s="1114"/>
      <c r="J29" s="1114"/>
      <c r="K29" s="1114"/>
      <c r="L29" s="1241"/>
      <c r="M29" s="1114"/>
      <c r="N29" s="1114"/>
      <c r="O29" s="1114"/>
      <c r="S29" s="3519" t="s">
        <v>38</v>
      </c>
      <c r="T29" s="3519"/>
      <c r="U29" s="1233"/>
      <c r="V29" s="3521" t="str">
        <f>IF(TITLE_NAME_OR_PR_CHANGE="",IF(TITLE_NAME_OR_PR="","",TITLE_NAME_OR_PR),TITLE_NAME_OR_PR_CHANGE)</f>
        <v/>
      </c>
      <c r="W29" s="3521"/>
      <c r="X29" s="3521"/>
      <c r="Y29" s="3521"/>
      <c r="Z29" s="3521"/>
      <c r="AA29" s="3521"/>
      <c r="AB29" s="3521"/>
      <c r="AC29" s="1480"/>
      <c r="AD29" s="3521" t="str">
        <f>IF(TITLE_NAME_OR_PR_CHANGE="",IF(TITLE_NAME_OR_PR="","",TITLE_NAME_OR_PR),TITLE_NAME_OR_PR_CHANGE)</f>
        <v/>
      </c>
      <c r="AE29" s="3521"/>
      <c r="AF29" s="3521"/>
      <c r="AG29" s="3521"/>
      <c r="AH29" s="3521"/>
      <c r="AI29" s="3521"/>
      <c r="AJ29" s="3521"/>
      <c r="AK29" s="1480"/>
      <c r="AL29" s="1480"/>
      <c r="AM29" s="193"/>
      <c r="AN29" s="276"/>
      <c r="AO29" s="276"/>
      <c r="AP29" s="276"/>
      <c r="AQ29" s="276"/>
      <c r="AR29" s="276"/>
    </row>
    <row r="30" spans="1:44" s="1944" customFormat="1" ht="18.75" hidden="1" customHeight="1">
      <c r="A30" s="1114"/>
      <c r="B30" s="1114"/>
      <c r="C30" s="1114"/>
      <c r="D30" s="1114"/>
      <c r="E30" s="1114"/>
      <c r="F30" s="1114"/>
      <c r="G30" s="1114"/>
      <c r="H30" s="1114"/>
      <c r="I30" s="1114"/>
      <c r="J30" s="1114"/>
      <c r="K30" s="1114"/>
      <c r="L30" s="1241"/>
      <c r="M30" s="1114"/>
      <c r="N30" s="1114"/>
      <c r="O30" s="1114"/>
      <c r="S30" s="3519" t="s">
        <v>685</v>
      </c>
      <c r="T30" s="3519"/>
      <c r="U30" s="1233"/>
      <c r="V30" s="3520" t="str">
        <f>IF(TITLE_DATE_PR_CHANGE="",IF(TITLE_DATE_PR="","",TITLE_DATE_PR),TITLE_DATE_PR_CHANGE)</f>
        <v/>
      </c>
      <c r="W30" s="3520"/>
      <c r="X30" s="3520"/>
      <c r="Y30" s="3520"/>
      <c r="Z30" s="3520"/>
      <c r="AA30" s="3520"/>
      <c r="AB30" s="3520"/>
      <c r="AC30" s="1480"/>
      <c r="AD30" s="3520" t="str">
        <f>IF(TITLE_DATE_PR_CHANGE="",IF(TITLE_DATE_PR="","",TITLE_DATE_PR),TITLE_DATE_PR_CHANGE)</f>
        <v/>
      </c>
      <c r="AE30" s="3520"/>
      <c r="AF30" s="3520"/>
      <c r="AG30" s="3520"/>
      <c r="AH30" s="3520"/>
      <c r="AI30" s="3520"/>
      <c r="AJ30" s="3520"/>
      <c r="AK30" s="1480"/>
      <c r="AL30" s="1480"/>
      <c r="AM30" s="193"/>
      <c r="AN30" s="276"/>
      <c r="AO30" s="276"/>
      <c r="AP30" s="276"/>
      <c r="AQ30" s="276"/>
      <c r="AR30" s="276"/>
    </row>
    <row r="31" spans="1:44" s="1944" customFormat="1" ht="18.75" hidden="1" customHeight="1">
      <c r="A31" s="1114"/>
      <c r="B31" s="1114"/>
      <c r="C31" s="1114"/>
      <c r="D31" s="1114"/>
      <c r="E31" s="1114"/>
      <c r="F31" s="1114"/>
      <c r="G31" s="1114"/>
      <c r="H31" s="1114"/>
      <c r="I31" s="1114"/>
      <c r="J31" s="1114"/>
      <c r="K31" s="1114"/>
      <c r="L31" s="1241"/>
      <c r="M31" s="1114"/>
      <c r="N31" s="1114"/>
      <c r="O31" s="1114"/>
      <c r="S31" s="3519" t="s">
        <v>686</v>
      </c>
      <c r="T31" s="3519"/>
      <c r="U31" s="1233"/>
      <c r="V31" s="3521" t="str">
        <f>IF(TITLE_NUMBER_PR_CHANGE="",IF(TITLE_NUMBER_PR="","",TITLE_NUMBER_PR),TITLE_NUMBER_PR_CHANGE)</f>
        <v/>
      </c>
      <c r="W31" s="3521"/>
      <c r="X31" s="3521"/>
      <c r="Y31" s="3521"/>
      <c r="Z31" s="3521"/>
      <c r="AA31" s="3521"/>
      <c r="AB31" s="3521"/>
      <c r="AC31" s="1480"/>
      <c r="AD31" s="3521" t="str">
        <f>IF(TITLE_NUMBER_PR_CHANGE="",IF(TITLE_NUMBER_PR="","",TITLE_NUMBER_PR),TITLE_NUMBER_PR_CHANGE)</f>
        <v/>
      </c>
      <c r="AE31" s="3521"/>
      <c r="AF31" s="3521"/>
      <c r="AG31" s="3521"/>
      <c r="AH31" s="3521"/>
      <c r="AI31" s="3521"/>
      <c r="AJ31" s="3521"/>
      <c r="AK31" s="1480"/>
      <c r="AL31" s="1480"/>
      <c r="AM31" s="193"/>
      <c r="AN31" s="276"/>
      <c r="AO31" s="276"/>
      <c r="AP31" s="276"/>
      <c r="AQ31" s="276"/>
      <c r="AR31" s="276"/>
    </row>
    <row r="32" spans="1:44" s="1944" customFormat="1" ht="18.75" hidden="1" customHeight="1">
      <c r="A32" s="1114"/>
      <c r="B32" s="1114"/>
      <c r="C32" s="1114"/>
      <c r="D32" s="1114"/>
      <c r="E32" s="1114"/>
      <c r="F32" s="1114"/>
      <c r="G32" s="1114"/>
      <c r="H32" s="1114"/>
      <c r="I32" s="1114"/>
      <c r="J32" s="1114"/>
      <c r="K32" s="1114"/>
      <c r="L32" s="1241"/>
      <c r="M32" s="1114"/>
      <c r="N32" s="1114"/>
      <c r="O32" s="1114"/>
      <c r="S32" s="3519" t="s">
        <v>39</v>
      </c>
      <c r="T32" s="3519"/>
      <c r="U32" s="1233"/>
      <c r="V32" s="3521" t="str">
        <f>IF(TITLE_IST_PUB_CHANGE="",IF(TITLE_IST_PUB="","",TITLE_IST_PUB),TITLE_IST_PUB_CHANGE)</f>
        <v/>
      </c>
      <c r="W32" s="3521"/>
      <c r="X32" s="3521"/>
      <c r="Y32" s="3521"/>
      <c r="Z32" s="3521"/>
      <c r="AA32" s="3521"/>
      <c r="AB32" s="3521"/>
      <c r="AC32" s="1480"/>
      <c r="AD32" s="3521" t="str">
        <f>IF(TITLE_IST_PUB_CHANGE="",IF(TITLE_IST_PUB="","",TITLE_IST_PUB),TITLE_IST_PUB_CHANGE)</f>
        <v/>
      </c>
      <c r="AE32" s="3521"/>
      <c r="AF32" s="3521"/>
      <c r="AG32" s="3521"/>
      <c r="AH32" s="3521"/>
      <c r="AI32" s="3521"/>
      <c r="AJ32" s="3521"/>
      <c r="AK32" s="1480"/>
      <c r="AL32" s="1480"/>
      <c r="AM32" s="193"/>
      <c r="AN32" s="276"/>
      <c r="AO32" s="276"/>
      <c r="AP32" s="276"/>
      <c r="AQ32" s="276"/>
      <c r="AR32" s="276"/>
    </row>
    <row r="33" spans="1:44" ht="14.25" hidden="1" customHeight="1">
      <c r="Q33" s="283"/>
      <c r="R33" s="283"/>
      <c r="S33" s="1141"/>
      <c r="T33" s="357"/>
      <c r="U33" s="357"/>
      <c r="V33" s="233"/>
      <c r="W33" s="233"/>
      <c r="X33" s="233"/>
      <c r="Y33" s="233"/>
      <c r="Z33" s="233"/>
      <c r="AA33" s="233"/>
      <c r="AB33" s="233"/>
      <c r="AC33" s="233"/>
      <c r="AD33" s="233"/>
      <c r="AE33" s="233"/>
      <c r="AF33" s="233"/>
      <c r="AG33" s="233"/>
      <c r="AH33" s="233"/>
      <c r="AI33" s="233"/>
      <c r="AJ33" s="233"/>
      <c r="AK33" s="233"/>
      <c r="AL33" s="1480"/>
    </row>
    <row r="34" spans="1:44" s="1944" customFormat="1" ht="18.75" hidden="1" customHeight="1">
      <c r="A34" s="1114"/>
      <c r="B34" s="1114"/>
      <c r="C34" s="1114"/>
      <c r="D34" s="1114"/>
      <c r="E34" s="1114"/>
      <c r="F34" s="1114"/>
      <c r="G34" s="1114"/>
      <c r="H34" s="1114"/>
      <c r="I34" s="1114"/>
      <c r="J34" s="1114"/>
      <c r="K34" s="1114"/>
      <c r="L34" s="1241"/>
      <c r="M34" s="1114"/>
      <c r="N34" s="1114"/>
      <c r="O34" s="1114"/>
      <c r="S34" s="3519" t="s">
        <v>687</v>
      </c>
      <c r="T34" s="3519"/>
      <c r="U34" s="1233"/>
      <c r="V34" s="3520" t="str">
        <f>IF(TITLE_DATE_PR_CHANGE="",IF(TITLE_DATE_PR="","",TITLE_DATE_PR),TITLE_DATE_PR_CHANGE)</f>
        <v/>
      </c>
      <c r="W34" s="3520"/>
      <c r="X34" s="3520"/>
      <c r="Y34" s="3520"/>
      <c r="Z34" s="3520"/>
      <c r="AA34" s="3520"/>
      <c r="AB34" s="3520"/>
      <c r="AC34" s="1480"/>
      <c r="AD34" s="3520" t="str">
        <f>IF(TITLE_DATE_PR_CHANGE="",IF(TITLE_DATE_PR="","",TITLE_DATE_PR),TITLE_DATE_PR_CHANGE)</f>
        <v/>
      </c>
      <c r="AE34" s="3520"/>
      <c r="AF34" s="3520"/>
      <c r="AG34" s="3520"/>
      <c r="AH34" s="3520"/>
      <c r="AI34" s="3520"/>
      <c r="AJ34" s="3520"/>
      <c r="AK34" s="1480"/>
      <c r="AL34" s="1480"/>
      <c r="AM34" s="193"/>
      <c r="AN34" s="276"/>
      <c r="AO34" s="276"/>
      <c r="AP34" s="276"/>
      <c r="AQ34" s="276"/>
      <c r="AR34" s="276"/>
    </row>
    <row r="35" spans="1:44" s="1944" customFormat="1" ht="18.75" hidden="1" customHeight="1">
      <c r="A35" s="1114"/>
      <c r="B35" s="1114"/>
      <c r="C35" s="1114"/>
      <c r="D35" s="1114"/>
      <c r="E35" s="1114"/>
      <c r="F35" s="1114"/>
      <c r="G35" s="1114"/>
      <c r="H35" s="1114"/>
      <c r="I35" s="1114"/>
      <c r="J35" s="1114"/>
      <c r="K35" s="1114"/>
      <c r="L35" s="1241"/>
      <c r="M35" s="1114"/>
      <c r="N35" s="1114"/>
      <c r="O35" s="1114"/>
      <c r="S35" s="3519" t="s">
        <v>688</v>
      </c>
      <c r="T35" s="3519"/>
      <c r="U35" s="1233"/>
      <c r="V35" s="3521" t="str">
        <f>IF(TITLE_NUMBER_PR_CHANGE="",IF(TITLE_NUMBER_PR="","",TITLE_NUMBER_PR),TITLE_NUMBER_PR_CHANGE)</f>
        <v/>
      </c>
      <c r="W35" s="3521"/>
      <c r="X35" s="3521"/>
      <c r="Y35" s="3521"/>
      <c r="Z35" s="3521"/>
      <c r="AA35" s="3521"/>
      <c r="AB35" s="3521"/>
      <c r="AC35" s="1480"/>
      <c r="AD35" s="3521" t="str">
        <f>IF(TITLE_NUMBER_PR_CHANGE="",IF(TITLE_NUMBER_PR="","",TITLE_NUMBER_PR),TITLE_NUMBER_PR_CHANGE)</f>
        <v/>
      </c>
      <c r="AE35" s="3521"/>
      <c r="AF35" s="3521"/>
      <c r="AG35" s="3521"/>
      <c r="AH35" s="3521"/>
      <c r="AI35" s="3521"/>
      <c r="AJ35" s="3521"/>
      <c r="AK35" s="1480"/>
      <c r="AL35" s="1480"/>
      <c r="AM35" s="193"/>
      <c r="AN35" s="276"/>
      <c r="AO35" s="276"/>
      <c r="AP35" s="276"/>
      <c r="AQ35" s="276"/>
      <c r="AR35" s="276"/>
    </row>
    <row r="36" spans="1:44" s="1944" customFormat="1" ht="0" hidden="1" customHeight="1">
      <c r="A36" s="1114"/>
      <c r="B36" s="1114"/>
      <c r="C36" s="1114"/>
      <c r="D36" s="1114"/>
      <c r="E36" s="1114"/>
      <c r="F36" s="1114"/>
      <c r="G36" s="1114"/>
      <c r="H36" s="1114"/>
      <c r="I36" s="1114"/>
      <c r="J36" s="1114"/>
      <c r="K36" s="1114"/>
      <c r="L36" s="1241"/>
      <c r="M36" s="1114"/>
      <c r="N36" s="1114"/>
      <c r="O36" s="1114"/>
      <c r="S36" s="1480"/>
      <c r="T36" s="1480"/>
      <c r="U36" s="1809"/>
      <c r="V36" s="1480"/>
      <c r="W36" s="1480"/>
      <c r="X36" s="1480"/>
      <c r="Y36" s="1480"/>
      <c r="Z36" s="1480"/>
      <c r="AA36" s="1480"/>
      <c r="AB36" s="1480"/>
      <c r="AC36" s="1487" t="s">
        <v>689</v>
      </c>
      <c r="AD36" s="1480"/>
      <c r="AE36" s="1480"/>
      <c r="AF36" s="1480"/>
      <c r="AG36" s="1480"/>
      <c r="AH36" s="1480"/>
      <c r="AI36" s="1480"/>
      <c r="AJ36" s="1480"/>
      <c r="AK36" s="1487" t="s">
        <v>689</v>
      </c>
      <c r="AN36" s="276"/>
      <c r="AO36" s="276"/>
      <c r="AP36" s="276"/>
      <c r="AQ36" s="276"/>
      <c r="AR36" s="276"/>
    </row>
    <row r="37" spans="1:44" ht="14.25" customHeight="1">
      <c r="Q37" s="283"/>
      <c r="R37" s="283"/>
      <c r="S37" s="1141"/>
      <c r="T37" s="357"/>
      <c r="U37" s="1110"/>
      <c r="V37" s="3540"/>
      <c r="W37" s="3540"/>
      <c r="X37" s="3540"/>
      <c r="Y37" s="3540"/>
      <c r="Z37" s="3540"/>
      <c r="AA37" s="3540"/>
      <c r="AB37" s="3540"/>
      <c r="AC37" s="3540"/>
      <c r="AD37" s="3540"/>
      <c r="AE37" s="3540"/>
      <c r="AF37" s="3540"/>
      <c r="AG37" s="3540"/>
      <c r="AH37" s="3540"/>
      <c r="AI37" s="3540"/>
      <c r="AJ37" s="3540"/>
      <c r="AK37" s="3540"/>
    </row>
    <row r="38" spans="1:44" ht="14.25" customHeight="1">
      <c r="Q38" s="283"/>
      <c r="R38" s="283"/>
      <c r="S38" s="3401" t="s">
        <v>560</v>
      </c>
      <c r="T38" s="3401"/>
      <c r="U38" s="3401"/>
      <c r="V38" s="3401"/>
      <c r="W38" s="3401"/>
      <c r="X38" s="3401"/>
      <c r="Y38" s="3401"/>
      <c r="Z38" s="3401"/>
      <c r="AA38" s="3401"/>
      <c r="AB38" s="3401"/>
      <c r="AC38" s="3401"/>
      <c r="AD38" s="3401"/>
      <c r="AE38" s="3401"/>
      <c r="AF38" s="3401"/>
      <c r="AG38" s="3401"/>
      <c r="AH38" s="3401"/>
      <c r="AI38" s="3401"/>
      <c r="AJ38" s="3401"/>
      <c r="AK38" s="3401"/>
      <c r="AL38" s="3401"/>
      <c r="AM38" s="3401" t="s">
        <v>561</v>
      </c>
    </row>
    <row r="39" spans="1:44" ht="14.25" customHeight="1">
      <c r="Q39" s="283"/>
      <c r="R39" s="283"/>
      <c r="S39" s="3541" t="s">
        <v>85</v>
      </c>
      <c r="T39" s="3489" t="s">
        <v>690</v>
      </c>
      <c r="U39" s="248"/>
      <c r="V39" s="3542" t="s">
        <v>691</v>
      </c>
      <c r="W39" s="3543"/>
      <c r="X39" s="3543"/>
      <c r="Y39" s="3543"/>
      <c r="Z39" s="3543"/>
      <c r="AA39" s="3543"/>
      <c r="AB39" s="3544"/>
      <c r="AC39" s="3545" t="s">
        <v>692</v>
      </c>
      <c r="AD39" s="3542" t="s">
        <v>691</v>
      </c>
      <c r="AE39" s="3543"/>
      <c r="AF39" s="3543"/>
      <c r="AG39" s="3543"/>
      <c r="AH39" s="3543"/>
      <c r="AI39" s="3543"/>
      <c r="AJ39" s="3544"/>
      <c r="AK39" s="3545" t="s">
        <v>693</v>
      </c>
      <c r="AL39" s="3548" t="s">
        <v>694</v>
      </c>
      <c r="AM39" s="3401"/>
    </row>
    <row r="40" spans="1:44" ht="33.75" customHeight="1">
      <c r="Q40" s="283"/>
      <c r="R40" s="283"/>
      <c r="S40" s="3541"/>
      <c r="T40" s="3489"/>
      <c r="U40" s="901"/>
      <c r="V40" s="3458" t="s">
        <v>695</v>
      </c>
      <c r="W40" s="3537" t="s">
        <v>696</v>
      </c>
      <c r="X40" s="3383" t="s">
        <v>697</v>
      </c>
      <c r="Y40" s="3382"/>
      <c r="Z40" s="3383" t="s">
        <v>711</v>
      </c>
      <c r="AA40" s="3388"/>
      <c r="AB40" s="3382"/>
      <c r="AC40" s="3546"/>
      <c r="AD40" s="3458" t="s">
        <v>695</v>
      </c>
      <c r="AE40" s="3537" t="s">
        <v>696</v>
      </c>
      <c r="AF40" s="3383" t="s">
        <v>697</v>
      </c>
      <c r="AG40" s="3382"/>
      <c r="AH40" s="3383" t="s">
        <v>698</v>
      </c>
      <c r="AI40" s="3388"/>
      <c r="AJ40" s="3382"/>
      <c r="AK40" s="3546"/>
      <c r="AL40" s="3549"/>
      <c r="AM40" s="3401"/>
    </row>
    <row r="41" spans="1:44" ht="33.75" customHeight="1">
      <c r="A41" s="1132"/>
      <c r="B41" s="1132" t="s">
        <v>403</v>
      </c>
      <c r="C41" s="1132" t="s">
        <v>404</v>
      </c>
      <c r="D41" s="1132" t="s">
        <v>405</v>
      </c>
      <c r="E41" s="1173" t="s">
        <v>699</v>
      </c>
      <c r="F41" s="1173" t="s">
        <v>700</v>
      </c>
      <c r="G41" s="1173" t="s">
        <v>701</v>
      </c>
      <c r="H41" s="1173" t="s">
        <v>702</v>
      </c>
      <c r="I41" s="1173" t="s">
        <v>703</v>
      </c>
      <c r="J41" s="1173" t="s">
        <v>704</v>
      </c>
      <c r="K41" s="1173" t="s">
        <v>705</v>
      </c>
      <c r="L41" s="1173" t="s">
        <v>680</v>
      </c>
      <c r="Q41" s="283"/>
      <c r="R41" s="283"/>
      <c r="S41" s="3541"/>
      <c r="T41" s="3489"/>
      <c r="U41" s="213"/>
      <c r="V41" s="3514"/>
      <c r="W41" s="3538"/>
      <c r="X41" s="1774" t="s">
        <v>706</v>
      </c>
      <c r="Y41" s="1774" t="s">
        <v>707</v>
      </c>
      <c r="Z41" s="1774" t="s">
        <v>708</v>
      </c>
      <c r="AA41" s="3494" t="s">
        <v>709</v>
      </c>
      <c r="AB41" s="3508"/>
      <c r="AC41" s="3547"/>
      <c r="AD41" s="3514"/>
      <c r="AE41" s="3538"/>
      <c r="AF41" s="1774" t="s">
        <v>706</v>
      </c>
      <c r="AG41" s="1774" t="s">
        <v>707</v>
      </c>
      <c r="AH41" s="1774" t="s">
        <v>708</v>
      </c>
      <c r="AI41" s="3494" t="s">
        <v>709</v>
      </c>
      <c r="AJ41" s="3508"/>
      <c r="AK41" s="3547"/>
      <c r="AL41" s="3550"/>
      <c r="AM41" s="3401"/>
    </row>
    <row r="42" spans="1:44" s="1838" customFormat="1" ht="11.25" hidden="1" customHeight="1">
      <c r="A42" s="1132"/>
      <c r="B42" s="1132"/>
      <c r="C42" s="1132"/>
      <c r="D42" s="1132"/>
      <c r="E42" s="1132"/>
      <c r="F42" s="1132"/>
      <c r="G42" s="1132"/>
      <c r="H42" s="1132"/>
      <c r="I42" s="1132"/>
      <c r="J42" s="1132"/>
      <c r="K42" s="1132"/>
      <c r="L42" s="1173"/>
      <c r="M42" s="1804"/>
      <c r="N42" s="1804"/>
      <c r="O42" s="1804"/>
      <c r="P42" s="1112"/>
      <c r="Q42" s="1113"/>
      <c r="R42" s="1120">
        <v>1</v>
      </c>
      <c r="S42" s="1143" t="s">
        <v>106</v>
      </c>
      <c r="T42" s="1121" t="s">
        <v>107</v>
      </c>
      <c r="U42" s="1111" t="str">
        <f ca="1">OFFSET(U42,0,-1)</f>
        <v>2</v>
      </c>
      <c r="V42" s="1792">
        <f ca="1">OFFSET(V42,0,-1)+1</f>
        <v>3</v>
      </c>
      <c r="W42" s="1792"/>
      <c r="X42" s="1792">
        <f ca="1">OFFSET(X42,0,-1)+1</f>
        <v>1</v>
      </c>
      <c r="Y42" s="1792">
        <f ca="1">OFFSET(Y42,0,-1)+1</f>
        <v>2</v>
      </c>
      <c r="Z42" s="1792">
        <f ca="1">OFFSET(Z42,0,-1)+1</f>
        <v>3</v>
      </c>
      <c r="AA42" s="3539">
        <f ca="1">OFFSET(AA42,0,-1)+1</f>
        <v>4</v>
      </c>
      <c r="AB42" s="3539"/>
      <c r="AC42" s="1792">
        <f ca="1">OFFSET(AC42,0,-2)+1</f>
        <v>5</v>
      </c>
      <c r="AD42" s="1792">
        <f ca="1">OFFSET(AD42,0,-1)+1</f>
        <v>6</v>
      </c>
      <c r="AE42" s="1792"/>
      <c r="AF42" s="1792">
        <f ca="1">OFFSET(AF42,0,-1)+1</f>
        <v>1</v>
      </c>
      <c r="AG42" s="1792">
        <f ca="1">OFFSET(AG42,0,-1)+1</f>
        <v>2</v>
      </c>
      <c r="AH42" s="1792">
        <f ca="1">OFFSET(AH42,0,-1)+1</f>
        <v>3</v>
      </c>
      <c r="AI42" s="3539">
        <f ca="1">OFFSET(AI42,0,-1)+1</f>
        <v>4</v>
      </c>
      <c r="AJ42" s="3539"/>
      <c r="AK42" s="1792">
        <f ca="1">OFFSET(AK42,0,-2)+1</f>
        <v>5</v>
      </c>
      <c r="AL42" s="1111">
        <f ca="1">OFFSET(AL42,0,-1)</f>
        <v>5</v>
      </c>
      <c r="AM42" s="1792">
        <f ca="1">OFFSET(AM42,0,-1)+1</f>
        <v>6</v>
      </c>
      <c r="AN42" s="1481"/>
      <c r="AO42" s="1481"/>
      <c r="AP42" s="1481"/>
      <c r="AQ42" s="1481"/>
      <c r="AR42" s="1481"/>
    </row>
    <row r="43" spans="1:44" ht="21" customHeight="1">
      <c r="A43" s="1133" t="s">
        <v>472</v>
      </c>
      <c r="B43" s="1133"/>
      <c r="C43" s="1133"/>
      <c r="D43" s="1133"/>
      <c r="E43" s="3554">
        <v>1</v>
      </c>
      <c r="F43" s="1133"/>
      <c r="G43" s="1133"/>
      <c r="H43" s="1133"/>
      <c r="I43" s="1133"/>
      <c r="J43" s="1133"/>
      <c r="K43" s="1133"/>
      <c r="L43" s="1173"/>
      <c r="M43" s="1458"/>
      <c r="N43" s="1458"/>
      <c r="O43" s="1458"/>
      <c r="P43" s="1441"/>
      <c r="Q43" s="269"/>
      <c r="R43" s="264"/>
      <c r="S43" s="1794">
        <f>INDEX(PT_DIFFERENTIATION_NUM_NTAR,MATCH(A43,PT_DIFFERENTIATION_NTAR_ID,0))</f>
        <v>0</v>
      </c>
      <c r="T43" s="1380" t="s">
        <v>391</v>
      </c>
      <c r="U43" s="211"/>
      <c r="V43" s="3522"/>
      <c r="W43" s="3523"/>
      <c r="X43" s="3523"/>
      <c r="Y43" s="3523"/>
      <c r="Z43" s="3523"/>
      <c r="AA43" s="3523"/>
      <c r="AB43" s="3523"/>
      <c r="AC43" s="3524"/>
      <c r="AD43" s="3522" t="str">
        <f>INDEX(PT_DIFFERENTIATION_NTAR,MATCH(A43,PT_DIFFERENTIATION_NTAR_ID,0))</f>
        <v/>
      </c>
      <c r="AE43" s="3523"/>
      <c r="AF43" s="3523"/>
      <c r="AG43" s="3523"/>
      <c r="AH43" s="3523"/>
      <c r="AI43" s="3523"/>
      <c r="AJ43" s="3523"/>
      <c r="AK43" s="3523"/>
      <c r="AL43" s="3524"/>
      <c r="AM43" s="112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69"/>
      <c r="AP43" s="1469" t="str">
        <f t="shared" ref="AP43:AP57" si="1">IF(T43="","",T43)</f>
        <v>Наименование тарифа</v>
      </c>
      <c r="AQ43" s="1469"/>
      <c r="AR43" s="1469"/>
    </row>
    <row r="44" spans="1:44" ht="21" customHeight="1">
      <c r="A44" s="1133" t="s">
        <v>472</v>
      </c>
      <c r="B44" s="1133" t="s">
        <v>473</v>
      </c>
      <c r="C44" s="1133"/>
      <c r="D44" s="1133"/>
      <c r="E44" s="3555"/>
      <c r="F44" s="3554">
        <v>1</v>
      </c>
      <c r="G44" s="1133"/>
      <c r="H44" s="1133"/>
      <c r="I44" s="1133"/>
      <c r="J44" s="1133"/>
      <c r="K44" s="1133"/>
      <c r="L44" s="1173"/>
      <c r="M44" s="1458"/>
      <c r="N44" s="1458"/>
      <c r="O44" s="1458"/>
      <c r="P44" s="1776"/>
      <c r="Q44" s="261"/>
      <c r="R44" s="262"/>
      <c r="S44" s="1794" t="str">
        <f>INDEX(PT_DIFFERENTIATION_NUM_TER,MATCH(B44,PT_DIFFERENTIATION_TER_ID,0))</f>
        <v>.</v>
      </c>
      <c r="T44" s="1377" t="s">
        <v>659</v>
      </c>
      <c r="U44" s="211"/>
      <c r="V44" s="3522"/>
      <c r="W44" s="3523"/>
      <c r="X44" s="3523"/>
      <c r="Y44" s="3523"/>
      <c r="Z44" s="3523"/>
      <c r="AA44" s="3523"/>
      <c r="AB44" s="3523"/>
      <c r="AC44" s="3524"/>
      <c r="AD44" s="3522" t="str">
        <f>INDEX(PT_DIFFERENTIATION_TER,MATCH(B44,PT_DIFFERENTIATION_TER_ID,0))</f>
        <v/>
      </c>
      <c r="AE44" s="3523"/>
      <c r="AF44" s="3523"/>
      <c r="AG44" s="3523"/>
      <c r="AH44" s="3523"/>
      <c r="AI44" s="3523"/>
      <c r="AJ44" s="3523"/>
      <c r="AK44" s="3523"/>
      <c r="AL44" s="3524"/>
      <c r="AM44" s="1124" t="s">
        <v>660</v>
      </c>
      <c r="AO44" s="1469"/>
      <c r="AP44" s="1469" t="str">
        <f t="shared" si="1"/>
        <v>Территория действия тарифа</v>
      </c>
      <c r="AQ44" s="1469"/>
      <c r="AR44" s="1469"/>
    </row>
    <row r="45" spans="1:44" ht="23.25" customHeight="1">
      <c r="A45" s="1133" t="s">
        <v>472</v>
      </c>
      <c r="B45" s="1133" t="s">
        <v>473</v>
      </c>
      <c r="C45" s="1133" t="s">
        <v>474</v>
      </c>
      <c r="D45" s="1133"/>
      <c r="E45" s="3555"/>
      <c r="F45" s="3555"/>
      <c r="G45" s="3554">
        <v>1</v>
      </c>
      <c r="H45" s="1133"/>
      <c r="I45" s="1133"/>
      <c r="J45" s="1133"/>
      <c r="K45" s="1133"/>
      <c r="L45" s="1173"/>
      <c r="M45" s="1458"/>
      <c r="N45" s="1458"/>
      <c r="O45" s="1458"/>
      <c r="P45" s="263"/>
      <c r="Q45" s="261"/>
      <c r="R45" s="262"/>
      <c r="S45" s="1794" t="str">
        <f>INDEX(PT_DIFFERENTIATION_NUM_CS,MATCH(C45,PT_DIFFERENTIATION_CS_ID,0))</f>
        <v>..</v>
      </c>
      <c r="T45" s="220" t="s">
        <v>661</v>
      </c>
      <c r="U45" s="211"/>
      <c r="V45" s="3522"/>
      <c r="W45" s="3523"/>
      <c r="X45" s="3523"/>
      <c r="Y45" s="3523"/>
      <c r="Z45" s="3523"/>
      <c r="AA45" s="3523"/>
      <c r="AB45" s="3523"/>
      <c r="AC45" s="3524"/>
      <c r="AD45" s="3522" t="str">
        <f>INDEX(PT_DIFFERENTIATION_CS,MATCH(C45,PT_DIFFERENTIATION_CS_ID,0))</f>
        <v/>
      </c>
      <c r="AE45" s="3523"/>
      <c r="AF45" s="3523"/>
      <c r="AG45" s="3523"/>
      <c r="AH45" s="3523"/>
      <c r="AI45" s="3523"/>
      <c r="AJ45" s="3523"/>
      <c r="AK45" s="3523"/>
      <c r="AL45" s="3524"/>
      <c r="AM45" s="1124" t="s">
        <v>662</v>
      </c>
      <c r="AO45" s="1469"/>
      <c r="AP45" s="1469" t="str">
        <f t="shared" si="1"/>
        <v xml:space="preserve">Наименование системы теплоснабжения </v>
      </c>
      <c r="AQ45" s="1469"/>
      <c r="AR45" s="1469"/>
    </row>
    <row r="46" spans="1:44" ht="21" customHeight="1">
      <c r="A46" s="1133" t="s">
        <v>472</v>
      </c>
      <c r="B46" s="1133" t="s">
        <v>473</v>
      </c>
      <c r="C46" s="1133" t="s">
        <v>474</v>
      </c>
      <c r="D46" s="1133" t="s">
        <v>475</v>
      </c>
      <c r="E46" s="3555"/>
      <c r="F46" s="3555"/>
      <c r="G46" s="3555"/>
      <c r="H46" s="3554">
        <v>1</v>
      </c>
      <c r="I46" s="1133"/>
      <c r="J46" s="1133"/>
      <c r="K46" s="1133"/>
      <c r="L46" s="1173"/>
      <c r="M46" s="1458"/>
      <c r="N46" s="1458"/>
      <c r="O46" s="1458"/>
      <c r="P46" s="263"/>
      <c r="Q46" s="261"/>
      <c r="R46" s="262"/>
      <c r="S46" s="1794" t="str">
        <f>INDEX(PT_DIFFERENTIATION_NUM_IST_TE,MATCH(D46,PT_DIFFERENTIATION_IST_TE_ID,0))</f>
        <v>...</v>
      </c>
      <c r="T46" s="221" t="s">
        <v>663</v>
      </c>
      <c r="U46" s="211"/>
      <c r="V46" s="3522"/>
      <c r="W46" s="3523"/>
      <c r="X46" s="3523"/>
      <c r="Y46" s="3523"/>
      <c r="Z46" s="3523"/>
      <c r="AA46" s="3523"/>
      <c r="AB46" s="3523"/>
      <c r="AC46" s="3524"/>
      <c r="AD46" s="3522" t="str">
        <f>INDEX(PT_DIFFERENTIATION_IST_TE,MATCH(D46,PT_DIFFERENTIATION_IST_TE_ID,0))</f>
        <v/>
      </c>
      <c r="AE46" s="3523"/>
      <c r="AF46" s="3523"/>
      <c r="AG46" s="3523"/>
      <c r="AH46" s="3523"/>
      <c r="AI46" s="3523"/>
      <c r="AJ46" s="3523"/>
      <c r="AK46" s="3523"/>
      <c r="AL46" s="3524"/>
      <c r="AM46" s="1124" t="s">
        <v>664</v>
      </c>
      <c r="AO46" s="1469"/>
      <c r="AP46" s="1469" t="str">
        <f t="shared" si="1"/>
        <v xml:space="preserve">Источник тепловой энергии  </v>
      </c>
      <c r="AQ46" s="1469"/>
      <c r="AR46" s="1469"/>
    </row>
    <row r="47" spans="1:44" ht="47.25" customHeight="1">
      <c r="A47" s="1133" t="s">
        <v>472</v>
      </c>
      <c r="B47" s="1133" t="s">
        <v>473</v>
      </c>
      <c r="C47" s="1133" t="s">
        <v>474</v>
      </c>
      <c r="D47" s="1133" t="s">
        <v>475</v>
      </c>
      <c r="E47" s="3555"/>
      <c r="F47" s="3555"/>
      <c r="G47" s="3555"/>
      <c r="H47" s="3555"/>
      <c r="I47" s="3401" t="str">
        <f>S46&amp;".1"</f>
        <v>....1</v>
      </c>
      <c r="J47" s="1133"/>
      <c r="K47" s="1133"/>
      <c r="L47" s="1173" t="s">
        <v>665</v>
      </c>
      <c r="P47" s="3532">
        <v>1</v>
      </c>
      <c r="Q47" s="1790"/>
      <c r="R47" s="265"/>
      <c r="S47" s="1794" t="str">
        <f>$I47</f>
        <v>....1</v>
      </c>
      <c r="T47" s="197" t="s">
        <v>666</v>
      </c>
      <c r="U47" s="211"/>
      <c r="V47" s="3516"/>
      <c r="W47" s="3517"/>
      <c r="X47" s="3517"/>
      <c r="Y47" s="3517"/>
      <c r="Z47" s="3517"/>
      <c r="AA47" s="3517"/>
      <c r="AB47" s="3517"/>
      <c r="AC47" s="3518"/>
      <c r="AD47" s="3516"/>
      <c r="AE47" s="3517"/>
      <c r="AF47" s="3517"/>
      <c r="AG47" s="3517"/>
      <c r="AH47" s="3517"/>
      <c r="AI47" s="3517"/>
      <c r="AJ47" s="3517"/>
      <c r="AK47" s="3517"/>
      <c r="AL47" s="3518"/>
      <c r="AM47" s="1124" t="s">
        <v>667</v>
      </c>
      <c r="AO47" s="1469"/>
      <c r="AP47" s="1469" t="str">
        <f t="shared" si="1"/>
        <v>Схема подключения теплопотребляющей установки к коллектору источника тепловой энергии</v>
      </c>
      <c r="AQ47" s="1469"/>
      <c r="AR47" s="1469"/>
    </row>
    <row r="48" spans="1:44" ht="21" customHeight="1">
      <c r="A48" s="1133" t="s">
        <v>472</v>
      </c>
      <c r="B48" s="1133" t="s">
        <v>473</v>
      </c>
      <c r="C48" s="1133" t="s">
        <v>474</v>
      </c>
      <c r="D48" s="1133" t="s">
        <v>475</v>
      </c>
      <c r="E48" s="3555"/>
      <c r="F48" s="3555"/>
      <c r="G48" s="3555"/>
      <c r="H48" s="3555"/>
      <c r="I48" s="3383"/>
      <c r="J48" s="3401" t="str">
        <f>I47&amp;".1"</f>
        <v>....1.1</v>
      </c>
      <c r="K48" s="1133"/>
      <c r="L48" s="1173" t="s">
        <v>668</v>
      </c>
      <c r="P48" s="3532"/>
      <c r="Q48" s="3532">
        <v>1</v>
      </c>
      <c r="R48" s="266"/>
      <c r="S48" s="1794" t="str">
        <f>$J48</f>
        <v>....1.1</v>
      </c>
      <c r="T48" s="198" t="s">
        <v>669</v>
      </c>
      <c r="U48" s="211"/>
      <c r="V48" s="3516"/>
      <c r="W48" s="3517"/>
      <c r="X48" s="3517"/>
      <c r="Y48" s="3517"/>
      <c r="Z48" s="3517"/>
      <c r="AA48" s="3517"/>
      <c r="AB48" s="3517"/>
      <c r="AC48" s="3518"/>
      <c r="AD48" s="3516"/>
      <c r="AE48" s="3517"/>
      <c r="AF48" s="3517"/>
      <c r="AG48" s="3517"/>
      <c r="AH48" s="3517"/>
      <c r="AI48" s="3517"/>
      <c r="AJ48" s="3517"/>
      <c r="AK48" s="3517"/>
      <c r="AL48" s="3518"/>
      <c r="AM48" s="1124" t="s">
        <v>670</v>
      </c>
      <c r="AO48" s="1469"/>
      <c r="AP48" s="1469" t="str">
        <f t="shared" si="1"/>
        <v>Группа потребителей</v>
      </c>
      <c r="AQ48" s="1469"/>
      <c r="AR48" s="1469"/>
    </row>
    <row r="49" spans="1:44" ht="21" customHeight="1">
      <c r="A49" s="1133" t="s">
        <v>472</v>
      </c>
      <c r="B49" s="1133" t="s">
        <v>473</v>
      </c>
      <c r="C49" s="1133" t="s">
        <v>474</v>
      </c>
      <c r="D49" s="1133" t="s">
        <v>475</v>
      </c>
      <c r="E49" s="3555"/>
      <c r="F49" s="3555"/>
      <c r="G49" s="3555"/>
      <c r="H49" s="3555"/>
      <c r="I49" s="3383"/>
      <c r="J49" s="3383"/>
      <c r="K49" s="3401" t="str">
        <f>J48&amp;".1"</f>
        <v>....1.1.1</v>
      </c>
      <c r="L49" s="1173" t="s">
        <v>671</v>
      </c>
      <c r="P49" s="3532"/>
      <c r="Q49" s="3532"/>
      <c r="R49" s="266">
        <v>1</v>
      </c>
      <c r="S49" s="1794" t="str">
        <f>$K49</f>
        <v>....1.1.1</v>
      </c>
      <c r="T49" s="1209"/>
      <c r="U49" s="211"/>
      <c r="V49" s="639"/>
      <c r="W49" s="236"/>
      <c r="X49" s="639"/>
      <c r="Y49" s="1123"/>
      <c r="Z49" s="3533"/>
      <c r="AA49" s="3412" t="s">
        <v>64</v>
      </c>
      <c r="AB49" s="3533"/>
      <c r="AC49" s="3412" t="s">
        <v>64</v>
      </c>
      <c r="AD49" s="639"/>
      <c r="AE49" s="236"/>
      <c r="AF49" s="639"/>
      <c r="AG49" s="1123"/>
      <c r="AH49" s="3533"/>
      <c r="AI49" s="3412" t="s">
        <v>64</v>
      </c>
      <c r="AJ49" s="3535"/>
      <c r="AK49" s="3412" t="s">
        <v>64</v>
      </c>
      <c r="AL49" s="1210"/>
      <c r="AM49" s="3551" t="s">
        <v>672</v>
      </c>
      <c r="AN49" s="1481" t="e">
        <f ca="1">STRCHECKDATE(V50:AL50)</f>
        <v>#NAME?</v>
      </c>
      <c r="AO49" s="1469"/>
      <c r="AP49" s="1469" t="str">
        <f t="shared" si="1"/>
        <v/>
      </c>
      <c r="AQ49" s="1469"/>
      <c r="AR49" s="1469"/>
    </row>
    <row r="50" spans="1:44" ht="0.75" customHeight="1">
      <c r="A50" s="1133" t="s">
        <v>472</v>
      </c>
      <c r="B50" s="1133" t="s">
        <v>473</v>
      </c>
      <c r="C50" s="1133" t="s">
        <v>474</v>
      </c>
      <c r="D50" s="1133" t="s">
        <v>475</v>
      </c>
      <c r="E50" s="3555"/>
      <c r="F50" s="3555"/>
      <c r="G50" s="3555"/>
      <c r="H50" s="3555"/>
      <c r="I50" s="3383"/>
      <c r="J50" s="3383"/>
      <c r="K50" s="3401"/>
      <c r="L50" s="1173"/>
      <c r="P50" s="3532"/>
      <c r="Q50" s="3532"/>
      <c r="R50" s="266"/>
      <c r="S50" s="1806"/>
      <c r="T50" s="211"/>
      <c r="U50" s="211"/>
      <c r="V50" s="236"/>
      <c r="W50" s="236"/>
      <c r="X50" s="236"/>
      <c r="Y50" s="239" t="str">
        <f>Z49&amp;"-"&amp;AB49</f>
        <v>-</v>
      </c>
      <c r="Z50" s="3534"/>
      <c r="AA50" s="3412"/>
      <c r="AB50" s="3534"/>
      <c r="AC50" s="3412"/>
      <c r="AD50" s="236"/>
      <c r="AE50" s="236"/>
      <c r="AF50" s="236"/>
      <c r="AG50" s="239" t="str">
        <f>AH49&amp;"-"&amp;AJ49</f>
        <v>-</v>
      </c>
      <c r="AH50" s="3534"/>
      <c r="AI50" s="3412"/>
      <c r="AJ50" s="3536"/>
      <c r="AK50" s="3412"/>
      <c r="AL50" s="1211"/>
      <c r="AM50" s="3552"/>
      <c r="AO50" s="1469"/>
      <c r="AP50" s="1469" t="str">
        <f t="shared" si="1"/>
        <v/>
      </c>
      <c r="AQ50" s="1469"/>
      <c r="AR50" s="1469"/>
    </row>
    <row r="51" spans="1:44" ht="11.25" customHeight="1">
      <c r="A51" s="1133" t="s">
        <v>472</v>
      </c>
      <c r="B51" s="1133" t="s">
        <v>473</v>
      </c>
      <c r="C51" s="1133" t="s">
        <v>474</v>
      </c>
      <c r="D51" s="1133" t="s">
        <v>475</v>
      </c>
      <c r="E51" s="3555"/>
      <c r="F51" s="3555"/>
      <c r="G51" s="3555"/>
      <c r="H51" s="3555"/>
      <c r="I51" s="3383"/>
      <c r="J51" s="3401"/>
      <c r="K51" s="1133"/>
      <c r="L51" s="1173"/>
      <c r="P51" s="3532"/>
      <c r="Q51" s="3532"/>
      <c r="R51" s="265"/>
      <c r="S51" s="1144"/>
      <c r="T51" s="200" t="s">
        <v>673</v>
      </c>
      <c r="U51" s="494"/>
      <c r="V51" s="494"/>
      <c r="W51" s="494"/>
      <c r="X51" s="494"/>
      <c r="Y51" s="494"/>
      <c r="Z51" s="494"/>
      <c r="AA51" s="494"/>
      <c r="AB51" s="494"/>
      <c r="AC51" s="494"/>
      <c r="AD51" s="494"/>
      <c r="AE51" s="494"/>
      <c r="AF51" s="494"/>
      <c r="AG51" s="494"/>
      <c r="AH51" s="494"/>
      <c r="AI51" s="494"/>
      <c r="AJ51" s="494"/>
      <c r="AK51" s="494"/>
      <c r="AL51" s="235"/>
      <c r="AM51" s="3553"/>
      <c r="AO51" s="1469"/>
      <c r="AP51" s="1469" t="str">
        <f t="shared" si="1"/>
        <v>Добавить вид теплоносителя (параметры теплоносителя)</v>
      </c>
      <c r="AQ51" s="1469"/>
      <c r="AR51" s="1469"/>
    </row>
    <row r="52" spans="1:44" ht="11.25" customHeight="1">
      <c r="A52" s="1133" t="s">
        <v>472</v>
      </c>
      <c r="B52" s="1133" t="s">
        <v>473</v>
      </c>
      <c r="C52" s="1133" t="s">
        <v>474</v>
      </c>
      <c r="D52" s="1133" t="s">
        <v>475</v>
      </c>
      <c r="E52" s="3555"/>
      <c r="F52" s="3555"/>
      <c r="G52" s="3555"/>
      <c r="H52" s="3555"/>
      <c r="I52" s="3401"/>
      <c r="J52" s="1133"/>
      <c r="K52" s="1133"/>
      <c r="L52" s="1173"/>
      <c r="P52" s="3532"/>
      <c r="Q52" s="1790"/>
      <c r="R52" s="265"/>
      <c r="S52" s="1144"/>
      <c r="T52" s="199" t="s">
        <v>674</v>
      </c>
      <c r="U52" s="494"/>
      <c r="V52" s="494"/>
      <c r="W52" s="494"/>
      <c r="X52" s="494"/>
      <c r="Y52" s="494"/>
      <c r="Z52" s="494"/>
      <c r="AA52" s="494"/>
      <c r="AB52" s="494"/>
      <c r="AC52" s="274"/>
      <c r="AD52" s="494"/>
      <c r="AE52" s="494"/>
      <c r="AF52" s="494"/>
      <c r="AG52" s="494"/>
      <c r="AH52" s="494"/>
      <c r="AI52" s="494"/>
      <c r="AJ52" s="494"/>
      <c r="AK52" s="274"/>
      <c r="AL52" s="494"/>
      <c r="AM52" s="214"/>
      <c r="AO52" s="1469"/>
      <c r="AP52" s="1469" t="str">
        <f t="shared" si="1"/>
        <v>Добавить группу потребителей</v>
      </c>
      <c r="AQ52" s="1469"/>
      <c r="AR52" s="1469"/>
    </row>
    <row r="53" spans="1:44" ht="14.25" customHeight="1">
      <c r="A53" s="1133" t="s">
        <v>472</v>
      </c>
      <c r="B53" s="1133" t="s">
        <v>473</v>
      </c>
      <c r="C53" s="1133" t="s">
        <v>474</v>
      </c>
      <c r="D53" s="1133" t="s">
        <v>475</v>
      </c>
      <c r="E53" s="3555"/>
      <c r="F53" s="3555"/>
      <c r="G53" s="3555"/>
      <c r="H53" s="3554"/>
      <c r="I53" s="1133"/>
      <c r="J53" s="1133"/>
      <c r="K53" s="1133"/>
      <c r="L53" s="1173"/>
      <c r="M53" s="1458"/>
      <c r="N53" s="1458"/>
      <c r="O53" s="1480"/>
      <c r="P53" s="269"/>
      <c r="Q53" s="282"/>
      <c r="R53" s="264"/>
      <c r="S53" s="1144"/>
      <c r="T53" s="273" t="s">
        <v>675</v>
      </c>
      <c r="U53" s="494"/>
      <c r="V53" s="494"/>
      <c r="W53" s="494"/>
      <c r="X53" s="494"/>
      <c r="Y53" s="494"/>
      <c r="Z53" s="494"/>
      <c r="AA53" s="494"/>
      <c r="AB53" s="494"/>
      <c r="AC53" s="274"/>
      <c r="AD53" s="494"/>
      <c r="AE53" s="494"/>
      <c r="AF53" s="494"/>
      <c r="AG53" s="494"/>
      <c r="AH53" s="494"/>
      <c r="AI53" s="494"/>
      <c r="AJ53" s="494"/>
      <c r="AK53" s="274"/>
      <c r="AL53" s="494"/>
      <c r="AM53" s="214"/>
      <c r="AO53" s="1469"/>
      <c r="AP53" s="1469" t="str">
        <f t="shared" si="1"/>
        <v>Добавить схему подключения</v>
      </c>
      <c r="AQ53" s="1469"/>
      <c r="AR53" s="1469"/>
    </row>
    <row r="54" spans="1:44" s="1866" customFormat="1" ht="0.75" customHeight="1">
      <c r="A54" s="1133" t="s">
        <v>472</v>
      </c>
      <c r="B54" s="1133" t="s">
        <v>473</v>
      </c>
      <c r="C54" s="1133" t="s">
        <v>474</v>
      </c>
      <c r="D54" s="1814"/>
      <c r="E54" s="3555"/>
      <c r="F54" s="3555"/>
      <c r="G54" s="3554"/>
      <c r="H54" s="1814"/>
      <c r="I54" s="1814"/>
      <c r="J54" s="1814"/>
      <c r="K54" s="1814"/>
      <c r="L54" s="1241"/>
      <c r="M54" s="1458"/>
      <c r="N54" s="1458"/>
      <c r="O54" s="1480"/>
      <c r="P54" s="1179"/>
      <c r="Q54" s="1180"/>
      <c r="R54" s="1179"/>
      <c r="S54" s="1185"/>
      <c r="T54" s="1188" t="s">
        <v>676</v>
      </c>
      <c r="U54" s="1187"/>
      <c r="V54" s="1187"/>
      <c r="W54" s="1187"/>
      <c r="X54" s="1187"/>
      <c r="Y54" s="1187"/>
      <c r="Z54" s="1187"/>
      <c r="AA54" s="1187"/>
      <c r="AB54" s="1187"/>
      <c r="AC54" s="1187"/>
      <c r="AD54" s="1187"/>
      <c r="AE54" s="1187"/>
      <c r="AF54" s="1187"/>
      <c r="AG54" s="1187"/>
      <c r="AH54" s="1187"/>
      <c r="AI54" s="1187"/>
      <c r="AJ54" s="1187"/>
      <c r="AK54" s="1187"/>
      <c r="AL54" s="1187"/>
      <c r="AM54" s="1187"/>
      <c r="AO54" s="1117"/>
      <c r="AP54" s="1117" t="str">
        <f t="shared" si="1"/>
        <v>Добавить источник для дифференциации</v>
      </c>
      <c r="AQ54" s="1117"/>
      <c r="AR54" s="1117"/>
    </row>
    <row r="55" spans="1:44" s="1866" customFormat="1" ht="0.75" customHeight="1">
      <c r="A55" s="1133" t="s">
        <v>472</v>
      </c>
      <c r="B55" s="1133" t="s">
        <v>473</v>
      </c>
      <c r="C55" s="1814"/>
      <c r="D55" s="1814"/>
      <c r="E55" s="3555"/>
      <c r="F55" s="3554"/>
      <c r="G55" s="1814"/>
      <c r="H55" s="1814"/>
      <c r="I55" s="1814"/>
      <c r="J55" s="1814"/>
      <c r="K55" s="1814"/>
      <c r="L55" s="1241"/>
      <c r="M55" s="1815"/>
      <c r="N55" s="1815"/>
      <c r="O55" s="1480"/>
      <c r="P55" s="1179"/>
      <c r="Q55" s="1180"/>
      <c r="R55" s="1179"/>
      <c r="S55" s="1185"/>
      <c r="T55" s="1188" t="s">
        <v>677</v>
      </c>
      <c r="U55" s="1187"/>
      <c r="V55" s="1187"/>
      <c r="W55" s="1187"/>
      <c r="X55" s="1187"/>
      <c r="Y55" s="1187"/>
      <c r="Z55" s="1187"/>
      <c r="AA55" s="1187"/>
      <c r="AB55" s="1187"/>
      <c r="AC55" s="1187"/>
      <c r="AD55" s="1187"/>
      <c r="AE55" s="1187"/>
      <c r="AF55" s="1187"/>
      <c r="AG55" s="1187"/>
      <c r="AH55" s="1187"/>
      <c r="AI55" s="1187"/>
      <c r="AJ55" s="1187"/>
      <c r="AK55" s="1187"/>
      <c r="AL55" s="1187"/>
      <c r="AM55" s="1187"/>
      <c r="AO55" s="1117"/>
      <c r="AP55" s="1117" t="str">
        <f t="shared" si="1"/>
        <v>Добавить централизованную систему для дифференциации</v>
      </c>
      <c r="AQ55" s="1117"/>
      <c r="AR55" s="1117"/>
    </row>
    <row r="56" spans="1:44" s="1866" customFormat="1" ht="0.75" customHeight="1">
      <c r="A56" s="1133" t="s">
        <v>472</v>
      </c>
      <c r="B56" s="1133"/>
      <c r="C56" s="1133"/>
      <c r="D56" s="1133"/>
      <c r="E56" s="3554"/>
      <c r="F56" s="1133"/>
      <c r="G56" s="1133"/>
      <c r="H56" s="1133"/>
      <c r="I56" s="1133"/>
      <c r="J56" s="1133"/>
      <c r="K56" s="1133"/>
      <c r="L56" s="1173"/>
      <c r="M56" s="1815"/>
      <c r="N56" s="1815"/>
      <c r="O56" s="1480"/>
      <c r="P56" s="287"/>
      <c r="Q56" s="1206"/>
      <c r="R56" s="287"/>
      <c r="S56" s="1185"/>
      <c r="T56" s="1188" t="s">
        <v>678</v>
      </c>
      <c r="U56" s="1187"/>
      <c r="V56" s="1187"/>
      <c r="W56" s="1187"/>
      <c r="X56" s="1187"/>
      <c r="Y56" s="1187"/>
      <c r="Z56" s="1187"/>
      <c r="AA56" s="1187"/>
      <c r="AB56" s="1187"/>
      <c r="AC56" s="1187"/>
      <c r="AD56" s="1187"/>
      <c r="AE56" s="1187"/>
      <c r="AF56" s="1187"/>
      <c r="AG56" s="1187"/>
      <c r="AH56" s="1187"/>
      <c r="AI56" s="1187"/>
      <c r="AJ56" s="1187"/>
      <c r="AK56" s="1187"/>
      <c r="AL56" s="1187"/>
      <c r="AM56" s="1187"/>
      <c r="AO56" s="1469"/>
      <c r="AP56" s="1469" t="str">
        <f t="shared" si="1"/>
        <v>Добавить территорию для дифференциации</v>
      </c>
      <c r="AQ56" s="1469"/>
      <c r="AR56" s="1469"/>
    </row>
    <row r="57" spans="1:44" s="1866" customFormat="1" ht="0.75" customHeight="1">
      <c r="A57" s="1814"/>
      <c r="B57" s="1814"/>
      <c r="C57" s="1814"/>
      <c r="D57" s="1814"/>
      <c r="E57" s="1133"/>
      <c r="F57" s="1814"/>
      <c r="G57" s="1814"/>
      <c r="H57" s="1814"/>
      <c r="I57" s="1814"/>
      <c r="J57" s="1814"/>
      <c r="K57" s="1814"/>
      <c r="L57" s="1241"/>
      <c r="M57" s="1815"/>
      <c r="N57" s="1815"/>
      <c r="O57" s="1480"/>
      <c r="P57" s="1179"/>
      <c r="Q57" s="1180"/>
      <c r="R57" s="1179"/>
      <c r="S57" s="1185"/>
      <c r="T57" s="1188" t="s">
        <v>710</v>
      </c>
      <c r="U57" s="1187"/>
      <c r="V57" s="1187"/>
      <c r="W57" s="1187"/>
      <c r="X57" s="1187"/>
      <c r="Y57" s="1187"/>
      <c r="Z57" s="1187"/>
      <c r="AA57" s="1187"/>
      <c r="AB57" s="1187"/>
      <c r="AC57" s="1187"/>
      <c r="AD57" s="1187"/>
      <c r="AE57" s="1187"/>
      <c r="AF57" s="1187"/>
      <c r="AG57" s="1187"/>
      <c r="AH57" s="1187"/>
      <c r="AI57" s="1187"/>
      <c r="AJ57" s="1187"/>
      <c r="AK57" s="1187"/>
      <c r="AL57" s="1187"/>
      <c r="AM57" s="1187"/>
      <c r="AO57" s="1117"/>
      <c r="AP57" s="1117" t="str">
        <f t="shared" si="1"/>
        <v>Добавить наименование тарифа</v>
      </c>
      <c r="AQ57" s="1117"/>
      <c r="AR57" s="1117"/>
    </row>
    <row r="58" spans="1:44" ht="11.25" customHeight="1">
      <c r="M58" s="1476"/>
      <c r="N58" s="1476"/>
      <c r="O58" s="1480"/>
      <c r="P58" s="1476"/>
      <c r="Q58" s="1476"/>
      <c r="R58" s="1476"/>
      <c r="S58" s="1476"/>
      <c r="AN58" s="1476"/>
      <c r="AO58" s="1476"/>
      <c r="AP58" s="1476"/>
      <c r="AQ58" s="1476"/>
      <c r="AR58" s="1476"/>
    </row>
    <row r="59" spans="1:44" ht="27" customHeight="1">
      <c r="O59" s="1480"/>
      <c r="S59" s="1119"/>
      <c r="T59" s="3527"/>
      <c r="U59" s="3527"/>
      <c r="V59" s="3527"/>
      <c r="W59" s="3527"/>
      <c r="X59" s="3527"/>
      <c r="Y59" s="3527"/>
      <c r="Z59" s="3527"/>
      <c r="AA59" s="3527"/>
      <c r="AB59" s="3527"/>
      <c r="AC59" s="3527"/>
      <c r="AD59" s="3527"/>
      <c r="AE59" s="3527"/>
      <c r="AF59" s="3527"/>
      <c r="AG59" s="3527"/>
      <c r="AH59" s="3527"/>
      <c r="AI59" s="3527"/>
      <c r="AJ59" s="3527"/>
      <c r="AK59" s="3527"/>
      <c r="AL59" s="3527"/>
      <c r="AM59" s="3527"/>
    </row>
    <row r="60" spans="1:44" ht="62.25" customHeight="1">
      <c r="O60" s="1480"/>
      <c r="T60" s="3527"/>
      <c r="U60" s="3527"/>
      <c r="V60" s="3527"/>
      <c r="W60" s="3527"/>
      <c r="X60" s="3527"/>
      <c r="Y60" s="3527"/>
      <c r="Z60" s="3527"/>
      <c r="AA60" s="3527"/>
      <c r="AB60" s="3527"/>
      <c r="AC60" s="3527"/>
      <c r="AD60" s="3527"/>
      <c r="AE60" s="3527"/>
      <c r="AF60" s="3527"/>
      <c r="AG60" s="3527"/>
      <c r="AH60" s="3527"/>
      <c r="AI60" s="3527"/>
      <c r="AJ60" s="3527"/>
      <c r="AK60" s="3527"/>
      <c r="AL60" s="3527"/>
      <c r="AM60" s="3527"/>
    </row>
    <row r="61" spans="1:44" ht="14.25" customHeight="1">
      <c r="O61" s="1480"/>
    </row>
    <row r="62" spans="1:44" ht="18" customHeight="1">
      <c r="O62" s="1480"/>
      <c r="S62" s="1119"/>
      <c r="T62" s="3527"/>
      <c r="U62" s="3527"/>
      <c r="V62" s="3527"/>
      <c r="W62" s="3527"/>
      <c r="X62" s="3527"/>
      <c r="Y62" s="3527"/>
      <c r="Z62" s="3527"/>
      <c r="AA62" s="3527"/>
      <c r="AB62" s="3527"/>
      <c r="AC62" s="3527"/>
      <c r="AD62" s="3527"/>
      <c r="AE62" s="3527"/>
      <c r="AF62" s="3527"/>
      <c r="AG62" s="3527"/>
      <c r="AH62" s="3527"/>
      <c r="AI62" s="3527"/>
      <c r="AJ62" s="3527"/>
      <c r="AK62" s="3527"/>
      <c r="AL62" s="3527"/>
      <c r="AM62" s="3527"/>
    </row>
    <row r="63" spans="1:44" ht="18" customHeight="1">
      <c r="O63" s="1480"/>
      <c r="T63" s="3527"/>
      <c r="U63" s="3527"/>
      <c r="V63" s="3527"/>
      <c r="W63" s="3527"/>
      <c r="X63" s="3527"/>
      <c r="Y63" s="3527"/>
      <c r="Z63" s="3527"/>
      <c r="AA63" s="3527"/>
      <c r="AB63" s="3527"/>
      <c r="AC63" s="3527"/>
      <c r="AD63" s="3527"/>
      <c r="AE63" s="3527"/>
      <c r="AF63" s="3527"/>
      <c r="AG63" s="3527"/>
      <c r="AH63" s="3527"/>
      <c r="AI63" s="3527"/>
      <c r="AJ63" s="3527"/>
      <c r="AK63" s="3527"/>
      <c r="AL63" s="3527"/>
      <c r="AM63" s="3527"/>
    </row>
    <row r="64" spans="1:44" ht="27.75" customHeight="1">
      <c r="O64" s="1480"/>
      <c r="S64" s="1119"/>
      <c r="T64" s="3527"/>
      <c r="U64" s="3527"/>
      <c r="V64" s="3527"/>
      <c r="W64" s="3527"/>
      <c r="X64" s="3527"/>
      <c r="Y64" s="3527"/>
      <c r="Z64" s="3527"/>
      <c r="AA64" s="3527"/>
      <c r="AB64" s="3527"/>
      <c r="AC64" s="3527"/>
      <c r="AD64" s="3527"/>
      <c r="AE64" s="3527"/>
      <c r="AF64" s="3527"/>
      <c r="AG64" s="3527"/>
      <c r="AH64" s="3527"/>
      <c r="AI64" s="3527"/>
      <c r="AJ64" s="3527"/>
      <c r="AK64" s="3527"/>
      <c r="AL64" s="3527"/>
      <c r="AM64" s="3527"/>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1F8ED-D6E6-CF53-EF0E-6A80AB3129D9}">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03" hidden="1"/>
    <col min="2" max="2" width="11" style="1903" hidden="1" customWidth="1"/>
    <col min="3" max="3" width="10.5703125" style="1903" hidden="1"/>
    <col min="4" max="4" width="11.85546875" style="1903" hidden="1" customWidth="1"/>
    <col min="5" max="5" width="10" style="1903" hidden="1" customWidth="1"/>
    <col min="6" max="6" width="8.7109375" style="1903" hidden="1" customWidth="1"/>
    <col min="7" max="7" width="7.5703125" style="1903" hidden="1" customWidth="1"/>
    <col min="8" max="8" width="11.42578125" style="1903" hidden="1" customWidth="1"/>
    <col min="9" max="9" width="12" style="1903" hidden="1" customWidth="1"/>
    <col min="10" max="10" width="9.85546875" style="1903" hidden="1" customWidth="1"/>
    <col min="11" max="11" width="11.42578125" style="1903" hidden="1" customWidth="1"/>
    <col min="12" max="12" width="19.140625" style="1953" hidden="1" customWidth="1"/>
    <col min="13" max="14" width="12.28515625" style="1839" hidden="1" customWidth="1"/>
    <col min="15" max="15" width="23.42578125" style="1839" hidden="1" customWidth="1"/>
    <col min="16" max="16" width="3.7109375" style="1957" customWidth="1"/>
    <col min="17" max="18" width="3.7109375" style="1906" customWidth="1"/>
    <col min="19" max="19" width="12.7109375" style="1951" customWidth="1"/>
    <col min="20" max="20" width="32" style="1910" customWidth="1"/>
    <col min="21" max="21" width="0.7109375" style="1910" hidden="1" customWidth="1"/>
    <col min="22" max="22" width="1.7109375" style="1910" hidden="1" customWidth="1"/>
    <col min="23" max="23" width="24.7109375" style="1910" hidden="1" customWidth="1"/>
    <col min="24" max="25" width="0.140625" style="1910" hidden="1" customWidth="1"/>
    <col min="26" max="26" width="11.7109375" style="1910" hidden="1" customWidth="1"/>
    <col min="27" max="27" width="3.7109375" style="1910" hidden="1" customWidth="1"/>
    <col min="28" max="28" width="11.7109375" style="1910" hidden="1" customWidth="1"/>
    <col min="29" max="29" width="8.5703125" style="1910" hidden="1" customWidth="1"/>
    <col min="30" max="30" width="0.140625" style="1910" customWidth="1"/>
    <col min="31" max="31" width="24.7109375" style="1910" customWidth="1"/>
    <col min="32" max="33" width="0.140625" style="1910" customWidth="1"/>
    <col min="34" max="34" width="11.7109375" style="1910" customWidth="1"/>
    <col min="35" max="35" width="3.7109375" style="1910" customWidth="1"/>
    <col min="36" max="36" width="11.7109375" style="1910" customWidth="1"/>
    <col min="37" max="37" width="8.5703125" style="1910" hidden="1" customWidth="1"/>
    <col min="38" max="38" width="4.7109375" style="1910" customWidth="1"/>
    <col min="39" max="39" width="115.7109375" style="1910" customWidth="1"/>
    <col min="40" max="41" width="10.5703125" style="1866"/>
    <col min="42" max="42" width="11.140625" style="1866" customWidth="1"/>
    <col min="43" max="44" width="10.5703125" style="1866"/>
  </cols>
  <sheetData>
    <row r="1" spans="1:44" ht="14.25" hidden="1" customHeight="1">
      <c r="Y1" s="238"/>
      <c r="Z1" s="238"/>
      <c r="AG1" s="238"/>
      <c r="AH1" s="238"/>
    </row>
    <row r="2" spans="1:44" ht="21" hidden="1" customHeight="1">
      <c r="A2" s="1224"/>
      <c r="B2" s="1224"/>
      <c r="C2" s="1224"/>
      <c r="D2" s="1224"/>
      <c r="E2" s="3528">
        <v>1</v>
      </c>
      <c r="F2" s="1224"/>
      <c r="G2" s="1224"/>
      <c r="H2" s="1224"/>
      <c r="I2" s="1224"/>
      <c r="J2" s="1224"/>
      <c r="K2" s="1224"/>
      <c r="L2" s="1225"/>
      <c r="M2" s="1226"/>
      <c r="N2" s="1226"/>
      <c r="O2" s="1226"/>
      <c r="P2" s="270"/>
      <c r="Q2" s="269"/>
      <c r="R2" s="264"/>
      <c r="S2" s="1198" t="e">
        <f>INDEX(PT_DIFFERENTIATION_NUM_NTAR,MATCH(A2,PT_DIFFERENTIATION_NTAR_ID,0))</f>
        <v>#N/A</v>
      </c>
      <c r="T2" s="209" t="s">
        <v>391</v>
      </c>
      <c r="U2" s="211"/>
      <c r="V2" s="3522"/>
      <c r="W2" s="3523"/>
      <c r="X2" s="3523"/>
      <c r="Y2" s="3523"/>
      <c r="Z2" s="3523"/>
      <c r="AA2" s="3523"/>
      <c r="AB2" s="3523"/>
      <c r="AC2" s="3524"/>
      <c r="AD2" s="3522" t="e">
        <f>INDEX(PT_DIFFERENTIATION_NTAR,MATCH(A2,PT_DIFFERENTIATION_NTAR_ID,0))</f>
        <v>#N/A</v>
      </c>
      <c r="AE2" s="3523"/>
      <c r="AF2" s="3523"/>
      <c r="AG2" s="3523"/>
      <c r="AH2" s="3523"/>
      <c r="AI2" s="3523"/>
      <c r="AJ2" s="3523"/>
      <c r="AK2" s="3523"/>
      <c r="AL2" s="3524"/>
      <c r="AM2" s="1124" t="s">
        <v>658</v>
      </c>
      <c r="AO2" s="398"/>
      <c r="AP2" s="398" t="str">
        <f t="shared" ref="AP2:AP15" si="0">IF(T2="","",T2)</f>
        <v>Наименование тарифа</v>
      </c>
      <c r="AQ2" s="398"/>
      <c r="AR2" s="398"/>
    </row>
    <row r="3" spans="1:44" ht="21" hidden="1" customHeight="1">
      <c r="A3" s="1224"/>
      <c r="B3" s="1224"/>
      <c r="C3" s="1224"/>
      <c r="D3" s="1224"/>
      <c r="E3" s="3529"/>
      <c r="F3" s="3528">
        <v>1</v>
      </c>
      <c r="G3" s="1224"/>
      <c r="H3" s="1224"/>
      <c r="I3" s="1224"/>
      <c r="J3" s="1224"/>
      <c r="K3" s="1224"/>
      <c r="L3" s="1225"/>
      <c r="M3" s="1226"/>
      <c r="N3" s="1226"/>
      <c r="O3" s="1226"/>
      <c r="P3" s="1194"/>
      <c r="Q3" s="261"/>
      <c r="R3" s="262"/>
      <c r="S3" s="1198" t="e">
        <f>INDEX(PT_DIFFERENTIATION_NUM_TER,MATCH(B3,PT_DIFFERENTIATION_TER_ID,0))</f>
        <v>#N/A</v>
      </c>
      <c r="T3" s="219" t="s">
        <v>659</v>
      </c>
      <c r="U3" s="211"/>
      <c r="V3" s="3522"/>
      <c r="W3" s="3523"/>
      <c r="X3" s="3523"/>
      <c r="Y3" s="3523"/>
      <c r="Z3" s="3523"/>
      <c r="AA3" s="3523"/>
      <c r="AB3" s="3523"/>
      <c r="AC3" s="3524"/>
      <c r="AD3" s="3522" t="e">
        <f>INDEX(PT_DIFFERENTIATION_TER,MATCH(B3,PT_DIFFERENTIATION_TER_ID,0))</f>
        <v>#N/A</v>
      </c>
      <c r="AE3" s="3523"/>
      <c r="AF3" s="3523"/>
      <c r="AG3" s="3523"/>
      <c r="AH3" s="3523"/>
      <c r="AI3" s="3523"/>
      <c r="AJ3" s="3523"/>
      <c r="AK3" s="3523"/>
      <c r="AL3" s="3524"/>
      <c r="AM3" s="1124" t="s">
        <v>660</v>
      </c>
      <c r="AO3" s="398"/>
      <c r="AP3" s="398" t="str">
        <f t="shared" si="0"/>
        <v>Территория действия тарифа</v>
      </c>
      <c r="AQ3" s="398"/>
      <c r="AR3" s="398"/>
    </row>
    <row r="4" spans="1:44" ht="23.25" hidden="1" customHeight="1">
      <c r="A4" s="1224"/>
      <c r="B4" s="1224"/>
      <c r="C4" s="1224"/>
      <c r="D4" s="1224"/>
      <c r="E4" s="3529"/>
      <c r="F4" s="3529"/>
      <c r="G4" s="3528">
        <v>1</v>
      </c>
      <c r="H4" s="1224"/>
      <c r="I4" s="1224"/>
      <c r="J4" s="1224"/>
      <c r="K4" s="1224"/>
      <c r="L4" s="1225"/>
      <c r="M4" s="1226"/>
      <c r="N4" s="1226"/>
      <c r="O4" s="1226"/>
      <c r="P4" s="263"/>
      <c r="Q4" s="261"/>
      <c r="R4" s="262"/>
      <c r="S4" s="1198" t="e">
        <f>INDEX(PT_DIFFERENTIATION_NUM_CS,MATCH(C4,PT_DIFFERENTIATION_CS_ID,0))</f>
        <v>#N/A</v>
      </c>
      <c r="T4" s="220" t="s">
        <v>661</v>
      </c>
      <c r="U4" s="211"/>
      <c r="V4" s="3522"/>
      <c r="W4" s="3523"/>
      <c r="X4" s="3523"/>
      <c r="Y4" s="3523"/>
      <c r="Z4" s="3523"/>
      <c r="AA4" s="3523"/>
      <c r="AB4" s="3523"/>
      <c r="AC4" s="3524"/>
      <c r="AD4" s="3522" t="e">
        <f>INDEX(PT_DIFFERENTIATION_CS,MATCH(C4,PT_DIFFERENTIATION_CS_ID,0))</f>
        <v>#N/A</v>
      </c>
      <c r="AE4" s="3523"/>
      <c r="AF4" s="3523"/>
      <c r="AG4" s="3523"/>
      <c r="AH4" s="3523"/>
      <c r="AI4" s="3523"/>
      <c r="AJ4" s="3523"/>
      <c r="AK4" s="3523"/>
      <c r="AL4" s="3524"/>
      <c r="AM4" s="1124" t="s">
        <v>662</v>
      </c>
      <c r="AO4" s="398"/>
      <c r="AP4" s="398" t="str">
        <f t="shared" si="0"/>
        <v xml:space="preserve">Наименование системы теплоснабжения </v>
      </c>
      <c r="AQ4" s="398"/>
      <c r="AR4" s="398"/>
    </row>
    <row r="5" spans="1:44" ht="21" hidden="1" customHeight="1">
      <c r="A5" s="1224"/>
      <c r="B5" s="1224"/>
      <c r="C5" s="1224"/>
      <c r="D5" s="1224"/>
      <c r="E5" s="3529"/>
      <c r="F5" s="3529"/>
      <c r="G5" s="3529"/>
      <c r="H5" s="3528">
        <v>1</v>
      </c>
      <c r="I5" s="1224"/>
      <c r="J5" s="1224"/>
      <c r="K5" s="1224"/>
      <c r="L5" s="1225"/>
      <c r="M5" s="1226"/>
      <c r="N5" s="1226"/>
      <c r="O5" s="1226"/>
      <c r="P5" s="263"/>
      <c r="Q5" s="261"/>
      <c r="R5" s="262"/>
      <c r="S5" s="1198" t="e">
        <f>INDEX(PT_DIFFERENTIATION_NUM_IST_TE,MATCH(D5,PT_DIFFERENTIATION_IST_TE_ID,0))</f>
        <v>#N/A</v>
      </c>
      <c r="T5" s="221" t="s">
        <v>663</v>
      </c>
      <c r="U5" s="211"/>
      <c r="V5" s="3522"/>
      <c r="W5" s="3523"/>
      <c r="X5" s="3523"/>
      <c r="Y5" s="3523"/>
      <c r="Z5" s="3523"/>
      <c r="AA5" s="3523"/>
      <c r="AB5" s="3523"/>
      <c r="AC5" s="3524"/>
      <c r="AD5" s="3522" t="e">
        <f>INDEX(PT_DIFFERENTIATION_IST_TE,MATCH(D5,PT_DIFFERENTIATION_IST_TE_ID,0))</f>
        <v>#N/A</v>
      </c>
      <c r="AE5" s="3523"/>
      <c r="AF5" s="3523"/>
      <c r="AG5" s="3523"/>
      <c r="AH5" s="3523"/>
      <c r="AI5" s="3523"/>
      <c r="AJ5" s="3523"/>
      <c r="AK5" s="3523"/>
      <c r="AL5" s="3524"/>
      <c r="AM5" s="1124" t="s">
        <v>664</v>
      </c>
      <c r="AO5" s="398"/>
      <c r="AP5" s="398" t="str">
        <f t="shared" si="0"/>
        <v xml:space="preserve">Источник тепловой энергии  </v>
      </c>
      <c r="AQ5" s="398"/>
      <c r="AR5" s="398"/>
    </row>
    <row r="6" spans="1:44" ht="47.25" hidden="1" customHeight="1">
      <c r="A6" s="1224"/>
      <c r="B6" s="1224"/>
      <c r="C6" s="1224"/>
      <c r="D6" s="1224"/>
      <c r="E6" s="3529"/>
      <c r="F6" s="3529"/>
      <c r="G6" s="3529"/>
      <c r="H6" s="3529"/>
      <c r="I6" s="3530" t="e">
        <f>S5&amp;".1"</f>
        <v>#N/A</v>
      </c>
      <c r="J6" s="1224"/>
      <c r="K6" s="1224"/>
      <c r="L6" s="1225" t="s">
        <v>665</v>
      </c>
      <c r="M6" s="434"/>
      <c r="P6" s="3532">
        <v>1</v>
      </c>
      <c r="Q6" s="1193"/>
      <c r="R6" s="265"/>
      <c r="S6" s="1198" t="e">
        <f>$I6</f>
        <v>#N/A</v>
      </c>
      <c r="T6" s="197" t="s">
        <v>666</v>
      </c>
      <c r="U6" s="211"/>
      <c r="V6" s="3516"/>
      <c r="W6" s="3517"/>
      <c r="X6" s="3517"/>
      <c r="Y6" s="3517"/>
      <c r="Z6" s="3517"/>
      <c r="AA6" s="3517"/>
      <c r="AB6" s="3517"/>
      <c r="AC6" s="3518"/>
      <c r="AD6" s="3516"/>
      <c r="AE6" s="3517"/>
      <c r="AF6" s="3517"/>
      <c r="AG6" s="3517"/>
      <c r="AH6" s="3517"/>
      <c r="AI6" s="3517"/>
      <c r="AJ6" s="3517"/>
      <c r="AK6" s="3517"/>
      <c r="AL6" s="3518"/>
      <c r="AM6" s="1124" t="s">
        <v>667</v>
      </c>
      <c r="AO6" s="398"/>
      <c r="AP6" s="398" t="str">
        <f t="shared" si="0"/>
        <v>Схема подключения теплопотребляющей установки к коллектору источника тепловой энергии</v>
      </c>
      <c r="AQ6" s="398"/>
      <c r="AR6" s="398"/>
    </row>
    <row r="7" spans="1:44" ht="21" hidden="1" customHeight="1">
      <c r="A7" s="1224"/>
      <c r="B7" s="1224"/>
      <c r="C7" s="1224"/>
      <c r="D7" s="1224"/>
      <c r="E7" s="3529"/>
      <c r="F7" s="3529"/>
      <c r="G7" s="3529"/>
      <c r="H7" s="3529"/>
      <c r="I7" s="3531"/>
      <c r="J7" s="3530" t="e">
        <f>I6&amp;".1"</f>
        <v>#N/A</v>
      </c>
      <c r="K7" s="1224"/>
      <c r="L7" s="1225" t="s">
        <v>668</v>
      </c>
      <c r="M7" s="434"/>
      <c r="N7" s="1227"/>
      <c r="P7" s="3532"/>
      <c r="Q7" s="3532">
        <v>1</v>
      </c>
      <c r="R7" s="266"/>
      <c r="S7" s="1198" t="e">
        <f>$J7</f>
        <v>#N/A</v>
      </c>
      <c r="T7" s="198" t="s">
        <v>669</v>
      </c>
      <c r="U7" s="211"/>
      <c r="V7" s="3516"/>
      <c r="W7" s="3517"/>
      <c r="X7" s="3517"/>
      <c r="Y7" s="3517"/>
      <c r="Z7" s="3517"/>
      <c r="AA7" s="3517"/>
      <c r="AB7" s="3517"/>
      <c r="AC7" s="3518"/>
      <c r="AD7" s="3516"/>
      <c r="AE7" s="3517"/>
      <c r="AF7" s="3517"/>
      <c r="AG7" s="3517"/>
      <c r="AH7" s="3517"/>
      <c r="AI7" s="3517"/>
      <c r="AJ7" s="3517"/>
      <c r="AK7" s="3517"/>
      <c r="AL7" s="3518"/>
      <c r="AM7" s="1124" t="s">
        <v>670</v>
      </c>
      <c r="AO7" s="398"/>
      <c r="AP7" s="398" t="str">
        <f t="shared" si="0"/>
        <v>Группа потребителей</v>
      </c>
      <c r="AQ7" s="398"/>
      <c r="AR7" s="398"/>
    </row>
    <row r="8" spans="1:44" ht="21" hidden="1" customHeight="1">
      <c r="A8" s="1224"/>
      <c r="B8" s="1224"/>
      <c r="C8" s="1224"/>
      <c r="D8" s="1224"/>
      <c r="E8" s="3529"/>
      <c r="F8" s="3529"/>
      <c r="G8" s="3529"/>
      <c r="H8" s="3529"/>
      <c r="I8" s="3531"/>
      <c r="J8" s="3531"/>
      <c r="K8" s="3530" t="e">
        <f>J7&amp;".1"</f>
        <v>#N/A</v>
      </c>
      <c r="L8" s="1225" t="s">
        <v>671</v>
      </c>
      <c r="M8" s="434"/>
      <c r="N8" s="1227"/>
      <c r="O8" s="1227"/>
      <c r="P8" s="3532"/>
      <c r="Q8" s="3532"/>
      <c r="R8" s="266">
        <v>1</v>
      </c>
      <c r="S8" s="1198" t="e">
        <f>$K8</f>
        <v>#N/A</v>
      </c>
      <c r="T8" s="1209"/>
      <c r="U8" s="211"/>
      <c r="V8" s="236"/>
      <c r="W8" s="639"/>
      <c r="X8" s="236"/>
      <c r="Y8" s="291"/>
      <c r="Z8" s="3533"/>
      <c r="AA8" s="3412" t="s">
        <v>64</v>
      </c>
      <c r="AB8" s="3533"/>
      <c r="AC8" s="3412" t="s">
        <v>64</v>
      </c>
      <c r="AD8" s="236"/>
      <c r="AE8" s="639"/>
      <c r="AF8" s="236"/>
      <c r="AG8" s="291"/>
      <c r="AH8" s="3533"/>
      <c r="AI8" s="3412" t="s">
        <v>64</v>
      </c>
      <c r="AJ8" s="3533"/>
      <c r="AK8" s="3412" t="s">
        <v>64</v>
      </c>
      <c r="AL8" s="236"/>
      <c r="AM8" s="3551" t="s">
        <v>672</v>
      </c>
      <c r="AN8" s="409" t="e">
        <f ca="1">STRCHECKDATE(V9:AL9)</f>
        <v>#NAME?</v>
      </c>
      <c r="AO8" s="398"/>
      <c r="AP8" s="398" t="str">
        <f t="shared" si="0"/>
        <v/>
      </c>
      <c r="AQ8" s="398"/>
      <c r="AR8" s="398"/>
    </row>
    <row r="9" spans="1:44" ht="0.75" hidden="1" customHeight="1">
      <c r="A9" s="1224"/>
      <c r="B9" s="1224"/>
      <c r="C9" s="1224"/>
      <c r="D9" s="1224"/>
      <c r="E9" s="3529"/>
      <c r="F9" s="3529"/>
      <c r="G9" s="3529"/>
      <c r="H9" s="3529"/>
      <c r="I9" s="3531"/>
      <c r="J9" s="3531"/>
      <c r="K9" s="3530"/>
      <c r="L9" s="1225"/>
      <c r="M9" s="434"/>
      <c r="N9" s="1227"/>
      <c r="O9" s="1227"/>
      <c r="P9" s="3532"/>
      <c r="Q9" s="3532"/>
      <c r="R9" s="266"/>
      <c r="S9" s="1204"/>
      <c r="T9" s="211"/>
      <c r="U9" s="211"/>
      <c r="V9" s="236"/>
      <c r="W9" s="236"/>
      <c r="X9" s="236"/>
      <c r="Y9" s="239" t="str">
        <f>Z8&amp;"-"&amp;AB8</f>
        <v>-</v>
      </c>
      <c r="Z9" s="3534"/>
      <c r="AA9" s="3412"/>
      <c r="AB9" s="3534"/>
      <c r="AC9" s="3412"/>
      <c r="AD9" s="236"/>
      <c r="AE9" s="236"/>
      <c r="AF9" s="236"/>
      <c r="AG9" s="239" t="str">
        <f>AH8&amp;"-"&amp;AJ8</f>
        <v>-</v>
      </c>
      <c r="AH9" s="3534"/>
      <c r="AI9" s="3412"/>
      <c r="AJ9" s="3534"/>
      <c r="AK9" s="3412"/>
      <c r="AL9" s="236"/>
      <c r="AM9" s="3552"/>
      <c r="AO9" s="398"/>
      <c r="AP9" s="398" t="str">
        <f t="shared" si="0"/>
        <v/>
      </c>
      <c r="AQ9" s="398"/>
      <c r="AR9" s="398"/>
    </row>
    <row r="10" spans="1:44" ht="15" hidden="1" customHeight="1">
      <c r="A10" s="1224"/>
      <c r="B10" s="1224"/>
      <c r="C10" s="1224"/>
      <c r="D10" s="1224"/>
      <c r="E10" s="3529"/>
      <c r="F10" s="3529"/>
      <c r="G10" s="3529"/>
      <c r="H10" s="3529"/>
      <c r="I10" s="3531"/>
      <c r="J10" s="3530"/>
      <c r="K10" s="1224"/>
      <c r="L10" s="1225"/>
      <c r="M10" s="434"/>
      <c r="N10" s="1227"/>
      <c r="P10" s="3532"/>
      <c r="Q10" s="3532"/>
      <c r="R10" s="265"/>
      <c r="S10" s="1144"/>
      <c r="T10" s="200" t="s">
        <v>673</v>
      </c>
      <c r="U10" s="275"/>
      <c r="V10" s="275"/>
      <c r="W10" s="275"/>
      <c r="X10" s="275"/>
      <c r="Y10" s="275"/>
      <c r="Z10" s="275"/>
      <c r="AA10" s="275"/>
      <c r="AB10" s="275"/>
      <c r="AC10" s="275"/>
      <c r="AD10" s="275"/>
      <c r="AE10" s="275"/>
      <c r="AF10" s="275"/>
      <c r="AG10" s="275"/>
      <c r="AH10" s="275"/>
      <c r="AI10" s="275"/>
      <c r="AJ10" s="275"/>
      <c r="AK10" s="275"/>
      <c r="AL10" s="235"/>
      <c r="AM10" s="3553"/>
      <c r="AO10" s="398"/>
      <c r="AP10" s="398" t="str">
        <f t="shared" si="0"/>
        <v>Добавить вид теплоносителя (параметры теплоносителя)</v>
      </c>
      <c r="AQ10" s="398"/>
      <c r="AR10" s="398"/>
    </row>
    <row r="11" spans="1:44" ht="15" hidden="1" customHeight="1">
      <c r="A11" s="1224"/>
      <c r="B11" s="1224"/>
      <c r="C11" s="1224"/>
      <c r="D11" s="1224"/>
      <c r="E11" s="3529"/>
      <c r="F11" s="3529"/>
      <c r="G11" s="3529"/>
      <c r="H11" s="3529"/>
      <c r="I11" s="3530"/>
      <c r="J11" s="1224"/>
      <c r="K11" s="1224"/>
      <c r="L11" s="1225"/>
      <c r="M11" s="434"/>
      <c r="P11" s="3532"/>
      <c r="Q11" s="1193"/>
      <c r="R11" s="265"/>
      <c r="S11" s="1144"/>
      <c r="T11" s="199" t="s">
        <v>674</v>
      </c>
      <c r="U11" s="275"/>
      <c r="V11" s="275"/>
      <c r="W11" s="275"/>
      <c r="X11" s="275"/>
      <c r="Y11" s="275"/>
      <c r="Z11" s="275"/>
      <c r="AA11" s="275"/>
      <c r="AB11" s="275"/>
      <c r="AC11" s="274"/>
      <c r="AD11" s="275"/>
      <c r="AE11" s="275"/>
      <c r="AF11" s="275"/>
      <c r="AG11" s="275"/>
      <c r="AH11" s="275"/>
      <c r="AI11" s="275"/>
      <c r="AJ11" s="275"/>
      <c r="AK11" s="274"/>
      <c r="AL11" s="275"/>
      <c r="AM11" s="214"/>
      <c r="AO11" s="398"/>
      <c r="AP11" s="398" t="str">
        <f t="shared" si="0"/>
        <v>Добавить группу потребителей</v>
      </c>
      <c r="AQ11" s="398"/>
      <c r="AR11" s="398"/>
    </row>
    <row r="12" spans="1:44" ht="14.25" hidden="1" customHeight="1">
      <c r="A12" s="1224"/>
      <c r="B12" s="1224"/>
      <c r="C12" s="1224"/>
      <c r="D12" s="1224"/>
      <c r="E12" s="3529"/>
      <c r="F12" s="3529"/>
      <c r="G12" s="3529"/>
      <c r="H12" s="3528"/>
      <c r="I12" s="1224"/>
      <c r="J12" s="1224"/>
      <c r="K12" s="1224"/>
      <c r="L12" s="1225"/>
      <c r="M12" s="1226"/>
      <c r="N12" s="1226"/>
      <c r="O12" s="434"/>
      <c r="P12" s="269"/>
      <c r="Q12" s="282"/>
      <c r="R12" s="264"/>
      <c r="S12" s="1144"/>
      <c r="T12" s="273" t="s">
        <v>675</v>
      </c>
      <c r="U12" s="275"/>
      <c r="V12" s="275"/>
      <c r="W12" s="275"/>
      <c r="X12" s="275"/>
      <c r="Y12" s="275"/>
      <c r="Z12" s="275"/>
      <c r="AA12" s="275"/>
      <c r="AB12" s="275"/>
      <c r="AC12" s="274"/>
      <c r="AD12" s="275"/>
      <c r="AE12" s="275"/>
      <c r="AF12" s="275"/>
      <c r="AG12" s="275"/>
      <c r="AH12" s="275"/>
      <c r="AI12" s="275"/>
      <c r="AJ12" s="275"/>
      <c r="AK12" s="274"/>
      <c r="AL12" s="275"/>
      <c r="AM12" s="214"/>
      <c r="AO12" s="398"/>
      <c r="AP12" s="398" t="str">
        <f t="shared" si="0"/>
        <v>Добавить схему подключения</v>
      </c>
      <c r="AQ12" s="398"/>
      <c r="AR12" s="398"/>
    </row>
    <row r="13" spans="1:44" s="1866" customFormat="1" ht="0.75" hidden="1" customHeight="1">
      <c r="A13" s="1177"/>
      <c r="B13" s="1177"/>
      <c r="C13" s="1177"/>
      <c r="D13" s="1177"/>
      <c r="E13" s="3529"/>
      <c r="F13" s="3529"/>
      <c r="G13" s="3528"/>
      <c r="H13" s="1177"/>
      <c r="I13" s="1177"/>
      <c r="J13" s="1177"/>
      <c r="K13" s="1177"/>
      <c r="L13" s="1201"/>
      <c r="M13" s="1178"/>
      <c r="N13" s="1178"/>
      <c r="P13" s="1179"/>
      <c r="Q13" s="1180"/>
      <c r="R13" s="1179"/>
      <c r="S13" s="1181"/>
      <c r="T13" s="1182" t="s">
        <v>676</v>
      </c>
      <c r="U13" s="1183"/>
      <c r="V13" s="1183"/>
      <c r="W13" s="1183"/>
      <c r="X13" s="1183"/>
      <c r="Y13" s="1183"/>
      <c r="Z13" s="1183"/>
      <c r="AA13" s="1183"/>
      <c r="AB13" s="1183"/>
      <c r="AC13" s="1183"/>
      <c r="AD13" s="1183"/>
      <c r="AE13" s="1183"/>
      <c r="AF13" s="1183"/>
      <c r="AG13" s="1183"/>
      <c r="AH13" s="1183"/>
      <c r="AI13" s="1183"/>
      <c r="AJ13" s="1183"/>
      <c r="AK13" s="1183"/>
      <c r="AL13" s="1183"/>
      <c r="AM13" s="1183"/>
      <c r="AO13" s="670"/>
      <c r="AP13" s="670" t="str">
        <f t="shared" si="0"/>
        <v>Добавить источник для дифференциации</v>
      </c>
      <c r="AQ13" s="670"/>
      <c r="AR13" s="670"/>
    </row>
    <row r="14" spans="1:44" s="1866" customFormat="1" ht="0.75" hidden="1" customHeight="1">
      <c r="A14" s="1177"/>
      <c r="B14" s="1177"/>
      <c r="C14" s="1177"/>
      <c r="D14" s="1177"/>
      <c r="E14" s="3529"/>
      <c r="F14" s="3528"/>
      <c r="G14" s="1177"/>
      <c r="H14" s="1177"/>
      <c r="I14" s="1177"/>
      <c r="J14" s="1177"/>
      <c r="K14" s="1177"/>
      <c r="L14" s="1201"/>
      <c r="M14" s="1184"/>
      <c r="N14" s="1184"/>
      <c r="P14" s="1179"/>
      <c r="Q14" s="1180"/>
      <c r="R14" s="1179"/>
      <c r="S14" s="1185"/>
      <c r="T14" s="1186" t="s">
        <v>677</v>
      </c>
      <c r="U14" s="1187"/>
      <c r="V14" s="1187"/>
      <c r="W14" s="1187"/>
      <c r="X14" s="1187"/>
      <c r="Y14" s="1187"/>
      <c r="Z14" s="1187"/>
      <c r="AA14" s="1187"/>
      <c r="AB14" s="1187"/>
      <c r="AC14" s="1187"/>
      <c r="AD14" s="1187"/>
      <c r="AE14" s="1187"/>
      <c r="AF14" s="1187"/>
      <c r="AG14" s="1187"/>
      <c r="AH14" s="1187"/>
      <c r="AI14" s="1187"/>
      <c r="AJ14" s="1187"/>
      <c r="AK14" s="1187"/>
      <c r="AL14" s="1187"/>
      <c r="AM14" s="1187"/>
      <c r="AO14" s="670"/>
      <c r="AP14" s="670" t="str">
        <f t="shared" si="0"/>
        <v>Добавить централизованную систему для дифференциации</v>
      </c>
      <c r="AQ14" s="670"/>
      <c r="AR14" s="670"/>
    </row>
    <row r="15" spans="1:44" s="1866" customFormat="1" ht="0.75" hidden="1" customHeight="1">
      <c r="A15" s="1177"/>
      <c r="B15" s="1177"/>
      <c r="C15" s="1177"/>
      <c r="D15" s="1177"/>
      <c r="E15" s="3528"/>
      <c r="F15" s="1177"/>
      <c r="G15" s="1177"/>
      <c r="H15" s="1177"/>
      <c r="I15" s="1177"/>
      <c r="J15" s="1177"/>
      <c r="K15" s="1177"/>
      <c r="L15" s="1201"/>
      <c r="M15" s="1184"/>
      <c r="N15" s="1184"/>
      <c r="P15" s="1179"/>
      <c r="Q15" s="1180"/>
      <c r="R15" s="1179"/>
      <c r="S15" s="1185"/>
      <c r="T15" s="1188" t="s">
        <v>678</v>
      </c>
      <c r="U15" s="1187"/>
      <c r="V15" s="1187"/>
      <c r="W15" s="1187"/>
      <c r="X15" s="1187"/>
      <c r="Y15" s="1187"/>
      <c r="Z15" s="1187"/>
      <c r="AA15" s="1187"/>
      <c r="AB15" s="1187"/>
      <c r="AC15" s="1187"/>
      <c r="AD15" s="1187"/>
      <c r="AE15" s="1187"/>
      <c r="AF15" s="1187"/>
      <c r="AG15" s="1187"/>
      <c r="AH15" s="1187"/>
      <c r="AI15" s="1187"/>
      <c r="AJ15" s="1187"/>
      <c r="AK15" s="1187"/>
      <c r="AL15" s="1187"/>
      <c r="AM15" s="1187"/>
      <c r="AO15" s="670"/>
      <c r="AP15" s="670" t="str">
        <f t="shared" si="0"/>
        <v>Добавить территорию для дифференциации</v>
      </c>
      <c r="AQ15" s="670"/>
      <c r="AR15" s="670"/>
    </row>
    <row r="16" spans="1:44" ht="14.25" hidden="1" customHeight="1">
      <c r="AC16" s="238"/>
      <c r="AK16" s="238"/>
    </row>
    <row r="17" spans="1:44" ht="14.25" hidden="1" customHeight="1">
      <c r="AD17" s="1221"/>
      <c r="AE17" s="1221"/>
      <c r="AF17" s="1221"/>
      <c r="AG17" s="1222"/>
      <c r="AH17" s="3526"/>
      <c r="AI17" s="3525" t="s">
        <v>64</v>
      </c>
      <c r="AJ17" s="3526"/>
      <c r="AK17" s="3525" t="s">
        <v>64</v>
      </c>
    </row>
    <row r="18" spans="1:44" ht="14.25" hidden="1" customHeight="1">
      <c r="AD18" s="1221"/>
      <c r="AE18" s="1221"/>
      <c r="AF18" s="1221"/>
      <c r="AG18" s="239" t="str">
        <f>AH17&amp;"-"&amp;AJ17</f>
        <v>-</v>
      </c>
      <c r="AH18" s="3525"/>
      <c r="AI18" s="3525"/>
      <c r="AJ18" s="3525"/>
      <c r="AK18" s="3525"/>
    </row>
    <row r="19" spans="1:44" ht="14.25" hidden="1" customHeight="1">
      <c r="AK19" s="238"/>
    </row>
    <row r="20" spans="1:44" s="1903" customFormat="1" ht="22.5" hidden="1" customHeight="1">
      <c r="L20" s="1191"/>
      <c r="M20" s="1223"/>
      <c r="N20" s="1223"/>
      <c r="O20" s="1228" t="s">
        <v>679</v>
      </c>
      <c r="P20" s="1223"/>
      <c r="Q20" s="1232"/>
      <c r="R20" s="1232"/>
      <c r="S20" s="619"/>
      <c r="Z20" s="1228"/>
      <c r="AB20" s="1228"/>
      <c r="AC20" s="1227"/>
      <c r="AH20" s="1228"/>
      <c r="AJ20" s="1228"/>
      <c r="AK20" s="1227"/>
      <c r="AN20" s="409"/>
      <c r="AO20" s="409"/>
      <c r="AP20" s="409"/>
      <c r="AQ20" s="409"/>
      <c r="AR20" s="409"/>
    </row>
    <row r="21" spans="1:44" s="1903" customFormat="1" ht="14.25" hidden="1" customHeight="1">
      <c r="L21" s="1191"/>
      <c r="M21" s="1223"/>
      <c r="N21" s="1223"/>
      <c r="O21" s="1223"/>
      <c r="P21" s="1223"/>
      <c r="Q21" s="1232"/>
      <c r="R21" s="1232"/>
      <c r="S21" s="619"/>
      <c r="AC21" s="1227"/>
      <c r="AK21" s="1227"/>
      <c r="AN21" s="409"/>
      <c r="AO21" s="409"/>
      <c r="AP21" s="409"/>
      <c r="AQ21" s="409"/>
      <c r="AR21" s="409"/>
    </row>
    <row r="22" spans="1:44" s="1903" customFormat="1" ht="33.75" hidden="1" customHeight="1">
      <c r="L22" s="1191"/>
      <c r="M22" s="1223"/>
      <c r="N22" s="1223"/>
      <c r="O22" s="1225" t="s">
        <v>680</v>
      </c>
      <c r="P22" s="1223"/>
      <c r="Q22" s="1232"/>
      <c r="R22" s="1232"/>
      <c r="S22" s="619"/>
      <c r="T22" s="1023" t="s">
        <v>681</v>
      </c>
      <c r="AA22" s="103" t="s">
        <v>682</v>
      </c>
      <c r="AC22" s="103" t="s">
        <v>683</v>
      </c>
      <c r="AD22" s="1023" t="s">
        <v>681</v>
      </c>
      <c r="AI22" s="103" t="s">
        <v>684</v>
      </c>
      <c r="AK22" s="103" t="s">
        <v>683</v>
      </c>
      <c r="AN22" s="409"/>
      <c r="AO22" s="409"/>
      <c r="AP22" s="409"/>
      <c r="AQ22" s="409"/>
      <c r="AR22" s="409"/>
    </row>
    <row r="23" spans="1:44" ht="14.25" hidden="1" customHeight="1">
      <c r="O23" s="1225"/>
    </row>
    <row r="24" spans="1:44" ht="14.25" hidden="1" customHeight="1">
      <c r="O24" s="1225"/>
    </row>
    <row r="25" spans="1:44" ht="14.25" customHeight="1">
      <c r="Q25" s="283"/>
      <c r="R25" s="283"/>
      <c r="S25" s="1141"/>
      <c r="T25" s="272"/>
      <c r="U25" s="272"/>
      <c r="V25" s="407"/>
      <c r="W25" s="407"/>
      <c r="X25" s="407"/>
      <c r="Y25" s="407"/>
      <c r="Z25" s="407"/>
      <c r="AA25" s="407"/>
      <c r="AB25" s="407"/>
      <c r="AC25" s="407"/>
      <c r="AD25" s="407"/>
      <c r="AE25" s="407"/>
      <c r="AF25" s="407"/>
      <c r="AG25" s="407"/>
      <c r="AH25" s="407"/>
      <c r="AI25" s="407"/>
      <c r="AJ25" s="407"/>
      <c r="AK25" s="407"/>
    </row>
    <row r="26" spans="1:44" ht="27.75" customHeight="1">
      <c r="Q26" s="283"/>
      <c r="R26" s="283"/>
      <c r="S26" s="350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509"/>
      <c r="U26" s="3509"/>
      <c r="V26" s="3509"/>
      <c r="W26" s="3509"/>
      <c r="X26" s="3509"/>
      <c r="Y26" s="3509"/>
      <c r="Z26" s="3509"/>
      <c r="AA26" s="3509"/>
      <c r="AB26" s="3509"/>
      <c r="AC26" s="3509"/>
      <c r="AD26" s="3509"/>
      <c r="AE26" s="3509"/>
      <c r="AF26" s="3509"/>
      <c r="AG26" s="3509"/>
      <c r="AH26" s="3509"/>
      <c r="AI26" s="3509"/>
      <c r="AJ26" s="3509"/>
      <c r="AK26" s="1109"/>
    </row>
    <row r="27" spans="1:44" ht="14.25" customHeight="1">
      <c r="Q27" s="283"/>
      <c r="R27" s="283"/>
      <c r="S27" s="3480" t="str">
        <f>IF(org=0,"Не определено",org)</f>
        <v>АО "Орелгортеплоэнерго"</v>
      </c>
      <c r="T27" s="3480"/>
      <c r="U27" s="3480"/>
      <c r="V27" s="3480"/>
      <c r="W27" s="3480"/>
      <c r="X27" s="3480"/>
      <c r="Y27" s="3480"/>
      <c r="Z27" s="3480"/>
      <c r="AA27" s="3480"/>
      <c r="AB27" s="3480"/>
      <c r="AC27" s="3480"/>
      <c r="AD27" s="3480"/>
      <c r="AE27" s="3480"/>
      <c r="AF27" s="3480"/>
      <c r="AG27" s="3480"/>
      <c r="AH27" s="3480"/>
      <c r="AI27" s="3480"/>
      <c r="AJ27" s="3480"/>
      <c r="AK27" s="1109"/>
    </row>
    <row r="28" spans="1:44" ht="14.25" hidden="1" customHeight="1">
      <c r="Q28" s="283"/>
      <c r="R28" s="283"/>
      <c r="S28" s="1141"/>
      <c r="T28" s="272"/>
      <c r="U28" s="272"/>
      <c r="V28" s="233"/>
      <c r="W28" s="233"/>
      <c r="X28" s="233"/>
      <c r="Y28" s="233"/>
      <c r="Z28" s="233"/>
      <c r="AA28" s="233"/>
      <c r="AB28" s="233"/>
      <c r="AC28" s="233"/>
      <c r="AD28" s="233"/>
      <c r="AE28" s="233"/>
      <c r="AF28" s="233"/>
      <c r="AG28" s="233"/>
      <c r="AH28" s="233"/>
      <c r="AI28" s="233"/>
      <c r="AJ28" s="233"/>
      <c r="AK28" s="233"/>
      <c r="AL28" s="407"/>
    </row>
    <row r="29" spans="1:44" s="1944" customFormat="1" ht="25.5" hidden="1" customHeight="1">
      <c r="A29" s="1229"/>
      <c r="B29" s="1229"/>
      <c r="C29" s="1229"/>
      <c r="D29" s="1229"/>
      <c r="E29" s="1229"/>
      <c r="F29" s="1229"/>
      <c r="G29" s="1229"/>
      <c r="H29" s="1229"/>
      <c r="I29" s="1229"/>
      <c r="J29" s="1229"/>
      <c r="K29" s="1229"/>
      <c r="L29" s="1230"/>
      <c r="M29" s="1229"/>
      <c r="N29" s="1229"/>
      <c r="O29" s="1229"/>
      <c r="S29" s="3519" t="s">
        <v>38</v>
      </c>
      <c r="T29" s="3519"/>
      <c r="U29" s="1233"/>
      <c r="V29" s="3521" t="str">
        <f>IF(TITLE_NAME_OR_PR_CHANGE="",IF(TITLE_NAME_OR_PR="","",TITLE_NAME_OR_PR),TITLE_NAME_OR_PR_CHANGE)</f>
        <v/>
      </c>
      <c r="W29" s="3521"/>
      <c r="X29" s="3521"/>
      <c r="Y29" s="3521"/>
      <c r="Z29" s="3521"/>
      <c r="AA29" s="3521"/>
      <c r="AB29" s="3521"/>
      <c r="AC29" s="237"/>
      <c r="AD29" s="3521" t="str">
        <f>IF(TITLE_NAME_OR_PR_CHANGE="",IF(TITLE_NAME_OR_PR="","",TITLE_NAME_OR_PR),TITLE_NAME_OR_PR_CHANGE)</f>
        <v/>
      </c>
      <c r="AE29" s="3521"/>
      <c r="AF29" s="3521"/>
      <c r="AG29" s="3521"/>
      <c r="AH29" s="3521"/>
      <c r="AI29" s="3521"/>
      <c r="AJ29" s="3521"/>
      <c r="AK29" s="237"/>
      <c r="AL29" s="237"/>
      <c r="AM29" s="193"/>
      <c r="AN29" s="276"/>
      <c r="AO29" s="276"/>
      <c r="AP29" s="276"/>
      <c r="AQ29" s="276"/>
      <c r="AR29" s="276"/>
    </row>
    <row r="30" spans="1:44" s="1944" customFormat="1" ht="18.75" hidden="1" customHeight="1">
      <c r="A30" s="1229"/>
      <c r="B30" s="1229"/>
      <c r="C30" s="1229"/>
      <c r="D30" s="1229"/>
      <c r="E30" s="1229"/>
      <c r="F30" s="1229"/>
      <c r="G30" s="1229"/>
      <c r="H30" s="1229"/>
      <c r="I30" s="1229"/>
      <c r="J30" s="1229"/>
      <c r="K30" s="1229"/>
      <c r="L30" s="1230"/>
      <c r="M30" s="1229"/>
      <c r="N30" s="1229"/>
      <c r="O30" s="1229"/>
      <c r="S30" s="3519" t="s">
        <v>685</v>
      </c>
      <c r="T30" s="3519"/>
      <c r="U30" s="1233"/>
      <c r="V30" s="3520" t="str">
        <f>IF(TITLE_DATE_PR_CHANGE="",IF(TITLE_DATE_PR="","",TITLE_DATE_PR),TITLE_DATE_PR_CHANGE)</f>
        <v/>
      </c>
      <c r="W30" s="3520"/>
      <c r="X30" s="3520"/>
      <c r="Y30" s="3520"/>
      <c r="Z30" s="3520"/>
      <c r="AA30" s="3520"/>
      <c r="AB30" s="3520"/>
      <c r="AC30" s="237"/>
      <c r="AD30" s="3520" t="str">
        <f>IF(TITLE_DATE_PR_CHANGE="",IF(TITLE_DATE_PR="","",TITLE_DATE_PR),TITLE_DATE_PR_CHANGE)</f>
        <v/>
      </c>
      <c r="AE30" s="3520"/>
      <c r="AF30" s="3520"/>
      <c r="AG30" s="3520"/>
      <c r="AH30" s="3520"/>
      <c r="AI30" s="3520"/>
      <c r="AJ30" s="3520"/>
      <c r="AK30" s="237"/>
      <c r="AL30" s="237"/>
      <c r="AM30" s="193"/>
      <c r="AN30" s="276"/>
      <c r="AO30" s="276"/>
      <c r="AP30" s="276"/>
      <c r="AQ30" s="276"/>
      <c r="AR30" s="276"/>
    </row>
    <row r="31" spans="1:44" s="1944" customFormat="1" ht="18.75" hidden="1" customHeight="1">
      <c r="A31" s="1229"/>
      <c r="B31" s="1229"/>
      <c r="C31" s="1229"/>
      <c r="D31" s="1229"/>
      <c r="E31" s="1229"/>
      <c r="F31" s="1229"/>
      <c r="G31" s="1229"/>
      <c r="H31" s="1229"/>
      <c r="I31" s="1229"/>
      <c r="J31" s="1229"/>
      <c r="K31" s="1229"/>
      <c r="L31" s="1230"/>
      <c r="M31" s="1229"/>
      <c r="N31" s="1229"/>
      <c r="O31" s="1229"/>
      <c r="S31" s="3519" t="s">
        <v>686</v>
      </c>
      <c r="T31" s="3519"/>
      <c r="U31" s="1233"/>
      <c r="V31" s="3521" t="str">
        <f>IF(TITLE_NUMBER_PR_CHANGE="",IF(TITLE_NUMBER_PR="","",TITLE_NUMBER_PR),TITLE_NUMBER_PR_CHANGE)</f>
        <v/>
      </c>
      <c r="W31" s="3521"/>
      <c r="X31" s="3521"/>
      <c r="Y31" s="3521"/>
      <c r="Z31" s="3521"/>
      <c r="AA31" s="3521"/>
      <c r="AB31" s="3521"/>
      <c r="AC31" s="237"/>
      <c r="AD31" s="3521" t="str">
        <f>IF(TITLE_NUMBER_PR_CHANGE="",IF(TITLE_NUMBER_PR="","",TITLE_NUMBER_PR),TITLE_NUMBER_PR_CHANGE)</f>
        <v/>
      </c>
      <c r="AE31" s="3521"/>
      <c r="AF31" s="3521"/>
      <c r="AG31" s="3521"/>
      <c r="AH31" s="3521"/>
      <c r="AI31" s="3521"/>
      <c r="AJ31" s="3521"/>
      <c r="AK31" s="237"/>
      <c r="AL31" s="237"/>
      <c r="AM31" s="193"/>
      <c r="AN31" s="276"/>
      <c r="AO31" s="276"/>
      <c r="AP31" s="276"/>
      <c r="AQ31" s="276"/>
      <c r="AR31" s="276"/>
    </row>
    <row r="32" spans="1:44" s="1944" customFormat="1" ht="18.75" hidden="1" customHeight="1">
      <c r="A32" s="1229"/>
      <c r="B32" s="1229"/>
      <c r="C32" s="1229"/>
      <c r="D32" s="1229"/>
      <c r="E32" s="1229"/>
      <c r="F32" s="1229"/>
      <c r="G32" s="1229"/>
      <c r="H32" s="1229"/>
      <c r="I32" s="1229"/>
      <c r="J32" s="1229"/>
      <c r="K32" s="1229"/>
      <c r="L32" s="1230"/>
      <c r="M32" s="1229"/>
      <c r="N32" s="1229"/>
      <c r="O32" s="1229"/>
      <c r="S32" s="3519" t="s">
        <v>39</v>
      </c>
      <c r="T32" s="3519"/>
      <c r="U32" s="1233"/>
      <c r="V32" s="3521" t="str">
        <f>IF(TITLE_IST_PUB_CHANGE="",IF(TITLE_IST_PUB="","",TITLE_IST_PUB),TITLE_IST_PUB_CHANGE)</f>
        <v/>
      </c>
      <c r="W32" s="3521"/>
      <c r="X32" s="3521"/>
      <c r="Y32" s="3521"/>
      <c r="Z32" s="3521"/>
      <c r="AA32" s="3521"/>
      <c r="AB32" s="3521"/>
      <c r="AC32" s="237"/>
      <c r="AD32" s="3521" t="str">
        <f>IF(TITLE_IST_PUB_CHANGE="",IF(TITLE_IST_PUB="","",TITLE_IST_PUB),TITLE_IST_PUB_CHANGE)</f>
        <v/>
      </c>
      <c r="AE32" s="3521"/>
      <c r="AF32" s="3521"/>
      <c r="AG32" s="3521"/>
      <c r="AH32" s="3521"/>
      <c r="AI32" s="3521"/>
      <c r="AJ32" s="3521"/>
      <c r="AK32" s="237"/>
      <c r="AL32" s="237"/>
      <c r="AM32" s="193"/>
      <c r="AN32" s="276"/>
      <c r="AO32" s="276"/>
      <c r="AP32" s="276"/>
      <c r="AQ32" s="276"/>
      <c r="AR32" s="276"/>
    </row>
    <row r="33" spans="1:44" ht="14.25" hidden="1" customHeight="1">
      <c r="Q33" s="283"/>
      <c r="R33" s="283"/>
      <c r="S33" s="1141"/>
      <c r="T33" s="272"/>
      <c r="U33" s="272"/>
      <c r="V33" s="233"/>
      <c r="W33" s="233"/>
      <c r="X33" s="233"/>
      <c r="Y33" s="233"/>
      <c r="Z33" s="233"/>
      <c r="AA33" s="233"/>
      <c r="AB33" s="233"/>
      <c r="AC33" s="233"/>
      <c r="AD33" s="233"/>
      <c r="AE33" s="233"/>
      <c r="AF33" s="233"/>
      <c r="AG33" s="233"/>
      <c r="AH33" s="233"/>
      <c r="AI33" s="233"/>
      <c r="AJ33" s="233"/>
      <c r="AK33" s="233"/>
      <c r="AL33" s="407"/>
    </row>
    <row r="34" spans="1:44" s="1944" customFormat="1" ht="18.75" hidden="1" customHeight="1">
      <c r="A34" s="1229"/>
      <c r="B34" s="1229"/>
      <c r="C34" s="1229"/>
      <c r="D34" s="1229"/>
      <c r="E34" s="1229"/>
      <c r="F34" s="1229"/>
      <c r="G34" s="1229"/>
      <c r="H34" s="1229"/>
      <c r="I34" s="1229"/>
      <c r="J34" s="1229"/>
      <c r="K34" s="1229"/>
      <c r="L34" s="1230"/>
      <c r="M34" s="1229"/>
      <c r="N34" s="1229"/>
      <c r="O34" s="1229"/>
      <c r="S34" s="3519" t="s">
        <v>687</v>
      </c>
      <c r="T34" s="3519"/>
      <c r="U34" s="1233"/>
      <c r="V34" s="3520" t="str">
        <f>IF(TITLE_DATE_PR_CHANGE="",IF(TITLE_DATE_PR="","",TITLE_DATE_PR),TITLE_DATE_PR_CHANGE)</f>
        <v/>
      </c>
      <c r="W34" s="3520"/>
      <c r="X34" s="3520"/>
      <c r="Y34" s="3520"/>
      <c r="Z34" s="3520"/>
      <c r="AA34" s="3520"/>
      <c r="AB34" s="3520"/>
      <c r="AC34" s="237"/>
      <c r="AD34" s="3520" t="str">
        <f>IF(TITLE_DATE_PR_CHANGE="",IF(TITLE_DATE_PR="","",TITLE_DATE_PR),TITLE_DATE_PR_CHANGE)</f>
        <v/>
      </c>
      <c r="AE34" s="3520"/>
      <c r="AF34" s="3520"/>
      <c r="AG34" s="3520"/>
      <c r="AH34" s="3520"/>
      <c r="AI34" s="3520"/>
      <c r="AJ34" s="3520"/>
      <c r="AK34" s="237"/>
      <c r="AL34" s="237"/>
      <c r="AM34" s="193"/>
      <c r="AN34" s="276"/>
      <c r="AO34" s="276"/>
      <c r="AP34" s="276"/>
      <c r="AQ34" s="276"/>
      <c r="AR34" s="276"/>
    </row>
    <row r="35" spans="1:44" s="1944" customFormat="1" ht="18.75" hidden="1" customHeight="1">
      <c r="A35" s="1229"/>
      <c r="B35" s="1229"/>
      <c r="C35" s="1229"/>
      <c r="D35" s="1229"/>
      <c r="E35" s="1229"/>
      <c r="F35" s="1229"/>
      <c r="G35" s="1229"/>
      <c r="H35" s="1229"/>
      <c r="I35" s="1229"/>
      <c r="J35" s="1229"/>
      <c r="K35" s="1229"/>
      <c r="L35" s="1230"/>
      <c r="M35" s="1229"/>
      <c r="N35" s="1229"/>
      <c r="O35" s="1229"/>
      <c r="S35" s="3519" t="s">
        <v>688</v>
      </c>
      <c r="T35" s="3519"/>
      <c r="U35" s="1233"/>
      <c r="V35" s="3521" t="str">
        <f>IF(TITLE_NUMBER_PR_CHANGE="",IF(TITLE_NUMBER_PR="","",TITLE_NUMBER_PR),TITLE_NUMBER_PR_CHANGE)</f>
        <v/>
      </c>
      <c r="W35" s="3521"/>
      <c r="X35" s="3521"/>
      <c r="Y35" s="3521"/>
      <c r="Z35" s="3521"/>
      <c r="AA35" s="3521"/>
      <c r="AB35" s="3521"/>
      <c r="AC35" s="237"/>
      <c r="AD35" s="3521" t="str">
        <f>IF(TITLE_NUMBER_PR_CHANGE="",IF(TITLE_NUMBER_PR="","",TITLE_NUMBER_PR),TITLE_NUMBER_PR_CHANGE)</f>
        <v/>
      </c>
      <c r="AE35" s="3521"/>
      <c r="AF35" s="3521"/>
      <c r="AG35" s="3521"/>
      <c r="AH35" s="3521"/>
      <c r="AI35" s="3521"/>
      <c r="AJ35" s="3521"/>
      <c r="AK35" s="237"/>
      <c r="AL35" s="237"/>
      <c r="AM35" s="193"/>
      <c r="AN35" s="276"/>
      <c r="AO35" s="276"/>
      <c r="AP35" s="276"/>
      <c r="AQ35" s="276"/>
      <c r="AR35" s="276"/>
    </row>
    <row r="36" spans="1:44" s="1944" customFormat="1" ht="0" hidden="1" customHeight="1">
      <c r="A36" s="1229"/>
      <c r="B36" s="1229"/>
      <c r="C36" s="1229"/>
      <c r="D36" s="1229"/>
      <c r="E36" s="1229"/>
      <c r="F36" s="1229"/>
      <c r="G36" s="1229"/>
      <c r="H36" s="1229"/>
      <c r="I36" s="1229"/>
      <c r="J36" s="1229"/>
      <c r="K36" s="1229"/>
      <c r="L36" s="1230"/>
      <c r="M36" s="1229"/>
      <c r="N36" s="1229"/>
      <c r="O36" s="1229"/>
      <c r="S36" s="234"/>
      <c r="T36" s="234"/>
      <c r="U36" s="1202"/>
      <c r="V36" s="237"/>
      <c r="W36" s="237"/>
      <c r="X36" s="237"/>
      <c r="Y36" s="237"/>
      <c r="Z36" s="237"/>
      <c r="AA36" s="237"/>
      <c r="AB36" s="237"/>
      <c r="AC36" s="191" t="s">
        <v>689</v>
      </c>
      <c r="AD36" s="237"/>
      <c r="AE36" s="237"/>
      <c r="AF36" s="237"/>
      <c r="AG36" s="237"/>
      <c r="AH36" s="237"/>
      <c r="AI36" s="237"/>
      <c r="AJ36" s="237"/>
      <c r="AK36" s="191" t="s">
        <v>689</v>
      </c>
      <c r="AN36" s="276"/>
      <c r="AO36" s="276"/>
      <c r="AP36" s="276"/>
      <c r="AQ36" s="276"/>
      <c r="AR36" s="276"/>
    </row>
    <row r="37" spans="1:44" ht="14.25" customHeight="1">
      <c r="Q37" s="283"/>
      <c r="R37" s="283"/>
      <c r="S37" s="1141"/>
      <c r="T37" s="272"/>
      <c r="U37" s="1110"/>
      <c r="V37" s="3540"/>
      <c r="W37" s="3540"/>
      <c r="X37" s="3540"/>
      <c r="Y37" s="3540"/>
      <c r="Z37" s="3540"/>
      <c r="AA37" s="3540"/>
      <c r="AB37" s="3540"/>
      <c r="AC37" s="3540"/>
      <c r="AD37" s="3540"/>
      <c r="AE37" s="3540"/>
      <c r="AF37" s="3540"/>
      <c r="AG37" s="3540"/>
      <c r="AH37" s="3540"/>
      <c r="AI37" s="3540"/>
      <c r="AJ37" s="3540"/>
      <c r="AK37" s="3540"/>
    </row>
    <row r="38" spans="1:44" ht="14.25" customHeight="1">
      <c r="Q38" s="283"/>
      <c r="R38" s="283"/>
      <c r="S38" s="3401" t="s">
        <v>560</v>
      </c>
      <c r="T38" s="3401"/>
      <c r="U38" s="3401"/>
      <c r="V38" s="3401"/>
      <c r="W38" s="3401"/>
      <c r="X38" s="3401"/>
      <c r="Y38" s="3401"/>
      <c r="Z38" s="3401"/>
      <c r="AA38" s="3401"/>
      <c r="AB38" s="3401"/>
      <c r="AC38" s="3401"/>
      <c r="AD38" s="3401"/>
      <c r="AE38" s="3401"/>
      <c r="AF38" s="3401"/>
      <c r="AG38" s="3401"/>
      <c r="AH38" s="3401"/>
      <c r="AI38" s="3401"/>
      <c r="AJ38" s="3401"/>
      <c r="AK38" s="3401"/>
      <c r="AL38" s="3401"/>
      <c r="AM38" s="3401" t="s">
        <v>561</v>
      </c>
    </row>
    <row r="39" spans="1:44" ht="14.25" customHeight="1">
      <c r="Q39" s="283"/>
      <c r="R39" s="283"/>
      <c r="S39" s="3541" t="s">
        <v>85</v>
      </c>
      <c r="T39" s="3489" t="s">
        <v>690</v>
      </c>
      <c r="U39" s="212"/>
      <c r="V39" s="3542" t="s">
        <v>691</v>
      </c>
      <c r="W39" s="3543"/>
      <c r="X39" s="3558"/>
      <c r="Y39" s="3558"/>
      <c r="Z39" s="3543"/>
      <c r="AA39" s="3543"/>
      <c r="AB39" s="3544"/>
      <c r="AC39" s="3545" t="s">
        <v>692</v>
      </c>
      <c r="AD39" s="3542" t="s">
        <v>691</v>
      </c>
      <c r="AE39" s="3543"/>
      <c r="AF39" s="3558"/>
      <c r="AG39" s="3558"/>
      <c r="AH39" s="3543"/>
      <c r="AI39" s="3543"/>
      <c r="AJ39" s="3544"/>
      <c r="AK39" s="3545" t="s">
        <v>693</v>
      </c>
      <c r="AL39" s="3548" t="s">
        <v>694</v>
      </c>
      <c r="AM39" s="3401"/>
    </row>
    <row r="40" spans="1:44" ht="23.25" customHeight="1">
      <c r="Q40" s="283"/>
      <c r="R40" s="283"/>
      <c r="S40" s="3541"/>
      <c r="T40" s="3489"/>
      <c r="U40" s="901"/>
      <c r="V40" s="3556" t="s">
        <v>695</v>
      </c>
      <c r="W40" s="3459" t="s">
        <v>696</v>
      </c>
      <c r="X40" s="1237" t="s">
        <v>697</v>
      </c>
      <c r="Y40" s="1237"/>
      <c r="Z40" s="3388" t="s">
        <v>698</v>
      </c>
      <c r="AA40" s="3388"/>
      <c r="AB40" s="3382"/>
      <c r="AC40" s="3546"/>
      <c r="AD40" s="3556" t="s">
        <v>695</v>
      </c>
      <c r="AE40" s="3459" t="s">
        <v>696</v>
      </c>
      <c r="AF40" s="1237" t="s">
        <v>697</v>
      </c>
      <c r="AG40" s="1237"/>
      <c r="AH40" s="3388" t="s">
        <v>698</v>
      </c>
      <c r="AI40" s="3388"/>
      <c r="AJ40" s="3382"/>
      <c r="AK40" s="3546"/>
      <c r="AL40" s="3549"/>
      <c r="AM40" s="3401"/>
    </row>
    <row r="41" spans="1:44" s="1917" customFormat="1" ht="23.25" customHeight="1">
      <c r="A41" s="1231"/>
      <c r="B41" s="1231" t="s">
        <v>403</v>
      </c>
      <c r="C41" s="1231" t="s">
        <v>404</v>
      </c>
      <c r="D41" s="1231" t="s">
        <v>405</v>
      </c>
      <c r="E41" s="1225" t="s">
        <v>699</v>
      </c>
      <c r="F41" s="1225" t="s">
        <v>700</v>
      </c>
      <c r="G41" s="1225" t="s">
        <v>701</v>
      </c>
      <c r="H41" s="1225" t="s">
        <v>702</v>
      </c>
      <c r="I41" s="1225" t="s">
        <v>703</v>
      </c>
      <c r="J41" s="1225" t="s">
        <v>704</v>
      </c>
      <c r="K41" s="1225" t="s">
        <v>705</v>
      </c>
      <c r="L41" s="1225" t="s">
        <v>680</v>
      </c>
      <c r="M41" s="1223"/>
      <c r="N41" s="1223"/>
      <c r="O41" s="1223"/>
      <c r="P41" s="1190"/>
      <c r="Q41" s="283"/>
      <c r="R41" s="283"/>
      <c r="S41" s="3541"/>
      <c r="T41" s="3489"/>
      <c r="U41" s="213"/>
      <c r="V41" s="3557"/>
      <c r="W41" s="3464"/>
      <c r="X41" s="1234" t="s">
        <v>706</v>
      </c>
      <c r="Y41" s="1234" t="s">
        <v>707</v>
      </c>
      <c r="Z41" s="1196" t="s">
        <v>708</v>
      </c>
      <c r="AA41" s="3494" t="s">
        <v>709</v>
      </c>
      <c r="AB41" s="3508"/>
      <c r="AC41" s="3547"/>
      <c r="AD41" s="3557"/>
      <c r="AE41" s="3464"/>
      <c r="AF41" s="1234" t="s">
        <v>706</v>
      </c>
      <c r="AG41" s="1234" t="s">
        <v>707</v>
      </c>
      <c r="AH41" s="1196" t="s">
        <v>708</v>
      </c>
      <c r="AI41" s="3494" t="s">
        <v>709</v>
      </c>
      <c r="AJ41" s="3508"/>
      <c r="AK41" s="3547"/>
      <c r="AL41" s="3550"/>
      <c r="AM41" s="3401"/>
      <c r="AN41" s="409"/>
      <c r="AO41" s="398"/>
      <c r="AP41" s="398"/>
      <c r="AQ41" s="398"/>
      <c r="AR41" s="398"/>
    </row>
    <row r="42" spans="1:44" s="1838" customFormat="1" ht="11.25" hidden="1" customHeight="1">
      <c r="A42" s="1231"/>
      <c r="B42" s="1231"/>
      <c r="C42" s="1231"/>
      <c r="D42" s="1231"/>
      <c r="E42" s="1231"/>
      <c r="F42" s="1231"/>
      <c r="G42" s="1231"/>
      <c r="H42" s="1231"/>
      <c r="I42" s="1231"/>
      <c r="J42" s="1231"/>
      <c r="K42" s="1231"/>
      <c r="L42" s="1225"/>
      <c r="M42" s="1223"/>
      <c r="N42" s="1223"/>
      <c r="O42" s="1223"/>
      <c r="P42" s="1112"/>
      <c r="Q42" s="1113"/>
      <c r="R42" s="1120">
        <v>1</v>
      </c>
      <c r="S42" s="1143" t="s">
        <v>106</v>
      </c>
      <c r="T42" s="1121" t="s">
        <v>107</v>
      </c>
      <c r="U42" s="1111" t="str">
        <f ca="1">OFFSET(U42,0,-1)</f>
        <v>2</v>
      </c>
      <c r="V42" s="1197">
        <f ca="1">OFFSET(V42,0,-1)+1</f>
        <v>3</v>
      </c>
      <c r="W42" s="1197"/>
      <c r="X42" s="1203">
        <f ca="1">OFFSET(X42,0,-1)+1</f>
        <v>1</v>
      </c>
      <c r="Y42" s="1203">
        <f ca="1">OFFSET(Y42,0,-1)+1</f>
        <v>2</v>
      </c>
      <c r="Z42" s="1197">
        <f ca="1">OFFSET(Z42,0,-1)+1</f>
        <v>3</v>
      </c>
      <c r="AA42" s="3539">
        <f ca="1">OFFSET(AA42,0,-1)+1</f>
        <v>4</v>
      </c>
      <c r="AB42" s="3539"/>
      <c r="AC42" s="1197">
        <f ca="1">OFFSET(AC42,0,-2)+1</f>
        <v>5</v>
      </c>
      <c r="AD42" s="1197">
        <f ca="1">OFFSET(AD42,0,-1)+1</f>
        <v>6</v>
      </c>
      <c r="AE42" s="1197"/>
      <c r="AF42" s="1203">
        <f ca="1">OFFSET(AF42,0,-1)+1</f>
        <v>1</v>
      </c>
      <c r="AG42" s="1203">
        <f ca="1">OFFSET(AG42,0,-1)+1</f>
        <v>2</v>
      </c>
      <c r="AH42" s="1197">
        <f ca="1">OFFSET(AH42,0,-1)+1</f>
        <v>3</v>
      </c>
      <c r="AI42" s="3539">
        <f ca="1">OFFSET(AI42,0,-1)+1</f>
        <v>4</v>
      </c>
      <c r="AJ42" s="3539"/>
      <c r="AK42" s="1197">
        <f ca="1">OFFSET(AK42,0,-2)+1</f>
        <v>5</v>
      </c>
      <c r="AL42" s="1111">
        <f ca="1">OFFSET(AL42,0,-1)</f>
        <v>5</v>
      </c>
      <c r="AM42" s="1197">
        <f ca="1">OFFSET(AM42,0,-1)+1</f>
        <v>6</v>
      </c>
      <c r="AN42" s="409"/>
      <c r="AO42" s="409"/>
      <c r="AP42" s="409"/>
      <c r="AQ42" s="409"/>
      <c r="AR42" s="409"/>
    </row>
    <row r="43" spans="1:44" ht="21" customHeight="1">
      <c r="A43" s="1224" t="s">
        <v>454</v>
      </c>
      <c r="B43" s="1224"/>
      <c r="C43" s="1224"/>
      <c r="D43" s="1224"/>
      <c r="E43" s="3528">
        <v>1</v>
      </c>
      <c r="F43" s="1224"/>
      <c r="G43" s="1224"/>
      <c r="H43" s="1224"/>
      <c r="I43" s="1224"/>
      <c r="J43" s="1224"/>
      <c r="K43" s="1224"/>
      <c r="L43" s="1225"/>
      <c r="M43" s="1226"/>
      <c r="N43" s="1226"/>
      <c r="O43" s="1226"/>
      <c r="P43" s="270"/>
      <c r="Q43" s="269"/>
      <c r="R43" s="264"/>
      <c r="S43" s="1198">
        <f>INDEX(PT_DIFFERENTIATION_NUM_NTAR,MATCH(A43,PT_DIFFERENTIATION_NTAR_ID,0))</f>
        <v>0</v>
      </c>
      <c r="T43" s="209" t="s">
        <v>391</v>
      </c>
      <c r="U43" s="211"/>
      <c r="V43" s="3522"/>
      <c r="W43" s="3523"/>
      <c r="X43" s="3523"/>
      <c r="Y43" s="3523"/>
      <c r="Z43" s="3523"/>
      <c r="AA43" s="3523"/>
      <c r="AB43" s="3523"/>
      <c r="AC43" s="3524"/>
      <c r="AD43" s="3522" t="str">
        <f>INDEX(PT_DIFFERENTIATION_NTAR,MATCH(A43,PT_DIFFERENTIATION_NTAR_ID,0))</f>
        <v/>
      </c>
      <c r="AE43" s="3523"/>
      <c r="AF43" s="3523"/>
      <c r="AG43" s="3523"/>
      <c r="AH43" s="3523"/>
      <c r="AI43" s="3523"/>
      <c r="AJ43" s="3523"/>
      <c r="AK43" s="3523"/>
      <c r="AL43" s="3524"/>
      <c r="AM43" s="112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398"/>
      <c r="AP43" s="398" t="str">
        <f t="shared" ref="AP43:AP57" si="1">IF(T43="","",T43)</f>
        <v>Наименование тарифа</v>
      </c>
      <c r="AQ43" s="398"/>
      <c r="AR43" s="398"/>
    </row>
    <row r="44" spans="1:44" ht="21" customHeight="1">
      <c r="A44" s="1224" t="s">
        <v>454</v>
      </c>
      <c r="B44" s="1224" t="s">
        <v>455</v>
      </c>
      <c r="C44" s="1224"/>
      <c r="D44" s="1224"/>
      <c r="E44" s="3529"/>
      <c r="F44" s="3528">
        <v>1</v>
      </c>
      <c r="G44" s="1224"/>
      <c r="H44" s="1224"/>
      <c r="I44" s="1224"/>
      <c r="J44" s="1224"/>
      <c r="K44" s="1224"/>
      <c r="L44" s="1225"/>
      <c r="M44" s="1226"/>
      <c r="N44" s="1226"/>
      <c r="O44" s="1226"/>
      <c r="P44" s="1194"/>
      <c r="Q44" s="261"/>
      <c r="R44" s="262"/>
      <c r="S44" s="1198" t="str">
        <f>INDEX(PT_DIFFERENTIATION_NUM_TER,MATCH(B44,PT_DIFFERENTIATION_TER_ID,0))</f>
        <v>.</v>
      </c>
      <c r="T44" s="219" t="s">
        <v>659</v>
      </c>
      <c r="U44" s="211"/>
      <c r="V44" s="3522"/>
      <c r="W44" s="3523"/>
      <c r="X44" s="3523"/>
      <c r="Y44" s="3523"/>
      <c r="Z44" s="3523"/>
      <c r="AA44" s="3523"/>
      <c r="AB44" s="3523"/>
      <c r="AC44" s="3524"/>
      <c r="AD44" s="3522" t="str">
        <f>INDEX(PT_DIFFERENTIATION_TER,MATCH(B44,PT_DIFFERENTIATION_TER_ID,0))</f>
        <v/>
      </c>
      <c r="AE44" s="3523"/>
      <c r="AF44" s="3523"/>
      <c r="AG44" s="3523"/>
      <c r="AH44" s="3523"/>
      <c r="AI44" s="3523"/>
      <c r="AJ44" s="3523"/>
      <c r="AK44" s="3523"/>
      <c r="AL44" s="3524"/>
      <c r="AM44" s="1124" t="s">
        <v>660</v>
      </c>
      <c r="AO44" s="398"/>
      <c r="AP44" s="398" t="str">
        <f t="shared" si="1"/>
        <v>Территория действия тарифа</v>
      </c>
      <c r="AQ44" s="398"/>
      <c r="AR44" s="398"/>
    </row>
    <row r="45" spans="1:44" ht="23.25" customHeight="1">
      <c r="A45" s="1224" t="s">
        <v>454</v>
      </c>
      <c r="B45" s="1224" t="s">
        <v>455</v>
      </c>
      <c r="C45" s="1224" t="s">
        <v>456</v>
      </c>
      <c r="D45" s="1224"/>
      <c r="E45" s="3529"/>
      <c r="F45" s="3529"/>
      <c r="G45" s="3528">
        <v>1</v>
      </c>
      <c r="H45" s="1224"/>
      <c r="I45" s="1224"/>
      <c r="J45" s="1224"/>
      <c r="K45" s="1224"/>
      <c r="L45" s="1225"/>
      <c r="M45" s="1226"/>
      <c r="N45" s="1226"/>
      <c r="O45" s="1226"/>
      <c r="P45" s="263"/>
      <c r="Q45" s="261"/>
      <c r="R45" s="262"/>
      <c r="S45" s="1198" t="str">
        <f>INDEX(PT_DIFFERENTIATION_NUM_CS,MATCH(C45,PT_DIFFERENTIATION_CS_ID,0))</f>
        <v>..</v>
      </c>
      <c r="T45" s="220" t="s">
        <v>661</v>
      </c>
      <c r="U45" s="211"/>
      <c r="V45" s="3522"/>
      <c r="W45" s="3523"/>
      <c r="X45" s="3523"/>
      <c r="Y45" s="3523"/>
      <c r="Z45" s="3523"/>
      <c r="AA45" s="3523"/>
      <c r="AB45" s="3523"/>
      <c r="AC45" s="3524"/>
      <c r="AD45" s="3522" t="str">
        <f>INDEX(PT_DIFFERENTIATION_CS,MATCH(C45,PT_DIFFERENTIATION_CS_ID,0))</f>
        <v/>
      </c>
      <c r="AE45" s="3523"/>
      <c r="AF45" s="3523"/>
      <c r="AG45" s="3523"/>
      <c r="AH45" s="3523"/>
      <c r="AI45" s="3523"/>
      <c r="AJ45" s="3523"/>
      <c r="AK45" s="3523"/>
      <c r="AL45" s="3524"/>
      <c r="AM45" s="1124" t="s">
        <v>662</v>
      </c>
      <c r="AO45" s="398"/>
      <c r="AP45" s="398" t="str">
        <f t="shared" si="1"/>
        <v xml:space="preserve">Наименование системы теплоснабжения </v>
      </c>
      <c r="AQ45" s="398"/>
      <c r="AR45" s="398"/>
    </row>
    <row r="46" spans="1:44" ht="21" customHeight="1">
      <c r="A46" s="1224" t="s">
        <v>454</v>
      </c>
      <c r="B46" s="1224" t="s">
        <v>455</v>
      </c>
      <c r="C46" s="1224" t="s">
        <v>456</v>
      </c>
      <c r="D46" s="1224" t="s">
        <v>457</v>
      </c>
      <c r="E46" s="3529"/>
      <c r="F46" s="3529"/>
      <c r="G46" s="3529"/>
      <c r="H46" s="3528">
        <v>1</v>
      </c>
      <c r="I46" s="1224"/>
      <c r="J46" s="1224"/>
      <c r="K46" s="1224"/>
      <c r="L46" s="1225"/>
      <c r="M46" s="1226"/>
      <c r="N46" s="1226"/>
      <c r="O46" s="1226"/>
      <c r="P46" s="263"/>
      <c r="Q46" s="261"/>
      <c r="R46" s="262"/>
      <c r="S46" s="1198" t="str">
        <f>INDEX(PT_DIFFERENTIATION_NUM_IST_TE,MATCH(D46,PT_DIFFERENTIATION_IST_TE_ID,0))</f>
        <v>...</v>
      </c>
      <c r="T46" s="221" t="s">
        <v>663</v>
      </c>
      <c r="U46" s="211"/>
      <c r="V46" s="3522"/>
      <c r="W46" s="3523"/>
      <c r="X46" s="3523"/>
      <c r="Y46" s="3523"/>
      <c r="Z46" s="3523"/>
      <c r="AA46" s="3523"/>
      <c r="AB46" s="3523"/>
      <c r="AC46" s="3524"/>
      <c r="AD46" s="3522" t="str">
        <f>INDEX(PT_DIFFERENTIATION_IST_TE,MATCH(D46,PT_DIFFERENTIATION_IST_TE_ID,0))</f>
        <v/>
      </c>
      <c r="AE46" s="3523"/>
      <c r="AF46" s="3523"/>
      <c r="AG46" s="3523"/>
      <c r="AH46" s="3523"/>
      <c r="AI46" s="3523"/>
      <c r="AJ46" s="3523"/>
      <c r="AK46" s="3523"/>
      <c r="AL46" s="3524"/>
      <c r="AM46" s="1124" t="s">
        <v>664</v>
      </c>
      <c r="AO46" s="398"/>
      <c r="AP46" s="398" t="str">
        <f t="shared" si="1"/>
        <v xml:space="preserve">Источник тепловой энергии  </v>
      </c>
      <c r="AQ46" s="398"/>
      <c r="AR46" s="398"/>
    </row>
    <row r="47" spans="1:44" ht="47.25" customHeight="1">
      <c r="A47" s="1224" t="s">
        <v>454</v>
      </c>
      <c r="B47" s="1224" t="s">
        <v>455</v>
      </c>
      <c r="C47" s="1224" t="s">
        <v>456</v>
      </c>
      <c r="D47" s="1224" t="s">
        <v>457</v>
      </c>
      <c r="E47" s="3529"/>
      <c r="F47" s="3529"/>
      <c r="G47" s="3529"/>
      <c r="H47" s="3529"/>
      <c r="I47" s="3530" t="str">
        <f>S46&amp;".1"</f>
        <v>....1</v>
      </c>
      <c r="J47" s="1224"/>
      <c r="K47" s="1224"/>
      <c r="L47" s="1225" t="s">
        <v>665</v>
      </c>
      <c r="P47" s="3532">
        <v>1</v>
      </c>
      <c r="Q47" s="1193"/>
      <c r="R47" s="265"/>
      <c r="S47" s="1198" t="str">
        <f>$I47</f>
        <v>....1</v>
      </c>
      <c r="T47" s="197" t="s">
        <v>666</v>
      </c>
      <c r="U47" s="211"/>
      <c r="V47" s="3516"/>
      <c r="W47" s="3517"/>
      <c r="X47" s="3517"/>
      <c r="Y47" s="3517"/>
      <c r="Z47" s="3517"/>
      <c r="AA47" s="3517"/>
      <c r="AB47" s="3517"/>
      <c r="AC47" s="3518"/>
      <c r="AD47" s="3516"/>
      <c r="AE47" s="3517"/>
      <c r="AF47" s="3517"/>
      <c r="AG47" s="3517"/>
      <c r="AH47" s="3517"/>
      <c r="AI47" s="3517"/>
      <c r="AJ47" s="3517"/>
      <c r="AK47" s="3517"/>
      <c r="AL47" s="3518"/>
      <c r="AM47" s="1124" t="s">
        <v>667</v>
      </c>
      <c r="AO47" s="398"/>
      <c r="AP47" s="398" t="str">
        <f t="shared" si="1"/>
        <v>Схема подключения теплопотребляющей установки к коллектору источника тепловой энергии</v>
      </c>
      <c r="AQ47" s="398"/>
      <c r="AR47" s="398"/>
    </row>
    <row r="48" spans="1:44" ht="21" customHeight="1">
      <c r="A48" s="1224" t="s">
        <v>454</v>
      </c>
      <c r="B48" s="1224" t="s">
        <v>455</v>
      </c>
      <c r="C48" s="1224" t="s">
        <v>456</v>
      </c>
      <c r="D48" s="1224" t="s">
        <v>457</v>
      </c>
      <c r="E48" s="3529"/>
      <c r="F48" s="3529"/>
      <c r="G48" s="3529"/>
      <c r="H48" s="3529"/>
      <c r="I48" s="3531"/>
      <c r="J48" s="3530" t="str">
        <f>I47&amp;".1"</f>
        <v>....1.1</v>
      </c>
      <c r="K48" s="1224"/>
      <c r="L48" s="1225" t="s">
        <v>668</v>
      </c>
      <c r="P48" s="3532"/>
      <c r="Q48" s="3532">
        <v>1</v>
      </c>
      <c r="R48" s="266"/>
      <c r="S48" s="1198" t="str">
        <f>$J48</f>
        <v>....1.1</v>
      </c>
      <c r="T48" s="198" t="s">
        <v>669</v>
      </c>
      <c r="U48" s="211"/>
      <c r="V48" s="3516"/>
      <c r="W48" s="3517"/>
      <c r="X48" s="3517"/>
      <c r="Y48" s="3517"/>
      <c r="Z48" s="3517"/>
      <c r="AA48" s="3517"/>
      <c r="AB48" s="3517"/>
      <c r="AC48" s="3518"/>
      <c r="AD48" s="3516"/>
      <c r="AE48" s="3517"/>
      <c r="AF48" s="3517"/>
      <c r="AG48" s="3517"/>
      <c r="AH48" s="3517"/>
      <c r="AI48" s="3517"/>
      <c r="AJ48" s="3517"/>
      <c r="AK48" s="3517"/>
      <c r="AL48" s="3518"/>
      <c r="AM48" s="1124" t="s">
        <v>670</v>
      </c>
      <c r="AO48" s="398"/>
      <c r="AP48" s="398" t="str">
        <f t="shared" si="1"/>
        <v>Группа потребителей</v>
      </c>
      <c r="AQ48" s="398"/>
      <c r="AR48" s="398"/>
    </row>
    <row r="49" spans="1:44" ht="21" customHeight="1">
      <c r="A49" s="1224" t="s">
        <v>454</v>
      </c>
      <c r="B49" s="1224" t="s">
        <v>455</v>
      </c>
      <c r="C49" s="1224" t="s">
        <v>456</v>
      </c>
      <c r="D49" s="1224" t="s">
        <v>457</v>
      </c>
      <c r="E49" s="3529"/>
      <c r="F49" s="3529"/>
      <c r="G49" s="3529"/>
      <c r="H49" s="3529"/>
      <c r="I49" s="3531"/>
      <c r="J49" s="3531"/>
      <c r="K49" s="3530" t="str">
        <f>J48&amp;".1"</f>
        <v>....1.1.1</v>
      </c>
      <c r="L49" s="1225" t="s">
        <v>671</v>
      </c>
      <c r="P49" s="3532"/>
      <c r="Q49" s="3532"/>
      <c r="R49" s="266">
        <v>1</v>
      </c>
      <c r="S49" s="1198" t="str">
        <f>$K49</f>
        <v>....1.1.1</v>
      </c>
      <c r="T49" s="1209"/>
      <c r="U49" s="211"/>
      <c r="V49" s="236"/>
      <c r="W49" s="639"/>
      <c r="X49" s="236"/>
      <c r="Y49" s="291"/>
      <c r="Z49" s="3533"/>
      <c r="AA49" s="3412" t="s">
        <v>64</v>
      </c>
      <c r="AB49" s="3533"/>
      <c r="AC49" s="3412" t="s">
        <v>64</v>
      </c>
      <c r="AD49" s="236"/>
      <c r="AE49" s="639"/>
      <c r="AF49" s="236"/>
      <c r="AG49" s="291"/>
      <c r="AH49" s="3533"/>
      <c r="AI49" s="3412" t="s">
        <v>64</v>
      </c>
      <c r="AJ49" s="3535"/>
      <c r="AK49" s="3412" t="s">
        <v>64</v>
      </c>
      <c r="AL49" s="1210"/>
      <c r="AM49" s="3551" t="s">
        <v>672</v>
      </c>
      <c r="AN49" s="409" t="e">
        <f ca="1">STRCHECKDATE(V50:AL50)</f>
        <v>#NAME?</v>
      </c>
      <c r="AO49" s="398"/>
      <c r="AP49" s="398" t="str">
        <f t="shared" si="1"/>
        <v/>
      </c>
      <c r="AQ49" s="398"/>
      <c r="AR49" s="398"/>
    </row>
    <row r="50" spans="1:44" ht="0.75" customHeight="1">
      <c r="A50" s="1224" t="s">
        <v>454</v>
      </c>
      <c r="B50" s="1224" t="s">
        <v>455</v>
      </c>
      <c r="C50" s="1224" t="s">
        <v>456</v>
      </c>
      <c r="D50" s="1224" t="s">
        <v>457</v>
      </c>
      <c r="E50" s="3529"/>
      <c r="F50" s="3529"/>
      <c r="G50" s="3529"/>
      <c r="H50" s="3529"/>
      <c r="I50" s="3531"/>
      <c r="J50" s="3531"/>
      <c r="K50" s="3530"/>
      <c r="L50" s="1225"/>
      <c r="P50" s="3532"/>
      <c r="Q50" s="3532"/>
      <c r="R50" s="266"/>
      <c r="S50" s="1204"/>
      <c r="T50" s="211"/>
      <c r="U50" s="211"/>
      <c r="V50" s="236"/>
      <c r="W50" s="236"/>
      <c r="X50" s="236"/>
      <c r="Y50" s="239" t="str">
        <f>Z49&amp;"-"&amp;AB49</f>
        <v>-</v>
      </c>
      <c r="Z50" s="3534"/>
      <c r="AA50" s="3412"/>
      <c r="AB50" s="3534"/>
      <c r="AC50" s="3412"/>
      <c r="AD50" s="236"/>
      <c r="AE50" s="236"/>
      <c r="AF50" s="236"/>
      <c r="AG50" s="239" t="str">
        <f>AH49&amp;"-"&amp;AJ49</f>
        <v>-</v>
      </c>
      <c r="AH50" s="3534"/>
      <c r="AI50" s="3412"/>
      <c r="AJ50" s="3536"/>
      <c r="AK50" s="3412"/>
      <c r="AL50" s="1211"/>
      <c r="AM50" s="3552"/>
      <c r="AO50" s="398"/>
      <c r="AP50" s="398" t="str">
        <f t="shared" si="1"/>
        <v/>
      </c>
      <c r="AQ50" s="398"/>
      <c r="AR50" s="398"/>
    </row>
    <row r="51" spans="1:44" ht="11.25" customHeight="1">
      <c r="A51" s="1224" t="s">
        <v>454</v>
      </c>
      <c r="B51" s="1224" t="s">
        <v>455</v>
      </c>
      <c r="C51" s="1224" t="s">
        <v>456</v>
      </c>
      <c r="D51" s="1224" t="s">
        <v>457</v>
      </c>
      <c r="E51" s="3529"/>
      <c r="F51" s="3529"/>
      <c r="G51" s="3529"/>
      <c r="H51" s="3529"/>
      <c r="I51" s="3531"/>
      <c r="J51" s="3530"/>
      <c r="K51" s="1224"/>
      <c r="L51" s="1225"/>
      <c r="P51" s="3532"/>
      <c r="Q51" s="3532"/>
      <c r="R51" s="265"/>
      <c r="S51" s="1144"/>
      <c r="T51" s="200" t="s">
        <v>673</v>
      </c>
      <c r="U51" s="275"/>
      <c r="V51" s="275"/>
      <c r="W51" s="275"/>
      <c r="X51" s="275"/>
      <c r="Y51" s="275"/>
      <c r="Z51" s="275"/>
      <c r="AA51" s="275"/>
      <c r="AB51" s="275"/>
      <c r="AC51" s="275"/>
      <c r="AD51" s="275"/>
      <c r="AE51" s="275"/>
      <c r="AF51" s="275"/>
      <c r="AG51" s="275"/>
      <c r="AH51" s="275"/>
      <c r="AI51" s="275"/>
      <c r="AJ51" s="275"/>
      <c r="AK51" s="275"/>
      <c r="AL51" s="235"/>
      <c r="AM51" s="3553"/>
      <c r="AO51" s="398"/>
      <c r="AP51" s="398" t="str">
        <f t="shared" si="1"/>
        <v>Добавить вид теплоносителя (параметры теплоносителя)</v>
      </c>
      <c r="AQ51" s="398"/>
      <c r="AR51" s="398"/>
    </row>
    <row r="52" spans="1:44" ht="11.25" customHeight="1">
      <c r="A52" s="1224" t="s">
        <v>454</v>
      </c>
      <c r="B52" s="1224" t="s">
        <v>455</v>
      </c>
      <c r="C52" s="1224" t="s">
        <v>456</v>
      </c>
      <c r="D52" s="1224" t="s">
        <v>457</v>
      </c>
      <c r="E52" s="3529"/>
      <c r="F52" s="3529"/>
      <c r="G52" s="3529"/>
      <c r="H52" s="3529"/>
      <c r="I52" s="3530"/>
      <c r="J52" s="1224"/>
      <c r="K52" s="1224"/>
      <c r="L52" s="1225"/>
      <c r="P52" s="3532"/>
      <c r="Q52" s="1193"/>
      <c r="R52" s="265"/>
      <c r="S52" s="1144"/>
      <c r="T52" s="199" t="s">
        <v>674</v>
      </c>
      <c r="U52" s="275"/>
      <c r="V52" s="275"/>
      <c r="W52" s="275"/>
      <c r="X52" s="275"/>
      <c r="Y52" s="275"/>
      <c r="Z52" s="275"/>
      <c r="AA52" s="275"/>
      <c r="AB52" s="275"/>
      <c r="AC52" s="274"/>
      <c r="AD52" s="275"/>
      <c r="AE52" s="275"/>
      <c r="AF52" s="275"/>
      <c r="AG52" s="275"/>
      <c r="AH52" s="275"/>
      <c r="AI52" s="275"/>
      <c r="AJ52" s="275"/>
      <c r="AK52" s="274"/>
      <c r="AL52" s="275"/>
      <c r="AM52" s="214"/>
      <c r="AO52" s="398"/>
      <c r="AP52" s="398" t="str">
        <f t="shared" si="1"/>
        <v>Добавить группу потребителей</v>
      </c>
      <c r="AQ52" s="398"/>
      <c r="AR52" s="398"/>
    </row>
    <row r="53" spans="1:44" ht="14.25" customHeight="1">
      <c r="A53" s="1224" t="s">
        <v>454</v>
      </c>
      <c r="B53" s="1224" t="s">
        <v>455</v>
      </c>
      <c r="C53" s="1224" t="s">
        <v>456</v>
      </c>
      <c r="D53" s="1224" t="s">
        <v>457</v>
      </c>
      <c r="E53" s="3529"/>
      <c r="F53" s="3529"/>
      <c r="G53" s="3529"/>
      <c r="H53" s="3528"/>
      <c r="I53" s="1224"/>
      <c r="J53" s="1224"/>
      <c r="K53" s="1224"/>
      <c r="L53" s="1225"/>
      <c r="M53" s="1226"/>
      <c r="N53" s="1226"/>
      <c r="O53" s="434"/>
      <c r="P53" s="269"/>
      <c r="Q53" s="282"/>
      <c r="R53" s="264"/>
      <c r="S53" s="1144"/>
      <c r="T53" s="273" t="s">
        <v>675</v>
      </c>
      <c r="U53" s="275"/>
      <c r="V53" s="275"/>
      <c r="W53" s="275"/>
      <c r="X53" s="275"/>
      <c r="Y53" s="275"/>
      <c r="Z53" s="275"/>
      <c r="AA53" s="275"/>
      <c r="AB53" s="275"/>
      <c r="AC53" s="274"/>
      <c r="AD53" s="275"/>
      <c r="AE53" s="275"/>
      <c r="AF53" s="275"/>
      <c r="AG53" s="275"/>
      <c r="AH53" s="275"/>
      <c r="AI53" s="275"/>
      <c r="AJ53" s="275"/>
      <c r="AK53" s="274"/>
      <c r="AL53" s="275"/>
      <c r="AM53" s="214"/>
      <c r="AO53" s="398"/>
      <c r="AP53" s="398" t="str">
        <f t="shared" si="1"/>
        <v>Добавить схему подключения</v>
      </c>
      <c r="AQ53" s="398"/>
      <c r="AR53" s="398"/>
    </row>
    <row r="54" spans="1:44" s="1866" customFormat="1" ht="0.75" customHeight="1">
      <c r="A54" s="1205" t="s">
        <v>454</v>
      </c>
      <c r="B54" s="1205" t="s">
        <v>455</v>
      </c>
      <c r="C54" s="1205" t="s">
        <v>456</v>
      </c>
      <c r="D54" s="1177"/>
      <c r="E54" s="3529"/>
      <c r="F54" s="3529"/>
      <c r="G54" s="3528"/>
      <c r="H54" s="1177"/>
      <c r="I54" s="1177"/>
      <c r="J54" s="1177"/>
      <c r="K54" s="1177"/>
      <c r="L54" s="1201"/>
      <c r="M54" s="1178"/>
      <c r="N54" s="1178"/>
      <c r="P54" s="1179"/>
      <c r="Q54" s="1180"/>
      <c r="R54" s="1179"/>
      <c r="S54" s="1185"/>
      <c r="T54" s="1188" t="s">
        <v>676</v>
      </c>
      <c r="U54" s="1187"/>
      <c r="V54" s="1187"/>
      <c r="W54" s="1187"/>
      <c r="X54" s="1187"/>
      <c r="Y54" s="1187"/>
      <c r="Z54" s="1187"/>
      <c r="AA54" s="1187"/>
      <c r="AB54" s="1187"/>
      <c r="AC54" s="1187"/>
      <c r="AD54" s="1187"/>
      <c r="AE54" s="1187"/>
      <c r="AF54" s="1187"/>
      <c r="AG54" s="1187"/>
      <c r="AH54" s="1187"/>
      <c r="AI54" s="1187"/>
      <c r="AJ54" s="1187"/>
      <c r="AK54" s="1187"/>
      <c r="AL54" s="1187"/>
      <c r="AM54" s="1187"/>
      <c r="AO54" s="670"/>
      <c r="AP54" s="670" t="str">
        <f t="shared" si="1"/>
        <v>Добавить источник для дифференциации</v>
      </c>
      <c r="AQ54" s="670"/>
      <c r="AR54" s="670"/>
    </row>
    <row r="55" spans="1:44" s="1866" customFormat="1" ht="0.75" customHeight="1">
      <c r="A55" s="1205" t="s">
        <v>454</v>
      </c>
      <c r="B55" s="1205" t="s">
        <v>455</v>
      </c>
      <c r="C55" s="1177"/>
      <c r="D55" s="1177"/>
      <c r="E55" s="3529"/>
      <c r="F55" s="3528"/>
      <c r="G55" s="1177"/>
      <c r="H55" s="1177"/>
      <c r="I55" s="1177"/>
      <c r="J55" s="1177"/>
      <c r="K55" s="1177"/>
      <c r="L55" s="1201"/>
      <c r="M55" s="1184"/>
      <c r="N55" s="1184"/>
      <c r="P55" s="1179"/>
      <c r="Q55" s="1180"/>
      <c r="R55" s="1179"/>
      <c r="S55" s="1185"/>
      <c r="T55" s="1188" t="s">
        <v>677</v>
      </c>
      <c r="U55" s="1187"/>
      <c r="V55" s="1187"/>
      <c r="W55" s="1187"/>
      <c r="X55" s="1187"/>
      <c r="Y55" s="1187"/>
      <c r="Z55" s="1187"/>
      <c r="AA55" s="1187"/>
      <c r="AB55" s="1187"/>
      <c r="AC55" s="1187"/>
      <c r="AD55" s="1187"/>
      <c r="AE55" s="1187"/>
      <c r="AF55" s="1187"/>
      <c r="AG55" s="1187"/>
      <c r="AH55" s="1187"/>
      <c r="AI55" s="1187"/>
      <c r="AJ55" s="1187"/>
      <c r="AK55" s="1187"/>
      <c r="AL55" s="1187"/>
      <c r="AM55" s="1187"/>
      <c r="AO55" s="670"/>
      <c r="AP55" s="670" t="str">
        <f t="shared" si="1"/>
        <v>Добавить централизованную систему для дифференциации</v>
      </c>
      <c r="AQ55" s="670"/>
      <c r="AR55" s="670"/>
    </row>
    <row r="56" spans="1:44" s="1866" customFormat="1" ht="0.75" customHeight="1">
      <c r="A56" s="1205" t="s">
        <v>454</v>
      </c>
      <c r="B56" s="1205"/>
      <c r="C56" s="1205"/>
      <c r="D56" s="1205"/>
      <c r="E56" s="3528"/>
      <c r="F56" s="1205"/>
      <c r="G56" s="1205"/>
      <c r="H56" s="1205"/>
      <c r="I56" s="1205"/>
      <c r="J56" s="1205"/>
      <c r="K56" s="1205"/>
      <c r="L56" s="1208"/>
      <c r="M56" s="1184"/>
      <c r="N56" s="1184"/>
      <c r="O56" s="416"/>
      <c r="P56" s="287"/>
      <c r="Q56" s="1206"/>
      <c r="R56" s="287"/>
      <c r="S56" s="1185"/>
      <c r="T56" s="1188" t="s">
        <v>678</v>
      </c>
      <c r="U56" s="1187"/>
      <c r="V56" s="1187"/>
      <c r="W56" s="1187"/>
      <c r="X56" s="1187"/>
      <c r="Y56" s="1187"/>
      <c r="Z56" s="1187"/>
      <c r="AA56" s="1187"/>
      <c r="AB56" s="1187"/>
      <c r="AC56" s="1187"/>
      <c r="AD56" s="1187"/>
      <c r="AE56" s="1187"/>
      <c r="AF56" s="1187"/>
      <c r="AG56" s="1187"/>
      <c r="AH56" s="1187"/>
      <c r="AI56" s="1187"/>
      <c r="AJ56" s="1187"/>
      <c r="AK56" s="1187"/>
      <c r="AL56" s="1187"/>
      <c r="AM56" s="1187"/>
      <c r="AO56" s="398"/>
      <c r="AP56" s="398" t="str">
        <f t="shared" si="1"/>
        <v>Добавить территорию для дифференциации</v>
      </c>
      <c r="AQ56" s="398"/>
      <c r="AR56" s="398"/>
    </row>
    <row r="57" spans="1:44" s="1866" customFormat="1" ht="0.75" customHeight="1">
      <c r="A57" s="1177"/>
      <c r="B57" s="1177"/>
      <c r="C57" s="1177"/>
      <c r="D57" s="1177"/>
      <c r="E57" s="1205"/>
      <c r="F57" s="1177"/>
      <c r="G57" s="1177"/>
      <c r="H57" s="1177"/>
      <c r="I57" s="1177"/>
      <c r="J57" s="1177"/>
      <c r="K57" s="1177"/>
      <c r="L57" s="1201"/>
      <c r="M57" s="1184"/>
      <c r="N57" s="1184"/>
      <c r="P57" s="1179"/>
      <c r="Q57" s="1180"/>
      <c r="R57" s="1179"/>
      <c r="S57" s="1185"/>
      <c r="T57" s="1188" t="s">
        <v>710</v>
      </c>
      <c r="U57" s="1187"/>
      <c r="V57" s="1187"/>
      <c r="W57" s="1187"/>
      <c r="X57" s="1187"/>
      <c r="Y57" s="1187"/>
      <c r="Z57" s="1187"/>
      <c r="AA57" s="1187"/>
      <c r="AB57" s="1187"/>
      <c r="AC57" s="1187"/>
      <c r="AD57" s="1187"/>
      <c r="AE57" s="1187"/>
      <c r="AF57" s="1187"/>
      <c r="AG57" s="1187"/>
      <c r="AH57" s="1187"/>
      <c r="AI57" s="1187"/>
      <c r="AJ57" s="1187"/>
      <c r="AK57" s="1187"/>
      <c r="AL57" s="1187"/>
      <c r="AM57" s="1187"/>
      <c r="AO57" s="670"/>
      <c r="AP57" s="670" t="str">
        <f t="shared" si="1"/>
        <v>Добавить наименование тарифа</v>
      </c>
      <c r="AQ57" s="670"/>
      <c r="AR57" s="670"/>
    </row>
    <row r="58" spans="1:44" ht="11.25" customHeight="1">
      <c r="M58" s="1023"/>
      <c r="N58" s="1023"/>
      <c r="O58" s="434"/>
      <c r="P58" s="1018"/>
      <c r="Q58" s="1018"/>
      <c r="R58" s="1018"/>
      <c r="S58" s="1018"/>
      <c r="AN58" s="1018"/>
      <c r="AO58" s="1018"/>
      <c r="AP58" s="1018"/>
      <c r="AQ58" s="1018"/>
      <c r="AR58" s="1018"/>
    </row>
    <row r="59" spans="1:44" ht="27" customHeight="1">
      <c r="O59" s="434"/>
      <c r="S59" s="1119"/>
      <c r="T59" s="3527"/>
      <c r="U59" s="3527"/>
      <c r="V59" s="3527"/>
      <c r="W59" s="3527"/>
      <c r="X59" s="3527"/>
      <c r="Y59" s="3527"/>
      <c r="Z59" s="3527"/>
      <c r="AA59" s="3527"/>
      <c r="AB59" s="3527"/>
      <c r="AC59" s="3527"/>
      <c r="AD59" s="3527"/>
      <c r="AE59" s="3527"/>
      <c r="AF59" s="3527"/>
      <c r="AG59" s="3527"/>
      <c r="AH59" s="3527"/>
      <c r="AI59" s="3527"/>
      <c r="AJ59" s="3527"/>
      <c r="AK59" s="3527"/>
      <c r="AL59" s="3527"/>
      <c r="AM59" s="3527"/>
    </row>
    <row r="60" spans="1:44" ht="75" customHeight="1">
      <c r="O60" s="434"/>
      <c r="T60" s="3527"/>
      <c r="U60" s="3527"/>
      <c r="V60" s="3527"/>
      <c r="W60" s="3527"/>
      <c r="X60" s="3527"/>
      <c r="Y60" s="3527"/>
      <c r="Z60" s="3527"/>
      <c r="AA60" s="3527"/>
      <c r="AB60" s="3527"/>
      <c r="AC60" s="3527"/>
      <c r="AD60" s="3527"/>
      <c r="AE60" s="3527"/>
      <c r="AF60" s="3527"/>
      <c r="AG60" s="3527"/>
      <c r="AH60" s="3527"/>
      <c r="AI60" s="3527"/>
      <c r="AJ60" s="3527"/>
      <c r="AK60" s="3527"/>
      <c r="AL60" s="3527"/>
      <c r="AM60" s="3527"/>
    </row>
    <row r="61" spans="1:44" ht="14.25" customHeight="1">
      <c r="O61" s="434"/>
    </row>
    <row r="62" spans="1:44" ht="18" customHeight="1">
      <c r="O62" s="434"/>
      <c r="S62" s="1119"/>
      <c r="T62" s="3527"/>
      <c r="U62" s="3527"/>
      <c r="V62" s="3527"/>
      <c r="W62" s="3527"/>
      <c r="X62" s="3527"/>
      <c r="Y62" s="3527"/>
      <c r="Z62" s="3527"/>
      <c r="AA62" s="3527"/>
      <c r="AB62" s="3527"/>
      <c r="AC62" s="3527"/>
      <c r="AD62" s="3527"/>
      <c r="AE62" s="3527"/>
      <c r="AF62" s="3527"/>
      <c r="AG62" s="3527"/>
      <c r="AH62" s="3527"/>
      <c r="AI62" s="3527"/>
      <c r="AJ62" s="3527"/>
      <c r="AK62" s="3527"/>
      <c r="AL62" s="3527"/>
      <c r="AM62" s="3527"/>
    </row>
    <row r="63" spans="1:44" ht="18" customHeight="1">
      <c r="O63" s="434"/>
      <c r="T63" s="3527"/>
      <c r="U63" s="3527"/>
      <c r="V63" s="3527"/>
      <c r="W63" s="3527"/>
      <c r="X63" s="3527"/>
      <c r="Y63" s="3527"/>
      <c r="Z63" s="3527"/>
      <c r="AA63" s="3527"/>
      <c r="AB63" s="3527"/>
      <c r="AC63" s="3527"/>
      <c r="AD63" s="3527"/>
      <c r="AE63" s="3527"/>
      <c r="AF63" s="3527"/>
      <c r="AG63" s="3527"/>
      <c r="AH63" s="3527"/>
      <c r="AI63" s="3527"/>
      <c r="AJ63" s="3527"/>
      <c r="AK63" s="3527"/>
      <c r="AL63" s="3527"/>
      <c r="AM63" s="3527"/>
    </row>
    <row r="64" spans="1:44" ht="38.25" customHeight="1">
      <c r="O64" s="434"/>
      <c r="S64" s="1119"/>
      <c r="T64" s="3527"/>
      <c r="U64" s="3527"/>
      <c r="V64" s="3527"/>
      <c r="W64" s="3527"/>
      <c r="X64" s="3527"/>
      <c r="Y64" s="3527"/>
      <c r="Z64" s="3527"/>
      <c r="AA64" s="3527"/>
      <c r="AB64" s="3527"/>
      <c r="AC64" s="3527"/>
      <c r="AD64" s="3527"/>
      <c r="AE64" s="3527"/>
      <c r="AF64" s="3527"/>
      <c r="AG64" s="3527"/>
      <c r="AH64" s="3527"/>
      <c r="AI64" s="3527"/>
      <c r="AJ64" s="3527"/>
      <c r="AK64" s="3527"/>
      <c r="AL64" s="3527"/>
      <c r="AM64" s="3527"/>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A07D2-4084-DE5B-B525-1998269E5509}">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03" hidden="1"/>
    <col min="2" max="2" width="11" style="1903" hidden="1" customWidth="1"/>
    <col min="3" max="3" width="10.5703125" style="1903" hidden="1"/>
    <col min="4" max="4" width="11.85546875" style="1903" hidden="1" customWidth="1"/>
    <col min="5" max="5" width="10" style="1903" hidden="1" customWidth="1"/>
    <col min="6" max="6" width="8.7109375" style="1903" hidden="1" customWidth="1"/>
    <col min="7" max="7" width="7.5703125" style="1903" hidden="1" customWidth="1"/>
    <col min="8" max="8" width="11.42578125" style="1903" hidden="1" customWidth="1"/>
    <col min="9" max="9" width="12" style="1903" hidden="1" customWidth="1"/>
    <col min="10" max="10" width="9.85546875" style="1903" hidden="1" customWidth="1"/>
    <col min="11" max="11" width="11.42578125" style="1903" hidden="1" customWidth="1"/>
    <col min="12" max="12" width="19.140625" style="1953" hidden="1" customWidth="1"/>
    <col min="13" max="14" width="12.28515625" style="1839" hidden="1" customWidth="1"/>
    <col min="15" max="15" width="23.42578125" style="1839" hidden="1" customWidth="1"/>
    <col min="16" max="16" width="3.7109375" style="1957" hidden="1" customWidth="1"/>
    <col min="17" max="18" width="3.7109375" style="1906" customWidth="1"/>
    <col min="19" max="19" width="12.7109375" style="1951" customWidth="1"/>
    <col min="20" max="20" width="32" style="1910" customWidth="1"/>
    <col min="21" max="21" width="0.140625" style="1910" customWidth="1"/>
    <col min="22" max="22" width="24.7109375" style="1910" hidden="1" customWidth="1"/>
    <col min="23" max="23" width="0.140625" style="1910" hidden="1" customWidth="1"/>
    <col min="24" max="25" width="24.7109375" style="1910" hidden="1" customWidth="1"/>
    <col min="26" max="26" width="11.7109375" style="1910" hidden="1" customWidth="1"/>
    <col min="27" max="27" width="3.7109375" style="1910" hidden="1" customWidth="1"/>
    <col min="28" max="28" width="11.7109375" style="1910" hidden="1" customWidth="1"/>
    <col min="29" max="29" width="8.5703125" style="1910" hidden="1" customWidth="1"/>
    <col min="30" max="30" width="24.7109375" style="1910" customWidth="1"/>
    <col min="31" max="31" width="0.140625" style="1910" customWidth="1"/>
    <col min="32" max="33" width="24.7109375" style="1910" customWidth="1"/>
    <col min="34" max="34" width="11.7109375" style="1910" customWidth="1"/>
    <col min="35" max="35" width="3.7109375" style="1910" customWidth="1"/>
    <col min="36" max="36" width="11.7109375" style="1910" customWidth="1"/>
    <col min="37" max="37" width="8.5703125" style="1910" hidden="1" customWidth="1"/>
    <col min="38" max="38" width="4.7109375" style="1910" customWidth="1"/>
    <col min="39" max="39" width="115.7109375" style="1910" customWidth="1"/>
    <col min="40" max="41" width="10.5703125" style="1866"/>
    <col min="42" max="42" width="11.140625" style="1866" customWidth="1"/>
    <col min="43" max="44" width="10.5703125" style="1866"/>
  </cols>
  <sheetData>
    <row r="1" spans="1:44" ht="14.25" hidden="1" customHeight="1">
      <c r="Y1" s="238"/>
      <c r="Z1" s="238"/>
      <c r="AG1" s="238"/>
      <c r="AH1" s="238"/>
    </row>
    <row r="2" spans="1:44" ht="21" hidden="1" customHeight="1">
      <c r="A2" s="1224"/>
      <c r="B2" s="1224"/>
      <c r="C2" s="1224"/>
      <c r="D2" s="1224"/>
      <c r="E2" s="3528">
        <v>1</v>
      </c>
      <c r="F2" s="1224"/>
      <c r="G2" s="1224"/>
      <c r="H2" s="1224"/>
      <c r="I2" s="1224"/>
      <c r="J2" s="1224"/>
      <c r="K2" s="1224"/>
      <c r="L2" s="1225"/>
      <c r="M2" s="1226"/>
      <c r="N2" s="1226"/>
      <c r="O2" s="1226"/>
      <c r="P2" s="270"/>
      <c r="Q2" s="269"/>
      <c r="R2" s="264"/>
      <c r="S2" s="1198" t="e">
        <f>INDEX(PT_DIFFERENTIATION_NUM_NTAR,MATCH(A2,PT_DIFFERENTIATION_NTAR_ID,0))</f>
        <v>#N/A</v>
      </c>
      <c r="T2" s="209" t="s">
        <v>391</v>
      </c>
      <c r="U2" s="211"/>
      <c r="V2" s="3522"/>
      <c r="W2" s="3523"/>
      <c r="X2" s="3523"/>
      <c r="Y2" s="3523"/>
      <c r="Z2" s="3523"/>
      <c r="AA2" s="3523"/>
      <c r="AB2" s="3523"/>
      <c r="AC2" s="3524"/>
      <c r="AD2" s="3522" t="e">
        <f>INDEX(PT_DIFFERENTIATION_NTAR,MATCH(A2,PT_DIFFERENTIATION_NTAR_ID,0))</f>
        <v>#N/A</v>
      </c>
      <c r="AE2" s="3523"/>
      <c r="AF2" s="3523"/>
      <c r="AG2" s="3523"/>
      <c r="AH2" s="3523"/>
      <c r="AI2" s="3523"/>
      <c r="AJ2" s="3523"/>
      <c r="AK2" s="3523"/>
      <c r="AL2" s="3524"/>
      <c r="AM2" s="1124" t="s">
        <v>658</v>
      </c>
      <c r="AO2" s="398"/>
      <c r="AP2" s="398" t="str">
        <f t="shared" ref="AP2:AP15" si="0">IF(T2="","",T2)</f>
        <v>Наименование тарифа</v>
      </c>
      <c r="AQ2" s="398"/>
      <c r="AR2" s="398"/>
    </row>
    <row r="3" spans="1:44" ht="21" hidden="1" customHeight="1">
      <c r="A3" s="1224"/>
      <c r="B3" s="1224"/>
      <c r="C3" s="1224"/>
      <c r="D3" s="1224"/>
      <c r="E3" s="3529"/>
      <c r="F3" s="3528">
        <v>1</v>
      </c>
      <c r="G3" s="1224"/>
      <c r="H3" s="1224"/>
      <c r="I3" s="1224"/>
      <c r="J3" s="1224"/>
      <c r="K3" s="1224"/>
      <c r="L3" s="1225"/>
      <c r="M3" s="1226"/>
      <c r="N3" s="1226"/>
      <c r="O3" s="1226"/>
      <c r="P3" s="1194"/>
      <c r="Q3" s="261"/>
      <c r="R3" s="262"/>
      <c r="S3" s="1198" t="e">
        <f>INDEX(PT_DIFFERENTIATION_NUM_TER,MATCH(B3,PT_DIFFERENTIATION_TER_ID,0))</f>
        <v>#N/A</v>
      </c>
      <c r="T3" s="219" t="s">
        <v>659</v>
      </c>
      <c r="U3" s="211"/>
      <c r="V3" s="3522"/>
      <c r="W3" s="3523"/>
      <c r="X3" s="3523"/>
      <c r="Y3" s="3523"/>
      <c r="Z3" s="3523"/>
      <c r="AA3" s="3523"/>
      <c r="AB3" s="3523"/>
      <c r="AC3" s="3524"/>
      <c r="AD3" s="3522" t="e">
        <f>INDEX(PT_DIFFERENTIATION_TER,MATCH(B3,PT_DIFFERENTIATION_TER_ID,0))</f>
        <v>#N/A</v>
      </c>
      <c r="AE3" s="3523"/>
      <c r="AF3" s="3523"/>
      <c r="AG3" s="3523"/>
      <c r="AH3" s="3523"/>
      <c r="AI3" s="3523"/>
      <c r="AJ3" s="3523"/>
      <c r="AK3" s="3523"/>
      <c r="AL3" s="3524"/>
      <c r="AM3" s="1124" t="s">
        <v>660</v>
      </c>
      <c r="AO3" s="398"/>
      <c r="AP3" s="398" t="str">
        <f t="shared" si="0"/>
        <v>Территория действия тарифа</v>
      </c>
      <c r="AQ3" s="398"/>
      <c r="AR3" s="398"/>
    </row>
    <row r="4" spans="1:44" ht="23.25" hidden="1" customHeight="1">
      <c r="A4" s="1224"/>
      <c r="B4" s="1224"/>
      <c r="C4" s="1224"/>
      <c r="D4" s="1224"/>
      <c r="E4" s="3529"/>
      <c r="F4" s="3529"/>
      <c r="G4" s="3528">
        <v>1</v>
      </c>
      <c r="H4" s="1224"/>
      <c r="I4" s="1224"/>
      <c r="J4" s="1224"/>
      <c r="K4" s="1224"/>
      <c r="L4" s="1225"/>
      <c r="M4" s="1226"/>
      <c r="N4" s="1226"/>
      <c r="O4" s="1226"/>
      <c r="P4" s="263"/>
      <c r="Q4" s="261"/>
      <c r="R4" s="262"/>
      <c r="S4" s="1198" t="e">
        <f>INDEX(PT_DIFFERENTIATION_NUM_CS,MATCH(C4,PT_DIFFERENTIATION_CS_ID,0))</f>
        <v>#N/A</v>
      </c>
      <c r="T4" s="220" t="s">
        <v>661</v>
      </c>
      <c r="U4" s="211"/>
      <c r="V4" s="3522"/>
      <c r="W4" s="3523"/>
      <c r="X4" s="3523"/>
      <c r="Y4" s="3523"/>
      <c r="Z4" s="3523"/>
      <c r="AA4" s="3523"/>
      <c r="AB4" s="3523"/>
      <c r="AC4" s="3524"/>
      <c r="AD4" s="3522" t="e">
        <f>INDEX(PT_DIFFERENTIATION_CS,MATCH(C4,PT_DIFFERENTIATION_CS_ID,0))</f>
        <v>#N/A</v>
      </c>
      <c r="AE4" s="3523"/>
      <c r="AF4" s="3523"/>
      <c r="AG4" s="3523"/>
      <c r="AH4" s="3523"/>
      <c r="AI4" s="3523"/>
      <c r="AJ4" s="3523"/>
      <c r="AK4" s="3523"/>
      <c r="AL4" s="3524"/>
      <c r="AM4" s="1124" t="s">
        <v>662</v>
      </c>
      <c r="AO4" s="398"/>
      <c r="AP4" s="398" t="str">
        <f t="shared" si="0"/>
        <v xml:space="preserve">Наименование системы теплоснабжения </v>
      </c>
      <c r="AQ4" s="398"/>
      <c r="AR4" s="398"/>
    </row>
    <row r="5" spans="1:44" ht="21" hidden="1" customHeight="1">
      <c r="A5" s="1224"/>
      <c r="B5" s="1224"/>
      <c r="C5" s="1224"/>
      <c r="D5" s="1224"/>
      <c r="E5" s="3529"/>
      <c r="F5" s="3529"/>
      <c r="G5" s="3529"/>
      <c r="H5" s="3528">
        <v>1</v>
      </c>
      <c r="I5" s="1224"/>
      <c r="J5" s="1224"/>
      <c r="K5" s="1224"/>
      <c r="L5" s="1225"/>
      <c r="M5" s="1226"/>
      <c r="N5" s="1226"/>
      <c r="O5" s="1226"/>
      <c r="P5" s="263"/>
      <c r="Q5" s="261"/>
      <c r="R5" s="262"/>
      <c r="S5" s="1198" t="e">
        <f>INDEX(PT_DIFFERENTIATION_NUM_IST_TE,MATCH(D5,PT_DIFFERENTIATION_IST_TE_ID,0))</f>
        <v>#N/A</v>
      </c>
      <c r="T5" s="221" t="s">
        <v>663</v>
      </c>
      <c r="U5" s="211"/>
      <c r="V5" s="3522"/>
      <c r="W5" s="3523"/>
      <c r="X5" s="3523"/>
      <c r="Y5" s="3523"/>
      <c r="Z5" s="3523"/>
      <c r="AA5" s="3523"/>
      <c r="AB5" s="3523"/>
      <c r="AC5" s="3524"/>
      <c r="AD5" s="3522" t="e">
        <f>INDEX(PT_DIFFERENTIATION_IST_TE,MATCH(D5,PT_DIFFERENTIATION_IST_TE_ID,0))</f>
        <v>#N/A</v>
      </c>
      <c r="AE5" s="3523"/>
      <c r="AF5" s="3523"/>
      <c r="AG5" s="3523"/>
      <c r="AH5" s="3523"/>
      <c r="AI5" s="3523"/>
      <c r="AJ5" s="3523"/>
      <c r="AK5" s="3523"/>
      <c r="AL5" s="3524"/>
      <c r="AM5" s="1124" t="s">
        <v>664</v>
      </c>
      <c r="AO5" s="398"/>
      <c r="AP5" s="398" t="str">
        <f t="shared" si="0"/>
        <v xml:space="preserve">Источник тепловой энергии  </v>
      </c>
      <c r="AQ5" s="398"/>
      <c r="AR5" s="398"/>
    </row>
    <row r="6" spans="1:44" ht="14.25" hidden="1" customHeight="1">
      <c r="A6" s="1224"/>
      <c r="B6" s="1224"/>
      <c r="C6" s="1224"/>
      <c r="D6" s="1224"/>
      <c r="E6" s="3529"/>
      <c r="F6" s="3529"/>
      <c r="G6" s="3529"/>
      <c r="H6" s="3529"/>
      <c r="I6" s="3530" t="e">
        <f>S5&amp;".1"</f>
        <v>#N/A</v>
      </c>
      <c r="J6" s="1224"/>
      <c r="K6" s="1224"/>
      <c r="L6" s="1225" t="s">
        <v>665</v>
      </c>
      <c r="M6" s="434"/>
      <c r="P6" s="3532">
        <v>1</v>
      </c>
      <c r="Q6" s="1193"/>
      <c r="R6" s="265"/>
      <c r="S6" s="912"/>
      <c r="T6" s="1244"/>
      <c r="U6" s="1245"/>
      <c r="V6" s="3559"/>
      <c r="W6" s="3560"/>
      <c r="X6" s="3560"/>
      <c r="Y6" s="3560"/>
      <c r="Z6" s="3560"/>
      <c r="AA6" s="3560"/>
      <c r="AB6" s="3560"/>
      <c r="AC6" s="3561"/>
      <c r="AD6" s="3559"/>
      <c r="AE6" s="3560"/>
      <c r="AF6" s="3560"/>
      <c r="AG6" s="3560"/>
      <c r="AH6" s="3560"/>
      <c r="AI6" s="3560"/>
      <c r="AJ6" s="3560"/>
      <c r="AK6" s="3560"/>
      <c r="AL6" s="3561"/>
      <c r="AM6" s="1246"/>
      <c r="AO6" s="398"/>
      <c r="AP6" s="398" t="str">
        <f t="shared" si="0"/>
        <v/>
      </c>
      <c r="AQ6" s="398"/>
      <c r="AR6" s="398"/>
    </row>
    <row r="7" spans="1:44" ht="21" hidden="1" customHeight="1">
      <c r="A7" s="1224"/>
      <c r="B7" s="1224"/>
      <c r="C7" s="1224"/>
      <c r="D7" s="1224"/>
      <c r="E7" s="3529"/>
      <c r="F7" s="3529"/>
      <c r="G7" s="3529"/>
      <c r="H7" s="3529"/>
      <c r="I7" s="3531"/>
      <c r="J7" s="3530" t="e">
        <f>I6&amp;".1"</f>
        <v>#N/A</v>
      </c>
      <c r="K7" s="1224"/>
      <c r="L7" s="1225" t="s">
        <v>668</v>
      </c>
      <c r="M7" s="434"/>
      <c r="N7" s="1227"/>
      <c r="P7" s="3532"/>
      <c r="Q7" s="3532">
        <v>1</v>
      </c>
      <c r="R7" s="266"/>
      <c r="S7" s="1198" t="e">
        <f>$J7</f>
        <v>#N/A</v>
      </c>
      <c r="T7" s="198" t="s">
        <v>669</v>
      </c>
      <c r="U7" s="211"/>
      <c r="V7" s="3516"/>
      <c r="W7" s="3517"/>
      <c r="X7" s="3517"/>
      <c r="Y7" s="3517"/>
      <c r="Z7" s="3517"/>
      <c r="AA7" s="3517"/>
      <c r="AB7" s="3517"/>
      <c r="AC7" s="3518"/>
      <c r="AD7" s="3516"/>
      <c r="AE7" s="3517"/>
      <c r="AF7" s="3517"/>
      <c r="AG7" s="3517"/>
      <c r="AH7" s="3517"/>
      <c r="AI7" s="3517"/>
      <c r="AJ7" s="3517"/>
      <c r="AK7" s="3517"/>
      <c r="AL7" s="3518"/>
      <c r="AM7" s="1124" t="s">
        <v>670</v>
      </c>
      <c r="AO7" s="398"/>
      <c r="AP7" s="398" t="str">
        <f t="shared" si="0"/>
        <v>Группа потребителей</v>
      </c>
      <c r="AQ7" s="398"/>
      <c r="AR7" s="398"/>
    </row>
    <row r="8" spans="1:44" ht="21" hidden="1" customHeight="1">
      <c r="A8" s="1224"/>
      <c r="B8" s="1224"/>
      <c r="C8" s="1224"/>
      <c r="D8" s="1224"/>
      <c r="E8" s="3529"/>
      <c r="F8" s="3529"/>
      <c r="G8" s="3529"/>
      <c r="H8" s="3529"/>
      <c r="I8" s="3531"/>
      <c r="J8" s="3531"/>
      <c r="K8" s="3530" t="e">
        <f>J7&amp;".1"</f>
        <v>#N/A</v>
      </c>
      <c r="L8" s="1225" t="s">
        <v>671</v>
      </c>
      <c r="M8" s="434"/>
      <c r="N8" s="1227"/>
      <c r="O8" s="1227"/>
      <c r="P8" s="3532"/>
      <c r="Q8" s="3532"/>
      <c r="R8" s="266">
        <v>1</v>
      </c>
      <c r="S8" s="1198" t="e">
        <f>$K8</f>
        <v>#N/A</v>
      </c>
      <c r="T8" s="1209"/>
      <c r="U8" s="211"/>
      <c r="V8" s="639"/>
      <c r="W8" s="236"/>
      <c r="X8" s="639"/>
      <c r="Y8" s="1123"/>
      <c r="Z8" s="3533"/>
      <c r="AA8" s="3412" t="s">
        <v>64</v>
      </c>
      <c r="AB8" s="3533"/>
      <c r="AC8" s="3412" t="s">
        <v>64</v>
      </c>
      <c r="AD8" s="639"/>
      <c r="AE8" s="236"/>
      <c r="AF8" s="639"/>
      <c r="AG8" s="1123"/>
      <c r="AH8" s="3533"/>
      <c r="AI8" s="3412" t="s">
        <v>64</v>
      </c>
      <c r="AJ8" s="3533"/>
      <c r="AK8" s="3412" t="s">
        <v>64</v>
      </c>
      <c r="AL8" s="236"/>
      <c r="AM8" s="3551" t="s">
        <v>672</v>
      </c>
      <c r="AN8" s="409" t="e">
        <f ca="1">STRCHECKDATE(V9:AL9)</f>
        <v>#NAME?</v>
      </c>
      <c r="AO8" s="398"/>
      <c r="AP8" s="398" t="str">
        <f t="shared" si="0"/>
        <v/>
      </c>
      <c r="AQ8" s="398"/>
      <c r="AR8" s="398"/>
    </row>
    <row r="9" spans="1:44" ht="0.75" hidden="1" customHeight="1">
      <c r="A9" s="1224"/>
      <c r="B9" s="1224"/>
      <c r="C9" s="1224"/>
      <c r="D9" s="1224"/>
      <c r="E9" s="3529"/>
      <c r="F9" s="3529"/>
      <c r="G9" s="3529"/>
      <c r="H9" s="3529"/>
      <c r="I9" s="3531"/>
      <c r="J9" s="3531"/>
      <c r="K9" s="3530"/>
      <c r="L9" s="1225"/>
      <c r="M9" s="434"/>
      <c r="N9" s="1227"/>
      <c r="O9" s="1227"/>
      <c r="P9" s="3532"/>
      <c r="Q9" s="3532"/>
      <c r="R9" s="266"/>
      <c r="S9" s="1204"/>
      <c r="T9" s="211"/>
      <c r="U9" s="211"/>
      <c r="V9" s="236"/>
      <c r="W9" s="236"/>
      <c r="X9" s="236"/>
      <c r="Y9" s="239" t="str">
        <f>Z8&amp;"-"&amp;AB8</f>
        <v>-</v>
      </c>
      <c r="Z9" s="3534"/>
      <c r="AA9" s="3412"/>
      <c r="AB9" s="3534"/>
      <c r="AC9" s="3412"/>
      <c r="AD9" s="236"/>
      <c r="AE9" s="236"/>
      <c r="AF9" s="236"/>
      <c r="AG9" s="239" t="str">
        <f>AH8&amp;"-"&amp;AJ8</f>
        <v>-</v>
      </c>
      <c r="AH9" s="3534"/>
      <c r="AI9" s="3412"/>
      <c r="AJ9" s="3534"/>
      <c r="AK9" s="3412"/>
      <c r="AL9" s="236"/>
      <c r="AM9" s="3552"/>
      <c r="AO9" s="398"/>
      <c r="AP9" s="398" t="str">
        <f t="shared" si="0"/>
        <v/>
      </c>
      <c r="AQ9" s="398"/>
      <c r="AR9" s="398"/>
    </row>
    <row r="10" spans="1:44" ht="15" hidden="1" customHeight="1">
      <c r="A10" s="1224"/>
      <c r="B10" s="1224"/>
      <c r="C10" s="1224"/>
      <c r="D10" s="1224"/>
      <c r="E10" s="3529"/>
      <c r="F10" s="3529"/>
      <c r="G10" s="3529"/>
      <c r="H10" s="3529"/>
      <c r="I10" s="3531"/>
      <c r="J10" s="3530"/>
      <c r="K10" s="1224"/>
      <c r="L10" s="1225"/>
      <c r="M10" s="434"/>
      <c r="N10" s="1227"/>
      <c r="P10" s="3532"/>
      <c r="Q10" s="3532"/>
      <c r="R10" s="265"/>
      <c r="S10" s="1144"/>
      <c r="T10" s="199" t="s">
        <v>673</v>
      </c>
      <c r="U10" s="275"/>
      <c r="V10" s="275"/>
      <c r="W10" s="275"/>
      <c r="X10" s="275"/>
      <c r="Y10" s="275"/>
      <c r="Z10" s="275"/>
      <c r="AA10" s="275"/>
      <c r="AB10" s="275"/>
      <c r="AC10" s="275"/>
      <c r="AD10" s="275"/>
      <c r="AE10" s="275"/>
      <c r="AF10" s="275"/>
      <c r="AG10" s="275"/>
      <c r="AH10" s="275"/>
      <c r="AI10" s="275"/>
      <c r="AJ10" s="275"/>
      <c r="AK10" s="275"/>
      <c r="AL10" s="235"/>
      <c r="AM10" s="3553"/>
      <c r="AO10" s="398"/>
      <c r="AP10" s="398" t="str">
        <f t="shared" si="0"/>
        <v>Добавить вид теплоносителя (параметры теплоносителя)</v>
      </c>
      <c r="AQ10" s="398"/>
      <c r="AR10" s="398"/>
    </row>
    <row r="11" spans="1:44" ht="15" hidden="1" customHeight="1">
      <c r="A11" s="1224"/>
      <c r="B11" s="1224"/>
      <c r="C11" s="1224"/>
      <c r="D11" s="1224"/>
      <c r="E11" s="3529"/>
      <c r="F11" s="3529"/>
      <c r="G11" s="3529"/>
      <c r="H11" s="3529"/>
      <c r="I11" s="3530"/>
      <c r="J11" s="1224"/>
      <c r="K11" s="1224"/>
      <c r="L11" s="1225"/>
      <c r="M11" s="434"/>
      <c r="P11" s="3532"/>
      <c r="Q11" s="1193"/>
      <c r="R11" s="265"/>
      <c r="S11" s="1144"/>
      <c r="T11" s="273" t="s">
        <v>674</v>
      </c>
      <c r="U11" s="275"/>
      <c r="V11" s="275"/>
      <c r="W11" s="275"/>
      <c r="X11" s="275"/>
      <c r="Y11" s="275"/>
      <c r="Z11" s="275"/>
      <c r="AA11" s="275"/>
      <c r="AB11" s="275"/>
      <c r="AC11" s="274"/>
      <c r="AD11" s="275"/>
      <c r="AE11" s="275"/>
      <c r="AF11" s="275"/>
      <c r="AG11" s="275"/>
      <c r="AH11" s="275"/>
      <c r="AI11" s="275"/>
      <c r="AJ11" s="275"/>
      <c r="AK11" s="274"/>
      <c r="AL11" s="275"/>
      <c r="AM11" s="214"/>
      <c r="AO11" s="398"/>
      <c r="AP11" s="398" t="str">
        <f t="shared" si="0"/>
        <v>Добавить группу потребителей</v>
      </c>
      <c r="AQ11" s="398"/>
      <c r="AR11" s="398"/>
    </row>
    <row r="12" spans="1:44" ht="14.25" hidden="1" customHeight="1">
      <c r="A12" s="1224"/>
      <c r="B12" s="1224"/>
      <c r="C12" s="1224"/>
      <c r="D12" s="1224"/>
      <c r="E12" s="3529"/>
      <c r="F12" s="3529"/>
      <c r="G12" s="3529"/>
      <c r="H12" s="3528"/>
      <c r="I12" s="1224"/>
      <c r="J12" s="1224"/>
      <c r="K12" s="1224"/>
      <c r="L12" s="1225"/>
      <c r="M12" s="1226"/>
      <c r="N12" s="1226"/>
      <c r="O12" s="434"/>
      <c r="P12" s="269"/>
      <c r="Q12" s="282"/>
      <c r="R12" s="264"/>
      <c r="S12" s="1247"/>
      <c r="T12" s="1248"/>
      <c r="U12" s="1249"/>
      <c r="V12" s="1249"/>
      <c r="W12" s="1249"/>
      <c r="X12" s="1249"/>
      <c r="Y12" s="1249"/>
      <c r="Z12" s="1249"/>
      <c r="AA12" s="1249"/>
      <c r="AB12" s="1249"/>
      <c r="AC12" s="1249"/>
      <c r="AD12" s="1249"/>
      <c r="AE12" s="1249"/>
      <c r="AF12" s="1249"/>
      <c r="AG12" s="1249"/>
      <c r="AH12" s="1249"/>
      <c r="AI12" s="1249"/>
      <c r="AJ12" s="1249"/>
      <c r="AK12" s="1249"/>
      <c r="AL12" s="1249"/>
      <c r="AM12" s="1250"/>
      <c r="AO12" s="398"/>
      <c r="AP12" s="398" t="str">
        <f t="shared" si="0"/>
        <v/>
      </c>
      <c r="AQ12" s="398"/>
      <c r="AR12" s="398"/>
    </row>
    <row r="13" spans="1:44" s="1866" customFormat="1" ht="0.75" hidden="1" customHeight="1">
      <c r="A13" s="1177"/>
      <c r="B13" s="1177"/>
      <c r="C13" s="1177"/>
      <c r="D13" s="1177"/>
      <c r="E13" s="3529"/>
      <c r="F13" s="3529"/>
      <c r="G13" s="3528"/>
      <c r="H13" s="1177"/>
      <c r="I13" s="1177"/>
      <c r="J13" s="1177"/>
      <c r="K13" s="1177"/>
      <c r="L13" s="1201"/>
      <c r="M13" s="1178"/>
      <c r="N13" s="1178"/>
      <c r="P13" s="1179"/>
      <c r="Q13" s="1180"/>
      <c r="R13" s="1179"/>
      <c r="S13" s="1181"/>
      <c r="T13" s="1182" t="s">
        <v>676</v>
      </c>
      <c r="U13" s="1183"/>
      <c r="V13" s="1183"/>
      <c r="W13" s="1183"/>
      <c r="X13" s="1183"/>
      <c r="Y13" s="1183"/>
      <c r="Z13" s="1183"/>
      <c r="AA13" s="1183"/>
      <c r="AB13" s="1183"/>
      <c r="AC13" s="1183"/>
      <c r="AD13" s="1183"/>
      <c r="AE13" s="1183"/>
      <c r="AF13" s="1183"/>
      <c r="AG13" s="1183"/>
      <c r="AH13" s="1183"/>
      <c r="AI13" s="1183"/>
      <c r="AJ13" s="1183"/>
      <c r="AK13" s="1183"/>
      <c r="AL13" s="1183"/>
      <c r="AM13" s="1183"/>
      <c r="AO13" s="670"/>
      <c r="AP13" s="670" t="str">
        <f t="shared" si="0"/>
        <v>Добавить источник для дифференциации</v>
      </c>
      <c r="AQ13" s="670"/>
      <c r="AR13" s="670"/>
    </row>
    <row r="14" spans="1:44" s="1866" customFormat="1" ht="0.75" hidden="1" customHeight="1">
      <c r="A14" s="1177"/>
      <c r="B14" s="1177"/>
      <c r="C14" s="1177"/>
      <c r="D14" s="1177"/>
      <c r="E14" s="3529"/>
      <c r="F14" s="3528"/>
      <c r="G14" s="1177"/>
      <c r="H14" s="1177"/>
      <c r="I14" s="1177"/>
      <c r="J14" s="1177"/>
      <c r="K14" s="1177"/>
      <c r="L14" s="1201"/>
      <c r="M14" s="1184"/>
      <c r="N14" s="1184"/>
      <c r="P14" s="1179"/>
      <c r="Q14" s="1180"/>
      <c r="R14" s="1179"/>
      <c r="S14" s="1185"/>
      <c r="T14" s="1186" t="s">
        <v>677</v>
      </c>
      <c r="U14" s="1187"/>
      <c r="V14" s="1187"/>
      <c r="W14" s="1187"/>
      <c r="X14" s="1187"/>
      <c r="Y14" s="1187"/>
      <c r="Z14" s="1187"/>
      <c r="AA14" s="1187"/>
      <c r="AB14" s="1187"/>
      <c r="AC14" s="1187"/>
      <c r="AD14" s="1187"/>
      <c r="AE14" s="1187"/>
      <c r="AF14" s="1187"/>
      <c r="AG14" s="1187"/>
      <c r="AH14" s="1187"/>
      <c r="AI14" s="1187"/>
      <c r="AJ14" s="1187"/>
      <c r="AK14" s="1187"/>
      <c r="AL14" s="1187"/>
      <c r="AM14" s="1187"/>
      <c r="AO14" s="670"/>
      <c r="AP14" s="670" t="str">
        <f t="shared" si="0"/>
        <v>Добавить централизованную систему для дифференциации</v>
      </c>
      <c r="AQ14" s="670"/>
      <c r="AR14" s="670"/>
    </row>
    <row r="15" spans="1:44" s="1866" customFormat="1" ht="0.75" hidden="1" customHeight="1">
      <c r="A15" s="1177"/>
      <c r="B15" s="1177"/>
      <c r="C15" s="1177"/>
      <c r="D15" s="1177"/>
      <c r="E15" s="3528"/>
      <c r="F15" s="1177"/>
      <c r="G15" s="1177"/>
      <c r="H15" s="1177"/>
      <c r="I15" s="1177"/>
      <c r="J15" s="1177"/>
      <c r="K15" s="1177"/>
      <c r="L15" s="1201"/>
      <c r="M15" s="1184"/>
      <c r="N15" s="1184"/>
      <c r="P15" s="1179"/>
      <c r="Q15" s="1180"/>
      <c r="R15" s="1179"/>
      <c r="S15" s="1185"/>
      <c r="T15" s="1188" t="s">
        <v>678</v>
      </c>
      <c r="U15" s="1187"/>
      <c r="V15" s="1187"/>
      <c r="W15" s="1187"/>
      <c r="X15" s="1187"/>
      <c r="Y15" s="1187"/>
      <c r="Z15" s="1187"/>
      <c r="AA15" s="1187"/>
      <c r="AB15" s="1187"/>
      <c r="AC15" s="1187"/>
      <c r="AD15" s="1187"/>
      <c r="AE15" s="1187"/>
      <c r="AF15" s="1187"/>
      <c r="AG15" s="1187"/>
      <c r="AH15" s="1187"/>
      <c r="AI15" s="1187"/>
      <c r="AJ15" s="1187"/>
      <c r="AK15" s="1187"/>
      <c r="AL15" s="1187"/>
      <c r="AM15" s="1187"/>
      <c r="AO15" s="670"/>
      <c r="AP15" s="670" t="str">
        <f t="shared" si="0"/>
        <v>Добавить территорию для дифференциации</v>
      </c>
      <c r="AQ15" s="670"/>
      <c r="AR15" s="670"/>
    </row>
    <row r="16" spans="1:44" ht="14.25" hidden="1" customHeight="1">
      <c r="AC16" s="238"/>
      <c r="AK16" s="238"/>
    </row>
    <row r="17" spans="1:44" ht="14.25" hidden="1" customHeight="1">
      <c r="AD17" s="1221"/>
      <c r="AE17" s="1221"/>
      <c r="AF17" s="1221"/>
      <c r="AG17" s="1222"/>
      <c r="AH17" s="3526"/>
      <c r="AI17" s="3525" t="s">
        <v>64</v>
      </c>
      <c r="AJ17" s="3526"/>
      <c r="AK17" s="3525" t="s">
        <v>64</v>
      </c>
    </row>
    <row r="18" spans="1:44" ht="14.25" hidden="1" customHeight="1">
      <c r="AD18" s="1221"/>
      <c r="AE18" s="1221"/>
      <c r="AF18" s="1221"/>
      <c r="AG18" s="239" t="str">
        <f>AH17&amp;"-"&amp;AJ17</f>
        <v>-</v>
      </c>
      <c r="AH18" s="3525"/>
      <c r="AI18" s="3525"/>
      <c r="AJ18" s="3525"/>
      <c r="AK18" s="3525"/>
    </row>
    <row r="19" spans="1:44" ht="14.25" hidden="1" customHeight="1">
      <c r="AK19" s="238"/>
    </row>
    <row r="20" spans="1:44" s="1903" customFormat="1" ht="22.5" hidden="1" customHeight="1">
      <c r="L20" s="1191"/>
      <c r="M20" s="1223"/>
      <c r="N20" s="1223"/>
      <c r="O20" s="1228" t="s">
        <v>679</v>
      </c>
      <c r="P20" s="1223"/>
      <c r="Q20" s="1232"/>
      <c r="R20" s="1232"/>
      <c r="S20" s="619"/>
      <c r="Z20" s="1228"/>
      <c r="AB20" s="1228"/>
      <c r="AC20" s="1227"/>
      <c r="AH20" s="1228"/>
      <c r="AJ20" s="1228"/>
      <c r="AK20" s="1227"/>
      <c r="AN20" s="409"/>
      <c r="AO20" s="409"/>
      <c r="AP20" s="409"/>
      <c r="AQ20" s="409"/>
      <c r="AR20" s="409"/>
    </row>
    <row r="21" spans="1:44" s="1903" customFormat="1" ht="14.25" hidden="1" customHeight="1">
      <c r="L21" s="1191"/>
      <c r="M21" s="1223"/>
      <c r="N21" s="1223"/>
      <c r="O21" s="1223"/>
      <c r="P21" s="1223"/>
      <c r="Q21" s="1232"/>
      <c r="R21" s="1232"/>
      <c r="S21" s="619"/>
      <c r="AC21" s="1227"/>
      <c r="AK21" s="1227"/>
      <c r="AN21" s="409"/>
      <c r="AO21" s="409"/>
      <c r="AP21" s="409"/>
      <c r="AQ21" s="409"/>
      <c r="AR21" s="409"/>
    </row>
    <row r="22" spans="1:44" s="1903" customFormat="1" ht="14.25" hidden="1" customHeight="1">
      <c r="L22" s="1191"/>
      <c r="M22" s="1223"/>
      <c r="N22" s="1223"/>
      <c r="O22" s="1225" t="s">
        <v>680</v>
      </c>
      <c r="P22" s="1223"/>
      <c r="Q22" s="1232"/>
      <c r="R22" s="1232"/>
      <c r="S22" s="619"/>
      <c r="T22" s="1023" t="s">
        <v>681</v>
      </c>
      <c r="AA22" s="103" t="s">
        <v>682</v>
      </c>
      <c r="AC22" s="103" t="s">
        <v>683</v>
      </c>
      <c r="AD22" s="1023" t="s">
        <v>681</v>
      </c>
      <c r="AI22" s="103" t="s">
        <v>684</v>
      </c>
      <c r="AK22" s="103" t="s">
        <v>683</v>
      </c>
      <c r="AN22" s="409"/>
      <c r="AO22" s="409"/>
      <c r="AP22" s="409"/>
      <c r="AQ22" s="409"/>
      <c r="AR22" s="409"/>
    </row>
    <row r="23" spans="1:44" ht="14.25" hidden="1" customHeight="1">
      <c r="O23" s="1225"/>
    </row>
    <row r="24" spans="1:44" ht="14.25" hidden="1" customHeight="1">
      <c r="O24" s="1225"/>
    </row>
    <row r="25" spans="1:44" ht="14.25" customHeight="1">
      <c r="Q25" s="283"/>
      <c r="R25" s="283"/>
      <c r="S25" s="1141"/>
      <c r="T25" s="272"/>
      <c r="U25" s="272"/>
      <c r="V25" s="407"/>
      <c r="W25" s="407"/>
      <c r="X25" s="407"/>
      <c r="Y25" s="407"/>
      <c r="Z25" s="407"/>
      <c r="AA25" s="407"/>
      <c r="AB25" s="407"/>
      <c r="AC25" s="407"/>
      <c r="AD25" s="407"/>
      <c r="AE25" s="407"/>
      <c r="AF25" s="407"/>
      <c r="AG25" s="407"/>
      <c r="AH25" s="407"/>
      <c r="AI25" s="407"/>
      <c r="AJ25" s="407"/>
      <c r="AK25" s="407"/>
    </row>
    <row r="26" spans="1:44" ht="51" customHeight="1">
      <c r="Q26" s="283"/>
      <c r="R26" s="283"/>
      <c r="S26" s="350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509"/>
      <c r="U26" s="3509"/>
      <c r="V26" s="3509"/>
      <c r="W26" s="3509"/>
      <c r="X26" s="3509"/>
      <c r="Y26" s="3509"/>
      <c r="Z26" s="3509"/>
      <c r="AA26" s="3509"/>
      <c r="AB26" s="3509"/>
      <c r="AC26" s="3509"/>
      <c r="AD26" s="3509"/>
      <c r="AE26" s="3509"/>
      <c r="AF26" s="3509"/>
      <c r="AG26" s="3509"/>
      <c r="AH26" s="3509"/>
      <c r="AI26" s="3509"/>
      <c r="AJ26" s="3509"/>
      <c r="AK26" s="1109"/>
    </row>
    <row r="27" spans="1:44" ht="14.25" customHeight="1">
      <c r="Q27" s="283"/>
      <c r="R27" s="283"/>
      <c r="S27" s="3480" t="str">
        <f>IF(org=0,"Не определено",org)</f>
        <v>АО "Орелгортеплоэнерго"</v>
      </c>
      <c r="T27" s="3480"/>
      <c r="U27" s="3480"/>
      <c r="V27" s="3480"/>
      <c r="W27" s="3480"/>
      <c r="X27" s="3480"/>
      <c r="Y27" s="3480"/>
      <c r="Z27" s="3480"/>
      <c r="AA27" s="3480"/>
      <c r="AB27" s="3480"/>
      <c r="AC27" s="3480"/>
      <c r="AD27" s="3480"/>
      <c r="AE27" s="3480"/>
      <c r="AF27" s="3480"/>
      <c r="AG27" s="3480"/>
      <c r="AH27" s="3480"/>
      <c r="AI27" s="3480"/>
      <c r="AJ27" s="3480"/>
      <c r="AK27" s="1109"/>
    </row>
    <row r="28" spans="1:44" ht="14.25" hidden="1" customHeight="1">
      <c r="Q28" s="283"/>
      <c r="R28" s="283"/>
      <c r="S28" s="1141"/>
      <c r="T28" s="272"/>
      <c r="U28" s="272"/>
      <c r="V28" s="233"/>
      <c r="W28" s="233"/>
      <c r="X28" s="233"/>
      <c r="Y28" s="233"/>
      <c r="Z28" s="233"/>
      <c r="AA28" s="233"/>
      <c r="AB28" s="233"/>
      <c r="AC28" s="233"/>
      <c r="AD28" s="233"/>
      <c r="AE28" s="233"/>
      <c r="AF28" s="233"/>
      <c r="AG28" s="233"/>
      <c r="AH28" s="233"/>
      <c r="AI28" s="233"/>
      <c r="AJ28" s="233"/>
      <c r="AK28" s="233"/>
      <c r="AL28" s="407"/>
    </row>
    <row r="29" spans="1:44" s="1944" customFormat="1" ht="25.5" hidden="1" customHeight="1">
      <c r="A29" s="1229"/>
      <c r="B29" s="1229"/>
      <c r="C29" s="1229"/>
      <c r="D29" s="1229"/>
      <c r="E29" s="1229"/>
      <c r="F29" s="1229"/>
      <c r="G29" s="1229"/>
      <c r="H29" s="1229"/>
      <c r="I29" s="1229"/>
      <c r="J29" s="1229"/>
      <c r="K29" s="1229"/>
      <c r="L29" s="1230"/>
      <c r="M29" s="1229"/>
      <c r="N29" s="1229"/>
      <c r="O29" s="1229"/>
      <c r="S29" s="3519" t="s">
        <v>38</v>
      </c>
      <c r="T29" s="3519"/>
      <c r="U29" s="1233"/>
      <c r="V29" s="3521" t="str">
        <f>IF(TITLE_NAME_OR_PR_CHANGE="",IF(TITLE_NAME_OR_PR="","",TITLE_NAME_OR_PR),TITLE_NAME_OR_PR_CHANGE)</f>
        <v/>
      </c>
      <c r="W29" s="3521"/>
      <c r="X29" s="3521"/>
      <c r="Y29" s="3521"/>
      <c r="Z29" s="3521"/>
      <c r="AA29" s="3521"/>
      <c r="AB29" s="3521"/>
      <c r="AC29" s="237"/>
      <c r="AD29" s="3521" t="str">
        <f>IF(TITLE_NAME_OR_PR_CHANGE="",IF(TITLE_NAME_OR_PR="","",TITLE_NAME_OR_PR),TITLE_NAME_OR_PR_CHANGE)</f>
        <v/>
      </c>
      <c r="AE29" s="3521"/>
      <c r="AF29" s="3521"/>
      <c r="AG29" s="3521"/>
      <c r="AH29" s="3521"/>
      <c r="AI29" s="3521"/>
      <c r="AJ29" s="3521"/>
      <c r="AK29" s="237"/>
      <c r="AL29" s="237"/>
      <c r="AM29" s="193"/>
      <c r="AN29" s="276"/>
      <c r="AO29" s="276"/>
      <c r="AP29" s="276"/>
      <c r="AQ29" s="276"/>
      <c r="AR29" s="276"/>
    </row>
    <row r="30" spans="1:44" s="1944" customFormat="1" ht="18.75" hidden="1" customHeight="1">
      <c r="A30" s="1229"/>
      <c r="B30" s="1229"/>
      <c r="C30" s="1229"/>
      <c r="D30" s="1229"/>
      <c r="E30" s="1229"/>
      <c r="F30" s="1229"/>
      <c r="G30" s="1229"/>
      <c r="H30" s="1229"/>
      <c r="I30" s="1229"/>
      <c r="J30" s="1229"/>
      <c r="K30" s="1229"/>
      <c r="L30" s="1230"/>
      <c r="M30" s="1229"/>
      <c r="N30" s="1229"/>
      <c r="O30" s="1229"/>
      <c r="S30" s="3519" t="s">
        <v>685</v>
      </c>
      <c r="T30" s="3519"/>
      <c r="U30" s="1233"/>
      <c r="V30" s="3520" t="str">
        <f>IF(TITLE_DATE_PR_CHANGE="",IF(TITLE_DATE_PR="","",TITLE_DATE_PR),TITLE_DATE_PR_CHANGE)</f>
        <v/>
      </c>
      <c r="W30" s="3520"/>
      <c r="X30" s="3520"/>
      <c r="Y30" s="3520"/>
      <c r="Z30" s="3520"/>
      <c r="AA30" s="3520"/>
      <c r="AB30" s="3520"/>
      <c r="AC30" s="237"/>
      <c r="AD30" s="3520" t="str">
        <f>IF(TITLE_DATE_PR_CHANGE="",IF(TITLE_DATE_PR="","",TITLE_DATE_PR),TITLE_DATE_PR_CHANGE)</f>
        <v/>
      </c>
      <c r="AE30" s="3520"/>
      <c r="AF30" s="3520"/>
      <c r="AG30" s="3520"/>
      <c r="AH30" s="3520"/>
      <c r="AI30" s="3520"/>
      <c r="AJ30" s="3520"/>
      <c r="AK30" s="237"/>
      <c r="AL30" s="237"/>
      <c r="AM30" s="193"/>
      <c r="AN30" s="276"/>
      <c r="AO30" s="276"/>
      <c r="AP30" s="276"/>
      <c r="AQ30" s="276"/>
      <c r="AR30" s="276"/>
    </row>
    <row r="31" spans="1:44" s="1944" customFormat="1" ht="18.75" hidden="1" customHeight="1">
      <c r="A31" s="1229"/>
      <c r="B31" s="1229"/>
      <c r="C31" s="1229"/>
      <c r="D31" s="1229"/>
      <c r="E31" s="1229"/>
      <c r="F31" s="1229"/>
      <c r="G31" s="1229"/>
      <c r="H31" s="1229"/>
      <c r="I31" s="1229"/>
      <c r="J31" s="1229"/>
      <c r="K31" s="1229"/>
      <c r="L31" s="1230"/>
      <c r="M31" s="1229"/>
      <c r="N31" s="1229"/>
      <c r="O31" s="1229"/>
      <c r="S31" s="3519" t="s">
        <v>686</v>
      </c>
      <c r="T31" s="3519"/>
      <c r="U31" s="1233"/>
      <c r="V31" s="3521" t="str">
        <f>IF(TITLE_NUMBER_PR_CHANGE="",IF(TITLE_NUMBER_PR="","",TITLE_NUMBER_PR),TITLE_NUMBER_PR_CHANGE)</f>
        <v/>
      </c>
      <c r="W31" s="3521"/>
      <c r="X31" s="3521"/>
      <c r="Y31" s="3521"/>
      <c r="Z31" s="3521"/>
      <c r="AA31" s="3521"/>
      <c r="AB31" s="3521"/>
      <c r="AC31" s="237"/>
      <c r="AD31" s="3521" t="str">
        <f>IF(TITLE_NUMBER_PR_CHANGE="",IF(TITLE_NUMBER_PR="","",TITLE_NUMBER_PR),TITLE_NUMBER_PR_CHANGE)</f>
        <v/>
      </c>
      <c r="AE31" s="3521"/>
      <c r="AF31" s="3521"/>
      <c r="AG31" s="3521"/>
      <c r="AH31" s="3521"/>
      <c r="AI31" s="3521"/>
      <c r="AJ31" s="3521"/>
      <c r="AK31" s="237"/>
      <c r="AL31" s="237"/>
      <c r="AM31" s="193"/>
      <c r="AN31" s="276"/>
      <c r="AO31" s="276"/>
      <c r="AP31" s="276"/>
      <c r="AQ31" s="276"/>
      <c r="AR31" s="276"/>
    </row>
    <row r="32" spans="1:44" s="1944" customFormat="1" ht="18.75" hidden="1" customHeight="1">
      <c r="A32" s="1229"/>
      <c r="B32" s="1229"/>
      <c r="C32" s="1229"/>
      <c r="D32" s="1229"/>
      <c r="E32" s="1229"/>
      <c r="F32" s="1229"/>
      <c r="G32" s="1229"/>
      <c r="H32" s="1229"/>
      <c r="I32" s="1229"/>
      <c r="J32" s="1229"/>
      <c r="K32" s="1229"/>
      <c r="L32" s="1230"/>
      <c r="M32" s="1229"/>
      <c r="N32" s="1229"/>
      <c r="O32" s="1229"/>
      <c r="S32" s="3519" t="s">
        <v>39</v>
      </c>
      <c r="T32" s="3519"/>
      <c r="U32" s="1233"/>
      <c r="V32" s="3521" t="str">
        <f>IF(TITLE_IST_PUB_CHANGE="",IF(TITLE_IST_PUB="","",TITLE_IST_PUB),TITLE_IST_PUB_CHANGE)</f>
        <v/>
      </c>
      <c r="W32" s="3521"/>
      <c r="X32" s="3521"/>
      <c r="Y32" s="3521"/>
      <c r="Z32" s="3521"/>
      <c r="AA32" s="3521"/>
      <c r="AB32" s="3521"/>
      <c r="AC32" s="237"/>
      <c r="AD32" s="3521" t="str">
        <f>IF(TITLE_IST_PUB_CHANGE="",IF(TITLE_IST_PUB="","",TITLE_IST_PUB),TITLE_IST_PUB_CHANGE)</f>
        <v/>
      </c>
      <c r="AE32" s="3521"/>
      <c r="AF32" s="3521"/>
      <c r="AG32" s="3521"/>
      <c r="AH32" s="3521"/>
      <c r="AI32" s="3521"/>
      <c r="AJ32" s="3521"/>
      <c r="AK32" s="237"/>
      <c r="AL32" s="237"/>
      <c r="AM32" s="193"/>
      <c r="AN32" s="276"/>
      <c r="AO32" s="276"/>
      <c r="AP32" s="276"/>
      <c r="AQ32" s="276"/>
      <c r="AR32" s="276"/>
    </row>
    <row r="33" spans="1:44" ht="14.25" hidden="1" customHeight="1">
      <c r="Q33" s="283"/>
      <c r="R33" s="283"/>
      <c r="S33" s="1141"/>
      <c r="T33" s="272"/>
      <c r="U33" s="272"/>
      <c r="V33" s="233"/>
      <c r="W33" s="233"/>
      <c r="X33" s="233"/>
      <c r="Y33" s="233"/>
      <c r="Z33" s="233"/>
      <c r="AA33" s="233"/>
      <c r="AB33" s="233"/>
      <c r="AC33" s="233"/>
      <c r="AD33" s="233"/>
      <c r="AE33" s="233"/>
      <c r="AF33" s="233"/>
      <c r="AG33" s="233"/>
      <c r="AH33" s="233"/>
      <c r="AI33" s="233"/>
      <c r="AJ33" s="233"/>
      <c r="AK33" s="233"/>
      <c r="AL33" s="407"/>
    </row>
    <row r="34" spans="1:44" s="1944" customFormat="1" ht="18.75" hidden="1" customHeight="1">
      <c r="A34" s="1229"/>
      <c r="B34" s="1229"/>
      <c r="C34" s="1229"/>
      <c r="D34" s="1229"/>
      <c r="E34" s="1229"/>
      <c r="F34" s="1229"/>
      <c r="G34" s="1229"/>
      <c r="H34" s="1229"/>
      <c r="I34" s="1229"/>
      <c r="J34" s="1229"/>
      <c r="K34" s="1229"/>
      <c r="L34" s="1230"/>
      <c r="M34" s="1229"/>
      <c r="N34" s="1229"/>
      <c r="O34" s="1229"/>
      <c r="S34" s="3519" t="s">
        <v>687</v>
      </c>
      <c r="T34" s="3519"/>
      <c r="U34" s="1233"/>
      <c r="V34" s="3520" t="str">
        <f>IF(TITLE_DATE_PR_CHANGE="",IF(TITLE_DATE_PR="","",TITLE_DATE_PR),TITLE_DATE_PR_CHANGE)</f>
        <v/>
      </c>
      <c r="W34" s="3520"/>
      <c r="X34" s="3520"/>
      <c r="Y34" s="3520"/>
      <c r="Z34" s="3520"/>
      <c r="AA34" s="3520"/>
      <c r="AB34" s="3520"/>
      <c r="AC34" s="237"/>
      <c r="AD34" s="3520" t="str">
        <f>IF(TITLE_DATE_PR_CHANGE="",IF(TITLE_DATE_PR="","",TITLE_DATE_PR),TITLE_DATE_PR_CHANGE)</f>
        <v/>
      </c>
      <c r="AE34" s="3520"/>
      <c r="AF34" s="3520"/>
      <c r="AG34" s="3520"/>
      <c r="AH34" s="3520"/>
      <c r="AI34" s="3520"/>
      <c r="AJ34" s="3520"/>
      <c r="AK34" s="237"/>
      <c r="AL34" s="237"/>
      <c r="AM34" s="193"/>
      <c r="AN34" s="276"/>
      <c r="AO34" s="276"/>
      <c r="AP34" s="276"/>
      <c r="AQ34" s="276"/>
      <c r="AR34" s="276"/>
    </row>
    <row r="35" spans="1:44" s="1944" customFormat="1" ht="18.75" hidden="1" customHeight="1">
      <c r="A35" s="1229"/>
      <c r="B35" s="1229"/>
      <c r="C35" s="1229"/>
      <c r="D35" s="1229"/>
      <c r="E35" s="1229"/>
      <c r="F35" s="1229"/>
      <c r="G35" s="1229"/>
      <c r="H35" s="1229"/>
      <c r="I35" s="1229"/>
      <c r="J35" s="1229"/>
      <c r="K35" s="1229"/>
      <c r="L35" s="1230"/>
      <c r="M35" s="1229"/>
      <c r="N35" s="1229"/>
      <c r="O35" s="1229"/>
      <c r="S35" s="3519" t="s">
        <v>688</v>
      </c>
      <c r="T35" s="3519"/>
      <c r="U35" s="1233"/>
      <c r="V35" s="3521" t="str">
        <f>IF(TITLE_NUMBER_PR_CHANGE="",IF(TITLE_NUMBER_PR="","",TITLE_NUMBER_PR),TITLE_NUMBER_PR_CHANGE)</f>
        <v/>
      </c>
      <c r="W35" s="3521"/>
      <c r="X35" s="3521"/>
      <c r="Y35" s="3521"/>
      <c r="Z35" s="3521"/>
      <c r="AA35" s="3521"/>
      <c r="AB35" s="3521"/>
      <c r="AC35" s="237"/>
      <c r="AD35" s="3521" t="str">
        <f>IF(TITLE_NUMBER_PR_CHANGE="",IF(TITLE_NUMBER_PR="","",TITLE_NUMBER_PR),TITLE_NUMBER_PR_CHANGE)</f>
        <v/>
      </c>
      <c r="AE35" s="3521"/>
      <c r="AF35" s="3521"/>
      <c r="AG35" s="3521"/>
      <c r="AH35" s="3521"/>
      <c r="AI35" s="3521"/>
      <c r="AJ35" s="3521"/>
      <c r="AK35" s="237"/>
      <c r="AL35" s="237"/>
      <c r="AM35" s="193"/>
      <c r="AN35" s="276"/>
      <c r="AO35" s="276"/>
      <c r="AP35" s="276"/>
      <c r="AQ35" s="276"/>
      <c r="AR35" s="276"/>
    </row>
    <row r="36" spans="1:44" s="1944" customFormat="1" ht="0" hidden="1" customHeight="1">
      <c r="A36" s="1229"/>
      <c r="B36" s="1229"/>
      <c r="C36" s="1229"/>
      <c r="D36" s="1229"/>
      <c r="E36" s="1229"/>
      <c r="F36" s="1229"/>
      <c r="G36" s="1229"/>
      <c r="H36" s="1229"/>
      <c r="I36" s="1229"/>
      <c r="J36" s="1229"/>
      <c r="K36" s="1229"/>
      <c r="L36" s="1230"/>
      <c r="M36" s="1229"/>
      <c r="N36" s="1229"/>
      <c r="O36" s="1229"/>
      <c r="S36" s="234"/>
      <c r="T36" s="234"/>
      <c r="U36" s="1202"/>
      <c r="V36" s="237"/>
      <c r="W36" s="237"/>
      <c r="X36" s="237"/>
      <c r="Y36" s="237"/>
      <c r="Z36" s="237"/>
      <c r="AA36" s="237"/>
      <c r="AB36" s="237"/>
      <c r="AC36" s="191" t="s">
        <v>689</v>
      </c>
      <c r="AD36" s="237"/>
      <c r="AE36" s="237"/>
      <c r="AF36" s="237"/>
      <c r="AG36" s="237"/>
      <c r="AH36" s="237"/>
      <c r="AI36" s="237"/>
      <c r="AJ36" s="237"/>
      <c r="AK36" s="191" t="s">
        <v>689</v>
      </c>
      <c r="AN36" s="276"/>
      <c r="AO36" s="276"/>
      <c r="AP36" s="276"/>
      <c r="AQ36" s="276"/>
      <c r="AR36" s="276"/>
    </row>
    <row r="37" spans="1:44" ht="14.25" customHeight="1">
      <c r="Q37" s="283"/>
      <c r="R37" s="283"/>
      <c r="S37" s="1141"/>
      <c r="T37" s="272"/>
      <c r="U37" s="1110"/>
      <c r="V37" s="3540"/>
      <c r="W37" s="3540"/>
      <c r="X37" s="3540"/>
      <c r="Y37" s="3540"/>
      <c r="Z37" s="3540"/>
      <c r="AA37" s="3540"/>
      <c r="AB37" s="3540"/>
      <c r="AC37" s="3540"/>
      <c r="AD37" s="3540"/>
      <c r="AE37" s="3540"/>
      <c r="AF37" s="3540"/>
      <c r="AG37" s="3540"/>
      <c r="AH37" s="3540"/>
      <c r="AI37" s="3540"/>
      <c r="AJ37" s="3540"/>
      <c r="AK37" s="3540"/>
    </row>
    <row r="38" spans="1:44" ht="14.25" customHeight="1">
      <c r="Q38" s="283"/>
      <c r="R38" s="283"/>
      <c r="S38" s="3401" t="s">
        <v>560</v>
      </c>
      <c r="T38" s="3401"/>
      <c r="U38" s="3401"/>
      <c r="V38" s="3401"/>
      <c r="W38" s="3401"/>
      <c r="X38" s="3401"/>
      <c r="Y38" s="3401"/>
      <c r="Z38" s="3401"/>
      <c r="AA38" s="3401"/>
      <c r="AB38" s="3401"/>
      <c r="AC38" s="3401"/>
      <c r="AD38" s="3401"/>
      <c r="AE38" s="3401"/>
      <c r="AF38" s="3401"/>
      <c r="AG38" s="3401"/>
      <c r="AH38" s="3401"/>
      <c r="AI38" s="3401"/>
      <c r="AJ38" s="3401"/>
      <c r="AK38" s="3401"/>
      <c r="AL38" s="3401"/>
      <c r="AM38" s="3401" t="s">
        <v>561</v>
      </c>
    </row>
    <row r="39" spans="1:44" ht="14.25" customHeight="1">
      <c r="Q39" s="283"/>
      <c r="R39" s="283"/>
      <c r="S39" s="3541" t="s">
        <v>85</v>
      </c>
      <c r="T39" s="3489" t="s">
        <v>690</v>
      </c>
      <c r="U39" s="212"/>
      <c r="V39" s="3542" t="s">
        <v>691</v>
      </c>
      <c r="W39" s="3543"/>
      <c r="X39" s="3543"/>
      <c r="Y39" s="3543"/>
      <c r="Z39" s="3543"/>
      <c r="AA39" s="3543"/>
      <c r="AB39" s="3544"/>
      <c r="AC39" s="3545" t="s">
        <v>692</v>
      </c>
      <c r="AD39" s="3542" t="s">
        <v>691</v>
      </c>
      <c r="AE39" s="3543"/>
      <c r="AF39" s="3543"/>
      <c r="AG39" s="3543"/>
      <c r="AH39" s="3543"/>
      <c r="AI39" s="3543"/>
      <c r="AJ39" s="3544"/>
      <c r="AK39" s="3545" t="s">
        <v>693</v>
      </c>
      <c r="AL39" s="3548" t="s">
        <v>694</v>
      </c>
      <c r="AM39" s="3401"/>
    </row>
    <row r="40" spans="1:44" ht="33.75" customHeight="1">
      <c r="Q40" s="283"/>
      <c r="R40" s="283"/>
      <c r="S40" s="3541"/>
      <c r="T40" s="3489"/>
      <c r="U40" s="901"/>
      <c r="V40" s="3458" t="s">
        <v>695</v>
      </c>
      <c r="W40" s="3537"/>
      <c r="X40" s="3383" t="s">
        <v>697</v>
      </c>
      <c r="Y40" s="3382"/>
      <c r="Z40" s="3383" t="s">
        <v>698</v>
      </c>
      <c r="AA40" s="3388"/>
      <c r="AB40" s="3382"/>
      <c r="AC40" s="3546"/>
      <c r="AD40" s="3458" t="s">
        <v>712</v>
      </c>
      <c r="AE40" s="3537"/>
      <c r="AF40" s="3383" t="s">
        <v>697</v>
      </c>
      <c r="AG40" s="3382"/>
      <c r="AH40" s="3383" t="s">
        <v>698</v>
      </c>
      <c r="AI40" s="3388"/>
      <c r="AJ40" s="3382"/>
      <c r="AK40" s="3546"/>
      <c r="AL40" s="3549"/>
      <c r="AM40" s="3401"/>
    </row>
    <row r="41" spans="1:44" ht="33.75" customHeight="1">
      <c r="A41" s="1231"/>
      <c r="B41" s="1231" t="s">
        <v>403</v>
      </c>
      <c r="C41" s="1231" t="s">
        <v>404</v>
      </c>
      <c r="D41" s="1231" t="s">
        <v>405</v>
      </c>
      <c r="E41" s="1225" t="s">
        <v>699</v>
      </c>
      <c r="F41" s="1225" t="s">
        <v>700</v>
      </c>
      <c r="G41" s="1225" t="s">
        <v>701</v>
      </c>
      <c r="H41" s="1225" t="s">
        <v>702</v>
      </c>
      <c r="I41" s="1225" t="s">
        <v>703</v>
      </c>
      <c r="J41" s="1225" t="s">
        <v>704</v>
      </c>
      <c r="K41" s="1225" t="s">
        <v>705</v>
      </c>
      <c r="L41" s="1225" t="s">
        <v>680</v>
      </c>
      <c r="Q41" s="283"/>
      <c r="R41" s="283"/>
      <c r="S41" s="3541"/>
      <c r="T41" s="3489"/>
      <c r="U41" s="213"/>
      <c r="V41" s="3514"/>
      <c r="W41" s="3538"/>
      <c r="X41" s="1088" t="s">
        <v>706</v>
      </c>
      <c r="Y41" s="1088" t="s">
        <v>707</v>
      </c>
      <c r="Z41" s="1200" t="s">
        <v>708</v>
      </c>
      <c r="AA41" s="3494" t="s">
        <v>709</v>
      </c>
      <c r="AB41" s="3508"/>
      <c r="AC41" s="3547"/>
      <c r="AD41" s="3514"/>
      <c r="AE41" s="3538"/>
      <c r="AF41" s="1088" t="s">
        <v>706</v>
      </c>
      <c r="AG41" s="1088" t="s">
        <v>707</v>
      </c>
      <c r="AH41" s="1200" t="s">
        <v>708</v>
      </c>
      <c r="AI41" s="3494" t="s">
        <v>709</v>
      </c>
      <c r="AJ41" s="3508"/>
      <c r="AK41" s="3547"/>
      <c r="AL41" s="3550"/>
      <c r="AM41" s="3401"/>
    </row>
    <row r="42" spans="1:44" s="1838" customFormat="1" ht="11.25" hidden="1" customHeight="1">
      <c r="A42" s="1231"/>
      <c r="B42" s="1231"/>
      <c r="C42" s="1231"/>
      <c r="D42" s="1231"/>
      <c r="E42" s="1231"/>
      <c r="F42" s="1231"/>
      <c r="G42" s="1231"/>
      <c r="H42" s="1231"/>
      <c r="I42" s="1231"/>
      <c r="J42" s="1231"/>
      <c r="K42" s="1231"/>
      <c r="L42" s="1225"/>
      <c r="M42" s="1223"/>
      <c r="N42" s="1223"/>
      <c r="O42" s="1223"/>
      <c r="P42" s="1112"/>
      <c r="Q42" s="1113"/>
      <c r="R42" s="1120">
        <v>1</v>
      </c>
      <c r="S42" s="1143" t="s">
        <v>106</v>
      </c>
      <c r="T42" s="1121" t="s">
        <v>107</v>
      </c>
      <c r="U42" s="1111" t="str">
        <f ca="1">OFFSET(U42,0,-1)</f>
        <v>2</v>
      </c>
      <c r="V42" s="1197">
        <f ca="1">OFFSET(V42,0,-1)+1</f>
        <v>3</v>
      </c>
      <c r="W42" s="1197"/>
      <c r="X42" s="1197">
        <f ca="1">OFFSET(X42,0,-1)+1</f>
        <v>1</v>
      </c>
      <c r="Y42" s="1197">
        <f ca="1">OFFSET(Y42,0,-1)+1</f>
        <v>2</v>
      </c>
      <c r="Z42" s="1197">
        <f ca="1">OFFSET(Z42,0,-1)+1</f>
        <v>3</v>
      </c>
      <c r="AA42" s="3539">
        <f ca="1">OFFSET(AA42,0,-1)+1</f>
        <v>4</v>
      </c>
      <c r="AB42" s="3539"/>
      <c r="AC42" s="1197">
        <f ca="1">OFFSET(AC42,0,-2)+1</f>
        <v>5</v>
      </c>
      <c r="AD42" s="1197">
        <f ca="1">OFFSET(AD42,0,-1)+1</f>
        <v>6</v>
      </c>
      <c r="AE42" s="1197"/>
      <c r="AF42" s="1197">
        <f ca="1">OFFSET(AF42,0,-1)+1</f>
        <v>1</v>
      </c>
      <c r="AG42" s="1197">
        <f ca="1">OFFSET(AG42,0,-1)+1</f>
        <v>2</v>
      </c>
      <c r="AH42" s="1197">
        <f ca="1">OFFSET(AH42,0,-1)+1</f>
        <v>3</v>
      </c>
      <c r="AI42" s="3539">
        <f ca="1">OFFSET(AI42,0,-1)+1</f>
        <v>4</v>
      </c>
      <c r="AJ42" s="3539"/>
      <c r="AK42" s="1197">
        <f ca="1">OFFSET(AK42,0,-2)+1</f>
        <v>5</v>
      </c>
      <c r="AL42" s="1111">
        <f ca="1">OFFSET(AL42,0,-1)</f>
        <v>5</v>
      </c>
      <c r="AM42" s="1197">
        <f ca="1">OFFSET(AM42,0,-1)+1</f>
        <v>6</v>
      </c>
      <c r="AN42" s="409"/>
      <c r="AO42" s="409"/>
      <c r="AP42" s="409"/>
      <c r="AQ42" s="409"/>
      <c r="AR42" s="409"/>
    </row>
    <row r="43" spans="1:44" ht="21" customHeight="1">
      <c r="A43" s="1224" t="s">
        <v>430</v>
      </c>
      <c r="B43" s="1224"/>
      <c r="C43" s="1224"/>
      <c r="D43" s="1224"/>
      <c r="E43" s="3528">
        <v>1</v>
      </c>
      <c r="F43" s="1224"/>
      <c r="G43" s="1224"/>
      <c r="H43" s="1224"/>
      <c r="I43" s="1224"/>
      <c r="J43" s="1224"/>
      <c r="K43" s="1224"/>
      <c r="L43" s="1225"/>
      <c r="M43" s="1226"/>
      <c r="N43" s="1226"/>
      <c r="O43" s="1226"/>
      <c r="P43" s="270"/>
      <c r="Q43" s="269"/>
      <c r="R43" s="264"/>
      <c r="S43" s="1198">
        <f>INDEX(PT_DIFFERENTIATION_NUM_NTAR,MATCH(A43,PT_DIFFERENTIATION_NTAR_ID,0))</f>
        <v>0</v>
      </c>
      <c r="T43" s="209" t="s">
        <v>391</v>
      </c>
      <c r="U43" s="211"/>
      <c r="V43" s="3522"/>
      <c r="W43" s="3523"/>
      <c r="X43" s="3523"/>
      <c r="Y43" s="3523"/>
      <c r="Z43" s="3523"/>
      <c r="AA43" s="3523"/>
      <c r="AB43" s="3523"/>
      <c r="AC43" s="3524"/>
      <c r="AD43" s="3522" t="str">
        <f>INDEX(PT_DIFFERENTIATION_NTAR,MATCH(A43,PT_DIFFERENTIATION_NTAR_ID,0))</f>
        <v/>
      </c>
      <c r="AE43" s="3523"/>
      <c r="AF43" s="3523"/>
      <c r="AG43" s="3523"/>
      <c r="AH43" s="3523"/>
      <c r="AI43" s="3523"/>
      <c r="AJ43" s="3523"/>
      <c r="AK43" s="3523"/>
      <c r="AL43" s="3524"/>
      <c r="AM43" s="112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398"/>
      <c r="AP43" s="398" t="str">
        <f t="shared" ref="AP43:AP57" si="1">IF(T43="","",T43)</f>
        <v>Наименование тарифа</v>
      </c>
      <c r="AQ43" s="398"/>
      <c r="AR43" s="398"/>
    </row>
    <row r="44" spans="1:44" ht="21" customHeight="1">
      <c r="A44" s="1224" t="s">
        <v>430</v>
      </c>
      <c r="B44" s="1224" t="s">
        <v>431</v>
      </c>
      <c r="C44" s="1224"/>
      <c r="D44" s="1224"/>
      <c r="E44" s="3529"/>
      <c r="F44" s="3528">
        <v>1</v>
      </c>
      <c r="G44" s="1224"/>
      <c r="H44" s="1224"/>
      <c r="I44" s="1224"/>
      <c r="J44" s="1224"/>
      <c r="K44" s="1224"/>
      <c r="L44" s="1225"/>
      <c r="M44" s="1226"/>
      <c r="N44" s="1226"/>
      <c r="O44" s="1226"/>
      <c r="P44" s="1194"/>
      <c r="Q44" s="261"/>
      <c r="R44" s="262"/>
      <c r="S44" s="1198" t="str">
        <f>INDEX(PT_DIFFERENTIATION_NUM_TER,MATCH(B44,PT_DIFFERENTIATION_TER_ID,0))</f>
        <v>.</v>
      </c>
      <c r="T44" s="219" t="s">
        <v>659</v>
      </c>
      <c r="U44" s="211"/>
      <c r="V44" s="3522"/>
      <c r="W44" s="3523"/>
      <c r="X44" s="3523"/>
      <c r="Y44" s="3523"/>
      <c r="Z44" s="3523"/>
      <c r="AA44" s="3523"/>
      <c r="AB44" s="3523"/>
      <c r="AC44" s="3524"/>
      <c r="AD44" s="3522" t="str">
        <f>INDEX(PT_DIFFERENTIATION_TER,MATCH(B44,PT_DIFFERENTIATION_TER_ID,0))</f>
        <v/>
      </c>
      <c r="AE44" s="3523"/>
      <c r="AF44" s="3523"/>
      <c r="AG44" s="3523"/>
      <c r="AH44" s="3523"/>
      <c r="AI44" s="3523"/>
      <c r="AJ44" s="3523"/>
      <c r="AK44" s="3523"/>
      <c r="AL44" s="3524"/>
      <c r="AM44" s="1124" t="s">
        <v>660</v>
      </c>
      <c r="AO44" s="398"/>
      <c r="AP44" s="398" t="str">
        <f t="shared" si="1"/>
        <v>Территория действия тарифа</v>
      </c>
      <c r="AQ44" s="398"/>
      <c r="AR44" s="398"/>
    </row>
    <row r="45" spans="1:44" ht="23.25" customHeight="1">
      <c r="A45" s="1224" t="s">
        <v>430</v>
      </c>
      <c r="B45" s="1224" t="s">
        <v>431</v>
      </c>
      <c r="C45" s="1224" t="s">
        <v>432</v>
      </c>
      <c r="D45" s="1224"/>
      <c r="E45" s="3529"/>
      <c r="F45" s="3529"/>
      <c r="G45" s="3528">
        <v>1</v>
      </c>
      <c r="H45" s="1224"/>
      <c r="I45" s="1224"/>
      <c r="J45" s="1224"/>
      <c r="K45" s="1224"/>
      <c r="L45" s="1225"/>
      <c r="M45" s="1226"/>
      <c r="N45" s="1226"/>
      <c r="O45" s="1226"/>
      <c r="P45" s="263"/>
      <c r="Q45" s="261"/>
      <c r="R45" s="262"/>
      <c r="S45" s="1198" t="str">
        <f>INDEX(PT_DIFFERENTIATION_NUM_CS,MATCH(C45,PT_DIFFERENTIATION_CS_ID,0))</f>
        <v>..</v>
      </c>
      <c r="T45" s="220" t="s">
        <v>661</v>
      </c>
      <c r="U45" s="211"/>
      <c r="V45" s="3522"/>
      <c r="W45" s="3523"/>
      <c r="X45" s="3523"/>
      <c r="Y45" s="3523"/>
      <c r="Z45" s="3523"/>
      <c r="AA45" s="3523"/>
      <c r="AB45" s="3523"/>
      <c r="AC45" s="3524"/>
      <c r="AD45" s="3522" t="str">
        <f>INDEX(PT_DIFFERENTIATION_CS,MATCH(C45,PT_DIFFERENTIATION_CS_ID,0))</f>
        <v/>
      </c>
      <c r="AE45" s="3523"/>
      <c r="AF45" s="3523"/>
      <c r="AG45" s="3523"/>
      <c r="AH45" s="3523"/>
      <c r="AI45" s="3523"/>
      <c r="AJ45" s="3523"/>
      <c r="AK45" s="3523"/>
      <c r="AL45" s="3524"/>
      <c r="AM45" s="1124" t="s">
        <v>662</v>
      </c>
      <c r="AO45" s="398"/>
      <c r="AP45" s="398" t="str">
        <f t="shared" si="1"/>
        <v xml:space="preserve">Наименование системы теплоснабжения </v>
      </c>
      <c r="AQ45" s="398"/>
      <c r="AR45" s="398"/>
    </row>
    <row r="46" spans="1:44" ht="21" customHeight="1">
      <c r="A46" s="1224" t="s">
        <v>430</v>
      </c>
      <c r="B46" s="1224" t="s">
        <v>431</v>
      </c>
      <c r="C46" s="1224" t="s">
        <v>432</v>
      </c>
      <c r="D46" s="1224" t="s">
        <v>433</v>
      </c>
      <c r="E46" s="3529"/>
      <c r="F46" s="3529"/>
      <c r="G46" s="3529"/>
      <c r="H46" s="3528">
        <v>1</v>
      </c>
      <c r="I46" s="1224"/>
      <c r="J46" s="1224"/>
      <c r="K46" s="1224"/>
      <c r="L46" s="1225"/>
      <c r="M46" s="1226"/>
      <c r="N46" s="1226"/>
      <c r="O46" s="1226"/>
      <c r="P46" s="263"/>
      <c r="Q46" s="261"/>
      <c r="R46" s="262"/>
      <c r="S46" s="1198" t="str">
        <f>INDEX(PT_DIFFERENTIATION_NUM_IST_TE,MATCH(D46,PT_DIFFERENTIATION_IST_TE_ID,0))</f>
        <v>...</v>
      </c>
      <c r="T46" s="221" t="s">
        <v>663</v>
      </c>
      <c r="U46" s="211"/>
      <c r="V46" s="3522"/>
      <c r="W46" s="3523"/>
      <c r="X46" s="3523"/>
      <c r="Y46" s="3523"/>
      <c r="Z46" s="3523"/>
      <c r="AA46" s="3523"/>
      <c r="AB46" s="3523"/>
      <c r="AC46" s="3524"/>
      <c r="AD46" s="3522" t="str">
        <f>INDEX(PT_DIFFERENTIATION_IST_TE,MATCH(D46,PT_DIFFERENTIATION_IST_TE_ID,0))</f>
        <v/>
      </c>
      <c r="AE46" s="3523"/>
      <c r="AF46" s="3523"/>
      <c r="AG46" s="3523"/>
      <c r="AH46" s="3523"/>
      <c r="AI46" s="3523"/>
      <c r="AJ46" s="3523"/>
      <c r="AK46" s="3523"/>
      <c r="AL46" s="3524"/>
      <c r="AM46" s="1124" t="s">
        <v>664</v>
      </c>
      <c r="AO46" s="398"/>
      <c r="AP46" s="398" t="str">
        <f t="shared" si="1"/>
        <v xml:space="preserve">Источник тепловой энергии  </v>
      </c>
      <c r="AQ46" s="398"/>
      <c r="AR46" s="398"/>
    </row>
    <row r="47" spans="1:44" s="1866" customFormat="1" ht="0" hidden="1" customHeight="1">
      <c r="A47" s="1205" t="s">
        <v>430</v>
      </c>
      <c r="B47" s="1205" t="s">
        <v>431</v>
      </c>
      <c r="C47" s="1205" t="s">
        <v>432</v>
      </c>
      <c r="D47" s="1205" t="s">
        <v>433</v>
      </c>
      <c r="E47" s="3529"/>
      <c r="F47" s="3529"/>
      <c r="G47" s="3529"/>
      <c r="H47" s="3529"/>
      <c r="I47" s="3530" t="str">
        <f>S46&amp;".1"</f>
        <v>....1</v>
      </c>
      <c r="J47" s="1205"/>
      <c r="K47" s="1205"/>
      <c r="L47" s="1208" t="s">
        <v>665</v>
      </c>
      <c r="M47" s="408"/>
      <c r="N47" s="408"/>
      <c r="O47" s="408"/>
      <c r="P47" s="3532">
        <v>1</v>
      </c>
      <c r="Q47" s="1193"/>
      <c r="R47" s="265"/>
      <c r="S47" s="912"/>
      <c r="T47" s="1244"/>
      <c r="U47" s="1245"/>
      <c r="V47" s="3559"/>
      <c r="W47" s="3560"/>
      <c r="X47" s="3560"/>
      <c r="Y47" s="3560"/>
      <c r="Z47" s="3560"/>
      <c r="AA47" s="3560"/>
      <c r="AB47" s="3560"/>
      <c r="AC47" s="3561"/>
      <c r="AD47" s="3559"/>
      <c r="AE47" s="3560"/>
      <c r="AF47" s="3560"/>
      <c r="AG47" s="3560"/>
      <c r="AH47" s="3560"/>
      <c r="AI47" s="3560"/>
      <c r="AJ47" s="3560"/>
      <c r="AK47" s="3560"/>
      <c r="AL47" s="3561"/>
      <c r="AM47" s="1246"/>
      <c r="AO47" s="398"/>
      <c r="AP47" s="398" t="str">
        <f t="shared" si="1"/>
        <v/>
      </c>
      <c r="AQ47" s="398"/>
      <c r="AR47" s="398"/>
    </row>
    <row r="48" spans="1:44" ht="21" customHeight="1">
      <c r="A48" s="1224" t="s">
        <v>430</v>
      </c>
      <c r="B48" s="1224" t="s">
        <v>431</v>
      </c>
      <c r="C48" s="1224" t="s">
        <v>432</v>
      </c>
      <c r="D48" s="1224" t="s">
        <v>433</v>
      </c>
      <c r="E48" s="3529"/>
      <c r="F48" s="3529"/>
      <c r="G48" s="3529"/>
      <c r="H48" s="3529"/>
      <c r="I48" s="3531"/>
      <c r="J48" s="3530" t="str">
        <f>S46&amp;".1"</f>
        <v>....1</v>
      </c>
      <c r="K48" s="1224"/>
      <c r="L48" s="1225" t="s">
        <v>668</v>
      </c>
      <c r="P48" s="3532"/>
      <c r="Q48" s="3532">
        <v>1</v>
      </c>
      <c r="R48" s="266"/>
      <c r="S48" s="1198" t="str">
        <f>$J48</f>
        <v>....1</v>
      </c>
      <c r="T48" s="198" t="s">
        <v>669</v>
      </c>
      <c r="U48" s="211"/>
      <c r="V48" s="3516"/>
      <c r="W48" s="3517"/>
      <c r="X48" s="3517"/>
      <c r="Y48" s="3517"/>
      <c r="Z48" s="3517"/>
      <c r="AA48" s="3517"/>
      <c r="AB48" s="3517"/>
      <c r="AC48" s="3518"/>
      <c r="AD48" s="3516"/>
      <c r="AE48" s="3517"/>
      <c r="AF48" s="3517"/>
      <c r="AG48" s="3517"/>
      <c r="AH48" s="3517"/>
      <c r="AI48" s="3517"/>
      <c r="AJ48" s="3517"/>
      <c r="AK48" s="3517"/>
      <c r="AL48" s="3518"/>
      <c r="AM48" s="1124" t="s">
        <v>670</v>
      </c>
      <c r="AO48" s="398"/>
      <c r="AP48" s="398" t="str">
        <f t="shared" si="1"/>
        <v>Группа потребителей</v>
      </c>
      <c r="AQ48" s="398"/>
      <c r="AR48" s="398"/>
    </row>
    <row r="49" spans="1:44" ht="21" customHeight="1">
      <c r="A49" s="1224" t="s">
        <v>430</v>
      </c>
      <c r="B49" s="1224" t="s">
        <v>431</v>
      </c>
      <c r="C49" s="1224" t="s">
        <v>432</v>
      </c>
      <c r="D49" s="1224" t="s">
        <v>433</v>
      </c>
      <c r="E49" s="3529"/>
      <c r="F49" s="3529"/>
      <c r="G49" s="3529"/>
      <c r="H49" s="3529"/>
      <c r="I49" s="3531"/>
      <c r="J49" s="3531"/>
      <c r="K49" s="3530" t="str">
        <f>J48&amp;".1"</f>
        <v>....1.1</v>
      </c>
      <c r="L49" s="1225" t="s">
        <v>671</v>
      </c>
      <c r="P49" s="3532"/>
      <c r="Q49" s="3532"/>
      <c r="R49" s="266">
        <v>1</v>
      </c>
      <c r="S49" s="1198" t="str">
        <f>$K49</f>
        <v>....1.1</v>
      </c>
      <c r="T49" s="1209"/>
      <c r="U49" s="211"/>
      <c r="V49" s="639"/>
      <c r="W49" s="236"/>
      <c r="X49" s="639"/>
      <c r="Y49" s="1123"/>
      <c r="Z49" s="3533"/>
      <c r="AA49" s="3412" t="s">
        <v>64</v>
      </c>
      <c r="AB49" s="3533"/>
      <c r="AC49" s="3412" t="s">
        <v>64</v>
      </c>
      <c r="AD49" s="639"/>
      <c r="AE49" s="236"/>
      <c r="AF49" s="639"/>
      <c r="AG49" s="1123"/>
      <c r="AH49" s="3533"/>
      <c r="AI49" s="3412" t="s">
        <v>64</v>
      </c>
      <c r="AJ49" s="3535"/>
      <c r="AK49" s="3412" t="s">
        <v>64</v>
      </c>
      <c r="AL49" s="1210"/>
      <c r="AM49" s="3551" t="s">
        <v>713</v>
      </c>
      <c r="AN49" s="409" t="e">
        <f ca="1">STRCHECKDATE(V50:AL50)</f>
        <v>#NAME?</v>
      </c>
      <c r="AO49" s="398"/>
      <c r="AP49" s="398" t="str">
        <f t="shared" si="1"/>
        <v/>
      </c>
      <c r="AQ49" s="398"/>
      <c r="AR49" s="398"/>
    </row>
    <row r="50" spans="1:44" ht="0.75" customHeight="1">
      <c r="A50" s="1224" t="s">
        <v>430</v>
      </c>
      <c r="B50" s="1224" t="s">
        <v>431</v>
      </c>
      <c r="C50" s="1224" t="s">
        <v>432</v>
      </c>
      <c r="D50" s="1224" t="s">
        <v>433</v>
      </c>
      <c r="E50" s="3529"/>
      <c r="F50" s="3529"/>
      <c r="G50" s="3529"/>
      <c r="H50" s="3529"/>
      <c r="I50" s="3531"/>
      <c r="J50" s="3531"/>
      <c r="K50" s="3530"/>
      <c r="L50" s="1225"/>
      <c r="P50" s="3532"/>
      <c r="Q50" s="3532"/>
      <c r="R50" s="266"/>
      <c r="S50" s="1204"/>
      <c r="T50" s="211"/>
      <c r="U50" s="211"/>
      <c r="V50" s="236"/>
      <c r="W50" s="236"/>
      <c r="X50" s="236"/>
      <c r="Y50" s="239" t="str">
        <f>Z49&amp;"-"&amp;AB49</f>
        <v>-</v>
      </c>
      <c r="Z50" s="3534"/>
      <c r="AA50" s="3412"/>
      <c r="AB50" s="3534"/>
      <c r="AC50" s="3412"/>
      <c r="AD50" s="236"/>
      <c r="AE50" s="236"/>
      <c r="AF50" s="236"/>
      <c r="AG50" s="239" t="str">
        <f>AH49&amp;"-"&amp;AJ49</f>
        <v>-</v>
      </c>
      <c r="AH50" s="3534"/>
      <c r="AI50" s="3412"/>
      <c r="AJ50" s="3536"/>
      <c r="AK50" s="3412"/>
      <c r="AL50" s="1211"/>
      <c r="AM50" s="3552"/>
      <c r="AO50" s="398"/>
      <c r="AP50" s="398" t="str">
        <f t="shared" si="1"/>
        <v/>
      </c>
      <c r="AQ50" s="398"/>
      <c r="AR50" s="398"/>
    </row>
    <row r="51" spans="1:44" ht="11.25" customHeight="1">
      <c r="A51" s="1224" t="s">
        <v>430</v>
      </c>
      <c r="B51" s="1224" t="s">
        <v>431</v>
      </c>
      <c r="C51" s="1224" t="s">
        <v>432</v>
      </c>
      <c r="D51" s="1224" t="s">
        <v>433</v>
      </c>
      <c r="E51" s="3529"/>
      <c r="F51" s="3529"/>
      <c r="G51" s="3529"/>
      <c r="H51" s="3529"/>
      <c r="I51" s="3531"/>
      <c r="J51" s="3530"/>
      <c r="K51" s="1224"/>
      <c r="L51" s="1225"/>
      <c r="P51" s="3532"/>
      <c r="Q51" s="3532"/>
      <c r="R51" s="265"/>
      <c r="S51" s="1144"/>
      <c r="T51" s="199" t="s">
        <v>673</v>
      </c>
      <c r="U51" s="275"/>
      <c r="V51" s="275"/>
      <c r="W51" s="275"/>
      <c r="X51" s="275"/>
      <c r="Y51" s="275"/>
      <c r="Z51" s="275"/>
      <c r="AA51" s="275"/>
      <c r="AB51" s="275"/>
      <c r="AC51" s="275"/>
      <c r="AD51" s="275"/>
      <c r="AE51" s="275"/>
      <c r="AF51" s="275"/>
      <c r="AG51" s="275"/>
      <c r="AH51" s="275"/>
      <c r="AI51" s="275"/>
      <c r="AJ51" s="275"/>
      <c r="AK51" s="275"/>
      <c r="AL51" s="235"/>
      <c r="AM51" s="3553"/>
      <c r="AO51" s="398"/>
      <c r="AP51" s="398" t="str">
        <f t="shared" si="1"/>
        <v>Добавить вид теплоносителя (параметры теплоносителя)</v>
      </c>
      <c r="AQ51" s="398"/>
      <c r="AR51" s="398"/>
    </row>
    <row r="52" spans="1:44" ht="11.25" customHeight="1">
      <c r="A52" s="1224" t="s">
        <v>430</v>
      </c>
      <c r="B52" s="1224" t="s">
        <v>431</v>
      </c>
      <c r="C52" s="1224" t="s">
        <v>432</v>
      </c>
      <c r="D52" s="1224" t="s">
        <v>433</v>
      </c>
      <c r="E52" s="3529"/>
      <c r="F52" s="3529"/>
      <c r="G52" s="3529"/>
      <c r="H52" s="3529"/>
      <c r="I52" s="3530"/>
      <c r="J52" s="1224"/>
      <c r="K52" s="1224"/>
      <c r="L52" s="1225"/>
      <c r="P52" s="3532"/>
      <c r="Q52" s="1193"/>
      <c r="R52" s="265"/>
      <c r="S52" s="1144"/>
      <c r="T52" s="273" t="s">
        <v>674</v>
      </c>
      <c r="U52" s="275"/>
      <c r="V52" s="275"/>
      <c r="W52" s="275"/>
      <c r="X52" s="275"/>
      <c r="Y52" s="275"/>
      <c r="Z52" s="275"/>
      <c r="AA52" s="275"/>
      <c r="AB52" s="275"/>
      <c r="AC52" s="274"/>
      <c r="AD52" s="275"/>
      <c r="AE52" s="275"/>
      <c r="AF52" s="275"/>
      <c r="AG52" s="275"/>
      <c r="AH52" s="275"/>
      <c r="AI52" s="275"/>
      <c r="AJ52" s="275"/>
      <c r="AK52" s="274"/>
      <c r="AL52" s="275"/>
      <c r="AM52" s="214"/>
      <c r="AO52" s="398"/>
      <c r="AP52" s="398" t="str">
        <f t="shared" si="1"/>
        <v>Добавить группу потребителей</v>
      </c>
      <c r="AQ52" s="398"/>
      <c r="AR52" s="398"/>
    </row>
    <row r="53" spans="1:44" ht="0" hidden="1" customHeight="1">
      <c r="A53" s="1224" t="s">
        <v>430</v>
      </c>
      <c r="B53" s="1224" t="s">
        <v>431</v>
      </c>
      <c r="C53" s="1224" t="s">
        <v>432</v>
      </c>
      <c r="D53" s="1224" t="s">
        <v>433</v>
      </c>
      <c r="E53" s="3529"/>
      <c r="F53" s="3529"/>
      <c r="G53" s="3529"/>
      <c r="H53" s="3528"/>
      <c r="I53" s="1224"/>
      <c r="J53" s="1224"/>
      <c r="K53" s="1224"/>
      <c r="L53" s="1225"/>
      <c r="M53" s="1226"/>
      <c r="N53" s="1226"/>
      <c r="O53" s="434"/>
      <c r="P53" s="269"/>
      <c r="Q53" s="282"/>
      <c r="R53" s="264"/>
      <c r="S53" s="1247"/>
      <c r="T53" s="1248"/>
      <c r="U53" s="1249"/>
      <c r="V53" s="1249"/>
      <c r="W53" s="1249"/>
      <c r="X53" s="1249"/>
      <c r="Y53" s="1249"/>
      <c r="Z53" s="1249"/>
      <c r="AA53" s="1249"/>
      <c r="AB53" s="1249"/>
      <c r="AC53" s="1249"/>
      <c r="AD53" s="1249"/>
      <c r="AE53" s="1249"/>
      <c r="AF53" s="1249"/>
      <c r="AG53" s="1249"/>
      <c r="AH53" s="1249"/>
      <c r="AI53" s="1249"/>
      <c r="AJ53" s="1249"/>
      <c r="AK53" s="1249"/>
      <c r="AL53" s="1249"/>
      <c r="AM53" s="1250"/>
      <c r="AO53" s="398"/>
      <c r="AP53" s="398" t="str">
        <f t="shared" si="1"/>
        <v/>
      </c>
      <c r="AQ53" s="398"/>
      <c r="AR53" s="398"/>
    </row>
    <row r="54" spans="1:44" s="1866" customFormat="1" ht="0.75" customHeight="1">
      <c r="A54" s="1205" t="s">
        <v>430</v>
      </c>
      <c r="B54" s="1205" t="s">
        <v>431</v>
      </c>
      <c r="C54" s="1205" t="s">
        <v>432</v>
      </c>
      <c r="D54" s="1177"/>
      <c r="E54" s="3529"/>
      <c r="F54" s="3529"/>
      <c r="G54" s="3528"/>
      <c r="H54" s="1177"/>
      <c r="I54" s="1177"/>
      <c r="J54" s="1177"/>
      <c r="K54" s="1177"/>
      <c r="L54" s="1201"/>
      <c r="M54" s="1178"/>
      <c r="N54" s="1178"/>
      <c r="P54" s="1179"/>
      <c r="Q54" s="1180"/>
      <c r="R54" s="1179"/>
      <c r="S54" s="1185"/>
      <c r="T54" s="1188" t="s">
        <v>676</v>
      </c>
      <c r="U54" s="1187"/>
      <c r="V54" s="1187"/>
      <c r="W54" s="1187"/>
      <c r="X54" s="1187"/>
      <c r="Y54" s="1187"/>
      <c r="Z54" s="1187"/>
      <c r="AA54" s="1187"/>
      <c r="AB54" s="1187"/>
      <c r="AC54" s="1187"/>
      <c r="AD54" s="1187"/>
      <c r="AE54" s="1187"/>
      <c r="AF54" s="1187"/>
      <c r="AG54" s="1187"/>
      <c r="AH54" s="1187"/>
      <c r="AI54" s="1187"/>
      <c r="AJ54" s="1187"/>
      <c r="AK54" s="1187"/>
      <c r="AL54" s="1187"/>
      <c r="AM54" s="1187"/>
      <c r="AO54" s="670"/>
      <c r="AP54" s="670" t="str">
        <f t="shared" si="1"/>
        <v>Добавить источник для дифференциации</v>
      </c>
      <c r="AQ54" s="670"/>
      <c r="AR54" s="670"/>
    </row>
    <row r="55" spans="1:44" s="1866" customFormat="1" ht="0.75" customHeight="1">
      <c r="A55" s="1205" t="s">
        <v>430</v>
      </c>
      <c r="B55" s="1205" t="s">
        <v>431</v>
      </c>
      <c r="C55" s="1177"/>
      <c r="D55" s="1177"/>
      <c r="E55" s="3529"/>
      <c r="F55" s="3528"/>
      <c r="G55" s="1177"/>
      <c r="H55" s="1177"/>
      <c r="I55" s="1177"/>
      <c r="J55" s="1177"/>
      <c r="K55" s="1177"/>
      <c r="L55" s="1201"/>
      <c r="M55" s="1184"/>
      <c r="N55" s="1184"/>
      <c r="P55" s="1179"/>
      <c r="Q55" s="1180"/>
      <c r="R55" s="1179"/>
      <c r="S55" s="1185"/>
      <c r="T55" s="1188" t="s">
        <v>677</v>
      </c>
      <c r="U55" s="1187"/>
      <c r="V55" s="1187"/>
      <c r="W55" s="1187"/>
      <c r="X55" s="1187"/>
      <c r="Y55" s="1187"/>
      <c r="Z55" s="1187"/>
      <c r="AA55" s="1187"/>
      <c r="AB55" s="1187"/>
      <c r="AC55" s="1187"/>
      <c r="AD55" s="1187"/>
      <c r="AE55" s="1187"/>
      <c r="AF55" s="1187"/>
      <c r="AG55" s="1187"/>
      <c r="AH55" s="1187"/>
      <c r="AI55" s="1187"/>
      <c r="AJ55" s="1187"/>
      <c r="AK55" s="1187"/>
      <c r="AL55" s="1187"/>
      <c r="AM55" s="1187"/>
      <c r="AO55" s="670"/>
      <c r="AP55" s="670" t="str">
        <f t="shared" si="1"/>
        <v>Добавить централизованную систему для дифференциации</v>
      </c>
      <c r="AQ55" s="670"/>
      <c r="AR55" s="670"/>
    </row>
    <row r="56" spans="1:44" s="1866" customFormat="1" ht="0.75" customHeight="1">
      <c r="A56" s="1205" t="s">
        <v>430</v>
      </c>
      <c r="B56" s="1205"/>
      <c r="C56" s="1205"/>
      <c r="D56" s="1205"/>
      <c r="E56" s="3528"/>
      <c r="F56" s="1205"/>
      <c r="G56" s="1205"/>
      <c r="H56" s="1205"/>
      <c r="I56" s="1205"/>
      <c r="J56" s="1205"/>
      <c r="K56" s="1205"/>
      <c r="L56" s="1208"/>
      <c r="M56" s="1184"/>
      <c r="N56" s="1184"/>
      <c r="O56" s="416"/>
      <c r="P56" s="287"/>
      <c r="Q56" s="1206"/>
      <c r="R56" s="287"/>
      <c r="S56" s="1185"/>
      <c r="T56" s="1188" t="s">
        <v>678</v>
      </c>
      <c r="U56" s="1187"/>
      <c r="V56" s="1187"/>
      <c r="W56" s="1187"/>
      <c r="X56" s="1187"/>
      <c r="Y56" s="1187"/>
      <c r="Z56" s="1187"/>
      <c r="AA56" s="1187"/>
      <c r="AB56" s="1187"/>
      <c r="AC56" s="1187"/>
      <c r="AD56" s="1187"/>
      <c r="AE56" s="1187"/>
      <c r="AF56" s="1187"/>
      <c r="AG56" s="1187"/>
      <c r="AH56" s="1187"/>
      <c r="AI56" s="1187"/>
      <c r="AJ56" s="1187"/>
      <c r="AK56" s="1187"/>
      <c r="AL56" s="1187"/>
      <c r="AM56" s="1187"/>
      <c r="AO56" s="398"/>
      <c r="AP56" s="398" t="str">
        <f t="shared" si="1"/>
        <v>Добавить территорию для дифференциации</v>
      </c>
      <c r="AQ56" s="398"/>
      <c r="AR56" s="398"/>
    </row>
    <row r="57" spans="1:44" s="1866" customFormat="1" ht="0.75" customHeight="1">
      <c r="A57" s="1177"/>
      <c r="B57" s="1177"/>
      <c r="C57" s="1177"/>
      <c r="D57" s="1177"/>
      <c r="E57" s="1205"/>
      <c r="F57" s="1177"/>
      <c r="G57" s="1177"/>
      <c r="H57" s="1177"/>
      <c r="I57" s="1177"/>
      <c r="J57" s="1177"/>
      <c r="K57" s="1177"/>
      <c r="L57" s="1201"/>
      <c r="M57" s="1184"/>
      <c r="N57" s="1184"/>
      <c r="P57" s="1179"/>
      <c r="Q57" s="1180"/>
      <c r="R57" s="1179"/>
      <c r="S57" s="1185"/>
      <c r="T57" s="1188" t="s">
        <v>710</v>
      </c>
      <c r="U57" s="1187"/>
      <c r="V57" s="1187"/>
      <c r="W57" s="1187"/>
      <c r="X57" s="1187"/>
      <c r="Y57" s="1187"/>
      <c r="Z57" s="1187"/>
      <c r="AA57" s="1187"/>
      <c r="AB57" s="1187"/>
      <c r="AC57" s="1187"/>
      <c r="AD57" s="1187"/>
      <c r="AE57" s="1187"/>
      <c r="AF57" s="1187"/>
      <c r="AG57" s="1187"/>
      <c r="AH57" s="1187"/>
      <c r="AI57" s="1187"/>
      <c r="AJ57" s="1187"/>
      <c r="AK57" s="1187"/>
      <c r="AL57" s="1187"/>
      <c r="AM57" s="1187"/>
      <c r="AO57" s="670"/>
      <c r="AP57" s="670" t="str">
        <f t="shared" si="1"/>
        <v>Добавить наименование тарифа</v>
      </c>
      <c r="AQ57" s="670"/>
      <c r="AR57" s="670"/>
    </row>
    <row r="58" spans="1:44" ht="11.25" customHeight="1">
      <c r="M58" s="1023"/>
      <c r="N58" s="1023"/>
      <c r="O58" s="434"/>
      <c r="P58" s="1018"/>
      <c r="Q58" s="1018"/>
      <c r="R58" s="1018"/>
      <c r="S58" s="1018"/>
      <c r="AN58" s="1018"/>
      <c r="AO58" s="1018"/>
      <c r="AP58" s="1018"/>
      <c r="AQ58" s="1018"/>
      <c r="AR58" s="1018"/>
    </row>
    <row r="59" spans="1:44" ht="18.75" customHeight="1">
      <c r="O59" s="434"/>
      <c r="S59" s="1119"/>
      <c r="T59" s="3527"/>
      <c r="U59" s="3527"/>
      <c r="V59" s="3527"/>
      <c r="W59" s="3527"/>
      <c r="X59" s="3527"/>
      <c r="Y59" s="3527"/>
      <c r="Z59" s="3527"/>
      <c r="AA59" s="3527"/>
      <c r="AB59" s="3527"/>
      <c r="AC59" s="3527"/>
      <c r="AD59" s="3527"/>
      <c r="AE59" s="3527"/>
      <c r="AF59" s="3527"/>
      <c r="AG59" s="3527"/>
      <c r="AH59" s="3527"/>
      <c r="AI59" s="3527"/>
      <c r="AJ59" s="3527"/>
      <c r="AK59" s="3527"/>
      <c r="AL59" s="3527"/>
      <c r="AM59" s="3527"/>
    </row>
    <row r="60" spans="1:44" ht="27.75" customHeight="1">
      <c r="O60" s="434"/>
      <c r="T60" s="3527"/>
      <c r="U60" s="3527"/>
      <c r="V60" s="3527"/>
      <c r="W60" s="3527"/>
      <c r="X60" s="3527"/>
      <c r="Y60" s="3527"/>
      <c r="Z60" s="3527"/>
      <c r="AA60" s="3527"/>
      <c r="AB60" s="3527"/>
      <c r="AC60" s="3527"/>
      <c r="AD60" s="3527"/>
      <c r="AE60" s="3527"/>
      <c r="AF60" s="3527"/>
      <c r="AG60" s="3527"/>
      <c r="AH60" s="3527"/>
      <c r="AI60" s="3527"/>
      <c r="AJ60" s="3527"/>
      <c r="AK60" s="3527"/>
      <c r="AL60" s="3527"/>
      <c r="AM60" s="3527"/>
    </row>
    <row r="61" spans="1:44" ht="39.75" customHeight="1">
      <c r="O61" s="434"/>
      <c r="T61" s="3527"/>
      <c r="U61" s="3527"/>
      <c r="V61" s="3527"/>
      <c r="W61" s="3527"/>
      <c r="X61" s="3527"/>
      <c r="Y61" s="3527"/>
      <c r="Z61" s="3527"/>
      <c r="AA61" s="3527"/>
      <c r="AB61" s="3527"/>
      <c r="AC61" s="3527"/>
      <c r="AD61" s="3527"/>
      <c r="AE61" s="3527"/>
      <c r="AF61" s="3527"/>
      <c r="AG61" s="3527"/>
      <c r="AH61" s="3527"/>
      <c r="AI61" s="3527"/>
      <c r="AJ61" s="3527"/>
      <c r="AK61" s="3527"/>
      <c r="AL61" s="3527"/>
      <c r="AM61" s="3527"/>
    </row>
    <row r="62" spans="1:44" ht="14.25" customHeight="1">
      <c r="O62" s="434"/>
    </row>
    <row r="63" spans="1:44" ht="19.5" customHeight="1">
      <c r="O63" s="434"/>
      <c r="S63" s="1119"/>
      <c r="T63" s="3441"/>
      <c r="U63" s="3527"/>
      <c r="V63" s="3527"/>
      <c r="W63" s="3527"/>
      <c r="X63" s="3527"/>
      <c r="Y63" s="3527"/>
      <c r="Z63" s="3527"/>
      <c r="AA63" s="3527"/>
      <c r="AB63" s="3527"/>
      <c r="AC63" s="3527"/>
      <c r="AD63" s="3527"/>
      <c r="AE63" s="3527"/>
      <c r="AF63" s="3527"/>
      <c r="AG63" s="3527"/>
      <c r="AH63" s="3527"/>
      <c r="AI63" s="3527"/>
      <c r="AJ63" s="3527"/>
      <c r="AK63" s="3527"/>
      <c r="AL63" s="3527"/>
      <c r="AM63" s="3527"/>
    </row>
    <row r="64" spans="1:44" ht="27.75" customHeight="1">
      <c r="O64" s="434"/>
      <c r="T64" s="3527"/>
      <c r="U64" s="3527"/>
      <c r="V64" s="3527"/>
      <c r="W64" s="3527"/>
      <c r="X64" s="3527"/>
      <c r="Y64" s="3527"/>
      <c r="Z64" s="3527"/>
      <c r="AA64" s="3527"/>
      <c r="AB64" s="3527"/>
      <c r="AC64" s="3527"/>
      <c r="AD64" s="3527"/>
      <c r="AE64" s="3527"/>
      <c r="AF64" s="3527"/>
      <c r="AG64" s="3527"/>
      <c r="AH64" s="3527"/>
      <c r="AI64" s="3527"/>
      <c r="AJ64" s="3527"/>
      <c r="AK64" s="3527"/>
      <c r="AL64" s="3527"/>
      <c r="AM64" s="3527"/>
    </row>
    <row r="65" spans="20:39" ht="33.75" customHeight="1">
      <c r="T65" s="3527"/>
      <c r="U65" s="3527"/>
      <c r="V65" s="3527"/>
      <c r="W65" s="3527"/>
      <c r="X65" s="3527"/>
      <c r="Y65" s="3527"/>
      <c r="Z65" s="3527"/>
      <c r="AA65" s="3527"/>
      <c r="AB65" s="3527"/>
      <c r="AC65" s="3527"/>
      <c r="AD65" s="3527"/>
      <c r="AE65" s="3527"/>
      <c r="AF65" s="3527"/>
      <c r="AG65" s="3527"/>
      <c r="AH65" s="3527"/>
      <c r="AI65" s="3527"/>
      <c r="AJ65" s="3527"/>
      <c r="AK65" s="3527"/>
      <c r="AL65" s="3527"/>
      <c r="AM65" s="3527"/>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CDAF1-D77A-D10A-B87B-805CA1E4F5E8}">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03" hidden="1"/>
    <col min="2" max="2" width="11" style="1903" hidden="1" customWidth="1"/>
    <col min="3" max="3" width="10.5703125" style="1903" hidden="1"/>
    <col min="4" max="4" width="11.85546875" style="1903" hidden="1" customWidth="1"/>
    <col min="5" max="5" width="10" style="1903" hidden="1" customWidth="1"/>
    <col min="6" max="6" width="8.7109375" style="1903" hidden="1" customWidth="1"/>
    <col min="7" max="7" width="7.5703125" style="1903" hidden="1" customWidth="1"/>
    <col min="8" max="8" width="11.42578125" style="1903" hidden="1" customWidth="1"/>
    <col min="9" max="9" width="12" style="1903" hidden="1" customWidth="1"/>
    <col min="10" max="10" width="9.85546875" style="1903" hidden="1" customWidth="1"/>
    <col min="11" max="11" width="11.42578125" style="1903" hidden="1" customWidth="1"/>
    <col min="12" max="12" width="19.140625" style="1953" hidden="1" customWidth="1"/>
    <col min="13" max="14" width="12.28515625" style="1839" hidden="1" customWidth="1"/>
    <col min="15" max="15" width="23.42578125" style="1839" hidden="1" customWidth="1"/>
    <col min="16" max="16" width="3.7109375" style="1957" hidden="1" customWidth="1"/>
    <col min="17" max="18" width="3.7109375" style="1906" customWidth="1"/>
    <col min="19" max="19" width="12.7109375" style="1951" customWidth="1"/>
    <col min="20" max="20" width="32" style="1910" customWidth="1"/>
    <col min="21" max="21" width="0.140625" style="1910" customWidth="1"/>
    <col min="22" max="22" width="24.7109375" style="1910" hidden="1" customWidth="1"/>
    <col min="23" max="23" width="0.140625" style="1910" hidden="1" customWidth="1"/>
    <col min="24" max="25" width="24.7109375" style="1910" hidden="1" customWidth="1"/>
    <col min="26" max="26" width="11.7109375" style="1910" hidden="1" customWidth="1"/>
    <col min="27" max="27" width="3.7109375" style="1910" hidden="1" customWidth="1"/>
    <col min="28" max="28" width="11.7109375" style="1910" hidden="1" customWidth="1"/>
    <col min="29" max="29" width="8.5703125" style="1910" hidden="1" customWidth="1"/>
    <col min="30" max="30" width="24.7109375" style="1910" customWidth="1"/>
    <col min="31" max="31" width="0.140625" style="1910" customWidth="1"/>
    <col min="32" max="33" width="24.7109375" style="1910" customWidth="1"/>
    <col min="34" max="34" width="11.7109375" style="1910" customWidth="1"/>
    <col min="35" max="35" width="3.7109375" style="1910" customWidth="1"/>
    <col min="36" max="36" width="11.7109375" style="1910" customWidth="1"/>
    <col min="37" max="37" width="8.5703125" style="1910" hidden="1" customWidth="1"/>
    <col min="38" max="38" width="4.7109375" style="1910" customWidth="1"/>
    <col min="39" max="39" width="115.7109375" style="1910" customWidth="1"/>
    <col min="40" max="41" width="10.5703125" style="1866"/>
    <col min="42" max="42" width="11.140625" style="1866" customWidth="1"/>
    <col min="43" max="44" width="10.5703125" style="1866"/>
  </cols>
  <sheetData>
    <row r="1" spans="1:44" ht="14.25" hidden="1" customHeight="1">
      <c r="A1" s="1711"/>
      <c r="Y1" s="238"/>
      <c r="Z1" s="238"/>
      <c r="AG1" s="238"/>
      <c r="AH1" s="238"/>
    </row>
    <row r="2" spans="1:44" ht="21" hidden="1" customHeight="1">
      <c r="A2" s="1224"/>
      <c r="B2" s="1224"/>
      <c r="C2" s="1224"/>
      <c r="D2" s="1224"/>
      <c r="E2" s="3528">
        <v>1</v>
      </c>
      <c r="F2" s="1224"/>
      <c r="G2" s="1224"/>
      <c r="H2" s="1224"/>
      <c r="I2" s="1224"/>
      <c r="J2" s="1224"/>
      <c r="K2" s="1224"/>
      <c r="L2" s="1225"/>
      <c r="M2" s="1226"/>
      <c r="N2" s="1226"/>
      <c r="O2" s="1226"/>
      <c r="P2" s="270"/>
      <c r="Q2" s="269"/>
      <c r="R2" s="264"/>
      <c r="S2" s="1198" t="e">
        <f>INDEX(PT_DIFFERENTIATION_NUM_NTAR,MATCH(A2,PT_DIFFERENTIATION_NTAR_ID,0))</f>
        <v>#N/A</v>
      </c>
      <c r="T2" s="209" t="s">
        <v>391</v>
      </c>
      <c r="U2" s="211"/>
      <c r="V2" s="3522"/>
      <c r="W2" s="3523"/>
      <c r="X2" s="3523"/>
      <c r="Y2" s="3523"/>
      <c r="Z2" s="3523"/>
      <c r="AA2" s="3523"/>
      <c r="AB2" s="3523"/>
      <c r="AC2" s="3524"/>
      <c r="AD2" s="3522" t="e">
        <f>INDEX(PT_DIFFERENTIATION_NTAR,MATCH(A2,PT_DIFFERENTIATION_NTAR_ID,0))</f>
        <v>#N/A</v>
      </c>
      <c r="AE2" s="3523"/>
      <c r="AF2" s="3523"/>
      <c r="AG2" s="3523"/>
      <c r="AH2" s="3523"/>
      <c r="AI2" s="3523"/>
      <c r="AJ2" s="3523"/>
      <c r="AK2" s="3523"/>
      <c r="AL2" s="3524"/>
      <c r="AM2" s="1124" t="s">
        <v>658</v>
      </c>
      <c r="AO2" s="398"/>
      <c r="AP2" s="398" t="str">
        <f t="shared" ref="AP2:AP15" si="0">IF(T2="","",T2)</f>
        <v>Наименование тарифа</v>
      </c>
      <c r="AQ2" s="398"/>
      <c r="AR2" s="398"/>
    </row>
    <row r="3" spans="1:44" ht="21" hidden="1" customHeight="1">
      <c r="A3" s="1224"/>
      <c r="B3" s="1224"/>
      <c r="C3" s="1224"/>
      <c r="D3" s="1224"/>
      <c r="E3" s="3529"/>
      <c r="F3" s="3528">
        <v>1</v>
      </c>
      <c r="G3" s="1224"/>
      <c r="H3" s="1224"/>
      <c r="I3" s="1224"/>
      <c r="J3" s="1224"/>
      <c r="K3" s="1224"/>
      <c r="L3" s="1225"/>
      <c r="M3" s="1226"/>
      <c r="N3" s="1226"/>
      <c r="O3" s="1226"/>
      <c r="P3" s="1194"/>
      <c r="Q3" s="261"/>
      <c r="R3" s="262"/>
      <c r="S3" s="1198" t="e">
        <f>INDEX(PT_DIFFERENTIATION_NUM_TER,MATCH(B3,PT_DIFFERENTIATION_TER_ID,0))</f>
        <v>#N/A</v>
      </c>
      <c r="T3" s="219" t="s">
        <v>659</v>
      </c>
      <c r="U3" s="211"/>
      <c r="V3" s="3522"/>
      <c r="W3" s="3523"/>
      <c r="X3" s="3523"/>
      <c r="Y3" s="3523"/>
      <c r="Z3" s="3523"/>
      <c r="AA3" s="3523"/>
      <c r="AB3" s="3523"/>
      <c r="AC3" s="3524"/>
      <c r="AD3" s="3522" t="e">
        <f>INDEX(PT_DIFFERENTIATION_TER,MATCH(B3,PT_DIFFERENTIATION_TER_ID,0))</f>
        <v>#N/A</v>
      </c>
      <c r="AE3" s="3523"/>
      <c r="AF3" s="3523"/>
      <c r="AG3" s="3523"/>
      <c r="AH3" s="3523"/>
      <c r="AI3" s="3523"/>
      <c r="AJ3" s="3523"/>
      <c r="AK3" s="3523"/>
      <c r="AL3" s="3524"/>
      <c r="AM3" s="1124" t="s">
        <v>660</v>
      </c>
      <c r="AO3" s="398"/>
      <c r="AP3" s="398" t="str">
        <f t="shared" si="0"/>
        <v>Территория действия тарифа</v>
      </c>
      <c r="AQ3" s="398"/>
      <c r="AR3" s="398"/>
    </row>
    <row r="4" spans="1:44" ht="23.25" hidden="1" customHeight="1">
      <c r="A4" s="1224"/>
      <c r="B4" s="1224"/>
      <c r="C4" s="1224"/>
      <c r="D4" s="1224"/>
      <c r="E4" s="3529"/>
      <c r="F4" s="3529"/>
      <c r="G4" s="3528">
        <v>1</v>
      </c>
      <c r="H4" s="1224"/>
      <c r="I4" s="1224"/>
      <c r="J4" s="1224"/>
      <c r="K4" s="1224"/>
      <c r="L4" s="1225"/>
      <c r="M4" s="1226"/>
      <c r="N4" s="1226"/>
      <c r="O4" s="1226"/>
      <c r="P4" s="263"/>
      <c r="Q4" s="261"/>
      <c r="R4" s="262"/>
      <c r="S4" s="1198" t="e">
        <f>INDEX(PT_DIFFERENTIATION_NUM_CS,MATCH(C4,PT_DIFFERENTIATION_CS_ID,0))</f>
        <v>#N/A</v>
      </c>
      <c r="T4" s="220" t="s">
        <v>661</v>
      </c>
      <c r="U4" s="211"/>
      <c r="V4" s="3522"/>
      <c r="W4" s="3523"/>
      <c r="X4" s="3523"/>
      <c r="Y4" s="3523"/>
      <c r="Z4" s="3523"/>
      <c r="AA4" s="3523"/>
      <c r="AB4" s="3523"/>
      <c r="AC4" s="3524"/>
      <c r="AD4" s="3522" t="e">
        <f>INDEX(PT_DIFFERENTIATION_CS,MATCH(C4,PT_DIFFERENTIATION_CS_ID,0))</f>
        <v>#N/A</v>
      </c>
      <c r="AE4" s="3523"/>
      <c r="AF4" s="3523"/>
      <c r="AG4" s="3523"/>
      <c r="AH4" s="3523"/>
      <c r="AI4" s="3523"/>
      <c r="AJ4" s="3523"/>
      <c r="AK4" s="3523"/>
      <c r="AL4" s="3524"/>
      <c r="AM4" s="1124" t="s">
        <v>662</v>
      </c>
      <c r="AO4" s="398"/>
      <c r="AP4" s="398" t="str">
        <f t="shared" si="0"/>
        <v xml:space="preserve">Наименование системы теплоснабжения </v>
      </c>
      <c r="AQ4" s="398"/>
      <c r="AR4" s="398"/>
    </row>
    <row r="5" spans="1:44" ht="21" hidden="1" customHeight="1">
      <c r="A5" s="1224"/>
      <c r="B5" s="1224"/>
      <c r="C5" s="1224"/>
      <c r="D5" s="1224"/>
      <c r="E5" s="3529"/>
      <c r="F5" s="3529"/>
      <c r="G5" s="3529"/>
      <c r="H5" s="3528">
        <v>1</v>
      </c>
      <c r="I5" s="1224"/>
      <c r="J5" s="1224"/>
      <c r="K5" s="1224"/>
      <c r="L5" s="1225"/>
      <c r="M5" s="1226"/>
      <c r="N5" s="1226"/>
      <c r="O5" s="1226"/>
      <c r="P5" s="263"/>
      <c r="Q5" s="261"/>
      <c r="R5" s="262"/>
      <c r="S5" s="1198" t="e">
        <f>INDEX(PT_DIFFERENTIATION_NUM_IST_TE,MATCH(D5,PT_DIFFERENTIATION_IST_TE_ID,0))</f>
        <v>#N/A</v>
      </c>
      <c r="T5" s="221" t="s">
        <v>663</v>
      </c>
      <c r="U5" s="211"/>
      <c r="V5" s="3522"/>
      <c r="W5" s="3523"/>
      <c r="X5" s="3523"/>
      <c r="Y5" s="3523"/>
      <c r="Z5" s="3523"/>
      <c r="AA5" s="3523"/>
      <c r="AB5" s="3523"/>
      <c r="AC5" s="3524"/>
      <c r="AD5" s="3522" t="e">
        <f>INDEX(PT_DIFFERENTIATION_IST_TE,MATCH(D5,PT_DIFFERENTIATION_IST_TE_ID,0))</f>
        <v>#N/A</v>
      </c>
      <c r="AE5" s="3523"/>
      <c r="AF5" s="3523"/>
      <c r="AG5" s="3523"/>
      <c r="AH5" s="3523"/>
      <c r="AI5" s="3523"/>
      <c r="AJ5" s="3523"/>
      <c r="AK5" s="3523"/>
      <c r="AL5" s="3524"/>
      <c r="AM5" s="1124" t="s">
        <v>664</v>
      </c>
      <c r="AO5" s="398"/>
      <c r="AP5" s="398" t="str">
        <f t="shared" si="0"/>
        <v xml:space="preserve">Источник тепловой энергии  </v>
      </c>
      <c r="AQ5" s="398"/>
      <c r="AR5" s="398"/>
    </row>
    <row r="6" spans="1:44" ht="14.25" hidden="1" customHeight="1">
      <c r="A6" s="1224"/>
      <c r="B6" s="1224"/>
      <c r="C6" s="1224"/>
      <c r="D6" s="1224"/>
      <c r="E6" s="3529"/>
      <c r="F6" s="3529"/>
      <c r="G6" s="3529"/>
      <c r="H6" s="3529"/>
      <c r="I6" s="3530" t="e">
        <f>S5&amp;".1"</f>
        <v>#N/A</v>
      </c>
      <c r="J6" s="1224"/>
      <c r="K6" s="1224"/>
      <c r="L6" s="1225" t="s">
        <v>665</v>
      </c>
      <c r="M6" s="434"/>
      <c r="P6" s="3532">
        <v>1</v>
      </c>
      <c r="Q6" s="1193"/>
      <c r="R6" s="265"/>
      <c r="S6" s="912"/>
      <c r="T6" s="1244"/>
      <c r="U6" s="1245"/>
      <c r="V6" s="3559"/>
      <c r="W6" s="3560"/>
      <c r="X6" s="3560"/>
      <c r="Y6" s="3560"/>
      <c r="Z6" s="3560"/>
      <c r="AA6" s="3560"/>
      <c r="AB6" s="3560"/>
      <c r="AC6" s="3561"/>
      <c r="AD6" s="3559"/>
      <c r="AE6" s="3560"/>
      <c r="AF6" s="3560"/>
      <c r="AG6" s="3560"/>
      <c r="AH6" s="3560"/>
      <c r="AI6" s="3560"/>
      <c r="AJ6" s="3560"/>
      <c r="AK6" s="3560"/>
      <c r="AL6" s="3561"/>
      <c r="AM6" s="1246"/>
      <c r="AO6" s="398"/>
      <c r="AP6" s="398" t="str">
        <f t="shared" si="0"/>
        <v/>
      </c>
      <c r="AQ6" s="398"/>
      <c r="AR6" s="398"/>
    </row>
    <row r="7" spans="1:44" ht="21" hidden="1" customHeight="1">
      <c r="A7" s="1224"/>
      <c r="B7" s="1224"/>
      <c r="C7" s="1224"/>
      <c r="D7" s="1224"/>
      <c r="E7" s="3529"/>
      <c r="F7" s="3529"/>
      <c r="G7" s="3529"/>
      <c r="H7" s="3529"/>
      <c r="I7" s="3531"/>
      <c r="J7" s="3530" t="e">
        <f>I6&amp;".1"</f>
        <v>#N/A</v>
      </c>
      <c r="K7" s="1224"/>
      <c r="L7" s="1225" t="s">
        <v>668</v>
      </c>
      <c r="M7" s="434"/>
      <c r="N7" s="1227"/>
      <c r="P7" s="3532"/>
      <c r="Q7" s="3532">
        <v>1</v>
      </c>
      <c r="R7" s="266"/>
      <c r="S7" s="1198" t="e">
        <f>$J7</f>
        <v>#N/A</v>
      </c>
      <c r="T7" s="198" t="s">
        <v>669</v>
      </c>
      <c r="U7" s="211"/>
      <c r="V7" s="3516"/>
      <c r="W7" s="3517"/>
      <c r="X7" s="3517"/>
      <c r="Y7" s="3517"/>
      <c r="Z7" s="3517"/>
      <c r="AA7" s="3517"/>
      <c r="AB7" s="3517"/>
      <c r="AC7" s="3518"/>
      <c r="AD7" s="3516"/>
      <c r="AE7" s="3517"/>
      <c r="AF7" s="3517"/>
      <c r="AG7" s="3517"/>
      <c r="AH7" s="3517"/>
      <c r="AI7" s="3517"/>
      <c r="AJ7" s="3517"/>
      <c r="AK7" s="3517"/>
      <c r="AL7" s="3518"/>
      <c r="AM7" s="1124" t="s">
        <v>670</v>
      </c>
      <c r="AO7" s="398"/>
      <c r="AP7" s="398" t="str">
        <f t="shared" si="0"/>
        <v>Группа потребителей</v>
      </c>
      <c r="AQ7" s="398"/>
      <c r="AR7" s="398"/>
    </row>
    <row r="8" spans="1:44" ht="21" hidden="1" customHeight="1">
      <c r="A8" s="1224"/>
      <c r="B8" s="1224"/>
      <c r="C8" s="1224"/>
      <c r="D8" s="1224"/>
      <c r="E8" s="3529"/>
      <c r="F8" s="3529"/>
      <c r="G8" s="3529"/>
      <c r="H8" s="3529"/>
      <c r="I8" s="3531"/>
      <c r="J8" s="3531"/>
      <c r="K8" s="3530" t="e">
        <f>J7&amp;".1"</f>
        <v>#N/A</v>
      </c>
      <c r="L8" s="1225" t="s">
        <v>671</v>
      </c>
      <c r="M8" s="434"/>
      <c r="N8" s="1227"/>
      <c r="O8" s="1227"/>
      <c r="P8" s="3532"/>
      <c r="Q8" s="3532"/>
      <c r="R8" s="266">
        <v>1</v>
      </c>
      <c r="S8" s="1198" t="e">
        <f>$K8</f>
        <v>#N/A</v>
      </c>
      <c r="T8" s="1209"/>
      <c r="U8" s="211"/>
      <c r="V8" s="639"/>
      <c r="W8" s="236"/>
      <c r="X8" s="639"/>
      <c r="Y8" s="1123"/>
      <c r="Z8" s="3533"/>
      <c r="AA8" s="3412" t="s">
        <v>64</v>
      </c>
      <c r="AB8" s="3533"/>
      <c r="AC8" s="3412" t="s">
        <v>64</v>
      </c>
      <c r="AD8" s="639"/>
      <c r="AE8" s="236"/>
      <c r="AF8" s="639"/>
      <c r="AG8" s="1123"/>
      <c r="AH8" s="3533"/>
      <c r="AI8" s="3412" t="s">
        <v>64</v>
      </c>
      <c r="AJ8" s="3533"/>
      <c r="AK8" s="3412" t="s">
        <v>64</v>
      </c>
      <c r="AL8" s="236"/>
      <c r="AM8" s="3551" t="s">
        <v>672</v>
      </c>
      <c r="AN8" s="409" t="e">
        <f ca="1">STRCHECKDATE(V9:AL9)</f>
        <v>#NAME?</v>
      </c>
      <c r="AO8" s="398"/>
      <c r="AP8" s="398" t="str">
        <f t="shared" si="0"/>
        <v/>
      </c>
      <c r="AQ8" s="398"/>
      <c r="AR8" s="398"/>
    </row>
    <row r="9" spans="1:44" ht="14.25" hidden="1" customHeight="1">
      <c r="A9" s="1224"/>
      <c r="B9" s="1224"/>
      <c r="C9" s="1224"/>
      <c r="D9" s="1224"/>
      <c r="E9" s="3529"/>
      <c r="F9" s="3529"/>
      <c r="G9" s="3529"/>
      <c r="H9" s="3529"/>
      <c r="I9" s="3531"/>
      <c r="J9" s="3531"/>
      <c r="K9" s="3530"/>
      <c r="L9" s="1225"/>
      <c r="M9" s="434"/>
      <c r="N9" s="1227"/>
      <c r="O9" s="1227"/>
      <c r="P9" s="3532"/>
      <c r="Q9" s="3532"/>
      <c r="R9" s="266"/>
      <c r="S9" s="1204"/>
      <c r="T9" s="211"/>
      <c r="U9" s="211"/>
      <c r="V9" s="236"/>
      <c r="W9" s="236"/>
      <c r="X9" s="236"/>
      <c r="Y9" s="239" t="str">
        <f>Z8&amp;"-"&amp;AB8</f>
        <v>-</v>
      </c>
      <c r="Z9" s="3534"/>
      <c r="AA9" s="3412"/>
      <c r="AB9" s="3534"/>
      <c r="AC9" s="3412"/>
      <c r="AD9" s="236"/>
      <c r="AE9" s="236"/>
      <c r="AF9" s="236"/>
      <c r="AG9" s="239" t="str">
        <f>AH8&amp;"-"&amp;AJ8</f>
        <v>-</v>
      </c>
      <c r="AH9" s="3534"/>
      <c r="AI9" s="3412"/>
      <c r="AJ9" s="3534"/>
      <c r="AK9" s="3412"/>
      <c r="AL9" s="236"/>
      <c r="AM9" s="3552"/>
      <c r="AO9" s="398"/>
      <c r="AP9" s="398" t="str">
        <f t="shared" si="0"/>
        <v/>
      </c>
      <c r="AQ9" s="398"/>
      <c r="AR9" s="398"/>
    </row>
    <row r="10" spans="1:44" ht="15" hidden="1" customHeight="1">
      <c r="A10" s="1224"/>
      <c r="B10" s="1224"/>
      <c r="C10" s="1224"/>
      <c r="D10" s="1224"/>
      <c r="E10" s="3529"/>
      <c r="F10" s="3529"/>
      <c r="G10" s="3529"/>
      <c r="H10" s="3529"/>
      <c r="I10" s="3531"/>
      <c r="J10" s="3530"/>
      <c r="K10" s="1224"/>
      <c r="L10" s="1225"/>
      <c r="M10" s="434"/>
      <c r="N10" s="1227"/>
      <c r="P10" s="3532"/>
      <c r="Q10" s="3532"/>
      <c r="R10" s="265"/>
      <c r="S10" s="1144"/>
      <c r="T10" s="199" t="s">
        <v>673</v>
      </c>
      <c r="U10" s="275"/>
      <c r="V10" s="275"/>
      <c r="W10" s="275"/>
      <c r="X10" s="275"/>
      <c r="Y10" s="275"/>
      <c r="Z10" s="275"/>
      <c r="AA10" s="275"/>
      <c r="AB10" s="275"/>
      <c r="AC10" s="275"/>
      <c r="AD10" s="275"/>
      <c r="AE10" s="275"/>
      <c r="AF10" s="275"/>
      <c r="AG10" s="275"/>
      <c r="AH10" s="275"/>
      <c r="AI10" s="275"/>
      <c r="AJ10" s="275"/>
      <c r="AK10" s="275"/>
      <c r="AL10" s="235"/>
      <c r="AM10" s="3553"/>
      <c r="AO10" s="398"/>
      <c r="AP10" s="398" t="str">
        <f t="shared" si="0"/>
        <v>Добавить вид теплоносителя (параметры теплоносителя)</v>
      </c>
      <c r="AQ10" s="398"/>
      <c r="AR10" s="398"/>
    </row>
    <row r="11" spans="1:44" ht="11.25" hidden="1" customHeight="1">
      <c r="A11" s="1224"/>
      <c r="B11" s="1224"/>
      <c r="C11" s="1224"/>
      <c r="D11" s="1224"/>
      <c r="E11" s="3529"/>
      <c r="F11" s="3529"/>
      <c r="G11" s="3529"/>
      <c r="H11" s="3529"/>
      <c r="I11" s="3530"/>
      <c r="J11" s="1224"/>
      <c r="K11" s="1224"/>
      <c r="L11" s="1225"/>
      <c r="M11" s="434"/>
      <c r="P11" s="3532"/>
      <c r="Q11" s="1193"/>
      <c r="R11" s="265"/>
      <c r="S11" s="1144"/>
      <c r="T11" s="273" t="s">
        <v>674</v>
      </c>
      <c r="U11" s="275"/>
      <c r="V11" s="275"/>
      <c r="W11" s="275"/>
      <c r="X11" s="275"/>
      <c r="Y11" s="275"/>
      <c r="Z11" s="275"/>
      <c r="AA11" s="275"/>
      <c r="AB11" s="275"/>
      <c r="AC11" s="274"/>
      <c r="AD11" s="275"/>
      <c r="AE11" s="275"/>
      <c r="AF11" s="275"/>
      <c r="AG11" s="275"/>
      <c r="AH11" s="275"/>
      <c r="AI11" s="275"/>
      <c r="AJ11" s="275"/>
      <c r="AK11" s="274"/>
      <c r="AL11" s="275"/>
      <c r="AM11" s="214"/>
      <c r="AO11" s="398"/>
      <c r="AP11" s="398" t="str">
        <f t="shared" si="0"/>
        <v>Добавить группу потребителей</v>
      </c>
      <c r="AQ11" s="398"/>
      <c r="AR11" s="398"/>
    </row>
    <row r="12" spans="1:44" ht="14.25" hidden="1" customHeight="1">
      <c r="A12" s="1224"/>
      <c r="B12" s="1224"/>
      <c r="C12" s="1224"/>
      <c r="D12" s="1224"/>
      <c r="E12" s="3529"/>
      <c r="F12" s="3529"/>
      <c r="G12" s="3529"/>
      <c r="H12" s="3528"/>
      <c r="I12" s="1224"/>
      <c r="J12" s="1224"/>
      <c r="K12" s="1224"/>
      <c r="L12" s="1225"/>
      <c r="M12" s="1226"/>
      <c r="N12" s="1226"/>
      <c r="O12" s="434"/>
      <c r="P12" s="269"/>
      <c r="Q12" s="282"/>
      <c r="R12" s="264"/>
      <c r="S12" s="1247"/>
      <c r="T12" s="1248"/>
      <c r="U12" s="1249"/>
      <c r="V12" s="1249"/>
      <c r="W12" s="1249"/>
      <c r="X12" s="1249"/>
      <c r="Y12" s="1249"/>
      <c r="Z12" s="1249"/>
      <c r="AA12" s="1249"/>
      <c r="AB12" s="1249"/>
      <c r="AC12" s="1249"/>
      <c r="AD12" s="1249"/>
      <c r="AE12" s="1249"/>
      <c r="AF12" s="1249"/>
      <c r="AG12" s="1249"/>
      <c r="AH12" s="1249"/>
      <c r="AI12" s="1249"/>
      <c r="AJ12" s="1249"/>
      <c r="AK12" s="1249"/>
      <c r="AL12" s="1249"/>
      <c r="AM12" s="1250"/>
      <c r="AO12" s="398"/>
      <c r="AP12" s="398" t="str">
        <f t="shared" si="0"/>
        <v/>
      </c>
      <c r="AQ12" s="398"/>
      <c r="AR12" s="398"/>
    </row>
    <row r="13" spans="1:44" s="1866" customFormat="1" ht="14.25" hidden="1" customHeight="1">
      <c r="A13" s="1177"/>
      <c r="B13" s="1177"/>
      <c r="C13" s="1177"/>
      <c r="D13" s="1177"/>
      <c r="E13" s="3529"/>
      <c r="F13" s="3529"/>
      <c r="G13" s="3528"/>
      <c r="H13" s="1177"/>
      <c r="I13" s="1177"/>
      <c r="J13" s="1177"/>
      <c r="K13" s="1177"/>
      <c r="L13" s="1201"/>
      <c r="M13" s="1178"/>
      <c r="N13" s="1178"/>
      <c r="P13" s="1179"/>
      <c r="Q13" s="1180"/>
      <c r="R13" s="1179"/>
      <c r="S13" s="1181"/>
      <c r="T13" s="1182" t="s">
        <v>676</v>
      </c>
      <c r="U13" s="1183"/>
      <c r="V13" s="1183"/>
      <c r="W13" s="1183"/>
      <c r="X13" s="1183"/>
      <c r="Y13" s="1183"/>
      <c r="Z13" s="1183"/>
      <c r="AA13" s="1183"/>
      <c r="AB13" s="1183"/>
      <c r="AC13" s="1183"/>
      <c r="AD13" s="1183"/>
      <c r="AE13" s="1183"/>
      <c r="AF13" s="1183"/>
      <c r="AG13" s="1183"/>
      <c r="AH13" s="1183"/>
      <c r="AI13" s="1183"/>
      <c r="AJ13" s="1183"/>
      <c r="AK13" s="1183"/>
      <c r="AL13" s="1183"/>
      <c r="AM13" s="1183"/>
      <c r="AO13" s="670"/>
      <c r="AP13" s="670" t="str">
        <f t="shared" si="0"/>
        <v>Добавить источник для дифференциации</v>
      </c>
      <c r="AQ13" s="670"/>
      <c r="AR13" s="670"/>
    </row>
    <row r="14" spans="1:44" s="1866" customFormat="1" ht="14.25" hidden="1" customHeight="1">
      <c r="A14" s="1177"/>
      <c r="B14" s="1177"/>
      <c r="C14" s="1177"/>
      <c r="D14" s="1177"/>
      <c r="E14" s="3529"/>
      <c r="F14" s="3528"/>
      <c r="G14" s="1177"/>
      <c r="H14" s="1177"/>
      <c r="I14" s="1177"/>
      <c r="J14" s="1177"/>
      <c r="K14" s="1177"/>
      <c r="L14" s="1201"/>
      <c r="M14" s="1184"/>
      <c r="N14" s="1184"/>
      <c r="P14" s="1179"/>
      <c r="Q14" s="1180"/>
      <c r="R14" s="1179"/>
      <c r="S14" s="1185"/>
      <c r="T14" s="1186" t="s">
        <v>677</v>
      </c>
      <c r="U14" s="1187"/>
      <c r="V14" s="1187"/>
      <c r="W14" s="1187"/>
      <c r="X14" s="1187"/>
      <c r="Y14" s="1187"/>
      <c r="Z14" s="1187"/>
      <c r="AA14" s="1187"/>
      <c r="AB14" s="1187"/>
      <c r="AC14" s="1187"/>
      <c r="AD14" s="1187"/>
      <c r="AE14" s="1187"/>
      <c r="AF14" s="1187"/>
      <c r="AG14" s="1187"/>
      <c r="AH14" s="1187"/>
      <c r="AI14" s="1187"/>
      <c r="AJ14" s="1187"/>
      <c r="AK14" s="1187"/>
      <c r="AL14" s="1187"/>
      <c r="AM14" s="1187"/>
      <c r="AO14" s="670"/>
      <c r="AP14" s="670" t="str">
        <f t="shared" si="0"/>
        <v>Добавить централизованную систему для дифференциации</v>
      </c>
      <c r="AQ14" s="670"/>
      <c r="AR14" s="670"/>
    </row>
    <row r="15" spans="1:44" s="1866" customFormat="1" ht="14.25" hidden="1" customHeight="1">
      <c r="A15" s="1177"/>
      <c r="B15" s="1177"/>
      <c r="C15" s="1177"/>
      <c r="D15" s="1177"/>
      <c r="E15" s="3528"/>
      <c r="F15" s="1177"/>
      <c r="G15" s="1177"/>
      <c r="H15" s="1177"/>
      <c r="I15" s="1177"/>
      <c r="J15" s="1177"/>
      <c r="K15" s="1177"/>
      <c r="L15" s="1201"/>
      <c r="M15" s="1184"/>
      <c r="N15" s="1184"/>
      <c r="P15" s="1179"/>
      <c r="Q15" s="1180"/>
      <c r="R15" s="1179"/>
      <c r="S15" s="1185"/>
      <c r="T15" s="1188" t="s">
        <v>678</v>
      </c>
      <c r="U15" s="1187"/>
      <c r="V15" s="1187"/>
      <c r="W15" s="1187"/>
      <c r="X15" s="1187"/>
      <c r="Y15" s="1187"/>
      <c r="Z15" s="1187"/>
      <c r="AA15" s="1187"/>
      <c r="AB15" s="1187"/>
      <c r="AC15" s="1187"/>
      <c r="AD15" s="1187"/>
      <c r="AE15" s="1187"/>
      <c r="AF15" s="1187"/>
      <c r="AG15" s="1187"/>
      <c r="AH15" s="1187"/>
      <c r="AI15" s="1187"/>
      <c r="AJ15" s="1187"/>
      <c r="AK15" s="1187"/>
      <c r="AL15" s="1187"/>
      <c r="AM15" s="1187"/>
      <c r="AO15" s="670"/>
      <c r="AP15" s="670" t="str">
        <f t="shared" si="0"/>
        <v>Добавить территорию для дифференциации</v>
      </c>
      <c r="AQ15" s="670"/>
      <c r="AR15" s="670"/>
    </row>
    <row r="16" spans="1:44" ht="14.25" hidden="1" customHeight="1">
      <c r="AC16" s="238"/>
      <c r="AK16" s="238"/>
    </row>
    <row r="17" spans="1:44" ht="14.25" hidden="1" customHeight="1">
      <c r="AD17" s="1221"/>
      <c r="AE17" s="1221"/>
      <c r="AF17" s="1221"/>
      <c r="AG17" s="1222"/>
      <c r="AH17" s="3526"/>
      <c r="AI17" s="3525" t="s">
        <v>64</v>
      </c>
      <c r="AJ17" s="3526"/>
      <c r="AK17" s="3525" t="s">
        <v>64</v>
      </c>
    </row>
    <row r="18" spans="1:44" ht="14.25" hidden="1" customHeight="1">
      <c r="AD18" s="1221"/>
      <c r="AE18" s="1221"/>
      <c r="AF18" s="1221"/>
      <c r="AG18" s="239" t="str">
        <f>AH17&amp;"-"&amp;AJ17</f>
        <v>-</v>
      </c>
      <c r="AH18" s="3525"/>
      <c r="AI18" s="3525"/>
      <c r="AJ18" s="3525"/>
      <c r="AK18" s="3525"/>
    </row>
    <row r="19" spans="1:44" ht="14.25" hidden="1" customHeight="1">
      <c r="AK19" s="238"/>
    </row>
    <row r="20" spans="1:44" s="1903" customFormat="1" ht="22.5" hidden="1" customHeight="1">
      <c r="L20" s="1191"/>
      <c r="M20" s="1223"/>
      <c r="N20" s="1223"/>
      <c r="O20" s="1228" t="s">
        <v>679</v>
      </c>
      <c r="P20" s="1223"/>
      <c r="Q20" s="1232"/>
      <c r="R20" s="1232"/>
      <c r="S20" s="619"/>
      <c r="Z20" s="1228"/>
      <c r="AB20" s="1228"/>
      <c r="AC20" s="1227"/>
      <c r="AH20" s="1228"/>
      <c r="AJ20" s="1228"/>
      <c r="AK20" s="1227"/>
      <c r="AN20" s="409"/>
      <c r="AO20" s="409"/>
      <c r="AP20" s="409"/>
      <c r="AQ20" s="409"/>
      <c r="AR20" s="409"/>
    </row>
    <row r="21" spans="1:44" s="1903" customFormat="1" ht="14.25" hidden="1" customHeight="1">
      <c r="L21" s="1191"/>
      <c r="M21" s="1223"/>
      <c r="N21" s="1223"/>
      <c r="O21" s="1223"/>
      <c r="P21" s="1223"/>
      <c r="Q21" s="1232"/>
      <c r="R21" s="1232"/>
      <c r="S21" s="619"/>
      <c r="AC21" s="1227"/>
      <c r="AK21" s="1227"/>
      <c r="AN21" s="409"/>
      <c r="AO21" s="409"/>
      <c r="AP21" s="409"/>
      <c r="AQ21" s="409"/>
      <c r="AR21" s="409"/>
    </row>
    <row r="22" spans="1:44" s="1903" customFormat="1" ht="14.25" hidden="1" customHeight="1">
      <c r="L22" s="1191"/>
      <c r="M22" s="1223"/>
      <c r="N22" s="1223"/>
      <c r="O22" s="1225" t="s">
        <v>680</v>
      </c>
      <c r="P22" s="1223"/>
      <c r="Q22" s="1232"/>
      <c r="R22" s="1232"/>
      <c r="S22" s="619"/>
      <c r="T22" s="1023" t="s">
        <v>681</v>
      </c>
      <c r="AA22" s="103" t="s">
        <v>682</v>
      </c>
      <c r="AC22" s="103" t="s">
        <v>683</v>
      </c>
      <c r="AD22" s="1023" t="s">
        <v>681</v>
      </c>
      <c r="AI22" s="103" t="s">
        <v>684</v>
      </c>
      <c r="AK22" s="103" t="s">
        <v>683</v>
      </c>
      <c r="AN22" s="409"/>
      <c r="AO22" s="409"/>
      <c r="AP22" s="409"/>
      <c r="AQ22" s="409"/>
      <c r="AR22" s="409"/>
    </row>
    <row r="23" spans="1:44" ht="14.25" hidden="1" customHeight="1">
      <c r="O23" s="1225"/>
    </row>
    <row r="24" spans="1:44" ht="14.25" hidden="1" customHeight="1">
      <c r="O24" s="1225"/>
    </row>
    <row r="25" spans="1:44" ht="14.25" customHeight="1">
      <c r="Q25" s="283"/>
      <c r="R25" s="283"/>
      <c r="S25" s="1141"/>
      <c r="T25" s="272"/>
      <c r="U25" s="272"/>
      <c r="V25" s="407"/>
      <c r="W25" s="407"/>
      <c r="X25" s="407"/>
      <c r="Y25" s="407"/>
      <c r="Z25" s="407"/>
      <c r="AA25" s="407"/>
      <c r="AB25" s="407"/>
      <c r="AC25" s="407"/>
      <c r="AD25" s="407"/>
      <c r="AE25" s="407"/>
      <c r="AF25" s="407"/>
      <c r="AG25" s="407"/>
      <c r="AH25" s="407"/>
      <c r="AI25" s="407"/>
      <c r="AJ25" s="407"/>
      <c r="AK25" s="407"/>
    </row>
    <row r="26" spans="1:44" ht="51.75" customHeight="1">
      <c r="Q26" s="283"/>
      <c r="R26" s="283"/>
      <c r="S26" s="345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457"/>
      <c r="U26" s="3457"/>
      <c r="V26" s="3457"/>
      <c r="W26" s="3457"/>
      <c r="X26" s="3457"/>
      <c r="Y26" s="3457"/>
      <c r="Z26" s="3457"/>
      <c r="AA26" s="3457"/>
      <c r="AB26" s="3457"/>
      <c r="AC26" s="3457"/>
      <c r="AD26" s="3457"/>
      <c r="AE26" s="3457"/>
      <c r="AF26" s="3457"/>
      <c r="AG26" s="3457"/>
      <c r="AH26" s="3457"/>
      <c r="AI26" s="3457"/>
      <c r="AJ26" s="3457"/>
      <c r="AK26" s="1109"/>
    </row>
    <row r="27" spans="1:44" ht="14.25" customHeight="1">
      <c r="Q27" s="283"/>
      <c r="R27" s="283"/>
      <c r="S27" s="3480" t="str">
        <f>IF(org=0,"Не определено",org)</f>
        <v>АО "Орелгортеплоэнерго"</v>
      </c>
      <c r="T27" s="3480"/>
      <c r="U27" s="3480"/>
      <c r="V27" s="3480"/>
      <c r="W27" s="3480"/>
      <c r="X27" s="3480"/>
      <c r="Y27" s="3480"/>
      <c r="Z27" s="3480"/>
      <c r="AA27" s="3480"/>
      <c r="AB27" s="3480"/>
      <c r="AC27" s="3480"/>
      <c r="AD27" s="3480"/>
      <c r="AE27" s="3480"/>
      <c r="AF27" s="3480"/>
      <c r="AG27" s="3480"/>
      <c r="AH27" s="3480"/>
      <c r="AI27" s="3480"/>
      <c r="AJ27" s="3480"/>
      <c r="AK27" s="1109"/>
    </row>
    <row r="28" spans="1:44" ht="14.25" hidden="1" customHeight="1">
      <c r="Q28" s="283"/>
      <c r="R28" s="283"/>
      <c r="S28" s="1141"/>
      <c r="T28" s="272"/>
      <c r="U28" s="272"/>
      <c r="V28" s="233"/>
      <c r="W28" s="233"/>
      <c r="X28" s="233"/>
      <c r="Y28" s="233"/>
      <c r="Z28" s="233"/>
      <c r="AA28" s="233"/>
      <c r="AB28" s="233"/>
      <c r="AC28" s="233"/>
      <c r="AD28" s="233"/>
      <c r="AE28" s="233"/>
      <c r="AF28" s="233"/>
      <c r="AG28" s="233"/>
      <c r="AH28" s="233"/>
      <c r="AI28" s="233"/>
      <c r="AJ28" s="233"/>
      <c r="AK28" s="233"/>
      <c r="AL28" s="407"/>
    </row>
    <row r="29" spans="1:44" s="1944" customFormat="1" ht="25.5" hidden="1" customHeight="1">
      <c r="A29" s="1229"/>
      <c r="B29" s="1229"/>
      <c r="C29" s="1229"/>
      <c r="D29" s="1229"/>
      <c r="E29" s="1229"/>
      <c r="F29" s="1229"/>
      <c r="G29" s="1229"/>
      <c r="H29" s="1229"/>
      <c r="I29" s="1229"/>
      <c r="J29" s="1229"/>
      <c r="K29" s="1229"/>
      <c r="L29" s="1230"/>
      <c r="M29" s="1229"/>
      <c r="N29" s="1229"/>
      <c r="O29" s="1229"/>
      <c r="S29" s="3519" t="s">
        <v>38</v>
      </c>
      <c r="T29" s="3519"/>
      <c r="U29" s="1233"/>
      <c r="V29" s="3521" t="str">
        <f>IF(TITLE_NAME_OR_PR_CHANGE="",IF(TITLE_NAME_OR_PR="","",TITLE_NAME_OR_PR),TITLE_NAME_OR_PR_CHANGE)</f>
        <v/>
      </c>
      <c r="W29" s="3521"/>
      <c r="X29" s="3521"/>
      <c r="Y29" s="3521"/>
      <c r="Z29" s="3521"/>
      <c r="AA29" s="3521"/>
      <c r="AB29" s="3521"/>
      <c r="AC29" s="237"/>
      <c r="AD29" s="3521" t="str">
        <f>IF(TITLE_NAME_OR_PR_CHANGE="",IF(TITLE_NAME_OR_PR="","",TITLE_NAME_OR_PR),TITLE_NAME_OR_PR_CHANGE)</f>
        <v/>
      </c>
      <c r="AE29" s="3521"/>
      <c r="AF29" s="3521"/>
      <c r="AG29" s="3521"/>
      <c r="AH29" s="3521"/>
      <c r="AI29" s="3521"/>
      <c r="AJ29" s="3521"/>
      <c r="AK29" s="237"/>
      <c r="AL29" s="237"/>
      <c r="AM29" s="193"/>
      <c r="AN29" s="276"/>
      <c r="AO29" s="276"/>
      <c r="AP29" s="276"/>
      <c r="AQ29" s="276"/>
      <c r="AR29" s="276"/>
    </row>
    <row r="30" spans="1:44" s="1944" customFormat="1" ht="18.75" hidden="1" customHeight="1">
      <c r="A30" s="1229"/>
      <c r="B30" s="1229"/>
      <c r="C30" s="1229"/>
      <c r="D30" s="1229"/>
      <c r="E30" s="1229"/>
      <c r="F30" s="1229"/>
      <c r="G30" s="1229"/>
      <c r="H30" s="1229"/>
      <c r="I30" s="1229"/>
      <c r="J30" s="1229"/>
      <c r="K30" s="1229"/>
      <c r="L30" s="1230"/>
      <c r="M30" s="1229"/>
      <c r="N30" s="1229"/>
      <c r="O30" s="1229"/>
      <c r="S30" s="3519" t="s">
        <v>685</v>
      </c>
      <c r="T30" s="3519"/>
      <c r="U30" s="1233"/>
      <c r="V30" s="3520" t="str">
        <f>IF(TITLE_DATE_PR_CHANGE="",IF(TITLE_DATE_PR="","",TITLE_DATE_PR),TITLE_DATE_PR_CHANGE)</f>
        <v/>
      </c>
      <c r="W30" s="3520"/>
      <c r="X30" s="3520"/>
      <c r="Y30" s="3520"/>
      <c r="Z30" s="3520"/>
      <c r="AA30" s="3520"/>
      <c r="AB30" s="3520"/>
      <c r="AC30" s="237"/>
      <c r="AD30" s="3520" t="str">
        <f>IF(TITLE_DATE_PR_CHANGE="",IF(TITLE_DATE_PR="","",TITLE_DATE_PR),TITLE_DATE_PR_CHANGE)</f>
        <v/>
      </c>
      <c r="AE30" s="3520"/>
      <c r="AF30" s="3520"/>
      <c r="AG30" s="3520"/>
      <c r="AH30" s="3520"/>
      <c r="AI30" s="3520"/>
      <c r="AJ30" s="3520"/>
      <c r="AK30" s="237"/>
      <c r="AL30" s="237"/>
      <c r="AM30" s="193"/>
      <c r="AN30" s="276"/>
      <c r="AO30" s="276"/>
      <c r="AP30" s="276"/>
      <c r="AQ30" s="276"/>
      <c r="AR30" s="276"/>
    </row>
    <row r="31" spans="1:44" s="1944" customFormat="1" ht="18.75" hidden="1" customHeight="1">
      <c r="A31" s="1229"/>
      <c r="B31" s="1229"/>
      <c r="C31" s="1229"/>
      <c r="D31" s="1229"/>
      <c r="E31" s="1229"/>
      <c r="F31" s="1229"/>
      <c r="G31" s="1229"/>
      <c r="H31" s="1229"/>
      <c r="I31" s="1229"/>
      <c r="J31" s="1229"/>
      <c r="K31" s="1229"/>
      <c r="L31" s="1230"/>
      <c r="M31" s="1229"/>
      <c r="N31" s="1229"/>
      <c r="O31" s="1229"/>
      <c r="S31" s="3519" t="s">
        <v>686</v>
      </c>
      <c r="T31" s="3519"/>
      <c r="U31" s="1233"/>
      <c r="V31" s="3521" t="str">
        <f>IF(TITLE_NUMBER_PR_CHANGE="",IF(TITLE_NUMBER_PR="","",TITLE_NUMBER_PR),TITLE_NUMBER_PR_CHANGE)</f>
        <v/>
      </c>
      <c r="W31" s="3521"/>
      <c r="X31" s="3521"/>
      <c r="Y31" s="3521"/>
      <c r="Z31" s="3521"/>
      <c r="AA31" s="3521"/>
      <c r="AB31" s="3521"/>
      <c r="AC31" s="237"/>
      <c r="AD31" s="3521" t="str">
        <f>IF(TITLE_NUMBER_PR_CHANGE="",IF(TITLE_NUMBER_PR="","",TITLE_NUMBER_PR),TITLE_NUMBER_PR_CHANGE)</f>
        <v/>
      </c>
      <c r="AE31" s="3521"/>
      <c r="AF31" s="3521"/>
      <c r="AG31" s="3521"/>
      <c r="AH31" s="3521"/>
      <c r="AI31" s="3521"/>
      <c r="AJ31" s="3521"/>
      <c r="AK31" s="237"/>
      <c r="AL31" s="237"/>
      <c r="AM31" s="193"/>
      <c r="AN31" s="276"/>
      <c r="AO31" s="276"/>
      <c r="AP31" s="276"/>
      <c r="AQ31" s="276"/>
      <c r="AR31" s="276"/>
    </row>
    <row r="32" spans="1:44" s="1944" customFormat="1" ht="18.75" hidden="1" customHeight="1">
      <c r="A32" s="1229"/>
      <c r="B32" s="1229"/>
      <c r="C32" s="1229"/>
      <c r="D32" s="1229"/>
      <c r="E32" s="1229"/>
      <c r="F32" s="1229"/>
      <c r="G32" s="1229"/>
      <c r="H32" s="1229"/>
      <c r="I32" s="1229"/>
      <c r="J32" s="1229"/>
      <c r="K32" s="1229"/>
      <c r="L32" s="1230"/>
      <c r="M32" s="1229"/>
      <c r="N32" s="1229"/>
      <c r="O32" s="1229"/>
      <c r="S32" s="3519" t="s">
        <v>39</v>
      </c>
      <c r="T32" s="3519"/>
      <c r="U32" s="1233"/>
      <c r="V32" s="3521" t="str">
        <f>IF(TITLE_IST_PUB_CHANGE="",IF(TITLE_IST_PUB="","",TITLE_IST_PUB),TITLE_IST_PUB_CHANGE)</f>
        <v/>
      </c>
      <c r="W32" s="3521"/>
      <c r="X32" s="3521"/>
      <c r="Y32" s="3521"/>
      <c r="Z32" s="3521"/>
      <c r="AA32" s="3521"/>
      <c r="AB32" s="3521"/>
      <c r="AC32" s="237"/>
      <c r="AD32" s="3521" t="str">
        <f>IF(TITLE_IST_PUB_CHANGE="",IF(TITLE_IST_PUB="","",TITLE_IST_PUB),TITLE_IST_PUB_CHANGE)</f>
        <v/>
      </c>
      <c r="AE32" s="3521"/>
      <c r="AF32" s="3521"/>
      <c r="AG32" s="3521"/>
      <c r="AH32" s="3521"/>
      <c r="AI32" s="3521"/>
      <c r="AJ32" s="3521"/>
      <c r="AK32" s="237"/>
      <c r="AL32" s="237"/>
      <c r="AM32" s="193"/>
      <c r="AN32" s="276"/>
      <c r="AO32" s="276"/>
      <c r="AP32" s="276"/>
      <c r="AQ32" s="276"/>
      <c r="AR32" s="276"/>
    </row>
    <row r="33" spans="1:44" ht="14.25" hidden="1" customHeight="1">
      <c r="Q33" s="283"/>
      <c r="R33" s="283"/>
      <c r="S33" s="1141"/>
      <c r="T33" s="272"/>
      <c r="U33" s="272"/>
      <c r="V33" s="233"/>
      <c r="W33" s="233"/>
      <c r="X33" s="233"/>
      <c r="Y33" s="233"/>
      <c r="Z33" s="233"/>
      <c r="AA33" s="233"/>
      <c r="AB33" s="233"/>
      <c r="AC33" s="233"/>
      <c r="AD33" s="233"/>
      <c r="AE33" s="233"/>
      <c r="AF33" s="233"/>
      <c r="AG33" s="233"/>
      <c r="AH33" s="233"/>
      <c r="AI33" s="233"/>
      <c r="AJ33" s="233"/>
      <c r="AK33" s="233"/>
      <c r="AL33" s="407"/>
    </row>
    <row r="34" spans="1:44" s="1944" customFormat="1" ht="18.75" hidden="1" customHeight="1">
      <c r="A34" s="1229"/>
      <c r="B34" s="1229"/>
      <c r="C34" s="1229"/>
      <c r="D34" s="1229"/>
      <c r="E34" s="1229"/>
      <c r="F34" s="1229"/>
      <c r="G34" s="1229"/>
      <c r="H34" s="1229"/>
      <c r="I34" s="1229"/>
      <c r="J34" s="1229"/>
      <c r="K34" s="1229"/>
      <c r="L34" s="1230"/>
      <c r="M34" s="1229"/>
      <c r="N34" s="1229"/>
      <c r="O34" s="1229"/>
      <c r="S34" s="3519" t="s">
        <v>687</v>
      </c>
      <c r="T34" s="3519"/>
      <c r="U34" s="1233"/>
      <c r="V34" s="3520" t="str">
        <f>IF(TITLE_DATE_PR_CHANGE="",IF(TITLE_DATE_PR="","",TITLE_DATE_PR),TITLE_DATE_PR_CHANGE)</f>
        <v/>
      </c>
      <c r="W34" s="3520"/>
      <c r="X34" s="3520"/>
      <c r="Y34" s="3520"/>
      <c r="Z34" s="3520"/>
      <c r="AA34" s="3520"/>
      <c r="AB34" s="3520"/>
      <c r="AC34" s="237"/>
      <c r="AD34" s="3520" t="str">
        <f>IF(TITLE_DATE_PR_CHANGE="",IF(TITLE_DATE_PR="","",TITLE_DATE_PR),TITLE_DATE_PR_CHANGE)</f>
        <v/>
      </c>
      <c r="AE34" s="3520"/>
      <c r="AF34" s="3520"/>
      <c r="AG34" s="3520"/>
      <c r="AH34" s="3520"/>
      <c r="AI34" s="3520"/>
      <c r="AJ34" s="3520"/>
      <c r="AK34" s="237"/>
      <c r="AL34" s="237"/>
      <c r="AM34" s="193"/>
      <c r="AN34" s="276"/>
      <c r="AO34" s="276"/>
      <c r="AP34" s="276"/>
      <c r="AQ34" s="276"/>
      <c r="AR34" s="276"/>
    </row>
    <row r="35" spans="1:44" s="1944" customFormat="1" ht="18.75" hidden="1" customHeight="1">
      <c r="A35" s="1229"/>
      <c r="B35" s="1229"/>
      <c r="C35" s="1229"/>
      <c r="D35" s="1229"/>
      <c r="E35" s="1229"/>
      <c r="F35" s="1229"/>
      <c r="G35" s="1229"/>
      <c r="H35" s="1229"/>
      <c r="I35" s="1229"/>
      <c r="J35" s="1229"/>
      <c r="K35" s="1229"/>
      <c r="L35" s="1230"/>
      <c r="M35" s="1229"/>
      <c r="N35" s="1229"/>
      <c r="O35" s="1229"/>
      <c r="S35" s="3519" t="s">
        <v>688</v>
      </c>
      <c r="T35" s="3519"/>
      <c r="U35" s="1233"/>
      <c r="V35" s="3521" t="str">
        <f>IF(TITLE_NUMBER_PR_CHANGE="",IF(TITLE_NUMBER_PR="","",TITLE_NUMBER_PR),TITLE_NUMBER_PR_CHANGE)</f>
        <v/>
      </c>
      <c r="W35" s="3521"/>
      <c r="X35" s="3521"/>
      <c r="Y35" s="3521"/>
      <c r="Z35" s="3521"/>
      <c r="AA35" s="3521"/>
      <c r="AB35" s="3521"/>
      <c r="AC35" s="237"/>
      <c r="AD35" s="3521" t="str">
        <f>IF(TITLE_NUMBER_PR_CHANGE="",IF(TITLE_NUMBER_PR="","",TITLE_NUMBER_PR),TITLE_NUMBER_PR_CHANGE)</f>
        <v/>
      </c>
      <c r="AE35" s="3521"/>
      <c r="AF35" s="3521"/>
      <c r="AG35" s="3521"/>
      <c r="AH35" s="3521"/>
      <c r="AI35" s="3521"/>
      <c r="AJ35" s="3521"/>
      <c r="AK35" s="237"/>
      <c r="AL35" s="237"/>
      <c r="AM35" s="193"/>
      <c r="AN35" s="276"/>
      <c r="AO35" s="276"/>
      <c r="AP35" s="276"/>
      <c r="AQ35" s="276"/>
      <c r="AR35" s="276"/>
    </row>
    <row r="36" spans="1:44" s="1944" customFormat="1" ht="0" hidden="1" customHeight="1">
      <c r="A36" s="1229"/>
      <c r="B36" s="1229"/>
      <c r="C36" s="1229"/>
      <c r="D36" s="1229"/>
      <c r="E36" s="1229"/>
      <c r="F36" s="1229"/>
      <c r="G36" s="1229"/>
      <c r="H36" s="1229"/>
      <c r="I36" s="1229"/>
      <c r="J36" s="1229"/>
      <c r="K36" s="1229"/>
      <c r="L36" s="1230"/>
      <c r="M36" s="1229"/>
      <c r="N36" s="1229"/>
      <c r="O36" s="1229"/>
      <c r="S36" s="234"/>
      <c r="T36" s="234"/>
      <c r="U36" s="1202"/>
      <c r="V36" s="237"/>
      <c r="W36" s="237"/>
      <c r="X36" s="237"/>
      <c r="Y36" s="237"/>
      <c r="Z36" s="237"/>
      <c r="AA36" s="237"/>
      <c r="AB36" s="237"/>
      <c r="AC36" s="191" t="s">
        <v>689</v>
      </c>
      <c r="AD36" s="237"/>
      <c r="AE36" s="237"/>
      <c r="AF36" s="237"/>
      <c r="AG36" s="237"/>
      <c r="AH36" s="237"/>
      <c r="AI36" s="237"/>
      <c r="AJ36" s="237"/>
      <c r="AK36" s="191" t="s">
        <v>689</v>
      </c>
      <c r="AN36" s="276"/>
      <c r="AO36" s="276"/>
      <c r="AP36" s="276"/>
      <c r="AQ36" s="276"/>
      <c r="AR36" s="276"/>
    </row>
    <row r="37" spans="1:44" ht="14.25" customHeight="1">
      <c r="Q37" s="283"/>
      <c r="R37" s="283"/>
      <c r="S37" s="1141"/>
      <c r="T37" s="272"/>
      <c r="U37" s="1110"/>
      <c r="V37" s="3540"/>
      <c r="W37" s="3540"/>
      <c r="X37" s="3540"/>
      <c r="Y37" s="3540"/>
      <c r="Z37" s="3540"/>
      <c r="AA37" s="3540"/>
      <c r="AB37" s="3540"/>
      <c r="AC37" s="3540"/>
      <c r="AD37" s="3540"/>
      <c r="AE37" s="3540"/>
      <c r="AF37" s="3540"/>
      <c r="AG37" s="3540"/>
      <c r="AH37" s="3540"/>
      <c r="AI37" s="3540"/>
      <c r="AJ37" s="3540"/>
      <c r="AK37" s="3540"/>
    </row>
    <row r="38" spans="1:44" ht="14.25" customHeight="1">
      <c r="Q38" s="283"/>
      <c r="R38" s="283"/>
      <c r="S38" s="3401" t="s">
        <v>560</v>
      </c>
      <c r="T38" s="3401"/>
      <c r="U38" s="3401"/>
      <c r="V38" s="3401"/>
      <c r="W38" s="3401"/>
      <c r="X38" s="3401"/>
      <c r="Y38" s="3401"/>
      <c r="Z38" s="3401"/>
      <c r="AA38" s="3401"/>
      <c r="AB38" s="3401"/>
      <c r="AC38" s="3401"/>
      <c r="AD38" s="3401"/>
      <c r="AE38" s="3401"/>
      <c r="AF38" s="3401"/>
      <c r="AG38" s="3401"/>
      <c r="AH38" s="3401"/>
      <c r="AI38" s="3401"/>
      <c r="AJ38" s="3401"/>
      <c r="AK38" s="3401"/>
      <c r="AL38" s="3401"/>
      <c r="AM38" s="3401" t="s">
        <v>561</v>
      </c>
    </row>
    <row r="39" spans="1:44" ht="14.25" customHeight="1">
      <c r="Q39" s="283"/>
      <c r="R39" s="283"/>
      <c r="S39" s="3541" t="s">
        <v>85</v>
      </c>
      <c r="T39" s="3489" t="s">
        <v>690</v>
      </c>
      <c r="U39" s="212"/>
      <c r="V39" s="3542" t="s">
        <v>691</v>
      </c>
      <c r="W39" s="3543"/>
      <c r="X39" s="3543"/>
      <c r="Y39" s="3543"/>
      <c r="Z39" s="3543"/>
      <c r="AA39" s="3543"/>
      <c r="AB39" s="3544"/>
      <c r="AC39" s="3545" t="s">
        <v>692</v>
      </c>
      <c r="AD39" s="3542" t="s">
        <v>691</v>
      </c>
      <c r="AE39" s="3543"/>
      <c r="AF39" s="3543"/>
      <c r="AG39" s="3543"/>
      <c r="AH39" s="3543"/>
      <c r="AI39" s="3543"/>
      <c r="AJ39" s="3544"/>
      <c r="AK39" s="3545" t="s">
        <v>693</v>
      </c>
      <c r="AL39" s="3548" t="s">
        <v>694</v>
      </c>
      <c r="AM39" s="3401"/>
    </row>
    <row r="40" spans="1:44" ht="33.75" customHeight="1">
      <c r="Q40" s="283"/>
      <c r="R40" s="283"/>
      <c r="S40" s="3541"/>
      <c r="T40" s="3489"/>
      <c r="U40" s="901"/>
      <c r="V40" s="3458" t="s">
        <v>695</v>
      </c>
      <c r="W40" s="3537"/>
      <c r="X40" s="3383" t="s">
        <v>697</v>
      </c>
      <c r="Y40" s="3382"/>
      <c r="Z40" s="3383" t="s">
        <v>698</v>
      </c>
      <c r="AA40" s="3388"/>
      <c r="AB40" s="3382"/>
      <c r="AC40" s="3546"/>
      <c r="AD40" s="3458" t="s">
        <v>712</v>
      </c>
      <c r="AE40" s="3537"/>
      <c r="AF40" s="3383" t="s">
        <v>697</v>
      </c>
      <c r="AG40" s="3382"/>
      <c r="AH40" s="3383" t="s">
        <v>698</v>
      </c>
      <c r="AI40" s="3388"/>
      <c r="AJ40" s="3382"/>
      <c r="AK40" s="3546"/>
      <c r="AL40" s="3549"/>
      <c r="AM40" s="3401"/>
    </row>
    <row r="41" spans="1:44" ht="33.75" customHeight="1">
      <c r="A41" s="1231"/>
      <c r="B41" s="1231" t="s">
        <v>403</v>
      </c>
      <c r="C41" s="1231" t="s">
        <v>404</v>
      </c>
      <c r="D41" s="1231" t="s">
        <v>405</v>
      </c>
      <c r="E41" s="1225" t="s">
        <v>699</v>
      </c>
      <c r="F41" s="1225" t="s">
        <v>700</v>
      </c>
      <c r="G41" s="1225" t="s">
        <v>701</v>
      </c>
      <c r="H41" s="1225" t="s">
        <v>702</v>
      </c>
      <c r="I41" s="1225" t="s">
        <v>703</v>
      </c>
      <c r="J41" s="1225" t="s">
        <v>704</v>
      </c>
      <c r="K41" s="1225" t="s">
        <v>705</v>
      </c>
      <c r="L41" s="1225" t="s">
        <v>680</v>
      </c>
      <c r="Q41" s="283"/>
      <c r="R41" s="283"/>
      <c r="S41" s="3541"/>
      <c r="T41" s="3489"/>
      <c r="U41" s="213"/>
      <c r="V41" s="3514"/>
      <c r="W41" s="3538"/>
      <c r="X41" s="1088" t="s">
        <v>706</v>
      </c>
      <c r="Y41" s="1088" t="s">
        <v>707</v>
      </c>
      <c r="Z41" s="1200" t="s">
        <v>708</v>
      </c>
      <c r="AA41" s="3494" t="s">
        <v>709</v>
      </c>
      <c r="AB41" s="3508"/>
      <c r="AC41" s="3547"/>
      <c r="AD41" s="3514"/>
      <c r="AE41" s="3538"/>
      <c r="AF41" s="1088" t="s">
        <v>706</v>
      </c>
      <c r="AG41" s="1088" t="s">
        <v>707</v>
      </c>
      <c r="AH41" s="1200" t="s">
        <v>708</v>
      </c>
      <c r="AI41" s="3494" t="s">
        <v>709</v>
      </c>
      <c r="AJ41" s="3508"/>
      <c r="AK41" s="3547"/>
      <c r="AL41" s="3550"/>
      <c r="AM41" s="3401"/>
    </row>
    <row r="42" spans="1:44" s="1838" customFormat="1" ht="11.25" hidden="1" customHeight="1">
      <c r="A42" s="1231"/>
      <c r="B42" s="1231"/>
      <c r="C42" s="1231"/>
      <c r="D42" s="1231"/>
      <c r="E42" s="1231"/>
      <c r="F42" s="1231"/>
      <c r="G42" s="1231"/>
      <c r="H42" s="1231"/>
      <c r="I42" s="1231"/>
      <c r="J42" s="1231"/>
      <c r="K42" s="1231"/>
      <c r="L42" s="1225"/>
      <c r="M42" s="1223"/>
      <c r="N42" s="1223"/>
      <c r="O42" s="1223"/>
      <c r="P42" s="1112"/>
      <c r="Q42" s="1113"/>
      <c r="R42" s="1120">
        <v>1</v>
      </c>
      <c r="S42" s="1143" t="s">
        <v>106</v>
      </c>
      <c r="T42" s="1121" t="s">
        <v>107</v>
      </c>
      <c r="U42" s="1111" t="str">
        <f ca="1">OFFSET(U42,0,-1)</f>
        <v>2</v>
      </c>
      <c r="V42" s="1197">
        <f ca="1">OFFSET(V42,0,-1)+1</f>
        <v>3</v>
      </c>
      <c r="W42" s="1197"/>
      <c r="X42" s="1197">
        <f ca="1">OFFSET(X42,0,-1)+1</f>
        <v>1</v>
      </c>
      <c r="Y42" s="1197">
        <f ca="1">OFFSET(Y42,0,-1)+1</f>
        <v>2</v>
      </c>
      <c r="Z42" s="1197">
        <f ca="1">OFFSET(Z42,0,-1)+1</f>
        <v>3</v>
      </c>
      <c r="AA42" s="3539">
        <f ca="1">OFFSET(AA42,0,-1)+1</f>
        <v>4</v>
      </c>
      <c r="AB42" s="3539"/>
      <c r="AC42" s="1197">
        <f ca="1">OFFSET(AC42,0,-2)+1</f>
        <v>5</v>
      </c>
      <c r="AD42" s="1197">
        <f ca="1">OFFSET(AD42,0,-1)+1</f>
        <v>6</v>
      </c>
      <c r="AE42" s="1197"/>
      <c r="AF42" s="1197">
        <f ca="1">OFFSET(AF42,0,-1)+1</f>
        <v>1</v>
      </c>
      <c r="AG42" s="1197">
        <f ca="1">OFFSET(AG42,0,-1)+1</f>
        <v>2</v>
      </c>
      <c r="AH42" s="1197">
        <f ca="1">OFFSET(AH42,0,-1)+1</f>
        <v>3</v>
      </c>
      <c r="AI42" s="3539">
        <f ca="1">OFFSET(AI42,0,-1)+1</f>
        <v>4</v>
      </c>
      <c r="AJ42" s="3539"/>
      <c r="AK42" s="1197">
        <f ca="1">OFFSET(AK42,0,-2)+1</f>
        <v>5</v>
      </c>
      <c r="AL42" s="1111">
        <f ca="1">OFFSET(AL42,0,-1)</f>
        <v>5</v>
      </c>
      <c r="AM42" s="1197">
        <f ca="1">OFFSET(AM42,0,-1)+1</f>
        <v>6</v>
      </c>
      <c r="AN42" s="409"/>
      <c r="AO42" s="409"/>
      <c r="AP42" s="409"/>
      <c r="AQ42" s="409"/>
      <c r="AR42" s="409"/>
    </row>
    <row r="43" spans="1:44" ht="21" customHeight="1">
      <c r="A43" s="1224" t="s">
        <v>442</v>
      </c>
      <c r="B43" s="1224"/>
      <c r="C43" s="1224"/>
      <c r="D43" s="1224"/>
      <c r="E43" s="3528">
        <v>1</v>
      </c>
      <c r="F43" s="1224"/>
      <c r="G43" s="1224"/>
      <c r="H43" s="1224"/>
      <c r="I43" s="1224"/>
      <c r="J43" s="1224"/>
      <c r="K43" s="1224"/>
      <c r="L43" s="1225"/>
      <c r="M43" s="1226"/>
      <c r="N43" s="1226"/>
      <c r="O43" s="1226"/>
      <c r="P43" s="270"/>
      <c r="Q43" s="269"/>
      <c r="R43" s="264"/>
      <c r="S43" s="1198">
        <f>INDEX(PT_DIFFERENTIATION_NUM_NTAR,MATCH(A43,PT_DIFFERENTIATION_NTAR_ID,0))</f>
        <v>0</v>
      </c>
      <c r="T43" s="209" t="s">
        <v>391</v>
      </c>
      <c r="U43" s="211"/>
      <c r="V43" s="3522"/>
      <c r="W43" s="3523"/>
      <c r="X43" s="3523"/>
      <c r="Y43" s="3523"/>
      <c r="Z43" s="3523"/>
      <c r="AA43" s="3523"/>
      <c r="AB43" s="3523"/>
      <c r="AC43" s="3524"/>
      <c r="AD43" s="3522" t="str">
        <f>INDEX(PT_DIFFERENTIATION_NTAR,MATCH(A43,PT_DIFFERENTIATION_NTAR_ID,0))</f>
        <v/>
      </c>
      <c r="AE43" s="3523"/>
      <c r="AF43" s="3523"/>
      <c r="AG43" s="3523"/>
      <c r="AH43" s="3523"/>
      <c r="AI43" s="3523"/>
      <c r="AJ43" s="3523"/>
      <c r="AK43" s="3523"/>
      <c r="AL43" s="3524"/>
      <c r="AM43" s="112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398"/>
      <c r="AP43" s="398" t="str">
        <f t="shared" ref="AP43:AP57" si="1">IF(T43="","",T43)</f>
        <v>Наименование тарифа</v>
      </c>
      <c r="AQ43" s="398"/>
      <c r="AR43" s="398"/>
    </row>
    <row r="44" spans="1:44" ht="21" customHeight="1">
      <c r="A44" s="1224" t="s">
        <v>442</v>
      </c>
      <c r="B44" s="1224" t="s">
        <v>443</v>
      </c>
      <c r="C44" s="1224"/>
      <c r="D44" s="1224"/>
      <c r="E44" s="3529"/>
      <c r="F44" s="3528">
        <v>1</v>
      </c>
      <c r="G44" s="1224"/>
      <c r="H44" s="1224"/>
      <c r="I44" s="1224"/>
      <c r="J44" s="1224"/>
      <c r="K44" s="1224"/>
      <c r="L44" s="1225"/>
      <c r="M44" s="1226"/>
      <c r="N44" s="1226"/>
      <c r="O44" s="1226"/>
      <c r="P44" s="1194"/>
      <c r="Q44" s="261"/>
      <c r="R44" s="262"/>
      <c r="S44" s="1198" t="str">
        <f>INDEX(PT_DIFFERENTIATION_NUM_TER,MATCH(B44,PT_DIFFERENTIATION_TER_ID,0))</f>
        <v>.</v>
      </c>
      <c r="T44" s="219" t="s">
        <v>659</v>
      </c>
      <c r="U44" s="211"/>
      <c r="V44" s="3522"/>
      <c r="W44" s="3523"/>
      <c r="X44" s="3523"/>
      <c r="Y44" s="3523"/>
      <c r="Z44" s="3523"/>
      <c r="AA44" s="3523"/>
      <c r="AB44" s="3523"/>
      <c r="AC44" s="3524"/>
      <c r="AD44" s="3522" t="str">
        <f>INDEX(PT_DIFFERENTIATION_TER,MATCH(B44,PT_DIFFERENTIATION_TER_ID,0))</f>
        <v/>
      </c>
      <c r="AE44" s="3523"/>
      <c r="AF44" s="3523"/>
      <c r="AG44" s="3523"/>
      <c r="AH44" s="3523"/>
      <c r="AI44" s="3523"/>
      <c r="AJ44" s="3523"/>
      <c r="AK44" s="3523"/>
      <c r="AL44" s="3524"/>
      <c r="AM44" s="1124" t="s">
        <v>660</v>
      </c>
      <c r="AO44" s="398"/>
      <c r="AP44" s="398" t="str">
        <f t="shared" si="1"/>
        <v>Территория действия тарифа</v>
      </c>
      <c r="AQ44" s="398"/>
      <c r="AR44" s="398"/>
    </row>
    <row r="45" spans="1:44" ht="23.25" customHeight="1">
      <c r="A45" s="1224" t="s">
        <v>442</v>
      </c>
      <c r="B45" s="1224" t="s">
        <v>443</v>
      </c>
      <c r="C45" s="1224" t="s">
        <v>444</v>
      </c>
      <c r="D45" s="1224"/>
      <c r="E45" s="3529"/>
      <c r="F45" s="3529"/>
      <c r="G45" s="3528">
        <v>1</v>
      </c>
      <c r="H45" s="1224"/>
      <c r="I45" s="1224"/>
      <c r="J45" s="1224"/>
      <c r="K45" s="1224"/>
      <c r="L45" s="1225"/>
      <c r="M45" s="1226"/>
      <c r="N45" s="1226"/>
      <c r="O45" s="1226"/>
      <c r="P45" s="263"/>
      <c r="Q45" s="261"/>
      <c r="R45" s="262"/>
      <c r="S45" s="1198" t="str">
        <f>INDEX(PT_DIFFERENTIATION_NUM_CS,MATCH(C45,PT_DIFFERENTIATION_CS_ID,0))</f>
        <v>..</v>
      </c>
      <c r="T45" s="220" t="s">
        <v>661</v>
      </c>
      <c r="U45" s="211"/>
      <c r="V45" s="3522"/>
      <c r="W45" s="3523"/>
      <c r="X45" s="3523"/>
      <c r="Y45" s="3523"/>
      <c r="Z45" s="3523"/>
      <c r="AA45" s="3523"/>
      <c r="AB45" s="3523"/>
      <c r="AC45" s="3524"/>
      <c r="AD45" s="3522" t="str">
        <f>INDEX(PT_DIFFERENTIATION_CS,MATCH(C45,PT_DIFFERENTIATION_CS_ID,0))</f>
        <v/>
      </c>
      <c r="AE45" s="3523"/>
      <c r="AF45" s="3523"/>
      <c r="AG45" s="3523"/>
      <c r="AH45" s="3523"/>
      <c r="AI45" s="3523"/>
      <c r="AJ45" s="3523"/>
      <c r="AK45" s="3523"/>
      <c r="AL45" s="3524"/>
      <c r="AM45" s="1124" t="s">
        <v>662</v>
      </c>
      <c r="AO45" s="398"/>
      <c r="AP45" s="398" t="str">
        <f t="shared" si="1"/>
        <v xml:space="preserve">Наименование системы теплоснабжения </v>
      </c>
      <c r="AQ45" s="398"/>
      <c r="AR45" s="398"/>
    </row>
    <row r="46" spans="1:44" ht="21" customHeight="1">
      <c r="A46" s="1224" t="s">
        <v>442</v>
      </c>
      <c r="B46" s="1224" t="s">
        <v>443</v>
      </c>
      <c r="C46" s="1224" t="s">
        <v>444</v>
      </c>
      <c r="D46" s="1224" t="s">
        <v>445</v>
      </c>
      <c r="E46" s="3529"/>
      <c r="F46" s="3529"/>
      <c r="G46" s="3529"/>
      <c r="H46" s="3528">
        <v>1</v>
      </c>
      <c r="I46" s="1224"/>
      <c r="J46" s="1224"/>
      <c r="K46" s="1224"/>
      <c r="L46" s="1225"/>
      <c r="M46" s="1226"/>
      <c r="N46" s="1226"/>
      <c r="O46" s="1226"/>
      <c r="P46" s="263"/>
      <c r="Q46" s="261"/>
      <c r="R46" s="262"/>
      <c r="S46" s="1198" t="str">
        <f>INDEX(PT_DIFFERENTIATION_NUM_IST_TE,MATCH(D46,PT_DIFFERENTIATION_IST_TE_ID,0))</f>
        <v>...</v>
      </c>
      <c r="T46" s="221" t="s">
        <v>663</v>
      </c>
      <c r="U46" s="211"/>
      <c r="V46" s="3522"/>
      <c r="W46" s="3523"/>
      <c r="X46" s="3523"/>
      <c r="Y46" s="3523"/>
      <c r="Z46" s="3523"/>
      <c r="AA46" s="3523"/>
      <c r="AB46" s="3523"/>
      <c r="AC46" s="3524"/>
      <c r="AD46" s="3522" t="str">
        <f>INDEX(PT_DIFFERENTIATION_IST_TE,MATCH(D46,PT_DIFFERENTIATION_IST_TE_ID,0))</f>
        <v/>
      </c>
      <c r="AE46" s="3523"/>
      <c r="AF46" s="3523"/>
      <c r="AG46" s="3523"/>
      <c r="AH46" s="3523"/>
      <c r="AI46" s="3523"/>
      <c r="AJ46" s="3523"/>
      <c r="AK46" s="3523"/>
      <c r="AL46" s="3524"/>
      <c r="AM46" s="1124" t="s">
        <v>664</v>
      </c>
      <c r="AO46" s="398"/>
      <c r="AP46" s="398" t="str">
        <f t="shared" si="1"/>
        <v xml:space="preserve">Источник тепловой энергии  </v>
      </c>
      <c r="AQ46" s="398"/>
      <c r="AR46" s="398"/>
    </row>
    <row r="47" spans="1:44" s="1866" customFormat="1" ht="0" hidden="1" customHeight="1">
      <c r="A47" s="1205" t="s">
        <v>442</v>
      </c>
      <c r="B47" s="1205" t="s">
        <v>443</v>
      </c>
      <c r="C47" s="1205" t="s">
        <v>444</v>
      </c>
      <c r="D47" s="1205" t="s">
        <v>445</v>
      </c>
      <c r="E47" s="3529"/>
      <c r="F47" s="3529"/>
      <c r="G47" s="3529"/>
      <c r="H47" s="3529"/>
      <c r="I47" s="3530" t="str">
        <f>S46&amp;".1"</f>
        <v>....1</v>
      </c>
      <c r="J47" s="1205"/>
      <c r="K47" s="1205"/>
      <c r="L47" s="1208" t="s">
        <v>665</v>
      </c>
      <c r="M47" s="408"/>
      <c r="N47" s="408"/>
      <c r="O47" s="408"/>
      <c r="P47" s="3532">
        <v>1</v>
      </c>
      <c r="Q47" s="1193"/>
      <c r="R47" s="265"/>
      <c r="S47" s="912"/>
      <c r="T47" s="1244"/>
      <c r="U47" s="1245"/>
      <c r="V47" s="3559"/>
      <c r="W47" s="3560"/>
      <c r="X47" s="3560"/>
      <c r="Y47" s="3560"/>
      <c r="Z47" s="3560"/>
      <c r="AA47" s="3560"/>
      <c r="AB47" s="3560"/>
      <c r="AC47" s="3561"/>
      <c r="AD47" s="3559"/>
      <c r="AE47" s="3560"/>
      <c r="AF47" s="3560"/>
      <c r="AG47" s="3560"/>
      <c r="AH47" s="3560"/>
      <c r="AI47" s="3560"/>
      <c r="AJ47" s="3560"/>
      <c r="AK47" s="3560"/>
      <c r="AL47" s="3561"/>
      <c r="AM47" s="1246"/>
      <c r="AO47" s="398"/>
      <c r="AP47" s="398" t="str">
        <f t="shared" si="1"/>
        <v/>
      </c>
      <c r="AQ47" s="398"/>
      <c r="AR47" s="398"/>
    </row>
    <row r="48" spans="1:44" ht="21" customHeight="1">
      <c r="A48" s="1224" t="s">
        <v>442</v>
      </c>
      <c r="B48" s="1224" t="s">
        <v>443</v>
      </c>
      <c r="C48" s="1224" t="s">
        <v>444</v>
      </c>
      <c r="D48" s="1224" t="s">
        <v>445</v>
      </c>
      <c r="E48" s="3529"/>
      <c r="F48" s="3529"/>
      <c r="G48" s="3529"/>
      <c r="H48" s="3529"/>
      <c r="I48" s="3531"/>
      <c r="J48" s="3530" t="str">
        <f>S46&amp;".1"</f>
        <v>....1</v>
      </c>
      <c r="K48" s="1224"/>
      <c r="L48" s="1225" t="s">
        <v>668</v>
      </c>
      <c r="P48" s="3532"/>
      <c r="Q48" s="3532">
        <v>1</v>
      </c>
      <c r="R48" s="266"/>
      <c r="S48" s="1198" t="str">
        <f>$J48</f>
        <v>....1</v>
      </c>
      <c r="T48" s="198" t="s">
        <v>669</v>
      </c>
      <c r="U48" s="211"/>
      <c r="V48" s="3516"/>
      <c r="W48" s="3517"/>
      <c r="X48" s="3517"/>
      <c r="Y48" s="3517"/>
      <c r="Z48" s="3517"/>
      <c r="AA48" s="3517"/>
      <c r="AB48" s="3517"/>
      <c r="AC48" s="3518"/>
      <c r="AD48" s="3516"/>
      <c r="AE48" s="3517"/>
      <c r="AF48" s="3517"/>
      <c r="AG48" s="3517"/>
      <c r="AH48" s="3517"/>
      <c r="AI48" s="3517"/>
      <c r="AJ48" s="3517"/>
      <c r="AK48" s="3517"/>
      <c r="AL48" s="3518"/>
      <c r="AM48" s="1124" t="s">
        <v>670</v>
      </c>
      <c r="AO48" s="398"/>
      <c r="AP48" s="398" t="str">
        <f t="shared" si="1"/>
        <v>Группа потребителей</v>
      </c>
      <c r="AQ48" s="398"/>
      <c r="AR48" s="398"/>
    </row>
    <row r="49" spans="1:44" ht="21" customHeight="1">
      <c r="A49" s="1224" t="s">
        <v>442</v>
      </c>
      <c r="B49" s="1224" t="s">
        <v>443</v>
      </c>
      <c r="C49" s="1224" t="s">
        <v>444</v>
      </c>
      <c r="D49" s="1224" t="s">
        <v>445</v>
      </c>
      <c r="E49" s="3529"/>
      <c r="F49" s="3529"/>
      <c r="G49" s="3529"/>
      <c r="H49" s="3529"/>
      <c r="I49" s="3531"/>
      <c r="J49" s="3531"/>
      <c r="K49" s="3530" t="str">
        <f>J48&amp;".1"</f>
        <v>....1.1</v>
      </c>
      <c r="L49" s="1225" t="s">
        <v>671</v>
      </c>
      <c r="P49" s="3532"/>
      <c r="Q49" s="3532"/>
      <c r="R49" s="266">
        <v>1</v>
      </c>
      <c r="S49" s="1198" t="str">
        <f>$K49</f>
        <v>....1.1</v>
      </c>
      <c r="T49" s="1209"/>
      <c r="U49" s="211"/>
      <c r="V49" s="639"/>
      <c r="W49" s="236"/>
      <c r="X49" s="639"/>
      <c r="Y49" s="1123"/>
      <c r="Z49" s="3533"/>
      <c r="AA49" s="3412" t="s">
        <v>64</v>
      </c>
      <c r="AB49" s="3533"/>
      <c r="AC49" s="3412" t="s">
        <v>64</v>
      </c>
      <c r="AD49" s="639"/>
      <c r="AE49" s="236"/>
      <c r="AF49" s="639"/>
      <c r="AG49" s="1123"/>
      <c r="AH49" s="3533"/>
      <c r="AI49" s="3412" t="s">
        <v>64</v>
      </c>
      <c r="AJ49" s="3535"/>
      <c r="AK49" s="3412" t="s">
        <v>64</v>
      </c>
      <c r="AL49" s="1210"/>
      <c r="AM49" s="3551" t="s">
        <v>713</v>
      </c>
      <c r="AN49" s="409" t="e">
        <f ca="1">STRCHECKDATE(V50:AL50)</f>
        <v>#NAME?</v>
      </c>
      <c r="AO49" s="398"/>
      <c r="AP49" s="398" t="str">
        <f t="shared" si="1"/>
        <v/>
      </c>
      <c r="AQ49" s="398"/>
      <c r="AR49" s="398"/>
    </row>
    <row r="50" spans="1:44" ht="0.75" customHeight="1">
      <c r="A50" s="1224" t="s">
        <v>442</v>
      </c>
      <c r="B50" s="1224" t="s">
        <v>443</v>
      </c>
      <c r="C50" s="1224" t="s">
        <v>444</v>
      </c>
      <c r="D50" s="1224" t="s">
        <v>445</v>
      </c>
      <c r="E50" s="3529"/>
      <c r="F50" s="3529"/>
      <c r="G50" s="3529"/>
      <c r="H50" s="3529"/>
      <c r="I50" s="3531"/>
      <c r="J50" s="3531"/>
      <c r="K50" s="3530"/>
      <c r="L50" s="1225"/>
      <c r="P50" s="3532"/>
      <c r="Q50" s="3532"/>
      <c r="R50" s="266"/>
      <c r="S50" s="1204"/>
      <c r="T50" s="211"/>
      <c r="U50" s="211"/>
      <c r="V50" s="236"/>
      <c r="W50" s="236"/>
      <c r="X50" s="236"/>
      <c r="Y50" s="239" t="str">
        <f>Z49&amp;"-"&amp;AB49</f>
        <v>-</v>
      </c>
      <c r="Z50" s="3534"/>
      <c r="AA50" s="3412"/>
      <c r="AB50" s="3534"/>
      <c r="AC50" s="3412"/>
      <c r="AD50" s="236"/>
      <c r="AE50" s="236"/>
      <c r="AF50" s="236"/>
      <c r="AG50" s="239" t="str">
        <f>AH49&amp;"-"&amp;AJ49</f>
        <v>-</v>
      </c>
      <c r="AH50" s="3534"/>
      <c r="AI50" s="3412"/>
      <c r="AJ50" s="3536"/>
      <c r="AK50" s="3412"/>
      <c r="AL50" s="1211"/>
      <c r="AM50" s="3552"/>
      <c r="AO50" s="398"/>
      <c r="AP50" s="398" t="str">
        <f t="shared" si="1"/>
        <v/>
      </c>
      <c r="AQ50" s="398"/>
      <c r="AR50" s="398"/>
    </row>
    <row r="51" spans="1:44" ht="11.25" customHeight="1">
      <c r="A51" s="1224" t="s">
        <v>442</v>
      </c>
      <c r="B51" s="1224" t="s">
        <v>443</v>
      </c>
      <c r="C51" s="1224" t="s">
        <v>444</v>
      </c>
      <c r="D51" s="1224" t="s">
        <v>445</v>
      </c>
      <c r="E51" s="3529"/>
      <c r="F51" s="3529"/>
      <c r="G51" s="3529"/>
      <c r="H51" s="3529"/>
      <c r="I51" s="3531"/>
      <c r="J51" s="3530"/>
      <c r="K51" s="1224"/>
      <c r="L51" s="1225"/>
      <c r="P51" s="3532"/>
      <c r="Q51" s="3532"/>
      <c r="R51" s="265"/>
      <c r="S51" s="1144"/>
      <c r="T51" s="199" t="s">
        <v>673</v>
      </c>
      <c r="U51" s="275"/>
      <c r="V51" s="275"/>
      <c r="W51" s="275"/>
      <c r="X51" s="275"/>
      <c r="Y51" s="275"/>
      <c r="Z51" s="275"/>
      <c r="AA51" s="275"/>
      <c r="AB51" s="275"/>
      <c r="AC51" s="275"/>
      <c r="AD51" s="275"/>
      <c r="AE51" s="275"/>
      <c r="AF51" s="275"/>
      <c r="AG51" s="275"/>
      <c r="AH51" s="275"/>
      <c r="AI51" s="275"/>
      <c r="AJ51" s="275"/>
      <c r="AK51" s="275"/>
      <c r="AL51" s="235"/>
      <c r="AM51" s="3553"/>
      <c r="AO51" s="398"/>
      <c r="AP51" s="398" t="str">
        <f t="shared" si="1"/>
        <v>Добавить вид теплоносителя (параметры теплоносителя)</v>
      </c>
      <c r="AQ51" s="398"/>
      <c r="AR51" s="398"/>
    </row>
    <row r="52" spans="1:44" ht="11.25" customHeight="1">
      <c r="A52" s="1224" t="s">
        <v>442</v>
      </c>
      <c r="B52" s="1224" t="s">
        <v>443</v>
      </c>
      <c r="C52" s="1224" t="s">
        <v>444</v>
      </c>
      <c r="D52" s="1224" t="s">
        <v>445</v>
      </c>
      <c r="E52" s="3529"/>
      <c r="F52" s="3529"/>
      <c r="G52" s="3529"/>
      <c r="H52" s="3529"/>
      <c r="I52" s="3530"/>
      <c r="J52" s="1224"/>
      <c r="K52" s="1224"/>
      <c r="L52" s="1225"/>
      <c r="P52" s="3532"/>
      <c r="Q52" s="1193"/>
      <c r="R52" s="265"/>
      <c r="S52" s="1144"/>
      <c r="T52" s="273" t="s">
        <v>674</v>
      </c>
      <c r="U52" s="275"/>
      <c r="V52" s="275"/>
      <c r="W52" s="275"/>
      <c r="X52" s="275"/>
      <c r="Y52" s="275"/>
      <c r="Z52" s="275"/>
      <c r="AA52" s="275"/>
      <c r="AB52" s="275"/>
      <c r="AC52" s="274"/>
      <c r="AD52" s="275"/>
      <c r="AE52" s="275"/>
      <c r="AF52" s="275"/>
      <c r="AG52" s="275"/>
      <c r="AH52" s="275"/>
      <c r="AI52" s="275"/>
      <c r="AJ52" s="275"/>
      <c r="AK52" s="274"/>
      <c r="AL52" s="275"/>
      <c r="AM52" s="214"/>
      <c r="AO52" s="398"/>
      <c r="AP52" s="398" t="str">
        <f t="shared" si="1"/>
        <v>Добавить группу потребителей</v>
      </c>
      <c r="AQ52" s="398"/>
      <c r="AR52" s="398"/>
    </row>
    <row r="53" spans="1:44" ht="0" hidden="1" customHeight="1">
      <c r="A53" s="1224" t="s">
        <v>442</v>
      </c>
      <c r="B53" s="1224" t="s">
        <v>443</v>
      </c>
      <c r="C53" s="1224" t="s">
        <v>444</v>
      </c>
      <c r="D53" s="1224" t="s">
        <v>445</v>
      </c>
      <c r="E53" s="3529"/>
      <c r="F53" s="3529"/>
      <c r="G53" s="3529"/>
      <c r="H53" s="3528"/>
      <c r="I53" s="1224"/>
      <c r="J53" s="1224"/>
      <c r="K53" s="1224"/>
      <c r="L53" s="1225"/>
      <c r="M53" s="1226"/>
      <c r="N53" s="1226"/>
      <c r="O53" s="434"/>
      <c r="P53" s="269"/>
      <c r="Q53" s="282"/>
      <c r="R53" s="264"/>
      <c r="S53" s="1247"/>
      <c r="T53" s="1248"/>
      <c r="U53" s="1249"/>
      <c r="V53" s="1249"/>
      <c r="W53" s="1249"/>
      <c r="X53" s="1249"/>
      <c r="Y53" s="1249"/>
      <c r="Z53" s="1249"/>
      <c r="AA53" s="1249"/>
      <c r="AB53" s="1249"/>
      <c r="AC53" s="1249"/>
      <c r="AD53" s="1249"/>
      <c r="AE53" s="1249"/>
      <c r="AF53" s="1249"/>
      <c r="AG53" s="1249"/>
      <c r="AH53" s="1249"/>
      <c r="AI53" s="1249"/>
      <c r="AJ53" s="1249"/>
      <c r="AK53" s="1249"/>
      <c r="AL53" s="1249"/>
      <c r="AM53" s="1250"/>
      <c r="AO53" s="398"/>
      <c r="AP53" s="398" t="str">
        <f t="shared" si="1"/>
        <v/>
      </c>
      <c r="AQ53" s="398"/>
      <c r="AR53" s="398"/>
    </row>
    <row r="54" spans="1:44" s="1866" customFormat="1" ht="0.75" customHeight="1">
      <c r="A54" s="1205" t="s">
        <v>442</v>
      </c>
      <c r="B54" s="1205" t="s">
        <v>443</v>
      </c>
      <c r="C54" s="1205" t="s">
        <v>444</v>
      </c>
      <c r="D54" s="1177"/>
      <c r="E54" s="3529"/>
      <c r="F54" s="3529"/>
      <c r="G54" s="3528"/>
      <c r="H54" s="1177"/>
      <c r="I54" s="1177"/>
      <c r="J54" s="1177"/>
      <c r="K54" s="1177"/>
      <c r="L54" s="1201"/>
      <c r="M54" s="1178"/>
      <c r="N54" s="1178"/>
      <c r="P54" s="1179"/>
      <c r="Q54" s="1180"/>
      <c r="R54" s="1179"/>
      <c r="S54" s="1185"/>
      <c r="T54" s="1188" t="s">
        <v>676</v>
      </c>
      <c r="U54" s="1187"/>
      <c r="V54" s="1187"/>
      <c r="W54" s="1187"/>
      <c r="X54" s="1187"/>
      <c r="Y54" s="1187"/>
      <c r="Z54" s="1187"/>
      <c r="AA54" s="1187"/>
      <c r="AB54" s="1187"/>
      <c r="AC54" s="1187"/>
      <c r="AD54" s="1187"/>
      <c r="AE54" s="1187"/>
      <c r="AF54" s="1187"/>
      <c r="AG54" s="1187"/>
      <c r="AH54" s="1187"/>
      <c r="AI54" s="1187"/>
      <c r="AJ54" s="1187"/>
      <c r="AK54" s="1187"/>
      <c r="AL54" s="1187"/>
      <c r="AM54" s="1187"/>
      <c r="AO54" s="670"/>
      <c r="AP54" s="670" t="str">
        <f t="shared" si="1"/>
        <v>Добавить источник для дифференциации</v>
      </c>
      <c r="AQ54" s="670"/>
      <c r="AR54" s="670"/>
    </row>
    <row r="55" spans="1:44" s="1866" customFormat="1" ht="0.75" customHeight="1">
      <c r="A55" s="1205" t="s">
        <v>442</v>
      </c>
      <c r="B55" s="1205" t="s">
        <v>443</v>
      </c>
      <c r="C55" s="1177"/>
      <c r="D55" s="1177"/>
      <c r="E55" s="3529"/>
      <c r="F55" s="3528"/>
      <c r="G55" s="1177"/>
      <c r="H55" s="1177"/>
      <c r="I55" s="1177"/>
      <c r="J55" s="1177"/>
      <c r="K55" s="1177"/>
      <c r="L55" s="1201"/>
      <c r="M55" s="1184"/>
      <c r="N55" s="1184"/>
      <c r="P55" s="1179"/>
      <c r="Q55" s="1180"/>
      <c r="R55" s="1179"/>
      <c r="S55" s="1185"/>
      <c r="T55" s="1188" t="s">
        <v>677</v>
      </c>
      <c r="U55" s="1187"/>
      <c r="V55" s="1187"/>
      <c r="W55" s="1187"/>
      <c r="X55" s="1187"/>
      <c r="Y55" s="1187"/>
      <c r="Z55" s="1187"/>
      <c r="AA55" s="1187"/>
      <c r="AB55" s="1187"/>
      <c r="AC55" s="1187"/>
      <c r="AD55" s="1187"/>
      <c r="AE55" s="1187"/>
      <c r="AF55" s="1187"/>
      <c r="AG55" s="1187"/>
      <c r="AH55" s="1187"/>
      <c r="AI55" s="1187"/>
      <c r="AJ55" s="1187"/>
      <c r="AK55" s="1187"/>
      <c r="AL55" s="1187"/>
      <c r="AM55" s="1187"/>
      <c r="AO55" s="670"/>
      <c r="AP55" s="670" t="str">
        <f t="shared" si="1"/>
        <v>Добавить централизованную систему для дифференциации</v>
      </c>
      <c r="AQ55" s="670"/>
      <c r="AR55" s="670"/>
    </row>
    <row r="56" spans="1:44" s="1866" customFormat="1" ht="0.75" customHeight="1">
      <c r="A56" s="1205" t="s">
        <v>442</v>
      </c>
      <c r="B56" s="1205"/>
      <c r="C56" s="1205"/>
      <c r="D56" s="1205"/>
      <c r="E56" s="3528"/>
      <c r="F56" s="1205"/>
      <c r="G56" s="1205"/>
      <c r="H56" s="1205"/>
      <c r="I56" s="1205"/>
      <c r="J56" s="1205"/>
      <c r="K56" s="1205"/>
      <c r="L56" s="1208"/>
      <c r="M56" s="1184"/>
      <c r="N56" s="1184"/>
      <c r="O56" s="416"/>
      <c r="P56" s="287"/>
      <c r="Q56" s="1206"/>
      <c r="R56" s="287"/>
      <c r="S56" s="1185"/>
      <c r="T56" s="1188" t="s">
        <v>678</v>
      </c>
      <c r="U56" s="1187"/>
      <c r="V56" s="1187"/>
      <c r="W56" s="1187"/>
      <c r="X56" s="1187"/>
      <c r="Y56" s="1187"/>
      <c r="Z56" s="1187"/>
      <c r="AA56" s="1187"/>
      <c r="AB56" s="1187"/>
      <c r="AC56" s="1187"/>
      <c r="AD56" s="1187"/>
      <c r="AE56" s="1187"/>
      <c r="AF56" s="1187"/>
      <c r="AG56" s="1187"/>
      <c r="AH56" s="1187"/>
      <c r="AI56" s="1187"/>
      <c r="AJ56" s="1187"/>
      <c r="AK56" s="1187"/>
      <c r="AL56" s="1187"/>
      <c r="AM56" s="1187"/>
      <c r="AO56" s="398"/>
      <c r="AP56" s="398" t="str">
        <f t="shared" si="1"/>
        <v>Добавить территорию для дифференциации</v>
      </c>
      <c r="AQ56" s="398"/>
      <c r="AR56" s="398"/>
    </row>
    <row r="57" spans="1:44" s="1866" customFormat="1" ht="0.75" customHeight="1">
      <c r="A57" s="1177"/>
      <c r="B57" s="1177"/>
      <c r="C57" s="1177"/>
      <c r="D57" s="1177"/>
      <c r="E57" s="1205"/>
      <c r="F57" s="1177"/>
      <c r="G57" s="1177"/>
      <c r="H57" s="1177"/>
      <c r="I57" s="1177"/>
      <c r="J57" s="1177"/>
      <c r="K57" s="1177"/>
      <c r="L57" s="1201"/>
      <c r="M57" s="1184"/>
      <c r="N57" s="1184"/>
      <c r="P57" s="1179"/>
      <c r="Q57" s="1180"/>
      <c r="R57" s="1179"/>
      <c r="S57" s="1185"/>
      <c r="T57" s="1188" t="s">
        <v>710</v>
      </c>
      <c r="U57" s="1187"/>
      <c r="V57" s="1187"/>
      <c r="W57" s="1187"/>
      <c r="X57" s="1187"/>
      <c r="Y57" s="1187"/>
      <c r="Z57" s="1187"/>
      <c r="AA57" s="1187"/>
      <c r="AB57" s="1187"/>
      <c r="AC57" s="1187"/>
      <c r="AD57" s="1187"/>
      <c r="AE57" s="1187"/>
      <c r="AF57" s="1187"/>
      <c r="AG57" s="1187"/>
      <c r="AH57" s="1187"/>
      <c r="AI57" s="1187"/>
      <c r="AJ57" s="1187"/>
      <c r="AK57" s="1187"/>
      <c r="AL57" s="1187"/>
      <c r="AM57" s="1187"/>
      <c r="AO57" s="670"/>
      <c r="AP57" s="670" t="str">
        <f t="shared" si="1"/>
        <v>Добавить наименование тарифа</v>
      </c>
      <c r="AQ57" s="670"/>
      <c r="AR57" s="670"/>
    </row>
    <row r="58" spans="1:44" ht="11.25" customHeight="1">
      <c r="M58" s="1023"/>
      <c r="N58" s="1023"/>
      <c r="O58" s="434"/>
      <c r="P58" s="1018"/>
      <c r="Q58" s="1018"/>
      <c r="R58" s="1018"/>
      <c r="S58" s="1018"/>
      <c r="AN58" s="1018"/>
      <c r="AO58" s="1018"/>
      <c r="AP58" s="1018"/>
      <c r="AQ58" s="1018"/>
      <c r="AR58" s="1018"/>
    </row>
    <row r="59" spans="1:44" ht="21.75" customHeight="1">
      <c r="O59" s="434"/>
      <c r="S59" s="1119"/>
      <c r="T59" s="3527"/>
      <c r="U59" s="3527"/>
      <c r="V59" s="3527"/>
      <c r="W59" s="3527"/>
      <c r="X59" s="3527"/>
      <c r="Y59" s="3527"/>
      <c r="Z59" s="3527"/>
      <c r="AA59" s="3527"/>
      <c r="AB59" s="3527"/>
      <c r="AC59" s="3527"/>
      <c r="AD59" s="3527"/>
      <c r="AE59" s="3527"/>
      <c r="AF59" s="3527"/>
      <c r="AG59" s="3527"/>
      <c r="AH59" s="3527"/>
      <c r="AI59" s="3527"/>
      <c r="AJ59" s="3527"/>
      <c r="AK59" s="3527"/>
      <c r="AL59" s="3527"/>
      <c r="AM59" s="3527"/>
    </row>
    <row r="60" spans="1:44" ht="29.25" customHeight="1">
      <c r="O60" s="434"/>
      <c r="T60" s="3527"/>
      <c r="U60" s="3527"/>
      <c r="V60" s="3527"/>
      <c r="W60" s="3527"/>
      <c r="X60" s="3527"/>
      <c r="Y60" s="3527"/>
      <c r="Z60" s="3527"/>
      <c r="AA60" s="3527"/>
      <c r="AB60" s="3527"/>
      <c r="AC60" s="3527"/>
      <c r="AD60" s="3527"/>
      <c r="AE60" s="3527"/>
      <c r="AF60" s="3527"/>
      <c r="AG60" s="3527"/>
      <c r="AH60" s="3527"/>
      <c r="AI60" s="3527"/>
      <c r="AJ60" s="3527"/>
      <c r="AK60" s="3527"/>
      <c r="AL60" s="3527"/>
      <c r="AM60" s="3527"/>
    </row>
    <row r="61" spans="1:44" ht="39.75" customHeight="1">
      <c r="O61" s="434"/>
      <c r="T61" s="3527"/>
      <c r="U61" s="3527"/>
      <c r="V61" s="3527"/>
      <c r="W61" s="3527"/>
      <c r="X61" s="3527"/>
      <c r="Y61" s="3527"/>
      <c r="Z61" s="3527"/>
      <c r="AA61" s="3527"/>
      <c r="AB61" s="3527"/>
      <c r="AC61" s="3527"/>
      <c r="AD61" s="3527"/>
      <c r="AE61" s="3527"/>
      <c r="AF61" s="3527"/>
      <c r="AG61" s="3527"/>
      <c r="AH61" s="3527"/>
      <c r="AI61" s="3527"/>
      <c r="AJ61" s="3527"/>
      <c r="AK61" s="3527"/>
      <c r="AL61" s="3527"/>
      <c r="AM61" s="3527"/>
    </row>
    <row r="62" spans="1:44" ht="14.25" customHeight="1">
      <c r="O62" s="434"/>
    </row>
    <row r="63" spans="1:44" ht="19.5" customHeight="1">
      <c r="O63" s="434"/>
      <c r="S63" s="1119"/>
      <c r="T63" s="3441"/>
      <c r="U63" s="3527"/>
      <c r="V63" s="3527"/>
      <c r="W63" s="3527"/>
      <c r="X63" s="3527"/>
      <c r="Y63" s="3527"/>
      <c r="Z63" s="3527"/>
      <c r="AA63" s="3527"/>
      <c r="AB63" s="3527"/>
      <c r="AC63" s="3527"/>
      <c r="AD63" s="3527"/>
      <c r="AE63" s="3527"/>
      <c r="AF63" s="3527"/>
      <c r="AG63" s="3527"/>
      <c r="AH63" s="3527"/>
      <c r="AI63" s="3527"/>
      <c r="AJ63" s="3527"/>
      <c r="AK63" s="3527"/>
      <c r="AL63" s="3527"/>
      <c r="AM63" s="3527"/>
    </row>
    <row r="64" spans="1:44" ht="27.75" customHeight="1">
      <c r="O64" s="434"/>
      <c r="T64" s="3527"/>
      <c r="U64" s="3527"/>
      <c r="V64" s="3527"/>
      <c r="W64" s="3527"/>
      <c r="X64" s="3527"/>
      <c r="Y64" s="3527"/>
      <c r="Z64" s="3527"/>
      <c r="AA64" s="3527"/>
      <c r="AB64" s="3527"/>
      <c r="AC64" s="3527"/>
      <c r="AD64" s="3527"/>
      <c r="AE64" s="3527"/>
      <c r="AF64" s="3527"/>
      <c r="AG64" s="3527"/>
      <c r="AH64" s="3527"/>
      <c r="AI64" s="3527"/>
      <c r="AJ64" s="3527"/>
      <c r="AK64" s="3527"/>
      <c r="AL64" s="3527"/>
      <c r="AM64" s="3527"/>
    </row>
    <row r="65" spans="20:39" ht="33.75" customHeight="1">
      <c r="T65" s="3527"/>
      <c r="U65" s="3527"/>
      <c r="V65" s="3527"/>
      <c r="W65" s="3527"/>
      <c r="X65" s="3527"/>
      <c r="Y65" s="3527"/>
      <c r="Z65" s="3527"/>
      <c r="AA65" s="3527"/>
      <c r="AB65" s="3527"/>
      <c r="AC65" s="3527"/>
      <c r="AD65" s="3527"/>
      <c r="AE65" s="3527"/>
      <c r="AF65" s="3527"/>
      <c r="AG65" s="3527"/>
      <c r="AH65" s="3527"/>
      <c r="AI65" s="3527"/>
      <c r="AJ65" s="3527"/>
      <c r="AK65" s="3527"/>
      <c r="AL65" s="3527"/>
      <c r="AM65" s="3527"/>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3CD96-9525-8D68-0ACC-8B2CB915784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03" hidden="1"/>
    <col min="2" max="2" width="11" style="1903" hidden="1" customWidth="1"/>
    <col min="3" max="3" width="10.5703125" style="1903" hidden="1"/>
    <col min="4" max="4" width="11.85546875" style="1903" hidden="1" customWidth="1"/>
    <col min="5" max="5" width="10" style="1903" hidden="1" customWidth="1"/>
    <col min="6" max="6" width="8.7109375" style="1903" hidden="1" customWidth="1"/>
    <col min="7" max="7" width="7.5703125" style="1903" hidden="1" customWidth="1"/>
    <col min="8" max="8" width="11.42578125" style="1903" hidden="1" customWidth="1"/>
    <col min="9" max="9" width="12" style="1903" hidden="1" customWidth="1"/>
    <col min="10" max="10" width="9.85546875" style="1903" hidden="1" customWidth="1"/>
    <col min="11" max="11" width="11.42578125" style="1903" hidden="1" customWidth="1"/>
    <col min="12" max="12" width="19.140625" style="1953" hidden="1" customWidth="1"/>
    <col min="13" max="14" width="12.28515625" style="1839" hidden="1" customWidth="1"/>
    <col min="15" max="15" width="23.42578125" style="1839" hidden="1" customWidth="1"/>
    <col min="16" max="16" width="3.7109375" style="1957" hidden="1" customWidth="1"/>
    <col min="17" max="18" width="3.7109375" style="1906" customWidth="1"/>
    <col min="19" max="19" width="12.7109375" style="1951" customWidth="1"/>
    <col min="20" max="20" width="32" style="1910" customWidth="1"/>
    <col min="21" max="21" width="0.140625" style="1910" customWidth="1"/>
    <col min="22" max="22" width="24.7109375" style="1910" hidden="1" customWidth="1"/>
    <col min="23" max="23" width="0.140625" style="1910" hidden="1" customWidth="1"/>
    <col min="24" max="25" width="24.7109375" style="1910" hidden="1" customWidth="1"/>
    <col min="26" max="26" width="11.7109375" style="1910" hidden="1" customWidth="1"/>
    <col min="27" max="27" width="3.7109375" style="1910" hidden="1" customWidth="1"/>
    <col min="28" max="28" width="11.7109375" style="1910" hidden="1" customWidth="1"/>
    <col min="29" max="29" width="8.5703125" style="1910" hidden="1" customWidth="1"/>
    <col min="30" max="30" width="24.7109375" style="1910" customWidth="1"/>
    <col min="31" max="31" width="0.140625" style="1910" customWidth="1"/>
    <col min="32" max="33" width="24.7109375" style="1910" customWidth="1"/>
    <col min="34" max="34" width="11.7109375" style="1910" customWidth="1"/>
    <col min="35" max="35" width="3.7109375" style="1910" customWidth="1"/>
    <col min="36" max="36" width="11.7109375" style="1910" customWidth="1"/>
    <col min="37" max="37" width="8.5703125" style="1910" hidden="1" customWidth="1"/>
    <col min="38" max="38" width="4.7109375" style="1910" customWidth="1"/>
    <col min="39" max="39" width="115.7109375" style="1910" customWidth="1"/>
    <col min="40" max="41" width="10.5703125" style="1866"/>
    <col min="42" max="42" width="11.140625" style="1866" customWidth="1"/>
    <col min="43" max="44" width="10.5703125" style="1866"/>
  </cols>
  <sheetData>
    <row r="1" spans="1:44" ht="14.25" hidden="1" customHeight="1">
      <c r="Y1" s="238"/>
      <c r="Z1" s="238"/>
      <c r="AG1" s="238"/>
      <c r="AH1" s="238"/>
    </row>
    <row r="2" spans="1:44" ht="21" hidden="1" customHeight="1">
      <c r="A2" s="1224"/>
      <c r="B2" s="1224"/>
      <c r="C2" s="1224"/>
      <c r="D2" s="1224"/>
      <c r="E2" s="3528">
        <v>1</v>
      </c>
      <c r="F2" s="1224"/>
      <c r="G2" s="1224"/>
      <c r="H2" s="1224"/>
      <c r="I2" s="1224"/>
      <c r="J2" s="1224"/>
      <c r="K2" s="1224"/>
      <c r="L2" s="1225"/>
      <c r="M2" s="1226"/>
      <c r="N2" s="1226"/>
      <c r="O2" s="1226"/>
      <c r="P2" s="270"/>
      <c r="Q2" s="269"/>
      <c r="R2" s="264"/>
      <c r="S2" s="1198" t="e">
        <f>INDEX(PT_DIFFERENTIATION_NUM_NTAR,MATCH(A2,PT_DIFFERENTIATION_NTAR_ID,0))</f>
        <v>#N/A</v>
      </c>
      <c r="T2" s="209" t="s">
        <v>391</v>
      </c>
      <c r="U2" s="211"/>
      <c r="V2" s="3522"/>
      <c r="W2" s="3523"/>
      <c r="X2" s="3523"/>
      <c r="Y2" s="3523"/>
      <c r="Z2" s="3523"/>
      <c r="AA2" s="3523"/>
      <c r="AB2" s="3523"/>
      <c r="AC2" s="3524"/>
      <c r="AD2" s="3522" t="e">
        <f>INDEX(PT_DIFFERENTIATION_NTAR,MATCH(A2,PT_DIFFERENTIATION_NTAR_ID,0))</f>
        <v>#N/A</v>
      </c>
      <c r="AE2" s="3523"/>
      <c r="AF2" s="3523"/>
      <c r="AG2" s="3523"/>
      <c r="AH2" s="3523"/>
      <c r="AI2" s="3523"/>
      <c r="AJ2" s="3523"/>
      <c r="AK2" s="3523"/>
      <c r="AL2" s="3524"/>
      <c r="AM2" s="1124" t="s">
        <v>658</v>
      </c>
      <c r="AO2" s="398"/>
      <c r="AP2" s="398" t="str">
        <f t="shared" ref="AP2:AP15" si="0">IF(T2="","",T2)</f>
        <v>Наименование тарифа</v>
      </c>
      <c r="AQ2" s="398"/>
      <c r="AR2" s="398"/>
    </row>
    <row r="3" spans="1:44" ht="21" hidden="1" customHeight="1">
      <c r="A3" s="1224"/>
      <c r="B3" s="1224"/>
      <c r="C3" s="1224"/>
      <c r="D3" s="1224"/>
      <c r="E3" s="3529"/>
      <c r="F3" s="3528">
        <v>1</v>
      </c>
      <c r="G3" s="1224"/>
      <c r="H3" s="1224"/>
      <c r="I3" s="1224"/>
      <c r="J3" s="1224"/>
      <c r="K3" s="1224"/>
      <c r="L3" s="1225"/>
      <c r="M3" s="1226"/>
      <c r="N3" s="1226"/>
      <c r="O3" s="1226"/>
      <c r="P3" s="1194"/>
      <c r="Q3" s="261"/>
      <c r="R3" s="262"/>
      <c r="S3" s="1198" t="e">
        <f>INDEX(PT_DIFFERENTIATION_NUM_TER,MATCH(B3,PT_DIFFERENTIATION_TER_ID,0))</f>
        <v>#N/A</v>
      </c>
      <c r="T3" s="219" t="s">
        <v>659</v>
      </c>
      <c r="U3" s="211"/>
      <c r="V3" s="3522"/>
      <c r="W3" s="3523"/>
      <c r="X3" s="3523"/>
      <c r="Y3" s="3523"/>
      <c r="Z3" s="3523"/>
      <c r="AA3" s="3523"/>
      <c r="AB3" s="3523"/>
      <c r="AC3" s="3524"/>
      <c r="AD3" s="3522" t="e">
        <f>INDEX(PT_DIFFERENTIATION_TER,MATCH(B3,PT_DIFFERENTIATION_TER_ID,0))</f>
        <v>#N/A</v>
      </c>
      <c r="AE3" s="3523"/>
      <c r="AF3" s="3523"/>
      <c r="AG3" s="3523"/>
      <c r="AH3" s="3523"/>
      <c r="AI3" s="3523"/>
      <c r="AJ3" s="3523"/>
      <c r="AK3" s="3523"/>
      <c r="AL3" s="3524"/>
      <c r="AM3" s="1124" t="s">
        <v>660</v>
      </c>
      <c r="AO3" s="398"/>
      <c r="AP3" s="398" t="str">
        <f t="shared" si="0"/>
        <v>Территория действия тарифа</v>
      </c>
      <c r="AQ3" s="398"/>
      <c r="AR3" s="398"/>
    </row>
    <row r="4" spans="1:44" ht="23.25" hidden="1" customHeight="1">
      <c r="A4" s="1224"/>
      <c r="B4" s="1224"/>
      <c r="C4" s="1224"/>
      <c r="D4" s="1224"/>
      <c r="E4" s="3529"/>
      <c r="F4" s="3529"/>
      <c r="G4" s="3528">
        <v>1</v>
      </c>
      <c r="H4" s="1224"/>
      <c r="I4" s="1224"/>
      <c r="J4" s="1224"/>
      <c r="K4" s="1224"/>
      <c r="L4" s="1225"/>
      <c r="M4" s="1226"/>
      <c r="N4" s="1226"/>
      <c r="O4" s="1226"/>
      <c r="P4" s="263"/>
      <c r="Q4" s="261"/>
      <c r="R4" s="262"/>
      <c r="S4" s="1198" t="e">
        <f>INDEX(PT_DIFFERENTIATION_NUM_CS,MATCH(C4,PT_DIFFERENTIATION_CS_ID,0))</f>
        <v>#N/A</v>
      </c>
      <c r="T4" s="220" t="s">
        <v>661</v>
      </c>
      <c r="U4" s="211"/>
      <c r="V4" s="3522"/>
      <c r="W4" s="3523"/>
      <c r="X4" s="3523"/>
      <c r="Y4" s="3523"/>
      <c r="Z4" s="3523"/>
      <c r="AA4" s="3523"/>
      <c r="AB4" s="3523"/>
      <c r="AC4" s="3524"/>
      <c r="AD4" s="3522" t="e">
        <f>INDEX(PT_DIFFERENTIATION_CS,MATCH(C4,PT_DIFFERENTIATION_CS_ID,0))</f>
        <v>#N/A</v>
      </c>
      <c r="AE4" s="3523"/>
      <c r="AF4" s="3523"/>
      <c r="AG4" s="3523"/>
      <c r="AH4" s="3523"/>
      <c r="AI4" s="3523"/>
      <c r="AJ4" s="3523"/>
      <c r="AK4" s="3523"/>
      <c r="AL4" s="3524"/>
      <c r="AM4" s="1124" t="s">
        <v>662</v>
      </c>
      <c r="AO4" s="398"/>
      <c r="AP4" s="398" t="str">
        <f t="shared" si="0"/>
        <v xml:space="preserve">Наименование системы теплоснабжения </v>
      </c>
      <c r="AQ4" s="398"/>
      <c r="AR4" s="398"/>
    </row>
    <row r="5" spans="1:44" ht="21" hidden="1" customHeight="1">
      <c r="A5" s="1224"/>
      <c r="B5" s="1224"/>
      <c r="C5" s="1224"/>
      <c r="D5" s="1224"/>
      <c r="E5" s="3529"/>
      <c r="F5" s="3529"/>
      <c r="G5" s="3529"/>
      <c r="H5" s="3528">
        <v>1</v>
      </c>
      <c r="I5" s="1224"/>
      <c r="J5" s="1224"/>
      <c r="K5" s="1224"/>
      <c r="L5" s="1225"/>
      <c r="M5" s="1226"/>
      <c r="N5" s="1226"/>
      <c r="O5" s="1226"/>
      <c r="P5" s="263"/>
      <c r="Q5" s="261"/>
      <c r="R5" s="262"/>
      <c r="S5" s="1198" t="e">
        <f>INDEX(PT_DIFFERENTIATION_NUM_IST_TE,MATCH(D5,PT_DIFFERENTIATION_IST_TE_ID,0))</f>
        <v>#N/A</v>
      </c>
      <c r="T5" s="221" t="s">
        <v>663</v>
      </c>
      <c r="U5" s="211"/>
      <c r="V5" s="3522"/>
      <c r="W5" s="3523"/>
      <c r="X5" s="3523"/>
      <c r="Y5" s="3523"/>
      <c r="Z5" s="3523"/>
      <c r="AA5" s="3523"/>
      <c r="AB5" s="3523"/>
      <c r="AC5" s="3524"/>
      <c r="AD5" s="3522" t="e">
        <f>INDEX(PT_DIFFERENTIATION_IST_TE,MATCH(D5,PT_DIFFERENTIATION_IST_TE_ID,0))</f>
        <v>#N/A</v>
      </c>
      <c r="AE5" s="3523"/>
      <c r="AF5" s="3523"/>
      <c r="AG5" s="3523"/>
      <c r="AH5" s="3523"/>
      <c r="AI5" s="3523"/>
      <c r="AJ5" s="3523"/>
      <c r="AK5" s="3523"/>
      <c r="AL5" s="3524"/>
      <c r="AM5" s="1124" t="s">
        <v>664</v>
      </c>
      <c r="AO5" s="398"/>
      <c r="AP5" s="398" t="str">
        <f t="shared" si="0"/>
        <v xml:space="preserve">Источник тепловой энергии  </v>
      </c>
      <c r="AQ5" s="398"/>
      <c r="AR5" s="398"/>
    </row>
    <row r="6" spans="1:44" ht="14.25" hidden="1" customHeight="1">
      <c r="A6" s="1224"/>
      <c r="B6" s="1224"/>
      <c r="C6" s="1224"/>
      <c r="D6" s="1224"/>
      <c r="E6" s="3529"/>
      <c r="F6" s="3529"/>
      <c r="G6" s="3529"/>
      <c r="H6" s="3529"/>
      <c r="I6" s="3530" t="e">
        <f>S5&amp;".1"</f>
        <v>#N/A</v>
      </c>
      <c r="J6" s="1224"/>
      <c r="K6" s="1224"/>
      <c r="L6" s="1225" t="s">
        <v>665</v>
      </c>
      <c r="M6" s="434"/>
      <c r="P6" s="3532">
        <v>1</v>
      </c>
      <c r="Q6" s="1193"/>
      <c r="R6" s="265"/>
      <c r="S6" s="912"/>
      <c r="T6" s="1244"/>
      <c r="U6" s="1245"/>
      <c r="V6" s="3559"/>
      <c r="W6" s="3560"/>
      <c r="X6" s="3560"/>
      <c r="Y6" s="3560"/>
      <c r="Z6" s="3560"/>
      <c r="AA6" s="3560"/>
      <c r="AB6" s="3560"/>
      <c r="AC6" s="3561"/>
      <c r="AD6" s="3559"/>
      <c r="AE6" s="3560"/>
      <c r="AF6" s="3560"/>
      <c r="AG6" s="3560"/>
      <c r="AH6" s="3560"/>
      <c r="AI6" s="3560"/>
      <c r="AJ6" s="3560"/>
      <c r="AK6" s="3560"/>
      <c r="AL6" s="3561"/>
      <c r="AM6" s="1246"/>
      <c r="AO6" s="398"/>
      <c r="AP6" s="398" t="str">
        <f t="shared" si="0"/>
        <v/>
      </c>
      <c r="AQ6" s="398"/>
      <c r="AR6" s="398"/>
    </row>
    <row r="7" spans="1:44" ht="21" hidden="1" customHeight="1">
      <c r="A7" s="1224"/>
      <c r="B7" s="1224"/>
      <c r="C7" s="1224"/>
      <c r="D7" s="1224"/>
      <c r="E7" s="3529"/>
      <c r="F7" s="3529"/>
      <c r="G7" s="3529"/>
      <c r="H7" s="3529"/>
      <c r="I7" s="3531"/>
      <c r="J7" s="3530" t="e">
        <f>I6&amp;".1"</f>
        <v>#N/A</v>
      </c>
      <c r="K7" s="1224"/>
      <c r="L7" s="1225" t="s">
        <v>668</v>
      </c>
      <c r="M7" s="434"/>
      <c r="N7" s="1227"/>
      <c r="P7" s="3532"/>
      <c r="Q7" s="3532">
        <v>1</v>
      </c>
      <c r="R7" s="266"/>
      <c r="S7" s="1198" t="e">
        <f>$J7</f>
        <v>#N/A</v>
      </c>
      <c r="T7" s="198" t="s">
        <v>669</v>
      </c>
      <c r="U7" s="211"/>
      <c r="V7" s="3516"/>
      <c r="W7" s="3517"/>
      <c r="X7" s="3517"/>
      <c r="Y7" s="3517"/>
      <c r="Z7" s="3517"/>
      <c r="AA7" s="3517"/>
      <c r="AB7" s="3517"/>
      <c r="AC7" s="3518"/>
      <c r="AD7" s="3516"/>
      <c r="AE7" s="3517"/>
      <c r="AF7" s="3517"/>
      <c r="AG7" s="3517"/>
      <c r="AH7" s="3517"/>
      <c r="AI7" s="3517"/>
      <c r="AJ7" s="3517"/>
      <c r="AK7" s="3517"/>
      <c r="AL7" s="3518"/>
      <c r="AM7" s="1124" t="s">
        <v>670</v>
      </c>
      <c r="AO7" s="398"/>
      <c r="AP7" s="398" t="str">
        <f t="shared" si="0"/>
        <v>Группа потребителей</v>
      </c>
      <c r="AQ7" s="398"/>
      <c r="AR7" s="398"/>
    </row>
    <row r="8" spans="1:44" ht="21" hidden="1" customHeight="1">
      <c r="A8" s="1224"/>
      <c r="B8" s="1224"/>
      <c r="C8" s="1224"/>
      <c r="D8" s="1224"/>
      <c r="E8" s="3529"/>
      <c r="F8" s="3529"/>
      <c r="G8" s="3529"/>
      <c r="H8" s="3529"/>
      <c r="I8" s="3531"/>
      <c r="J8" s="3531"/>
      <c r="K8" s="3530" t="e">
        <f>J7&amp;".1"</f>
        <v>#N/A</v>
      </c>
      <c r="L8" s="1225" t="s">
        <v>671</v>
      </c>
      <c r="M8" s="434"/>
      <c r="N8" s="1227"/>
      <c r="O8" s="1227"/>
      <c r="P8" s="3532"/>
      <c r="Q8" s="3532"/>
      <c r="R8" s="266">
        <v>1</v>
      </c>
      <c r="S8" s="1198" t="e">
        <f>$K8</f>
        <v>#N/A</v>
      </c>
      <c r="T8" s="1209"/>
      <c r="U8" s="211"/>
      <c r="V8" s="639"/>
      <c r="W8" s="236"/>
      <c r="X8" s="639"/>
      <c r="Y8" s="1123"/>
      <c r="Z8" s="3533"/>
      <c r="AA8" s="3412" t="s">
        <v>64</v>
      </c>
      <c r="AB8" s="3533"/>
      <c r="AC8" s="3412" t="s">
        <v>64</v>
      </c>
      <c r="AD8" s="639"/>
      <c r="AE8" s="236"/>
      <c r="AF8" s="639"/>
      <c r="AG8" s="1123"/>
      <c r="AH8" s="3533"/>
      <c r="AI8" s="3412" t="s">
        <v>64</v>
      </c>
      <c r="AJ8" s="3533"/>
      <c r="AK8" s="3412" t="s">
        <v>64</v>
      </c>
      <c r="AL8" s="236"/>
      <c r="AM8" s="3551" t="s">
        <v>672</v>
      </c>
      <c r="AN8" s="409" t="e">
        <f ca="1">STRCHECKDATE(V9:AL9)</f>
        <v>#NAME?</v>
      </c>
      <c r="AO8" s="398"/>
      <c r="AP8" s="398" t="str">
        <f t="shared" si="0"/>
        <v/>
      </c>
      <c r="AQ8" s="398"/>
      <c r="AR8" s="398"/>
    </row>
    <row r="9" spans="1:44" ht="14.25" hidden="1" customHeight="1">
      <c r="A9" s="1224"/>
      <c r="B9" s="1224"/>
      <c r="C9" s="1224"/>
      <c r="D9" s="1224"/>
      <c r="E9" s="3529"/>
      <c r="F9" s="3529"/>
      <c r="G9" s="3529"/>
      <c r="H9" s="3529"/>
      <c r="I9" s="3531"/>
      <c r="J9" s="3531"/>
      <c r="K9" s="3530"/>
      <c r="L9" s="1225"/>
      <c r="M9" s="434"/>
      <c r="N9" s="1227"/>
      <c r="O9" s="1227"/>
      <c r="P9" s="3532"/>
      <c r="Q9" s="3532"/>
      <c r="R9" s="266"/>
      <c r="S9" s="1204"/>
      <c r="T9" s="211"/>
      <c r="U9" s="211"/>
      <c r="V9" s="236"/>
      <c r="W9" s="236"/>
      <c r="X9" s="236"/>
      <c r="Y9" s="239" t="str">
        <f>Z8&amp;"-"&amp;AB8</f>
        <v>-</v>
      </c>
      <c r="Z9" s="3534"/>
      <c r="AA9" s="3412"/>
      <c r="AB9" s="3534"/>
      <c r="AC9" s="3412"/>
      <c r="AD9" s="236"/>
      <c r="AE9" s="236"/>
      <c r="AF9" s="236"/>
      <c r="AG9" s="239" t="str">
        <f>AH8&amp;"-"&amp;AJ8</f>
        <v>-</v>
      </c>
      <c r="AH9" s="3534"/>
      <c r="AI9" s="3412"/>
      <c r="AJ9" s="3534"/>
      <c r="AK9" s="3412"/>
      <c r="AL9" s="236"/>
      <c r="AM9" s="3552"/>
      <c r="AO9" s="398"/>
      <c r="AP9" s="398" t="str">
        <f t="shared" si="0"/>
        <v/>
      </c>
      <c r="AQ9" s="398"/>
      <c r="AR9" s="398"/>
    </row>
    <row r="10" spans="1:44" ht="15" hidden="1" customHeight="1">
      <c r="A10" s="1224"/>
      <c r="B10" s="1224"/>
      <c r="C10" s="1224"/>
      <c r="D10" s="1224"/>
      <c r="E10" s="3529"/>
      <c r="F10" s="3529"/>
      <c r="G10" s="3529"/>
      <c r="H10" s="3529"/>
      <c r="I10" s="3531"/>
      <c r="J10" s="3530"/>
      <c r="K10" s="1224"/>
      <c r="L10" s="1225"/>
      <c r="M10" s="434"/>
      <c r="N10" s="1227"/>
      <c r="P10" s="3532"/>
      <c r="Q10" s="3532"/>
      <c r="R10" s="265"/>
      <c r="S10" s="1144"/>
      <c r="T10" s="199" t="s">
        <v>673</v>
      </c>
      <c r="U10" s="275"/>
      <c r="V10" s="275"/>
      <c r="W10" s="275"/>
      <c r="X10" s="275"/>
      <c r="Y10" s="275"/>
      <c r="Z10" s="275"/>
      <c r="AA10" s="275"/>
      <c r="AB10" s="275"/>
      <c r="AC10" s="275"/>
      <c r="AD10" s="275"/>
      <c r="AE10" s="275"/>
      <c r="AF10" s="275"/>
      <c r="AG10" s="275"/>
      <c r="AH10" s="275"/>
      <c r="AI10" s="275"/>
      <c r="AJ10" s="275"/>
      <c r="AK10" s="275"/>
      <c r="AL10" s="235"/>
      <c r="AM10" s="3553"/>
      <c r="AO10" s="398"/>
      <c r="AP10" s="398" t="str">
        <f t="shared" si="0"/>
        <v>Добавить вид теплоносителя (параметры теплоносителя)</v>
      </c>
      <c r="AQ10" s="398"/>
      <c r="AR10" s="398"/>
    </row>
    <row r="11" spans="1:44" ht="11.25" hidden="1" customHeight="1">
      <c r="A11" s="1224"/>
      <c r="B11" s="1224"/>
      <c r="C11" s="1224"/>
      <c r="D11" s="1224"/>
      <c r="E11" s="3529"/>
      <c r="F11" s="3529"/>
      <c r="G11" s="3529"/>
      <c r="H11" s="3529"/>
      <c r="I11" s="3530"/>
      <c r="J11" s="1224"/>
      <c r="K11" s="1224"/>
      <c r="L11" s="1225"/>
      <c r="M11" s="434"/>
      <c r="P11" s="3532"/>
      <c r="Q11" s="1193"/>
      <c r="R11" s="265"/>
      <c r="S11" s="1144"/>
      <c r="T11" s="273" t="s">
        <v>674</v>
      </c>
      <c r="U11" s="275"/>
      <c r="V11" s="275"/>
      <c r="W11" s="275"/>
      <c r="X11" s="275"/>
      <c r="Y11" s="275"/>
      <c r="Z11" s="275"/>
      <c r="AA11" s="275"/>
      <c r="AB11" s="275"/>
      <c r="AC11" s="274"/>
      <c r="AD11" s="275"/>
      <c r="AE11" s="275"/>
      <c r="AF11" s="275"/>
      <c r="AG11" s="275"/>
      <c r="AH11" s="275"/>
      <c r="AI11" s="275"/>
      <c r="AJ11" s="275"/>
      <c r="AK11" s="274"/>
      <c r="AL11" s="275"/>
      <c r="AM11" s="214"/>
      <c r="AO11" s="398"/>
      <c r="AP11" s="398" t="str">
        <f t="shared" si="0"/>
        <v>Добавить группу потребителей</v>
      </c>
      <c r="AQ11" s="398"/>
      <c r="AR11" s="398"/>
    </row>
    <row r="12" spans="1:44" ht="14.25" hidden="1" customHeight="1">
      <c r="A12" s="1224"/>
      <c r="B12" s="1224"/>
      <c r="C12" s="1224"/>
      <c r="D12" s="1224"/>
      <c r="E12" s="3529"/>
      <c r="F12" s="3529"/>
      <c r="G12" s="3529"/>
      <c r="H12" s="3528"/>
      <c r="I12" s="1224"/>
      <c r="J12" s="1224"/>
      <c r="K12" s="1224"/>
      <c r="L12" s="1225"/>
      <c r="M12" s="1226"/>
      <c r="N12" s="1226"/>
      <c r="O12" s="434"/>
      <c r="P12" s="269"/>
      <c r="Q12" s="282"/>
      <c r="R12" s="264"/>
      <c r="S12" s="1247"/>
      <c r="T12" s="1248"/>
      <c r="U12" s="1249"/>
      <c r="V12" s="1249"/>
      <c r="W12" s="1249"/>
      <c r="X12" s="1249"/>
      <c r="Y12" s="1249"/>
      <c r="Z12" s="1249"/>
      <c r="AA12" s="1249"/>
      <c r="AB12" s="1249"/>
      <c r="AC12" s="1249"/>
      <c r="AD12" s="1249"/>
      <c r="AE12" s="1249"/>
      <c r="AF12" s="1249"/>
      <c r="AG12" s="1249"/>
      <c r="AH12" s="1249"/>
      <c r="AI12" s="1249"/>
      <c r="AJ12" s="1249"/>
      <c r="AK12" s="1249"/>
      <c r="AL12" s="1249"/>
      <c r="AM12" s="1250"/>
      <c r="AO12" s="398"/>
      <c r="AP12" s="398" t="str">
        <f t="shared" si="0"/>
        <v/>
      </c>
      <c r="AQ12" s="398"/>
      <c r="AR12" s="398"/>
    </row>
    <row r="13" spans="1:44" s="1866" customFormat="1" ht="14.25" hidden="1" customHeight="1">
      <c r="A13" s="1177"/>
      <c r="B13" s="1177"/>
      <c r="C13" s="1177"/>
      <c r="D13" s="1177"/>
      <c r="E13" s="3529"/>
      <c r="F13" s="3529"/>
      <c r="G13" s="3528"/>
      <c r="H13" s="1177"/>
      <c r="I13" s="1177"/>
      <c r="J13" s="1177"/>
      <c r="K13" s="1177"/>
      <c r="L13" s="1201"/>
      <c r="M13" s="1178"/>
      <c r="N13" s="1178"/>
      <c r="P13" s="1179"/>
      <c r="Q13" s="1180"/>
      <c r="R13" s="1179"/>
      <c r="S13" s="1181"/>
      <c r="T13" s="1182" t="s">
        <v>676</v>
      </c>
      <c r="U13" s="1183"/>
      <c r="V13" s="1183"/>
      <c r="W13" s="1183"/>
      <c r="X13" s="1183"/>
      <c r="Y13" s="1183"/>
      <c r="Z13" s="1183"/>
      <c r="AA13" s="1183"/>
      <c r="AB13" s="1183"/>
      <c r="AC13" s="1183"/>
      <c r="AD13" s="1183"/>
      <c r="AE13" s="1183"/>
      <c r="AF13" s="1183"/>
      <c r="AG13" s="1183"/>
      <c r="AH13" s="1183"/>
      <c r="AI13" s="1183"/>
      <c r="AJ13" s="1183"/>
      <c r="AK13" s="1183"/>
      <c r="AL13" s="1183"/>
      <c r="AM13" s="1183"/>
      <c r="AO13" s="670"/>
      <c r="AP13" s="670" t="str">
        <f t="shared" si="0"/>
        <v>Добавить источник для дифференциации</v>
      </c>
      <c r="AQ13" s="670"/>
      <c r="AR13" s="670"/>
    </row>
    <row r="14" spans="1:44" s="1866" customFormat="1" ht="14.25" hidden="1" customHeight="1">
      <c r="A14" s="1177"/>
      <c r="B14" s="1177"/>
      <c r="C14" s="1177"/>
      <c r="D14" s="1177"/>
      <c r="E14" s="3529"/>
      <c r="F14" s="3528"/>
      <c r="G14" s="1177"/>
      <c r="H14" s="1177"/>
      <c r="I14" s="1177"/>
      <c r="J14" s="1177"/>
      <c r="K14" s="1177"/>
      <c r="L14" s="1201"/>
      <c r="M14" s="1184"/>
      <c r="N14" s="1184"/>
      <c r="P14" s="1179"/>
      <c r="Q14" s="1180"/>
      <c r="R14" s="1179"/>
      <c r="S14" s="1185"/>
      <c r="T14" s="1186" t="s">
        <v>677</v>
      </c>
      <c r="U14" s="1187"/>
      <c r="V14" s="1187"/>
      <c r="W14" s="1187"/>
      <c r="X14" s="1187"/>
      <c r="Y14" s="1187"/>
      <c r="Z14" s="1187"/>
      <c r="AA14" s="1187"/>
      <c r="AB14" s="1187"/>
      <c r="AC14" s="1187"/>
      <c r="AD14" s="1187"/>
      <c r="AE14" s="1187"/>
      <c r="AF14" s="1187"/>
      <c r="AG14" s="1187"/>
      <c r="AH14" s="1187"/>
      <c r="AI14" s="1187"/>
      <c r="AJ14" s="1187"/>
      <c r="AK14" s="1187"/>
      <c r="AL14" s="1187"/>
      <c r="AM14" s="1187"/>
      <c r="AO14" s="670"/>
      <c r="AP14" s="670" t="str">
        <f t="shared" si="0"/>
        <v>Добавить централизованную систему для дифференциации</v>
      </c>
      <c r="AQ14" s="670"/>
      <c r="AR14" s="670"/>
    </row>
    <row r="15" spans="1:44" s="1866" customFormat="1" ht="14.25" hidden="1" customHeight="1">
      <c r="A15" s="1177"/>
      <c r="B15" s="1177"/>
      <c r="C15" s="1177"/>
      <c r="D15" s="1177"/>
      <c r="E15" s="3528"/>
      <c r="F15" s="1177"/>
      <c r="G15" s="1177"/>
      <c r="H15" s="1177"/>
      <c r="I15" s="1177"/>
      <c r="J15" s="1177"/>
      <c r="K15" s="1177"/>
      <c r="L15" s="1201"/>
      <c r="M15" s="1184"/>
      <c r="N15" s="1184"/>
      <c r="P15" s="1179"/>
      <c r="Q15" s="1180"/>
      <c r="R15" s="1179"/>
      <c r="S15" s="1185"/>
      <c r="T15" s="1188" t="s">
        <v>678</v>
      </c>
      <c r="U15" s="1187"/>
      <c r="V15" s="1187"/>
      <c r="W15" s="1187"/>
      <c r="X15" s="1187"/>
      <c r="Y15" s="1187"/>
      <c r="Z15" s="1187"/>
      <c r="AA15" s="1187"/>
      <c r="AB15" s="1187"/>
      <c r="AC15" s="1187"/>
      <c r="AD15" s="1187"/>
      <c r="AE15" s="1187"/>
      <c r="AF15" s="1187"/>
      <c r="AG15" s="1187"/>
      <c r="AH15" s="1187"/>
      <c r="AI15" s="1187"/>
      <c r="AJ15" s="1187"/>
      <c r="AK15" s="1187"/>
      <c r="AL15" s="1187"/>
      <c r="AM15" s="1187"/>
      <c r="AO15" s="670"/>
      <c r="AP15" s="670" t="str">
        <f t="shared" si="0"/>
        <v>Добавить территорию для дифференциации</v>
      </c>
      <c r="AQ15" s="670"/>
      <c r="AR15" s="670"/>
    </row>
    <row r="16" spans="1:44" ht="14.25" hidden="1" customHeight="1">
      <c r="AC16" s="238"/>
      <c r="AK16" s="238"/>
    </row>
    <row r="17" spans="1:44" ht="14.25" hidden="1" customHeight="1">
      <c r="AD17" s="1221"/>
      <c r="AE17" s="1221"/>
      <c r="AF17" s="1221"/>
      <c r="AG17" s="1222"/>
      <c r="AH17" s="3526"/>
      <c r="AI17" s="3525" t="s">
        <v>64</v>
      </c>
      <c r="AJ17" s="3526"/>
      <c r="AK17" s="3525" t="s">
        <v>64</v>
      </c>
    </row>
    <row r="18" spans="1:44" ht="14.25" hidden="1" customHeight="1">
      <c r="AD18" s="1221"/>
      <c r="AE18" s="1221"/>
      <c r="AF18" s="1221"/>
      <c r="AG18" s="239" t="str">
        <f>AH17&amp;"-"&amp;AJ17</f>
        <v>-</v>
      </c>
      <c r="AH18" s="3525"/>
      <c r="AI18" s="3525"/>
      <c r="AJ18" s="3525"/>
      <c r="AK18" s="3525"/>
    </row>
    <row r="19" spans="1:44" ht="14.25" hidden="1" customHeight="1">
      <c r="AK19" s="238"/>
    </row>
    <row r="20" spans="1:44" s="1903" customFormat="1" ht="22.5" hidden="1" customHeight="1">
      <c r="L20" s="1191"/>
      <c r="M20" s="1223"/>
      <c r="N20" s="1223"/>
      <c r="O20" s="1228" t="s">
        <v>679</v>
      </c>
      <c r="P20" s="1223"/>
      <c r="Q20" s="1232"/>
      <c r="R20" s="1232"/>
      <c r="S20" s="619"/>
      <c r="Z20" s="1228"/>
      <c r="AB20" s="1228"/>
      <c r="AC20" s="1227"/>
      <c r="AH20" s="1228"/>
      <c r="AJ20" s="1228"/>
      <c r="AK20" s="1227"/>
      <c r="AN20" s="409"/>
      <c r="AO20" s="409"/>
      <c r="AP20" s="409"/>
      <c r="AQ20" s="409"/>
      <c r="AR20" s="409"/>
    </row>
    <row r="21" spans="1:44" s="1903" customFormat="1" ht="14.25" hidden="1" customHeight="1">
      <c r="L21" s="1191"/>
      <c r="M21" s="1223"/>
      <c r="N21" s="1223"/>
      <c r="O21" s="1223"/>
      <c r="P21" s="1223"/>
      <c r="Q21" s="1232"/>
      <c r="R21" s="1232"/>
      <c r="S21" s="619"/>
      <c r="AC21" s="1227"/>
      <c r="AK21" s="1227"/>
      <c r="AN21" s="409"/>
      <c r="AO21" s="409"/>
      <c r="AP21" s="409"/>
      <c r="AQ21" s="409"/>
      <c r="AR21" s="409"/>
    </row>
    <row r="22" spans="1:44" s="1903" customFormat="1" ht="14.25" hidden="1" customHeight="1">
      <c r="L22" s="1191"/>
      <c r="M22" s="1223"/>
      <c r="N22" s="1223"/>
      <c r="O22" s="1225" t="s">
        <v>680</v>
      </c>
      <c r="P22" s="1223"/>
      <c r="Q22" s="1232"/>
      <c r="R22" s="1232"/>
      <c r="S22" s="619"/>
      <c r="T22" s="1023" t="s">
        <v>681</v>
      </c>
      <c r="AA22" s="103" t="s">
        <v>682</v>
      </c>
      <c r="AC22" s="103" t="s">
        <v>683</v>
      </c>
      <c r="AD22" s="1023" t="s">
        <v>681</v>
      </c>
      <c r="AI22" s="103" t="s">
        <v>684</v>
      </c>
      <c r="AK22" s="103" t="s">
        <v>683</v>
      </c>
      <c r="AN22" s="409"/>
      <c r="AO22" s="409"/>
      <c r="AP22" s="409"/>
      <c r="AQ22" s="409"/>
      <c r="AR22" s="409"/>
    </row>
    <row r="23" spans="1:44" ht="14.25" hidden="1" customHeight="1">
      <c r="O23" s="1225"/>
    </row>
    <row r="24" spans="1:44" ht="14.25" hidden="1" customHeight="1">
      <c r="O24" s="1225"/>
    </row>
    <row r="25" spans="1:44" ht="14.25" customHeight="1">
      <c r="Q25" s="283"/>
      <c r="R25" s="283"/>
      <c r="S25" s="1141"/>
      <c r="T25" s="272"/>
      <c r="U25" s="272"/>
      <c r="V25" s="407"/>
      <c r="W25" s="407"/>
      <c r="X25" s="407"/>
      <c r="Y25" s="407"/>
      <c r="Z25" s="407"/>
      <c r="AA25" s="407"/>
      <c r="AB25" s="407"/>
      <c r="AC25" s="407"/>
      <c r="AD25" s="407"/>
      <c r="AE25" s="407"/>
      <c r="AF25" s="407"/>
      <c r="AG25" s="407"/>
      <c r="AH25" s="407"/>
      <c r="AI25" s="407"/>
      <c r="AJ25" s="407"/>
      <c r="AK25" s="407"/>
    </row>
    <row r="26" spans="1:44" ht="51" customHeight="1">
      <c r="Q26" s="283"/>
      <c r="R26" s="283"/>
      <c r="S26" s="350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509"/>
      <c r="U26" s="3509"/>
      <c r="V26" s="3509"/>
      <c r="W26" s="3509"/>
      <c r="X26" s="3509"/>
      <c r="Y26" s="3509"/>
      <c r="Z26" s="3509"/>
      <c r="AA26" s="3509"/>
      <c r="AB26" s="3509"/>
      <c r="AC26" s="3509"/>
      <c r="AD26" s="3509"/>
      <c r="AE26" s="3509"/>
      <c r="AF26" s="3509"/>
      <c r="AG26" s="3509"/>
      <c r="AH26" s="3509"/>
      <c r="AI26" s="3509"/>
      <c r="AJ26" s="3509"/>
      <c r="AK26" s="1109"/>
    </row>
    <row r="27" spans="1:44" ht="14.25" customHeight="1">
      <c r="Q27" s="283"/>
      <c r="R27" s="283"/>
      <c r="S27" s="3480" t="str">
        <f>IF(org=0,"Не определено",org)</f>
        <v>АО "Орелгортеплоэнерго"</v>
      </c>
      <c r="T27" s="3480"/>
      <c r="U27" s="3480"/>
      <c r="V27" s="3480"/>
      <c r="W27" s="3480"/>
      <c r="X27" s="3480"/>
      <c r="Y27" s="3480"/>
      <c r="Z27" s="3480"/>
      <c r="AA27" s="3480"/>
      <c r="AB27" s="3480"/>
      <c r="AC27" s="3480"/>
      <c r="AD27" s="3480"/>
      <c r="AE27" s="3480"/>
      <c r="AF27" s="3480"/>
      <c r="AG27" s="3480"/>
      <c r="AH27" s="3480"/>
      <c r="AI27" s="3480"/>
      <c r="AJ27" s="3480"/>
      <c r="AK27" s="1109"/>
    </row>
    <row r="28" spans="1:44" ht="14.25" hidden="1" customHeight="1">
      <c r="Q28" s="283"/>
      <c r="R28" s="283"/>
      <c r="S28" s="1141"/>
      <c r="T28" s="272"/>
      <c r="U28" s="272"/>
      <c r="V28" s="233"/>
      <c r="W28" s="233"/>
      <c r="X28" s="233"/>
      <c r="Y28" s="233"/>
      <c r="Z28" s="233"/>
      <c r="AA28" s="233"/>
      <c r="AB28" s="233"/>
      <c r="AC28" s="233"/>
      <c r="AD28" s="233"/>
      <c r="AE28" s="233"/>
      <c r="AF28" s="233"/>
      <c r="AG28" s="233"/>
      <c r="AH28" s="233"/>
      <c r="AI28" s="233"/>
      <c r="AJ28" s="233"/>
      <c r="AK28" s="233"/>
      <c r="AL28" s="407"/>
    </row>
    <row r="29" spans="1:44" s="1944" customFormat="1" ht="25.5" hidden="1" customHeight="1">
      <c r="A29" s="1229"/>
      <c r="B29" s="1229"/>
      <c r="C29" s="1229"/>
      <c r="D29" s="1229"/>
      <c r="E29" s="1229"/>
      <c r="F29" s="1229"/>
      <c r="G29" s="1229"/>
      <c r="H29" s="1229"/>
      <c r="I29" s="1229"/>
      <c r="J29" s="1229"/>
      <c r="K29" s="1229"/>
      <c r="L29" s="1230"/>
      <c r="M29" s="1229"/>
      <c r="N29" s="1229"/>
      <c r="O29" s="1229"/>
      <c r="S29" s="3519" t="s">
        <v>38</v>
      </c>
      <c r="T29" s="3519"/>
      <c r="U29" s="1233"/>
      <c r="V29" s="3521" t="str">
        <f>IF(TITLE_NAME_OR_PR_CHANGE="",IF(TITLE_NAME_OR_PR="","",TITLE_NAME_OR_PR),TITLE_NAME_OR_PR_CHANGE)</f>
        <v/>
      </c>
      <c r="W29" s="3521"/>
      <c r="X29" s="3521"/>
      <c r="Y29" s="3521"/>
      <c r="Z29" s="3521"/>
      <c r="AA29" s="3521"/>
      <c r="AB29" s="3521"/>
      <c r="AC29" s="237"/>
      <c r="AD29" s="3521" t="str">
        <f>IF(TITLE_NAME_OR_PR_CHANGE="",IF(TITLE_NAME_OR_PR="","",TITLE_NAME_OR_PR),TITLE_NAME_OR_PR_CHANGE)</f>
        <v/>
      </c>
      <c r="AE29" s="3521"/>
      <c r="AF29" s="3521"/>
      <c r="AG29" s="3521"/>
      <c r="AH29" s="3521"/>
      <c r="AI29" s="3521"/>
      <c r="AJ29" s="3521"/>
      <c r="AK29" s="237"/>
      <c r="AL29" s="237"/>
      <c r="AM29" s="193"/>
      <c r="AN29" s="276"/>
      <c r="AO29" s="276"/>
      <c r="AP29" s="276"/>
      <c r="AQ29" s="276"/>
      <c r="AR29" s="276"/>
    </row>
    <row r="30" spans="1:44" s="1944" customFormat="1" ht="18.75" hidden="1" customHeight="1">
      <c r="A30" s="1229"/>
      <c r="B30" s="1229"/>
      <c r="C30" s="1229"/>
      <c r="D30" s="1229"/>
      <c r="E30" s="1229"/>
      <c r="F30" s="1229"/>
      <c r="G30" s="1229"/>
      <c r="H30" s="1229"/>
      <c r="I30" s="1229"/>
      <c r="J30" s="1229"/>
      <c r="K30" s="1229"/>
      <c r="L30" s="1230"/>
      <c r="M30" s="1229"/>
      <c r="N30" s="1229"/>
      <c r="O30" s="1229"/>
      <c r="S30" s="3519" t="s">
        <v>685</v>
      </c>
      <c r="T30" s="3519"/>
      <c r="U30" s="1233"/>
      <c r="V30" s="3520" t="str">
        <f>IF(TITLE_DATE_PR_CHANGE="",IF(TITLE_DATE_PR="","",TITLE_DATE_PR),TITLE_DATE_PR_CHANGE)</f>
        <v/>
      </c>
      <c r="W30" s="3520"/>
      <c r="X30" s="3520"/>
      <c r="Y30" s="3520"/>
      <c r="Z30" s="3520"/>
      <c r="AA30" s="3520"/>
      <c r="AB30" s="3520"/>
      <c r="AC30" s="237"/>
      <c r="AD30" s="3520" t="str">
        <f>IF(TITLE_DATE_PR_CHANGE="",IF(TITLE_DATE_PR="","",TITLE_DATE_PR),TITLE_DATE_PR_CHANGE)</f>
        <v/>
      </c>
      <c r="AE30" s="3520"/>
      <c r="AF30" s="3520"/>
      <c r="AG30" s="3520"/>
      <c r="AH30" s="3520"/>
      <c r="AI30" s="3520"/>
      <c r="AJ30" s="3520"/>
      <c r="AK30" s="237"/>
      <c r="AL30" s="237"/>
      <c r="AM30" s="193"/>
      <c r="AN30" s="276"/>
      <c r="AO30" s="276"/>
      <c r="AP30" s="276"/>
      <c r="AQ30" s="276"/>
      <c r="AR30" s="276"/>
    </row>
    <row r="31" spans="1:44" s="1944" customFormat="1" ht="18.75" hidden="1" customHeight="1">
      <c r="A31" s="1229"/>
      <c r="B31" s="1229"/>
      <c r="C31" s="1229"/>
      <c r="D31" s="1229"/>
      <c r="E31" s="1229"/>
      <c r="F31" s="1229"/>
      <c r="G31" s="1229"/>
      <c r="H31" s="1229"/>
      <c r="I31" s="1229"/>
      <c r="J31" s="1229"/>
      <c r="K31" s="1229"/>
      <c r="L31" s="1230"/>
      <c r="M31" s="1229"/>
      <c r="N31" s="1229"/>
      <c r="O31" s="1229"/>
      <c r="S31" s="3519" t="s">
        <v>686</v>
      </c>
      <c r="T31" s="3519"/>
      <c r="U31" s="1233"/>
      <c r="V31" s="3521" t="str">
        <f>IF(TITLE_NUMBER_PR_CHANGE="",IF(TITLE_NUMBER_PR="","",TITLE_NUMBER_PR),TITLE_NUMBER_PR_CHANGE)</f>
        <v/>
      </c>
      <c r="W31" s="3521"/>
      <c r="X31" s="3521"/>
      <c r="Y31" s="3521"/>
      <c r="Z31" s="3521"/>
      <c r="AA31" s="3521"/>
      <c r="AB31" s="3521"/>
      <c r="AC31" s="237"/>
      <c r="AD31" s="3521" t="str">
        <f>IF(TITLE_NUMBER_PR_CHANGE="",IF(TITLE_NUMBER_PR="","",TITLE_NUMBER_PR),TITLE_NUMBER_PR_CHANGE)</f>
        <v/>
      </c>
      <c r="AE31" s="3521"/>
      <c r="AF31" s="3521"/>
      <c r="AG31" s="3521"/>
      <c r="AH31" s="3521"/>
      <c r="AI31" s="3521"/>
      <c r="AJ31" s="3521"/>
      <c r="AK31" s="237"/>
      <c r="AL31" s="237"/>
      <c r="AM31" s="193"/>
      <c r="AN31" s="276"/>
      <c r="AO31" s="276"/>
      <c r="AP31" s="276"/>
      <c r="AQ31" s="276"/>
      <c r="AR31" s="276"/>
    </row>
    <row r="32" spans="1:44" s="1944" customFormat="1" ht="18.75" hidden="1" customHeight="1">
      <c r="A32" s="1229"/>
      <c r="B32" s="1229"/>
      <c r="C32" s="1229"/>
      <c r="D32" s="1229"/>
      <c r="E32" s="1229"/>
      <c r="F32" s="1229"/>
      <c r="G32" s="1229"/>
      <c r="H32" s="1229"/>
      <c r="I32" s="1229"/>
      <c r="J32" s="1229"/>
      <c r="K32" s="1229"/>
      <c r="L32" s="1230"/>
      <c r="M32" s="1229"/>
      <c r="N32" s="1229"/>
      <c r="O32" s="1229"/>
      <c r="S32" s="3519" t="s">
        <v>39</v>
      </c>
      <c r="T32" s="3519"/>
      <c r="U32" s="1233"/>
      <c r="V32" s="3521" t="str">
        <f>IF(TITLE_IST_PUB_CHANGE="",IF(TITLE_IST_PUB="","",TITLE_IST_PUB),TITLE_IST_PUB_CHANGE)</f>
        <v/>
      </c>
      <c r="W32" s="3521"/>
      <c r="X32" s="3521"/>
      <c r="Y32" s="3521"/>
      <c r="Z32" s="3521"/>
      <c r="AA32" s="3521"/>
      <c r="AB32" s="3521"/>
      <c r="AC32" s="237"/>
      <c r="AD32" s="3521" t="str">
        <f>IF(TITLE_IST_PUB_CHANGE="",IF(TITLE_IST_PUB="","",TITLE_IST_PUB),TITLE_IST_PUB_CHANGE)</f>
        <v/>
      </c>
      <c r="AE32" s="3521"/>
      <c r="AF32" s="3521"/>
      <c r="AG32" s="3521"/>
      <c r="AH32" s="3521"/>
      <c r="AI32" s="3521"/>
      <c r="AJ32" s="3521"/>
      <c r="AK32" s="237"/>
      <c r="AL32" s="237"/>
      <c r="AM32" s="193"/>
      <c r="AN32" s="276"/>
      <c r="AO32" s="276"/>
      <c r="AP32" s="276"/>
      <c r="AQ32" s="276"/>
      <c r="AR32" s="276"/>
    </row>
    <row r="33" spans="1:44" ht="14.25" hidden="1" customHeight="1">
      <c r="Q33" s="283"/>
      <c r="R33" s="283"/>
      <c r="S33" s="1141"/>
      <c r="T33" s="272"/>
      <c r="U33" s="272"/>
      <c r="V33" s="233"/>
      <c r="W33" s="233"/>
      <c r="X33" s="233"/>
      <c r="Y33" s="233"/>
      <c r="Z33" s="233"/>
      <c r="AA33" s="233"/>
      <c r="AB33" s="233"/>
      <c r="AC33" s="233"/>
      <c r="AD33" s="233"/>
      <c r="AE33" s="233"/>
      <c r="AF33" s="233"/>
      <c r="AG33" s="233"/>
      <c r="AH33" s="233"/>
      <c r="AI33" s="233"/>
      <c r="AJ33" s="233"/>
      <c r="AK33" s="233"/>
      <c r="AL33" s="407"/>
    </row>
    <row r="34" spans="1:44" s="1944" customFormat="1" ht="18.75" hidden="1" customHeight="1">
      <c r="A34" s="1229"/>
      <c r="B34" s="1229"/>
      <c r="C34" s="1229"/>
      <c r="D34" s="1229"/>
      <c r="E34" s="1229"/>
      <c r="F34" s="1229"/>
      <c r="G34" s="1229"/>
      <c r="H34" s="1229"/>
      <c r="I34" s="1229"/>
      <c r="J34" s="1229"/>
      <c r="K34" s="1229"/>
      <c r="L34" s="1230"/>
      <c r="M34" s="1229"/>
      <c r="N34" s="1229"/>
      <c r="O34" s="1229"/>
      <c r="S34" s="3519" t="s">
        <v>687</v>
      </c>
      <c r="T34" s="3519"/>
      <c r="U34" s="1233"/>
      <c r="V34" s="3520" t="str">
        <f>IF(TITLE_DATE_PR_CHANGE="",IF(TITLE_DATE_PR="","",TITLE_DATE_PR),TITLE_DATE_PR_CHANGE)</f>
        <v/>
      </c>
      <c r="W34" s="3520"/>
      <c r="X34" s="3520"/>
      <c r="Y34" s="3520"/>
      <c r="Z34" s="3520"/>
      <c r="AA34" s="3520"/>
      <c r="AB34" s="3520"/>
      <c r="AC34" s="237"/>
      <c r="AD34" s="3520" t="str">
        <f>IF(TITLE_DATE_PR_CHANGE="",IF(TITLE_DATE_PR="","",TITLE_DATE_PR),TITLE_DATE_PR_CHANGE)</f>
        <v/>
      </c>
      <c r="AE34" s="3520"/>
      <c r="AF34" s="3520"/>
      <c r="AG34" s="3520"/>
      <c r="AH34" s="3520"/>
      <c r="AI34" s="3520"/>
      <c r="AJ34" s="3520"/>
      <c r="AK34" s="237"/>
      <c r="AL34" s="237"/>
      <c r="AM34" s="193"/>
      <c r="AN34" s="276"/>
      <c r="AO34" s="276"/>
      <c r="AP34" s="276"/>
      <c r="AQ34" s="276"/>
      <c r="AR34" s="276"/>
    </row>
    <row r="35" spans="1:44" s="1944" customFormat="1" ht="25.5" hidden="1" customHeight="1">
      <c r="A35" s="1229"/>
      <c r="B35" s="1229"/>
      <c r="C35" s="1229"/>
      <c r="D35" s="1229"/>
      <c r="E35" s="1229"/>
      <c r="F35" s="1229"/>
      <c r="G35" s="1229"/>
      <c r="H35" s="1229"/>
      <c r="I35" s="1229"/>
      <c r="J35" s="1229"/>
      <c r="K35" s="1229"/>
      <c r="L35" s="1230"/>
      <c r="M35" s="1229"/>
      <c r="N35" s="1229"/>
      <c r="O35" s="1229"/>
      <c r="S35" s="3519" t="s">
        <v>688</v>
      </c>
      <c r="T35" s="3519"/>
      <c r="U35" s="1233"/>
      <c r="V35" s="3521" t="str">
        <f>IF(TITLE_NUMBER_PR_CHANGE="",IF(TITLE_NUMBER_PR="","",TITLE_NUMBER_PR),TITLE_NUMBER_PR_CHANGE)</f>
        <v/>
      </c>
      <c r="W35" s="3521"/>
      <c r="X35" s="3521"/>
      <c r="Y35" s="3521"/>
      <c r="Z35" s="3521"/>
      <c r="AA35" s="3521"/>
      <c r="AB35" s="3521"/>
      <c r="AC35" s="237"/>
      <c r="AD35" s="3521" t="str">
        <f>IF(TITLE_NUMBER_PR_CHANGE="",IF(TITLE_NUMBER_PR="","",TITLE_NUMBER_PR),TITLE_NUMBER_PR_CHANGE)</f>
        <v/>
      </c>
      <c r="AE35" s="3521"/>
      <c r="AF35" s="3521"/>
      <c r="AG35" s="3521"/>
      <c r="AH35" s="3521"/>
      <c r="AI35" s="3521"/>
      <c r="AJ35" s="3521"/>
      <c r="AK35" s="237"/>
      <c r="AL35" s="237"/>
      <c r="AM35" s="193"/>
      <c r="AN35" s="276"/>
      <c r="AO35" s="276"/>
      <c r="AP35" s="276"/>
      <c r="AQ35" s="276"/>
      <c r="AR35" s="276"/>
    </row>
    <row r="36" spans="1:44" s="1944" customFormat="1" ht="0" hidden="1" customHeight="1">
      <c r="A36" s="1229"/>
      <c r="B36" s="1229"/>
      <c r="C36" s="1229"/>
      <c r="D36" s="1229"/>
      <c r="E36" s="1229"/>
      <c r="F36" s="1229"/>
      <c r="G36" s="1229"/>
      <c r="H36" s="1229"/>
      <c r="I36" s="1229"/>
      <c r="J36" s="1229"/>
      <c r="K36" s="1229"/>
      <c r="L36" s="1230"/>
      <c r="M36" s="1229"/>
      <c r="N36" s="1229"/>
      <c r="O36" s="1229"/>
      <c r="S36" s="234"/>
      <c r="T36" s="234"/>
      <c r="U36" s="1202"/>
      <c r="V36" s="237"/>
      <c r="W36" s="237"/>
      <c r="X36" s="237"/>
      <c r="Y36" s="237"/>
      <c r="Z36" s="237"/>
      <c r="AA36" s="237"/>
      <c r="AB36" s="237"/>
      <c r="AC36" s="191" t="s">
        <v>689</v>
      </c>
      <c r="AD36" s="237"/>
      <c r="AE36" s="237"/>
      <c r="AF36" s="237"/>
      <c r="AG36" s="237"/>
      <c r="AH36" s="237"/>
      <c r="AI36" s="237"/>
      <c r="AJ36" s="237"/>
      <c r="AK36" s="191" t="s">
        <v>689</v>
      </c>
      <c r="AN36" s="276"/>
      <c r="AO36" s="276"/>
      <c r="AP36" s="276"/>
      <c r="AQ36" s="276"/>
      <c r="AR36" s="276"/>
    </row>
    <row r="37" spans="1:44" ht="14.25" customHeight="1">
      <c r="Q37" s="283"/>
      <c r="R37" s="283"/>
      <c r="S37" s="1141"/>
      <c r="T37" s="272"/>
      <c r="U37" s="1110"/>
      <c r="V37" s="3540"/>
      <c r="W37" s="3540"/>
      <c r="X37" s="3540"/>
      <c r="Y37" s="3540"/>
      <c r="Z37" s="3540"/>
      <c r="AA37" s="3540"/>
      <c r="AB37" s="3540"/>
      <c r="AC37" s="3540"/>
      <c r="AD37" s="3540"/>
      <c r="AE37" s="3540"/>
      <c r="AF37" s="3540"/>
      <c r="AG37" s="3540"/>
      <c r="AH37" s="3540"/>
      <c r="AI37" s="3540"/>
      <c r="AJ37" s="3540"/>
      <c r="AK37" s="3540"/>
    </row>
    <row r="38" spans="1:44" ht="14.25" customHeight="1">
      <c r="Q38" s="283"/>
      <c r="R38" s="283"/>
      <c r="S38" s="3401" t="s">
        <v>560</v>
      </c>
      <c r="T38" s="3401"/>
      <c r="U38" s="3401"/>
      <c r="V38" s="3401"/>
      <c r="W38" s="3401"/>
      <c r="X38" s="3401"/>
      <c r="Y38" s="3401"/>
      <c r="Z38" s="3401"/>
      <c r="AA38" s="3401"/>
      <c r="AB38" s="3401"/>
      <c r="AC38" s="3401"/>
      <c r="AD38" s="3401"/>
      <c r="AE38" s="3401"/>
      <c r="AF38" s="3401"/>
      <c r="AG38" s="3401"/>
      <c r="AH38" s="3401"/>
      <c r="AI38" s="3401"/>
      <c r="AJ38" s="3401"/>
      <c r="AK38" s="3401"/>
      <c r="AL38" s="3401"/>
      <c r="AM38" s="3401" t="s">
        <v>561</v>
      </c>
    </row>
    <row r="39" spans="1:44" ht="14.25" customHeight="1">
      <c r="Q39" s="283"/>
      <c r="R39" s="283"/>
      <c r="S39" s="3541" t="s">
        <v>85</v>
      </c>
      <c r="T39" s="3489" t="s">
        <v>690</v>
      </c>
      <c r="U39" s="212"/>
      <c r="V39" s="3542" t="s">
        <v>691</v>
      </c>
      <c r="W39" s="3543"/>
      <c r="X39" s="3543"/>
      <c r="Y39" s="3543"/>
      <c r="Z39" s="3543"/>
      <c r="AA39" s="3543"/>
      <c r="AB39" s="3544"/>
      <c r="AC39" s="3545" t="s">
        <v>692</v>
      </c>
      <c r="AD39" s="3542" t="s">
        <v>691</v>
      </c>
      <c r="AE39" s="3543"/>
      <c r="AF39" s="3543"/>
      <c r="AG39" s="3543"/>
      <c r="AH39" s="3543"/>
      <c r="AI39" s="3543"/>
      <c r="AJ39" s="3544"/>
      <c r="AK39" s="3545" t="s">
        <v>693</v>
      </c>
      <c r="AL39" s="3548" t="s">
        <v>694</v>
      </c>
      <c r="AM39" s="3401"/>
    </row>
    <row r="40" spans="1:44" ht="33.75" customHeight="1">
      <c r="Q40" s="283"/>
      <c r="R40" s="283"/>
      <c r="S40" s="3541"/>
      <c r="T40" s="3489"/>
      <c r="U40" s="901"/>
      <c r="V40" s="3458" t="s">
        <v>695</v>
      </c>
      <c r="W40" s="3537"/>
      <c r="X40" s="3383" t="s">
        <v>697</v>
      </c>
      <c r="Y40" s="3382"/>
      <c r="Z40" s="3383" t="s">
        <v>698</v>
      </c>
      <c r="AA40" s="3388"/>
      <c r="AB40" s="3382"/>
      <c r="AC40" s="3546"/>
      <c r="AD40" s="3458" t="s">
        <v>712</v>
      </c>
      <c r="AE40" s="3537"/>
      <c r="AF40" s="3383" t="s">
        <v>697</v>
      </c>
      <c r="AG40" s="3382"/>
      <c r="AH40" s="3383" t="s">
        <v>698</v>
      </c>
      <c r="AI40" s="3388"/>
      <c r="AJ40" s="3382"/>
      <c r="AK40" s="3546"/>
      <c r="AL40" s="3549"/>
      <c r="AM40" s="3401"/>
    </row>
    <row r="41" spans="1:44" ht="33.75" customHeight="1">
      <c r="A41" s="1231"/>
      <c r="B41" s="1231" t="s">
        <v>403</v>
      </c>
      <c r="C41" s="1231" t="s">
        <v>404</v>
      </c>
      <c r="D41" s="1231" t="s">
        <v>405</v>
      </c>
      <c r="E41" s="1225" t="s">
        <v>699</v>
      </c>
      <c r="F41" s="1225" t="s">
        <v>700</v>
      </c>
      <c r="G41" s="1225" t="s">
        <v>701</v>
      </c>
      <c r="H41" s="1225" t="s">
        <v>702</v>
      </c>
      <c r="I41" s="1225" t="s">
        <v>703</v>
      </c>
      <c r="J41" s="1225" t="s">
        <v>704</v>
      </c>
      <c r="K41" s="1225" t="s">
        <v>705</v>
      </c>
      <c r="L41" s="1225" t="s">
        <v>680</v>
      </c>
      <c r="Q41" s="283"/>
      <c r="R41" s="283"/>
      <c r="S41" s="3541"/>
      <c r="T41" s="3489"/>
      <c r="U41" s="213"/>
      <c r="V41" s="3514"/>
      <c r="W41" s="3538"/>
      <c r="X41" s="1088" t="s">
        <v>706</v>
      </c>
      <c r="Y41" s="1088" t="s">
        <v>707</v>
      </c>
      <c r="Z41" s="1200" t="s">
        <v>708</v>
      </c>
      <c r="AA41" s="3494" t="s">
        <v>709</v>
      </c>
      <c r="AB41" s="3508"/>
      <c r="AC41" s="3547"/>
      <c r="AD41" s="3514"/>
      <c r="AE41" s="3538"/>
      <c r="AF41" s="1088" t="s">
        <v>706</v>
      </c>
      <c r="AG41" s="1088" t="s">
        <v>707</v>
      </c>
      <c r="AH41" s="1200" t="s">
        <v>708</v>
      </c>
      <c r="AI41" s="3494" t="s">
        <v>709</v>
      </c>
      <c r="AJ41" s="3508"/>
      <c r="AK41" s="3547"/>
      <c r="AL41" s="3550"/>
      <c r="AM41" s="3401"/>
    </row>
    <row r="42" spans="1:44" s="1838" customFormat="1" ht="11.25" hidden="1" customHeight="1">
      <c r="A42" s="1231"/>
      <c r="B42" s="1231"/>
      <c r="C42" s="1231"/>
      <c r="D42" s="1231"/>
      <c r="E42" s="1231"/>
      <c r="F42" s="1231"/>
      <c r="G42" s="1231"/>
      <c r="H42" s="1231"/>
      <c r="I42" s="1231"/>
      <c r="J42" s="1231"/>
      <c r="K42" s="1231"/>
      <c r="L42" s="1225"/>
      <c r="M42" s="1223"/>
      <c r="N42" s="1223"/>
      <c r="O42" s="1223"/>
      <c r="P42" s="1112"/>
      <c r="Q42" s="1113"/>
      <c r="R42" s="1120">
        <v>1</v>
      </c>
      <c r="S42" s="1143" t="s">
        <v>106</v>
      </c>
      <c r="T42" s="1121" t="s">
        <v>107</v>
      </c>
      <c r="U42" s="1111" t="str">
        <f ca="1">OFFSET(U42,0,-1)</f>
        <v>2</v>
      </c>
      <c r="V42" s="1197">
        <f ca="1">OFFSET(V42,0,-1)+1</f>
        <v>3</v>
      </c>
      <c r="W42" s="1197"/>
      <c r="X42" s="1197">
        <f ca="1">OFFSET(X42,0,-1)+1</f>
        <v>1</v>
      </c>
      <c r="Y42" s="1197">
        <f ca="1">OFFSET(Y42,0,-1)+1</f>
        <v>2</v>
      </c>
      <c r="Z42" s="1197">
        <f ca="1">OFFSET(Z42,0,-1)+1</f>
        <v>3</v>
      </c>
      <c r="AA42" s="3539">
        <f ca="1">OFFSET(AA42,0,-1)+1</f>
        <v>4</v>
      </c>
      <c r="AB42" s="3539"/>
      <c r="AC42" s="1197">
        <f ca="1">OFFSET(AC42,0,-2)+1</f>
        <v>5</v>
      </c>
      <c r="AD42" s="1197">
        <f ca="1">OFFSET(AD42,0,-1)+1</f>
        <v>6</v>
      </c>
      <c r="AE42" s="1197"/>
      <c r="AF42" s="1197">
        <f ca="1">OFFSET(AF42,0,-1)+1</f>
        <v>1</v>
      </c>
      <c r="AG42" s="1197">
        <f ca="1">OFFSET(AG42,0,-1)+1</f>
        <v>2</v>
      </c>
      <c r="AH42" s="1197">
        <f ca="1">OFFSET(AH42,0,-1)+1</f>
        <v>3</v>
      </c>
      <c r="AI42" s="3539">
        <f ca="1">OFFSET(AI42,0,-1)+1</f>
        <v>4</v>
      </c>
      <c r="AJ42" s="3539"/>
      <c r="AK42" s="1197">
        <f ca="1">OFFSET(AK42,0,-2)+1</f>
        <v>5</v>
      </c>
      <c r="AL42" s="1111">
        <f ca="1">OFFSET(AL42,0,-1)</f>
        <v>5</v>
      </c>
      <c r="AM42" s="1197">
        <f ca="1">OFFSET(AM42,0,-1)+1</f>
        <v>6</v>
      </c>
      <c r="AN42" s="409"/>
      <c r="AO42" s="409"/>
      <c r="AP42" s="409"/>
      <c r="AQ42" s="409"/>
      <c r="AR42" s="409"/>
    </row>
    <row r="43" spans="1:44" ht="21" customHeight="1">
      <c r="A43" s="1224" t="s">
        <v>448</v>
      </c>
      <c r="B43" s="1224"/>
      <c r="C43" s="1224"/>
      <c r="D43" s="1224"/>
      <c r="E43" s="3528">
        <v>1</v>
      </c>
      <c r="F43" s="1224"/>
      <c r="G43" s="1224"/>
      <c r="H43" s="1224"/>
      <c r="I43" s="1224"/>
      <c r="J43" s="1224"/>
      <c r="K43" s="1224"/>
      <c r="L43" s="1225"/>
      <c r="M43" s="1226"/>
      <c r="N43" s="1226"/>
      <c r="O43" s="1226"/>
      <c r="P43" s="270"/>
      <c r="Q43" s="269"/>
      <c r="R43" s="264"/>
      <c r="S43" s="1198">
        <f>INDEX(PT_DIFFERENTIATION_NUM_NTAR,MATCH(A43,PT_DIFFERENTIATION_NTAR_ID,0))</f>
        <v>0</v>
      </c>
      <c r="T43" s="209" t="s">
        <v>391</v>
      </c>
      <c r="U43" s="211"/>
      <c r="V43" s="3522"/>
      <c r="W43" s="3523"/>
      <c r="X43" s="3523"/>
      <c r="Y43" s="3523"/>
      <c r="Z43" s="3523"/>
      <c r="AA43" s="3523"/>
      <c r="AB43" s="3523"/>
      <c r="AC43" s="3524"/>
      <c r="AD43" s="3522" t="str">
        <f>INDEX(PT_DIFFERENTIATION_NTAR,MATCH(A43,PT_DIFFERENTIATION_NTAR_ID,0))</f>
        <v/>
      </c>
      <c r="AE43" s="3523"/>
      <c r="AF43" s="3523"/>
      <c r="AG43" s="3523"/>
      <c r="AH43" s="3523"/>
      <c r="AI43" s="3523"/>
      <c r="AJ43" s="3523"/>
      <c r="AK43" s="3523"/>
      <c r="AL43" s="3524"/>
      <c r="AM43" s="112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398"/>
      <c r="AP43" s="398" t="str">
        <f t="shared" ref="AP43:AP57" si="1">IF(T43="","",T43)</f>
        <v>Наименование тарифа</v>
      </c>
      <c r="AQ43" s="398"/>
      <c r="AR43" s="398"/>
    </row>
    <row r="44" spans="1:44" ht="21" customHeight="1">
      <c r="A44" s="1224" t="s">
        <v>448</v>
      </c>
      <c r="B44" s="1224" t="s">
        <v>449</v>
      </c>
      <c r="C44" s="1224"/>
      <c r="D44" s="1224"/>
      <c r="E44" s="3529"/>
      <c r="F44" s="3528">
        <v>1</v>
      </c>
      <c r="G44" s="1224"/>
      <c r="H44" s="1224"/>
      <c r="I44" s="1224"/>
      <c r="J44" s="1224"/>
      <c r="K44" s="1224"/>
      <c r="L44" s="1225"/>
      <c r="M44" s="1226"/>
      <c r="N44" s="1226"/>
      <c r="O44" s="1226"/>
      <c r="P44" s="1194"/>
      <c r="Q44" s="261"/>
      <c r="R44" s="262"/>
      <c r="S44" s="1198" t="str">
        <f>INDEX(PT_DIFFERENTIATION_NUM_TER,MATCH(B44,PT_DIFFERENTIATION_TER_ID,0))</f>
        <v>.</v>
      </c>
      <c r="T44" s="219" t="s">
        <v>659</v>
      </c>
      <c r="U44" s="211"/>
      <c r="V44" s="3522"/>
      <c r="W44" s="3523"/>
      <c r="X44" s="3523"/>
      <c r="Y44" s="3523"/>
      <c r="Z44" s="3523"/>
      <c r="AA44" s="3523"/>
      <c r="AB44" s="3523"/>
      <c r="AC44" s="3524"/>
      <c r="AD44" s="3522" t="str">
        <f>INDEX(PT_DIFFERENTIATION_TER,MATCH(B44,PT_DIFFERENTIATION_TER_ID,0))</f>
        <v/>
      </c>
      <c r="AE44" s="3523"/>
      <c r="AF44" s="3523"/>
      <c r="AG44" s="3523"/>
      <c r="AH44" s="3523"/>
      <c r="AI44" s="3523"/>
      <c r="AJ44" s="3523"/>
      <c r="AK44" s="3523"/>
      <c r="AL44" s="3524"/>
      <c r="AM44" s="1124" t="s">
        <v>660</v>
      </c>
      <c r="AO44" s="398"/>
      <c r="AP44" s="398" t="str">
        <f t="shared" si="1"/>
        <v>Территория действия тарифа</v>
      </c>
      <c r="AQ44" s="398"/>
      <c r="AR44" s="398"/>
    </row>
    <row r="45" spans="1:44" ht="23.25" customHeight="1">
      <c r="A45" s="1224" t="s">
        <v>448</v>
      </c>
      <c r="B45" s="1224" t="s">
        <v>449</v>
      </c>
      <c r="C45" s="1224" t="s">
        <v>450</v>
      </c>
      <c r="D45" s="1224"/>
      <c r="E45" s="3529"/>
      <c r="F45" s="3529"/>
      <c r="G45" s="3528">
        <v>1</v>
      </c>
      <c r="H45" s="1224"/>
      <c r="I45" s="1224"/>
      <c r="J45" s="1224"/>
      <c r="K45" s="1224"/>
      <c r="L45" s="1225"/>
      <c r="M45" s="1226"/>
      <c r="N45" s="1226"/>
      <c r="O45" s="1226"/>
      <c r="P45" s="263"/>
      <c r="Q45" s="261"/>
      <c r="R45" s="262"/>
      <c r="S45" s="1198" t="str">
        <f>INDEX(PT_DIFFERENTIATION_NUM_CS,MATCH(C45,PT_DIFFERENTIATION_CS_ID,0))</f>
        <v>..</v>
      </c>
      <c r="T45" s="220" t="s">
        <v>661</v>
      </c>
      <c r="U45" s="211"/>
      <c r="V45" s="3522"/>
      <c r="W45" s="3523"/>
      <c r="X45" s="3523"/>
      <c r="Y45" s="3523"/>
      <c r="Z45" s="3523"/>
      <c r="AA45" s="3523"/>
      <c r="AB45" s="3523"/>
      <c r="AC45" s="3524"/>
      <c r="AD45" s="3522" t="str">
        <f>INDEX(PT_DIFFERENTIATION_CS,MATCH(C45,PT_DIFFERENTIATION_CS_ID,0))</f>
        <v/>
      </c>
      <c r="AE45" s="3523"/>
      <c r="AF45" s="3523"/>
      <c r="AG45" s="3523"/>
      <c r="AH45" s="3523"/>
      <c r="AI45" s="3523"/>
      <c r="AJ45" s="3523"/>
      <c r="AK45" s="3523"/>
      <c r="AL45" s="3524"/>
      <c r="AM45" s="1124" t="s">
        <v>662</v>
      </c>
      <c r="AO45" s="398"/>
      <c r="AP45" s="398" t="str">
        <f t="shared" si="1"/>
        <v xml:space="preserve">Наименование системы теплоснабжения </v>
      </c>
      <c r="AQ45" s="398"/>
      <c r="AR45" s="398"/>
    </row>
    <row r="46" spans="1:44" ht="21" customHeight="1">
      <c r="A46" s="1224" t="s">
        <v>448</v>
      </c>
      <c r="B46" s="1224" t="s">
        <v>449</v>
      </c>
      <c r="C46" s="1224" t="s">
        <v>450</v>
      </c>
      <c r="D46" s="1224" t="s">
        <v>451</v>
      </c>
      <c r="E46" s="3529"/>
      <c r="F46" s="3529"/>
      <c r="G46" s="3529"/>
      <c r="H46" s="3528">
        <v>1</v>
      </c>
      <c r="I46" s="1224"/>
      <c r="J46" s="1224"/>
      <c r="K46" s="1224"/>
      <c r="L46" s="1225"/>
      <c r="M46" s="1226"/>
      <c r="N46" s="1226"/>
      <c r="O46" s="1226"/>
      <c r="P46" s="263"/>
      <c r="Q46" s="261"/>
      <c r="R46" s="262"/>
      <c r="S46" s="1198" t="str">
        <f>INDEX(PT_DIFFERENTIATION_NUM_IST_TE,MATCH(D46,PT_DIFFERENTIATION_IST_TE_ID,0))</f>
        <v>...</v>
      </c>
      <c r="T46" s="221" t="s">
        <v>663</v>
      </c>
      <c r="U46" s="211"/>
      <c r="V46" s="3522"/>
      <c r="W46" s="3523"/>
      <c r="X46" s="3523"/>
      <c r="Y46" s="3523"/>
      <c r="Z46" s="3523"/>
      <c r="AA46" s="3523"/>
      <c r="AB46" s="3523"/>
      <c r="AC46" s="3524"/>
      <c r="AD46" s="3522" t="str">
        <f>INDEX(PT_DIFFERENTIATION_IST_TE,MATCH(D46,PT_DIFFERENTIATION_IST_TE_ID,0))</f>
        <v/>
      </c>
      <c r="AE46" s="3523"/>
      <c r="AF46" s="3523"/>
      <c r="AG46" s="3523"/>
      <c r="AH46" s="3523"/>
      <c r="AI46" s="3523"/>
      <c r="AJ46" s="3523"/>
      <c r="AK46" s="3523"/>
      <c r="AL46" s="3524"/>
      <c r="AM46" s="1124" t="s">
        <v>664</v>
      </c>
      <c r="AO46" s="398"/>
      <c r="AP46" s="398" t="str">
        <f t="shared" si="1"/>
        <v xml:space="preserve">Источник тепловой энергии  </v>
      </c>
      <c r="AQ46" s="398"/>
      <c r="AR46" s="398"/>
    </row>
    <row r="47" spans="1:44" s="1866" customFormat="1" ht="0" hidden="1" customHeight="1">
      <c r="A47" s="1205" t="s">
        <v>448</v>
      </c>
      <c r="B47" s="1205" t="s">
        <v>449</v>
      </c>
      <c r="C47" s="1205" t="s">
        <v>450</v>
      </c>
      <c r="D47" s="1205" t="s">
        <v>451</v>
      </c>
      <c r="E47" s="3529"/>
      <c r="F47" s="3529"/>
      <c r="G47" s="3529"/>
      <c r="H47" s="3529"/>
      <c r="I47" s="3530" t="str">
        <f>S46&amp;".1"</f>
        <v>....1</v>
      </c>
      <c r="J47" s="1205"/>
      <c r="K47" s="1205"/>
      <c r="L47" s="1208" t="s">
        <v>665</v>
      </c>
      <c r="M47" s="408"/>
      <c r="N47" s="408"/>
      <c r="O47" s="408"/>
      <c r="P47" s="3532">
        <v>1</v>
      </c>
      <c r="Q47" s="1193"/>
      <c r="R47" s="265"/>
      <c r="S47" s="912"/>
      <c r="T47" s="1244"/>
      <c r="U47" s="1245"/>
      <c r="V47" s="3559"/>
      <c r="W47" s="3560"/>
      <c r="X47" s="3560"/>
      <c r="Y47" s="3560"/>
      <c r="Z47" s="3560"/>
      <c r="AA47" s="3560"/>
      <c r="AB47" s="3560"/>
      <c r="AC47" s="3561"/>
      <c r="AD47" s="3559"/>
      <c r="AE47" s="3560"/>
      <c r="AF47" s="3560"/>
      <c r="AG47" s="3560"/>
      <c r="AH47" s="3560"/>
      <c r="AI47" s="3560"/>
      <c r="AJ47" s="3560"/>
      <c r="AK47" s="3560"/>
      <c r="AL47" s="3561"/>
      <c r="AM47" s="1246"/>
      <c r="AO47" s="398"/>
      <c r="AP47" s="398" t="str">
        <f t="shared" si="1"/>
        <v/>
      </c>
      <c r="AQ47" s="398"/>
      <c r="AR47" s="398"/>
    </row>
    <row r="48" spans="1:44" ht="21" customHeight="1">
      <c r="A48" s="1224" t="s">
        <v>448</v>
      </c>
      <c r="B48" s="1224" t="s">
        <v>449</v>
      </c>
      <c r="C48" s="1224" t="s">
        <v>450</v>
      </c>
      <c r="D48" s="1224" t="s">
        <v>451</v>
      </c>
      <c r="E48" s="3529"/>
      <c r="F48" s="3529"/>
      <c r="G48" s="3529"/>
      <c r="H48" s="3529"/>
      <c r="I48" s="3531"/>
      <c r="J48" s="3530" t="str">
        <f>S46&amp;".1"</f>
        <v>....1</v>
      </c>
      <c r="K48" s="1224"/>
      <c r="L48" s="1225" t="s">
        <v>668</v>
      </c>
      <c r="P48" s="3532"/>
      <c r="Q48" s="3532">
        <v>1</v>
      </c>
      <c r="R48" s="266"/>
      <c r="S48" s="1198" t="str">
        <f>$J48</f>
        <v>....1</v>
      </c>
      <c r="T48" s="198" t="s">
        <v>669</v>
      </c>
      <c r="U48" s="211"/>
      <c r="V48" s="3516"/>
      <c r="W48" s="3517"/>
      <c r="X48" s="3517"/>
      <c r="Y48" s="3517"/>
      <c r="Z48" s="3517"/>
      <c r="AA48" s="3517"/>
      <c r="AB48" s="3517"/>
      <c r="AC48" s="3518"/>
      <c r="AD48" s="3516"/>
      <c r="AE48" s="3517"/>
      <c r="AF48" s="3517"/>
      <c r="AG48" s="3517"/>
      <c r="AH48" s="3517"/>
      <c r="AI48" s="3517"/>
      <c r="AJ48" s="3517"/>
      <c r="AK48" s="3517"/>
      <c r="AL48" s="3518"/>
      <c r="AM48" s="1124" t="s">
        <v>670</v>
      </c>
      <c r="AO48" s="398"/>
      <c r="AP48" s="398" t="str">
        <f t="shared" si="1"/>
        <v>Группа потребителей</v>
      </c>
      <c r="AQ48" s="398"/>
      <c r="AR48" s="398"/>
    </row>
    <row r="49" spans="1:44" ht="21" customHeight="1">
      <c r="A49" s="1224" t="s">
        <v>448</v>
      </c>
      <c r="B49" s="1224" t="s">
        <v>449</v>
      </c>
      <c r="C49" s="1224" t="s">
        <v>450</v>
      </c>
      <c r="D49" s="1224" t="s">
        <v>451</v>
      </c>
      <c r="E49" s="3529"/>
      <c r="F49" s="3529"/>
      <c r="G49" s="3529"/>
      <c r="H49" s="3529"/>
      <c r="I49" s="3531"/>
      <c r="J49" s="3531"/>
      <c r="K49" s="3530" t="str">
        <f>J48&amp;".1"</f>
        <v>....1.1</v>
      </c>
      <c r="L49" s="1225" t="s">
        <v>671</v>
      </c>
      <c r="P49" s="3532"/>
      <c r="Q49" s="3532"/>
      <c r="R49" s="266">
        <v>1</v>
      </c>
      <c r="S49" s="1198" t="str">
        <f>$K49</f>
        <v>....1.1</v>
      </c>
      <c r="T49" s="1209"/>
      <c r="U49" s="211"/>
      <c r="V49" s="639"/>
      <c r="W49" s="236"/>
      <c r="X49" s="639"/>
      <c r="Y49" s="1123"/>
      <c r="Z49" s="3533"/>
      <c r="AA49" s="3412" t="s">
        <v>64</v>
      </c>
      <c r="AB49" s="3533"/>
      <c r="AC49" s="3412" t="s">
        <v>64</v>
      </c>
      <c r="AD49" s="639"/>
      <c r="AE49" s="236"/>
      <c r="AF49" s="639"/>
      <c r="AG49" s="1123"/>
      <c r="AH49" s="3533"/>
      <c r="AI49" s="3412" t="s">
        <v>64</v>
      </c>
      <c r="AJ49" s="3535"/>
      <c r="AK49" s="3412" t="s">
        <v>64</v>
      </c>
      <c r="AL49" s="1210"/>
      <c r="AM49" s="3551" t="s">
        <v>713</v>
      </c>
      <c r="AN49" s="409" t="e">
        <f ca="1">STRCHECKDATE(V50:AL50)</f>
        <v>#NAME?</v>
      </c>
      <c r="AO49" s="398"/>
      <c r="AP49" s="398" t="str">
        <f t="shared" si="1"/>
        <v/>
      </c>
      <c r="AQ49" s="398"/>
      <c r="AR49" s="398"/>
    </row>
    <row r="50" spans="1:44" ht="0" hidden="1" customHeight="1">
      <c r="A50" s="1224" t="s">
        <v>448</v>
      </c>
      <c r="B50" s="1224" t="s">
        <v>449</v>
      </c>
      <c r="C50" s="1224" t="s">
        <v>450</v>
      </c>
      <c r="D50" s="1224" t="s">
        <v>451</v>
      </c>
      <c r="E50" s="3529"/>
      <c r="F50" s="3529"/>
      <c r="G50" s="3529"/>
      <c r="H50" s="3529"/>
      <c r="I50" s="3531"/>
      <c r="J50" s="3531"/>
      <c r="K50" s="3530"/>
      <c r="L50" s="1225"/>
      <c r="P50" s="3532"/>
      <c r="Q50" s="3532"/>
      <c r="R50" s="266"/>
      <c r="S50" s="1204"/>
      <c r="T50" s="211"/>
      <c r="U50" s="211"/>
      <c r="V50" s="236"/>
      <c r="W50" s="236"/>
      <c r="X50" s="236"/>
      <c r="Y50" s="239" t="str">
        <f>Z49&amp;"-"&amp;AB49</f>
        <v>-</v>
      </c>
      <c r="Z50" s="3534"/>
      <c r="AA50" s="3412"/>
      <c r="AB50" s="3534"/>
      <c r="AC50" s="3412"/>
      <c r="AD50" s="236"/>
      <c r="AE50" s="236"/>
      <c r="AF50" s="236"/>
      <c r="AG50" s="239" t="str">
        <f>AH49&amp;"-"&amp;AJ49</f>
        <v>-</v>
      </c>
      <c r="AH50" s="3534"/>
      <c r="AI50" s="3412"/>
      <c r="AJ50" s="3536"/>
      <c r="AK50" s="3412"/>
      <c r="AL50" s="1211"/>
      <c r="AM50" s="3552"/>
      <c r="AO50" s="398"/>
      <c r="AP50" s="398" t="str">
        <f t="shared" si="1"/>
        <v/>
      </c>
      <c r="AQ50" s="398"/>
      <c r="AR50" s="398"/>
    </row>
    <row r="51" spans="1:44" ht="11.25" customHeight="1">
      <c r="A51" s="1224" t="s">
        <v>448</v>
      </c>
      <c r="B51" s="1224" t="s">
        <v>449</v>
      </c>
      <c r="C51" s="1224" t="s">
        <v>450</v>
      </c>
      <c r="D51" s="1224" t="s">
        <v>451</v>
      </c>
      <c r="E51" s="3529"/>
      <c r="F51" s="3529"/>
      <c r="G51" s="3529"/>
      <c r="H51" s="3529"/>
      <c r="I51" s="3531"/>
      <c r="J51" s="3530"/>
      <c r="K51" s="1224"/>
      <c r="L51" s="1225"/>
      <c r="P51" s="3532"/>
      <c r="Q51" s="3532"/>
      <c r="R51" s="265"/>
      <c r="S51" s="1144"/>
      <c r="T51" s="199" t="s">
        <v>673</v>
      </c>
      <c r="U51" s="275"/>
      <c r="V51" s="275"/>
      <c r="W51" s="275"/>
      <c r="X51" s="275"/>
      <c r="Y51" s="275"/>
      <c r="Z51" s="275"/>
      <c r="AA51" s="275"/>
      <c r="AB51" s="275"/>
      <c r="AC51" s="275"/>
      <c r="AD51" s="275"/>
      <c r="AE51" s="275"/>
      <c r="AF51" s="275"/>
      <c r="AG51" s="275"/>
      <c r="AH51" s="275"/>
      <c r="AI51" s="275"/>
      <c r="AJ51" s="275"/>
      <c r="AK51" s="275"/>
      <c r="AL51" s="235"/>
      <c r="AM51" s="3553"/>
      <c r="AO51" s="398"/>
      <c r="AP51" s="398" t="str">
        <f t="shared" si="1"/>
        <v>Добавить вид теплоносителя (параметры теплоносителя)</v>
      </c>
      <c r="AQ51" s="398"/>
      <c r="AR51" s="398"/>
    </row>
    <row r="52" spans="1:44" ht="11.25" customHeight="1">
      <c r="A52" s="1224" t="s">
        <v>448</v>
      </c>
      <c r="B52" s="1224" t="s">
        <v>449</v>
      </c>
      <c r="C52" s="1224" t="s">
        <v>450</v>
      </c>
      <c r="D52" s="1224" t="s">
        <v>451</v>
      </c>
      <c r="E52" s="3529"/>
      <c r="F52" s="3529"/>
      <c r="G52" s="3529"/>
      <c r="H52" s="3529"/>
      <c r="I52" s="3530"/>
      <c r="J52" s="1224"/>
      <c r="K52" s="1224"/>
      <c r="L52" s="1225"/>
      <c r="P52" s="3532"/>
      <c r="Q52" s="1193"/>
      <c r="R52" s="265"/>
      <c r="S52" s="1144"/>
      <c r="T52" s="273" t="s">
        <v>674</v>
      </c>
      <c r="U52" s="275"/>
      <c r="V52" s="275"/>
      <c r="W52" s="275"/>
      <c r="X52" s="275"/>
      <c r="Y52" s="275"/>
      <c r="Z52" s="275"/>
      <c r="AA52" s="275"/>
      <c r="AB52" s="275"/>
      <c r="AC52" s="274"/>
      <c r="AD52" s="275"/>
      <c r="AE52" s="275"/>
      <c r="AF52" s="275"/>
      <c r="AG52" s="275"/>
      <c r="AH52" s="275"/>
      <c r="AI52" s="275"/>
      <c r="AJ52" s="275"/>
      <c r="AK52" s="274"/>
      <c r="AL52" s="275"/>
      <c r="AM52" s="214"/>
      <c r="AO52" s="398"/>
      <c r="AP52" s="398" t="str">
        <f t="shared" si="1"/>
        <v>Добавить группу потребителей</v>
      </c>
      <c r="AQ52" s="398"/>
      <c r="AR52" s="398"/>
    </row>
    <row r="53" spans="1:44" ht="0" hidden="1" customHeight="1">
      <c r="A53" s="1224" t="s">
        <v>448</v>
      </c>
      <c r="B53" s="1224" t="s">
        <v>449</v>
      </c>
      <c r="C53" s="1224" t="s">
        <v>450</v>
      </c>
      <c r="D53" s="1224" t="s">
        <v>451</v>
      </c>
      <c r="E53" s="3529"/>
      <c r="F53" s="3529"/>
      <c r="G53" s="3529"/>
      <c r="H53" s="3528"/>
      <c r="I53" s="1224"/>
      <c r="J53" s="1224"/>
      <c r="K53" s="1224"/>
      <c r="L53" s="1225"/>
      <c r="M53" s="1226"/>
      <c r="N53" s="1226"/>
      <c r="O53" s="434"/>
      <c r="P53" s="269"/>
      <c r="Q53" s="282"/>
      <c r="R53" s="264"/>
      <c r="S53" s="1247"/>
      <c r="T53" s="1248"/>
      <c r="U53" s="1249"/>
      <c r="V53" s="1249"/>
      <c r="W53" s="1249"/>
      <c r="X53" s="1249"/>
      <c r="Y53" s="1249"/>
      <c r="Z53" s="1249"/>
      <c r="AA53" s="1249"/>
      <c r="AB53" s="1249"/>
      <c r="AC53" s="1249"/>
      <c r="AD53" s="1249"/>
      <c r="AE53" s="1249"/>
      <c r="AF53" s="1249"/>
      <c r="AG53" s="1249"/>
      <c r="AH53" s="1249"/>
      <c r="AI53" s="1249"/>
      <c r="AJ53" s="1249"/>
      <c r="AK53" s="1249"/>
      <c r="AL53" s="1249"/>
      <c r="AM53" s="1250"/>
      <c r="AO53" s="398"/>
      <c r="AP53" s="398" t="str">
        <f t="shared" si="1"/>
        <v/>
      </c>
      <c r="AQ53" s="398"/>
      <c r="AR53" s="398"/>
    </row>
    <row r="54" spans="1:44" s="1866" customFormat="1" ht="0" hidden="1" customHeight="1">
      <c r="A54" s="1205" t="s">
        <v>448</v>
      </c>
      <c r="B54" s="1205" t="s">
        <v>449</v>
      </c>
      <c r="C54" s="1205" t="s">
        <v>450</v>
      </c>
      <c r="D54" s="1177"/>
      <c r="E54" s="3529"/>
      <c r="F54" s="3529"/>
      <c r="G54" s="3528"/>
      <c r="H54" s="1177"/>
      <c r="I54" s="1177"/>
      <c r="J54" s="1177"/>
      <c r="K54" s="1177"/>
      <c r="L54" s="1201"/>
      <c r="M54" s="1178"/>
      <c r="N54" s="1178"/>
      <c r="P54" s="1179"/>
      <c r="Q54" s="1180"/>
      <c r="R54" s="1179"/>
      <c r="S54" s="1185"/>
      <c r="T54" s="1188" t="s">
        <v>676</v>
      </c>
      <c r="U54" s="1187"/>
      <c r="V54" s="1187"/>
      <c r="W54" s="1187"/>
      <c r="X54" s="1187"/>
      <c r="Y54" s="1187"/>
      <c r="Z54" s="1187"/>
      <c r="AA54" s="1187"/>
      <c r="AB54" s="1187"/>
      <c r="AC54" s="1187"/>
      <c r="AD54" s="1187"/>
      <c r="AE54" s="1187"/>
      <c r="AF54" s="1187"/>
      <c r="AG54" s="1187"/>
      <c r="AH54" s="1187"/>
      <c r="AI54" s="1187"/>
      <c r="AJ54" s="1187"/>
      <c r="AK54" s="1187"/>
      <c r="AL54" s="1187"/>
      <c r="AM54" s="1187"/>
      <c r="AO54" s="670"/>
      <c r="AP54" s="670" t="str">
        <f t="shared" si="1"/>
        <v>Добавить источник для дифференциации</v>
      </c>
      <c r="AQ54" s="670"/>
      <c r="AR54" s="670"/>
    </row>
    <row r="55" spans="1:44" s="1866" customFormat="1" ht="0" hidden="1" customHeight="1">
      <c r="A55" s="1205" t="s">
        <v>448</v>
      </c>
      <c r="B55" s="1205" t="s">
        <v>449</v>
      </c>
      <c r="C55" s="1177"/>
      <c r="D55" s="1177"/>
      <c r="E55" s="3529"/>
      <c r="F55" s="3528"/>
      <c r="G55" s="1177"/>
      <c r="H55" s="1177"/>
      <c r="I55" s="1177"/>
      <c r="J55" s="1177"/>
      <c r="K55" s="1177"/>
      <c r="L55" s="1201"/>
      <c r="M55" s="1184"/>
      <c r="N55" s="1184"/>
      <c r="P55" s="1179"/>
      <c r="Q55" s="1180"/>
      <c r="R55" s="1179"/>
      <c r="S55" s="1185"/>
      <c r="T55" s="1188" t="s">
        <v>677</v>
      </c>
      <c r="U55" s="1187"/>
      <c r="V55" s="1187"/>
      <c r="W55" s="1187"/>
      <c r="X55" s="1187"/>
      <c r="Y55" s="1187"/>
      <c r="Z55" s="1187"/>
      <c r="AA55" s="1187"/>
      <c r="AB55" s="1187"/>
      <c r="AC55" s="1187"/>
      <c r="AD55" s="1187"/>
      <c r="AE55" s="1187"/>
      <c r="AF55" s="1187"/>
      <c r="AG55" s="1187"/>
      <c r="AH55" s="1187"/>
      <c r="AI55" s="1187"/>
      <c r="AJ55" s="1187"/>
      <c r="AK55" s="1187"/>
      <c r="AL55" s="1187"/>
      <c r="AM55" s="1187"/>
      <c r="AO55" s="670"/>
      <c r="AP55" s="670" t="str">
        <f t="shared" si="1"/>
        <v>Добавить централизованную систему для дифференциации</v>
      </c>
      <c r="AQ55" s="670"/>
      <c r="AR55" s="670"/>
    </row>
    <row r="56" spans="1:44" s="1866" customFormat="1" ht="0" hidden="1" customHeight="1">
      <c r="A56" s="1205" t="s">
        <v>448</v>
      </c>
      <c r="B56" s="1205"/>
      <c r="C56" s="1205"/>
      <c r="D56" s="1205"/>
      <c r="E56" s="3528"/>
      <c r="F56" s="1205"/>
      <c r="G56" s="1205"/>
      <c r="H56" s="1205"/>
      <c r="I56" s="1205"/>
      <c r="J56" s="1205"/>
      <c r="K56" s="1205"/>
      <c r="L56" s="1208"/>
      <c r="M56" s="1184"/>
      <c r="N56" s="1184"/>
      <c r="O56" s="416"/>
      <c r="P56" s="287"/>
      <c r="Q56" s="1206"/>
      <c r="R56" s="287"/>
      <c r="S56" s="1185"/>
      <c r="T56" s="1188" t="s">
        <v>678</v>
      </c>
      <c r="U56" s="1187"/>
      <c r="V56" s="1187"/>
      <c r="W56" s="1187"/>
      <c r="X56" s="1187"/>
      <c r="Y56" s="1187"/>
      <c r="Z56" s="1187"/>
      <c r="AA56" s="1187"/>
      <c r="AB56" s="1187"/>
      <c r="AC56" s="1187"/>
      <c r="AD56" s="1187"/>
      <c r="AE56" s="1187"/>
      <c r="AF56" s="1187"/>
      <c r="AG56" s="1187"/>
      <c r="AH56" s="1187"/>
      <c r="AI56" s="1187"/>
      <c r="AJ56" s="1187"/>
      <c r="AK56" s="1187"/>
      <c r="AL56" s="1187"/>
      <c r="AM56" s="1187"/>
      <c r="AO56" s="398"/>
      <c r="AP56" s="398" t="str">
        <f t="shared" si="1"/>
        <v>Добавить территорию для дифференциации</v>
      </c>
      <c r="AQ56" s="398"/>
      <c r="AR56" s="398"/>
    </row>
    <row r="57" spans="1:44" s="1866" customFormat="1" ht="5.25" customHeight="1">
      <c r="A57" s="1177"/>
      <c r="B57" s="1177"/>
      <c r="C57" s="1177"/>
      <c r="D57" s="1177"/>
      <c r="E57" s="1205"/>
      <c r="F57" s="1177"/>
      <c r="G57" s="1177"/>
      <c r="H57" s="1177"/>
      <c r="I57" s="1177"/>
      <c r="J57" s="1177"/>
      <c r="K57" s="1177"/>
      <c r="L57" s="1201"/>
      <c r="M57" s="1184"/>
      <c r="N57" s="1184"/>
      <c r="P57" s="1179"/>
      <c r="Q57" s="1180"/>
      <c r="R57" s="1179"/>
      <c r="S57" s="1185"/>
      <c r="T57" s="1188" t="s">
        <v>710</v>
      </c>
      <c r="U57" s="1187"/>
      <c r="V57" s="1187"/>
      <c r="W57" s="1187"/>
      <c r="X57" s="1187"/>
      <c r="Y57" s="1187"/>
      <c r="Z57" s="1187"/>
      <c r="AA57" s="1187"/>
      <c r="AB57" s="1187"/>
      <c r="AC57" s="1187"/>
      <c r="AD57" s="1187"/>
      <c r="AE57" s="1187"/>
      <c r="AF57" s="1187"/>
      <c r="AG57" s="1187"/>
      <c r="AH57" s="1187"/>
      <c r="AI57" s="1187"/>
      <c r="AJ57" s="1187"/>
      <c r="AK57" s="1187"/>
      <c r="AL57" s="1187"/>
      <c r="AM57" s="1187"/>
      <c r="AO57" s="670"/>
      <c r="AP57" s="670" t="str">
        <f t="shared" si="1"/>
        <v>Добавить наименование тарифа</v>
      </c>
      <c r="AQ57" s="670"/>
      <c r="AR57" s="670"/>
    </row>
    <row r="58" spans="1:44" ht="11.25" customHeight="1">
      <c r="M58" s="1023"/>
      <c r="N58" s="1023"/>
      <c r="O58" s="434"/>
      <c r="P58" s="1018"/>
      <c r="Q58" s="1018"/>
      <c r="R58" s="1018"/>
      <c r="S58" s="1018"/>
      <c r="AN58" s="1018"/>
      <c r="AO58" s="1018"/>
      <c r="AP58" s="1018"/>
      <c r="AQ58" s="1018"/>
      <c r="AR58" s="1018"/>
    </row>
    <row r="59" spans="1:44" ht="14.25" customHeight="1">
      <c r="O59" s="434"/>
      <c r="S59" s="1119"/>
      <c r="T59" s="3527"/>
      <c r="U59" s="3527"/>
      <c r="V59" s="3527"/>
      <c r="W59" s="3527"/>
      <c r="X59" s="3527"/>
      <c r="Y59" s="3527"/>
      <c r="Z59" s="3527"/>
      <c r="AA59" s="3527"/>
      <c r="AB59" s="3527"/>
      <c r="AC59" s="3527"/>
      <c r="AD59" s="3527"/>
      <c r="AE59" s="3527"/>
      <c r="AF59" s="3527"/>
      <c r="AG59" s="3527"/>
      <c r="AH59" s="3527"/>
      <c r="AI59" s="3527"/>
      <c r="AJ59" s="3527"/>
      <c r="AK59" s="3527"/>
      <c r="AL59" s="3527"/>
      <c r="AM59" s="3527"/>
    </row>
    <row r="60" spans="1:44" ht="14.25" customHeight="1">
      <c r="O60" s="434"/>
      <c r="T60" s="3527"/>
      <c r="U60" s="3527"/>
      <c r="V60" s="3527"/>
      <c r="W60" s="3527"/>
      <c r="X60" s="3527"/>
      <c r="Y60" s="3527"/>
      <c r="Z60" s="3527"/>
      <c r="AA60" s="3527"/>
      <c r="AB60" s="3527"/>
      <c r="AC60" s="3527"/>
      <c r="AD60" s="3527"/>
      <c r="AE60" s="3527"/>
      <c r="AF60" s="3527"/>
      <c r="AG60" s="3527"/>
      <c r="AH60" s="3527"/>
      <c r="AI60" s="3527"/>
      <c r="AJ60" s="3527"/>
      <c r="AK60" s="3527"/>
      <c r="AL60" s="3527"/>
      <c r="AM60" s="3527"/>
    </row>
    <row r="61" spans="1:44" ht="14.25" customHeight="1">
      <c r="O61" s="434"/>
      <c r="T61" s="3527"/>
      <c r="U61" s="3527"/>
      <c r="V61" s="3527"/>
      <c r="W61" s="3527"/>
      <c r="X61" s="3527"/>
      <c r="Y61" s="3527"/>
      <c r="Z61" s="3527"/>
      <c r="AA61" s="3527"/>
      <c r="AB61" s="3527"/>
      <c r="AC61" s="3527"/>
      <c r="AD61" s="3527"/>
      <c r="AE61" s="3527"/>
      <c r="AF61" s="3527"/>
      <c r="AG61" s="3527"/>
      <c r="AH61" s="3527"/>
      <c r="AI61" s="3527"/>
      <c r="AJ61" s="3527"/>
      <c r="AK61" s="3527"/>
      <c r="AL61" s="3527"/>
      <c r="AM61" s="3527"/>
    </row>
    <row r="62" spans="1:44" ht="14.25" customHeight="1">
      <c r="O62" s="434"/>
    </row>
    <row r="63" spans="1:44" ht="14.25" customHeight="1">
      <c r="O63" s="434"/>
      <c r="S63" s="1119"/>
      <c r="T63" s="3441"/>
      <c r="U63" s="3527"/>
      <c r="V63" s="3527"/>
      <c r="W63" s="3527"/>
      <c r="X63" s="3527"/>
      <c r="Y63" s="3527"/>
      <c r="Z63" s="3527"/>
      <c r="AA63" s="3527"/>
      <c r="AB63" s="3527"/>
      <c r="AC63" s="3527"/>
      <c r="AD63" s="3527"/>
      <c r="AE63" s="3527"/>
      <c r="AF63" s="3527"/>
      <c r="AG63" s="3527"/>
      <c r="AH63" s="3527"/>
      <c r="AI63" s="3527"/>
      <c r="AJ63" s="3527"/>
      <c r="AK63" s="3527"/>
      <c r="AL63" s="3527"/>
      <c r="AM63" s="3527"/>
    </row>
    <row r="64" spans="1:44" ht="14.25" customHeight="1">
      <c r="O64" s="434"/>
      <c r="T64" s="3527"/>
      <c r="U64" s="3527"/>
      <c r="V64" s="3527"/>
      <c r="W64" s="3527"/>
      <c r="X64" s="3527"/>
      <c r="Y64" s="3527"/>
      <c r="Z64" s="3527"/>
      <c r="AA64" s="3527"/>
      <c r="AB64" s="3527"/>
      <c r="AC64" s="3527"/>
      <c r="AD64" s="3527"/>
      <c r="AE64" s="3527"/>
      <c r="AF64" s="3527"/>
      <c r="AG64" s="3527"/>
      <c r="AH64" s="3527"/>
      <c r="AI64" s="3527"/>
      <c r="AJ64" s="3527"/>
      <c r="AK64" s="3527"/>
      <c r="AL64" s="3527"/>
      <c r="AM64" s="3527"/>
    </row>
    <row r="65" spans="20:39" ht="14.25" customHeight="1">
      <c r="T65" s="3527"/>
      <c r="U65" s="3527"/>
      <c r="V65" s="3527"/>
      <c r="W65" s="3527"/>
      <c r="X65" s="3527"/>
      <c r="Y65" s="3527"/>
      <c r="Z65" s="3527"/>
      <c r="AA65" s="3527"/>
      <c r="AB65" s="3527"/>
      <c r="AC65" s="3527"/>
      <c r="AD65" s="3527"/>
      <c r="AE65" s="3527"/>
      <c r="AF65" s="3527"/>
      <c r="AG65" s="3527"/>
      <c r="AH65" s="3527"/>
      <c r="AI65" s="3527"/>
      <c r="AJ65" s="3527"/>
      <c r="AK65" s="3527"/>
      <c r="AL65" s="3527"/>
      <c r="AM65" s="3527"/>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3FA8C-4E1F-F099-AD8A-8B68AC2D4C84}">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910" hidden="1"/>
    <col min="2" max="2" width="11" style="1910" hidden="1" customWidth="1"/>
    <col min="3" max="3" width="10.5703125" style="1910" hidden="1"/>
    <col min="4" max="4" width="11.85546875" style="1910" hidden="1" customWidth="1"/>
    <col min="5" max="5" width="10" style="1910" hidden="1" customWidth="1"/>
    <col min="6" max="6" width="8.7109375" style="1910" hidden="1" customWidth="1"/>
    <col min="7" max="7" width="7.5703125" style="1910" hidden="1" customWidth="1"/>
    <col min="8" max="8" width="11.42578125" style="1910" hidden="1" customWidth="1"/>
    <col min="9" max="9" width="12" style="1910" hidden="1" customWidth="1"/>
    <col min="10" max="10" width="9.85546875" style="1910" hidden="1" customWidth="1"/>
    <col min="11" max="12" width="11.42578125" style="1910" hidden="1" customWidth="1"/>
    <col min="13" max="13" width="19.140625" style="1952" hidden="1" customWidth="1"/>
    <col min="14" max="15" width="12.28515625" style="1957" hidden="1" customWidth="1"/>
    <col min="16" max="16" width="23.42578125" style="1957" hidden="1" customWidth="1"/>
    <col min="17" max="17" width="3.7109375" style="1957" hidden="1" customWidth="1"/>
    <col min="18" max="20" width="3.7109375" style="1906" customWidth="1"/>
    <col min="21" max="21" width="12.7109375" style="1951" customWidth="1"/>
    <col min="22" max="22" width="32" style="1910" customWidth="1"/>
    <col min="23" max="23" width="0.140625" style="1910" customWidth="1"/>
    <col min="24" max="28" width="21.7109375" style="1910" hidden="1" customWidth="1"/>
    <col min="29" max="29" width="11.7109375" style="1910" hidden="1" customWidth="1"/>
    <col min="30" max="30" width="3.7109375" style="1910" hidden="1" customWidth="1"/>
    <col min="31" max="31" width="11.7109375" style="1910" hidden="1" customWidth="1"/>
    <col min="32" max="32" width="8.5703125" style="1910" hidden="1" customWidth="1"/>
    <col min="33" max="37" width="21.7109375" style="1910" customWidth="1"/>
    <col min="38" max="38" width="11.7109375" style="1910" customWidth="1"/>
    <col min="39" max="39" width="3.7109375" style="1910" customWidth="1"/>
    <col min="40" max="40" width="11.7109375" style="1910" customWidth="1"/>
    <col min="41" max="41" width="8.5703125" style="1910" customWidth="1"/>
    <col min="42" max="42" width="4.7109375" style="1910" customWidth="1"/>
    <col min="43" max="43" width="115.7109375" style="1910" customWidth="1"/>
    <col min="44" max="45" width="10.5703125" style="1866"/>
    <col min="46" max="46" width="11.140625" style="1866" customWidth="1"/>
    <col min="47" max="48" width="10.5703125" style="1866"/>
  </cols>
  <sheetData>
    <row r="1" spans="1:48" ht="14.25" hidden="1" customHeight="1">
      <c r="AB1" s="238"/>
      <c r="AC1" s="238"/>
      <c r="AK1" s="238"/>
      <c r="AL1" s="238"/>
    </row>
    <row r="2" spans="1:48" ht="21" hidden="1" customHeight="1">
      <c r="A2" s="1133"/>
      <c r="B2" s="1133"/>
      <c r="C2" s="1133"/>
      <c r="D2" s="1133"/>
      <c r="E2" s="3554">
        <v>1</v>
      </c>
      <c r="F2" s="1133"/>
      <c r="G2" s="1133"/>
      <c r="H2" s="1133"/>
      <c r="I2" s="1133"/>
      <c r="J2" s="1133"/>
      <c r="K2" s="1133"/>
      <c r="L2" s="1133"/>
      <c r="M2" s="1173"/>
      <c r="N2" s="579"/>
      <c r="O2" s="579"/>
      <c r="P2" s="579"/>
      <c r="Q2" s="270"/>
      <c r="R2" s="269"/>
      <c r="S2" s="269"/>
      <c r="T2" s="264"/>
      <c r="U2" s="1198" t="e">
        <f>INDEX(PT_DIFFERENTIATION_NUM_NTAR,MATCH(A2,PT_DIFFERENTIATION_NTAR_ID,0))</f>
        <v>#N/A</v>
      </c>
      <c r="V2" s="209" t="s">
        <v>391</v>
      </c>
      <c r="W2" s="211"/>
      <c r="X2" s="3522"/>
      <c r="Y2" s="3523"/>
      <c r="Z2" s="3523"/>
      <c r="AA2" s="3523"/>
      <c r="AB2" s="3523"/>
      <c r="AC2" s="3523"/>
      <c r="AD2" s="3523"/>
      <c r="AE2" s="3523"/>
      <c r="AF2" s="3524"/>
      <c r="AG2" s="3522" t="e">
        <f>INDEX(PT_DIFFERENTIATION_NTAR,MATCH(A2,PT_DIFFERENTIATION_NTAR_ID,0))</f>
        <v>#N/A</v>
      </c>
      <c r="AH2" s="3523"/>
      <c r="AI2" s="3523"/>
      <c r="AJ2" s="3523"/>
      <c r="AK2" s="3523"/>
      <c r="AL2" s="3523"/>
      <c r="AM2" s="3523"/>
      <c r="AN2" s="3523"/>
      <c r="AO2" s="3523"/>
      <c r="AP2" s="3524"/>
      <c r="AQ2" s="1124" t="s">
        <v>658</v>
      </c>
      <c r="AS2" s="398"/>
      <c r="AT2" s="398" t="str">
        <f t="shared" ref="AT2:AT8" si="0">IF(V2="","",V2)</f>
        <v>Наименование тарифа</v>
      </c>
      <c r="AU2" s="398"/>
      <c r="AV2" s="398"/>
    </row>
    <row r="3" spans="1:48" ht="21" hidden="1" customHeight="1">
      <c r="A3" s="1133"/>
      <c r="B3" s="1133"/>
      <c r="C3" s="1133"/>
      <c r="D3" s="1133"/>
      <c r="E3" s="3555"/>
      <c r="F3" s="3554">
        <v>1</v>
      </c>
      <c r="G3" s="1133"/>
      <c r="H3" s="1133"/>
      <c r="I3" s="1133"/>
      <c r="J3" s="1133"/>
      <c r="K3" s="1133"/>
      <c r="L3" s="1133"/>
      <c r="M3" s="1173"/>
      <c r="N3" s="579"/>
      <c r="O3" s="579"/>
      <c r="P3" s="579"/>
      <c r="Q3" s="1194"/>
      <c r="R3" s="261"/>
      <c r="S3" s="407"/>
      <c r="T3" s="262"/>
      <c r="U3" s="1198" t="e">
        <f>INDEX(PT_DIFFERENTIATION_NUM_TER,MATCH(B3,PT_DIFFERENTIATION_TER_ID,0))</f>
        <v>#N/A</v>
      </c>
      <c r="V3" s="219" t="s">
        <v>659</v>
      </c>
      <c r="W3" s="211"/>
      <c r="X3" s="3522"/>
      <c r="Y3" s="3523"/>
      <c r="Z3" s="3523"/>
      <c r="AA3" s="3523"/>
      <c r="AB3" s="3523"/>
      <c r="AC3" s="3523"/>
      <c r="AD3" s="3523"/>
      <c r="AE3" s="3523"/>
      <c r="AF3" s="3524"/>
      <c r="AG3" s="3522" t="e">
        <f>INDEX(PT_DIFFERENTIATION_TER,MATCH(B3,PT_DIFFERENTIATION_TER_ID,0))</f>
        <v>#N/A</v>
      </c>
      <c r="AH3" s="3523"/>
      <c r="AI3" s="3523"/>
      <c r="AJ3" s="3523"/>
      <c r="AK3" s="3523"/>
      <c r="AL3" s="3523"/>
      <c r="AM3" s="3523"/>
      <c r="AN3" s="3523"/>
      <c r="AO3" s="3523"/>
      <c r="AP3" s="3524"/>
      <c r="AQ3" s="1124" t="s">
        <v>660</v>
      </c>
      <c r="AS3" s="398"/>
      <c r="AT3" s="398" t="str">
        <f t="shared" si="0"/>
        <v>Территория действия тарифа</v>
      </c>
      <c r="AU3" s="398"/>
      <c r="AV3" s="398"/>
    </row>
    <row r="4" spans="1:48" ht="22.5" hidden="1" customHeight="1">
      <c r="A4" s="1133"/>
      <c r="B4" s="1133"/>
      <c r="C4" s="1133"/>
      <c r="D4" s="1133"/>
      <c r="E4" s="3555"/>
      <c r="F4" s="3555"/>
      <c r="G4" s="3554">
        <v>1</v>
      </c>
      <c r="H4" s="1133"/>
      <c r="I4" s="1133"/>
      <c r="J4" s="1133"/>
      <c r="K4" s="1133"/>
      <c r="L4" s="1133"/>
      <c r="M4" s="1173"/>
      <c r="N4" s="579"/>
      <c r="O4" s="579"/>
      <c r="P4" s="579"/>
      <c r="Q4" s="263"/>
      <c r="R4" s="261"/>
      <c r="S4" s="407"/>
      <c r="T4" s="262"/>
      <c r="U4" s="1198" t="e">
        <f>INDEX(PT_DIFFERENTIATION_NUM_CS,MATCH(C4,PT_DIFFERENTIATION_CS_ID,0))</f>
        <v>#N/A</v>
      </c>
      <c r="V4" s="220" t="s">
        <v>661</v>
      </c>
      <c r="W4" s="211"/>
      <c r="X4" s="3522"/>
      <c r="Y4" s="3523"/>
      <c r="Z4" s="3523"/>
      <c r="AA4" s="3523"/>
      <c r="AB4" s="3523"/>
      <c r="AC4" s="3523"/>
      <c r="AD4" s="3523"/>
      <c r="AE4" s="3523"/>
      <c r="AF4" s="3524"/>
      <c r="AG4" s="3522" t="e">
        <f>INDEX(PT_DIFFERENTIATION_CS,MATCH(C4,PT_DIFFERENTIATION_CS_ID,0))</f>
        <v>#N/A</v>
      </c>
      <c r="AH4" s="3523"/>
      <c r="AI4" s="3523"/>
      <c r="AJ4" s="3523"/>
      <c r="AK4" s="3523"/>
      <c r="AL4" s="3523"/>
      <c r="AM4" s="3523"/>
      <c r="AN4" s="3523"/>
      <c r="AO4" s="3523"/>
      <c r="AP4" s="3524"/>
      <c r="AQ4" s="1124" t="s">
        <v>662</v>
      </c>
      <c r="AS4" s="398"/>
      <c r="AT4" s="398" t="str">
        <f t="shared" si="0"/>
        <v xml:space="preserve">Наименование системы теплоснабжения </v>
      </c>
      <c r="AU4" s="398"/>
      <c r="AV4" s="398"/>
    </row>
    <row r="5" spans="1:48" ht="21" hidden="1" customHeight="1">
      <c r="A5" s="1133"/>
      <c r="B5" s="1133"/>
      <c r="C5" s="1133"/>
      <c r="D5" s="1133"/>
      <c r="E5" s="3555"/>
      <c r="F5" s="3555"/>
      <c r="G5" s="3555"/>
      <c r="H5" s="3554">
        <v>1</v>
      </c>
      <c r="I5" s="1133"/>
      <c r="J5" s="1133"/>
      <c r="K5" s="1133"/>
      <c r="L5" s="1133"/>
      <c r="M5" s="1173"/>
      <c r="N5" s="579"/>
      <c r="O5" s="579"/>
      <c r="P5" s="579"/>
      <c r="Q5" s="263"/>
      <c r="R5" s="261"/>
      <c r="S5" s="407"/>
      <c r="T5" s="262"/>
      <c r="U5" s="1198" t="e">
        <f>INDEX(PT_DIFFERENTIATION_NUM_IST_TE,MATCH(D5,PT_DIFFERENTIATION_IST_TE_ID,0))</f>
        <v>#N/A</v>
      </c>
      <c r="V5" s="221" t="s">
        <v>663</v>
      </c>
      <c r="W5" s="211"/>
      <c r="X5" s="3522"/>
      <c r="Y5" s="3523"/>
      <c r="Z5" s="3523"/>
      <c r="AA5" s="3523"/>
      <c r="AB5" s="3523"/>
      <c r="AC5" s="3523"/>
      <c r="AD5" s="3523"/>
      <c r="AE5" s="3523"/>
      <c r="AF5" s="3524"/>
      <c r="AG5" s="3522" t="e">
        <f>INDEX(PT_DIFFERENTIATION_IST_TE,MATCH(D5,PT_DIFFERENTIATION_IST_TE_ID,0))</f>
        <v>#N/A</v>
      </c>
      <c r="AH5" s="3523"/>
      <c r="AI5" s="3523"/>
      <c r="AJ5" s="3523"/>
      <c r="AK5" s="3523"/>
      <c r="AL5" s="3523"/>
      <c r="AM5" s="3523"/>
      <c r="AN5" s="3523"/>
      <c r="AO5" s="3523"/>
      <c r="AP5" s="3524"/>
      <c r="AQ5" s="1124" t="s">
        <v>664</v>
      </c>
      <c r="AS5" s="398"/>
      <c r="AT5" s="398" t="str">
        <f t="shared" si="0"/>
        <v xml:space="preserve">Источник тепловой энергии  </v>
      </c>
      <c r="AU5" s="398"/>
      <c r="AV5" s="398"/>
    </row>
    <row r="6" spans="1:48" ht="14.25" hidden="1" customHeight="1">
      <c r="A6" s="1133"/>
      <c r="B6" s="1133"/>
      <c r="C6" s="1133"/>
      <c r="D6" s="1133"/>
      <c r="E6" s="3555"/>
      <c r="F6" s="3555"/>
      <c r="G6" s="3555"/>
      <c r="H6" s="3555"/>
      <c r="I6" s="3401" t="e">
        <f>U5&amp;".1"</f>
        <v>#N/A</v>
      </c>
      <c r="J6" s="1133"/>
      <c r="K6" s="1133"/>
      <c r="L6" s="1133"/>
      <c r="M6" s="1173" t="s">
        <v>665</v>
      </c>
      <c r="N6" s="407"/>
      <c r="Q6" s="3532">
        <v>1</v>
      </c>
      <c r="R6" s="1193"/>
      <c r="S6" s="1193"/>
      <c r="T6" s="265"/>
      <c r="U6" s="912"/>
      <c r="V6" s="1244"/>
      <c r="W6" s="1245"/>
      <c r="X6" s="3559"/>
      <c r="Y6" s="3560"/>
      <c r="Z6" s="3560"/>
      <c r="AA6" s="3560"/>
      <c r="AB6" s="3560"/>
      <c r="AC6" s="3560"/>
      <c r="AD6" s="3560"/>
      <c r="AE6" s="3560"/>
      <c r="AF6" s="3561"/>
      <c r="AG6" s="3559"/>
      <c r="AH6" s="3560"/>
      <c r="AI6" s="3560"/>
      <c r="AJ6" s="3560"/>
      <c r="AK6" s="3560"/>
      <c r="AL6" s="3560"/>
      <c r="AM6" s="3560"/>
      <c r="AN6" s="3560"/>
      <c r="AO6" s="3560"/>
      <c r="AP6" s="3561"/>
      <c r="AQ6" s="1246"/>
      <c r="AS6" s="398"/>
      <c r="AT6" s="398" t="str">
        <f t="shared" si="0"/>
        <v/>
      </c>
      <c r="AU6" s="398"/>
      <c r="AV6" s="398"/>
    </row>
    <row r="7" spans="1:48" ht="21" hidden="1" customHeight="1">
      <c r="A7" s="1133"/>
      <c r="B7" s="1133"/>
      <c r="C7" s="1133"/>
      <c r="D7" s="1133"/>
      <c r="E7" s="3555"/>
      <c r="F7" s="3555"/>
      <c r="G7" s="3555"/>
      <c r="H7" s="3555"/>
      <c r="I7" s="3383"/>
      <c r="J7" s="3401" t="e">
        <f>I6&amp;".1"</f>
        <v>#N/A</v>
      </c>
      <c r="K7" s="1133"/>
      <c r="L7" s="1133"/>
      <c r="M7" s="1173" t="s">
        <v>668</v>
      </c>
      <c r="N7" s="407"/>
      <c r="O7" s="238"/>
      <c r="Q7" s="3532"/>
      <c r="R7" s="3532">
        <v>1</v>
      </c>
      <c r="S7" s="416"/>
      <c r="T7" s="266"/>
      <c r="U7" s="1198" t="e">
        <f>$J7</f>
        <v>#N/A</v>
      </c>
      <c r="V7" s="198" t="s">
        <v>669</v>
      </c>
      <c r="W7" s="211"/>
      <c r="X7" s="3516"/>
      <c r="Y7" s="3517"/>
      <c r="Z7" s="3517"/>
      <c r="AA7" s="3517"/>
      <c r="AB7" s="3517"/>
      <c r="AC7" s="3512"/>
      <c r="AD7" s="3512"/>
      <c r="AE7" s="3512"/>
      <c r="AF7" s="3565"/>
      <c r="AG7" s="3516"/>
      <c r="AH7" s="3517"/>
      <c r="AI7" s="3517"/>
      <c r="AJ7" s="3517"/>
      <c r="AK7" s="3517"/>
      <c r="AL7" s="3517"/>
      <c r="AM7" s="3517"/>
      <c r="AN7" s="3517"/>
      <c r="AO7" s="3517"/>
      <c r="AP7" s="3518"/>
      <c r="AQ7" s="1124" t="s">
        <v>670</v>
      </c>
      <c r="AS7" s="398"/>
      <c r="AT7" s="398" t="str">
        <f t="shared" si="0"/>
        <v>Группа потребителей</v>
      </c>
      <c r="AU7" s="398"/>
      <c r="AV7" s="398"/>
    </row>
    <row r="8" spans="1:48" ht="21" hidden="1" customHeight="1">
      <c r="A8" s="1133"/>
      <c r="B8" s="1133"/>
      <c r="C8" s="1133"/>
      <c r="D8" s="1133"/>
      <c r="E8" s="3555"/>
      <c r="F8" s="3555"/>
      <c r="G8" s="3555"/>
      <c r="H8" s="3555"/>
      <c r="I8" s="3383"/>
      <c r="J8" s="3383"/>
      <c r="K8" s="3401" t="e">
        <f>J7&amp;".1"</f>
        <v>#N/A</v>
      </c>
      <c r="L8" s="61"/>
      <c r="M8" s="1173" t="s">
        <v>671</v>
      </c>
      <c r="N8" s="407"/>
      <c r="O8" s="238"/>
      <c r="P8" s="238"/>
      <c r="Q8" s="3532"/>
      <c r="R8" s="3532"/>
      <c r="S8" s="3532">
        <v>1</v>
      </c>
      <c r="T8" s="266"/>
      <c r="U8" s="1198" t="e">
        <f>$K8</f>
        <v>#N/A</v>
      </c>
      <c r="V8" s="1209"/>
      <c r="W8" s="211"/>
      <c r="X8" s="639"/>
      <c r="Y8" s="639"/>
      <c r="Z8" s="639"/>
      <c r="AA8" s="639"/>
      <c r="AB8" s="1266"/>
      <c r="AC8" s="3533"/>
      <c r="AD8" s="3412" t="s">
        <v>64</v>
      </c>
      <c r="AE8" s="3533"/>
      <c r="AF8" s="3412" t="s">
        <v>64</v>
      </c>
      <c r="AG8" s="1268"/>
      <c r="AH8" s="639"/>
      <c r="AI8" s="639"/>
      <c r="AJ8" s="639"/>
      <c r="AK8" s="1123"/>
      <c r="AL8" s="3533"/>
      <c r="AM8" s="3412" t="s">
        <v>64</v>
      </c>
      <c r="AN8" s="3533"/>
      <c r="AO8" s="3412" t="s">
        <v>64</v>
      </c>
      <c r="AP8" s="236"/>
      <c r="AQ8" s="1171" t="s">
        <v>714</v>
      </c>
      <c r="AR8" s="409" t="e">
        <f ca="1">STRCHECKDATE(X10:AP10)</f>
        <v>#NAME?</v>
      </c>
      <c r="AS8" s="398"/>
      <c r="AT8" s="398" t="str">
        <f t="shared" si="0"/>
        <v/>
      </c>
      <c r="AU8" s="398"/>
      <c r="AV8" s="398"/>
    </row>
    <row r="9" spans="1:48" ht="21" hidden="1" customHeight="1">
      <c r="A9" s="1133"/>
      <c r="B9" s="1133"/>
      <c r="C9" s="1133"/>
      <c r="D9" s="1133"/>
      <c r="E9" s="3555"/>
      <c r="F9" s="3555"/>
      <c r="G9" s="3555"/>
      <c r="H9" s="3555"/>
      <c r="I9" s="3383"/>
      <c r="J9" s="3383"/>
      <c r="K9" s="3383"/>
      <c r="L9" s="3401" t="e">
        <f>K8&amp;".1"</f>
        <v>#N/A</v>
      </c>
      <c r="M9" s="1173"/>
      <c r="N9" s="407"/>
      <c r="O9" s="238"/>
      <c r="P9" s="238"/>
      <c r="Q9" s="3532"/>
      <c r="R9" s="3532"/>
      <c r="S9" s="3532"/>
      <c r="T9" s="266"/>
      <c r="U9" s="1198" t="e">
        <f>$L9</f>
        <v>#N/A</v>
      </c>
      <c r="V9" s="1252"/>
      <c r="W9" s="211"/>
      <c r="X9" s="236"/>
      <c r="Y9" s="639"/>
      <c r="Z9" s="639"/>
      <c r="AA9" s="639"/>
      <c r="AB9" s="1266"/>
      <c r="AC9" s="3534"/>
      <c r="AD9" s="3412"/>
      <c r="AE9" s="3534"/>
      <c r="AF9" s="3412"/>
      <c r="AG9" s="1268"/>
      <c r="AH9" s="639"/>
      <c r="AI9" s="639"/>
      <c r="AJ9" s="639"/>
      <c r="AK9" s="1123"/>
      <c r="AL9" s="3534"/>
      <c r="AM9" s="3412"/>
      <c r="AN9" s="3534"/>
      <c r="AO9" s="3412"/>
      <c r="AP9" s="236"/>
      <c r="AQ9" s="3551" t="s">
        <v>715</v>
      </c>
      <c r="AS9" s="398"/>
      <c r="AT9" s="398"/>
      <c r="AU9" s="398"/>
      <c r="AV9" s="398"/>
    </row>
    <row r="10" spans="1:48" ht="14.25" hidden="1" customHeight="1">
      <c r="A10" s="1133"/>
      <c r="B10" s="1133"/>
      <c r="C10" s="1133"/>
      <c r="D10" s="1133"/>
      <c r="E10" s="3555"/>
      <c r="F10" s="3555"/>
      <c r="G10" s="3555"/>
      <c r="H10" s="3555"/>
      <c r="I10" s="3383"/>
      <c r="J10" s="3383"/>
      <c r="K10" s="3383"/>
      <c r="L10" s="3401"/>
      <c r="M10" s="1173"/>
      <c r="N10" s="407"/>
      <c r="O10" s="238"/>
      <c r="P10" s="238"/>
      <c r="Q10" s="3532"/>
      <c r="R10" s="3532"/>
      <c r="S10" s="3532"/>
      <c r="T10" s="266"/>
      <c r="U10" s="1204"/>
      <c r="V10" s="211"/>
      <c r="W10" s="211"/>
      <c r="X10" s="236"/>
      <c r="Y10" s="236"/>
      <c r="Z10" s="236"/>
      <c r="AA10" s="236"/>
      <c r="AB10" s="1267" t="str">
        <f>AC8&amp;"-"&amp;AE8</f>
        <v>-</v>
      </c>
      <c r="AC10" s="3534"/>
      <c r="AD10" s="3412"/>
      <c r="AE10" s="3534"/>
      <c r="AF10" s="3412"/>
      <c r="AG10" s="1243"/>
      <c r="AH10" s="236"/>
      <c r="AI10" s="236"/>
      <c r="AJ10" s="236"/>
      <c r="AK10" s="239" t="str">
        <f>AL8&amp;"-"&amp;AN8</f>
        <v>-</v>
      </c>
      <c r="AL10" s="3534"/>
      <c r="AM10" s="3412"/>
      <c r="AN10" s="3534"/>
      <c r="AO10" s="3412"/>
      <c r="AP10" s="236"/>
      <c r="AQ10" s="3552"/>
      <c r="AS10" s="398"/>
      <c r="AT10" s="398" t="str">
        <f>IF(V10="","",V10)</f>
        <v/>
      </c>
      <c r="AU10" s="398"/>
      <c r="AV10" s="398"/>
    </row>
    <row r="11" spans="1:48" ht="11.25" hidden="1" customHeight="1">
      <c r="A11" s="1133"/>
      <c r="B11" s="1133"/>
      <c r="C11" s="1133"/>
      <c r="D11" s="1133"/>
      <c r="E11" s="3555"/>
      <c r="F11" s="3555"/>
      <c r="G11" s="3555"/>
      <c r="H11" s="3555"/>
      <c r="I11" s="3383"/>
      <c r="J11" s="3383"/>
      <c r="K11" s="3401"/>
      <c r="L11" s="1133"/>
      <c r="M11" s="1173"/>
      <c r="N11" s="407"/>
      <c r="O11" s="238"/>
      <c r="P11" s="238"/>
      <c r="Q11" s="3532"/>
      <c r="R11" s="3532"/>
      <c r="S11" s="3532"/>
      <c r="T11" s="266"/>
      <c r="U11" s="1144"/>
      <c r="V11" s="200" t="s">
        <v>716</v>
      </c>
      <c r="W11" s="1253"/>
      <c r="X11" s="1254"/>
      <c r="Y11" s="1254"/>
      <c r="Z11" s="1254"/>
      <c r="AA11" s="1254"/>
      <c r="AB11" s="1255"/>
      <c r="AC11" s="3534"/>
      <c r="AD11" s="3412"/>
      <c r="AE11" s="3534"/>
      <c r="AF11" s="3412"/>
      <c r="AG11" s="1254"/>
      <c r="AH11" s="1254"/>
      <c r="AI11" s="1254"/>
      <c r="AJ11" s="1254"/>
      <c r="AK11" s="1255"/>
      <c r="AL11" s="3534"/>
      <c r="AM11" s="3412"/>
      <c r="AN11" s="3534"/>
      <c r="AO11" s="3412"/>
      <c r="AP11" s="1256"/>
      <c r="AQ11" s="3552"/>
      <c r="AS11" s="398"/>
      <c r="AT11" s="398"/>
      <c r="AU11" s="398"/>
      <c r="AV11" s="398"/>
    </row>
    <row r="12" spans="1:48" ht="15" hidden="1" customHeight="1">
      <c r="A12" s="1133"/>
      <c r="B12" s="1133"/>
      <c r="C12" s="1133"/>
      <c r="D12" s="1133"/>
      <c r="E12" s="3555"/>
      <c r="F12" s="3555"/>
      <c r="G12" s="3555"/>
      <c r="H12" s="3555"/>
      <c r="I12" s="3383"/>
      <c r="J12" s="3401"/>
      <c r="K12" s="1133"/>
      <c r="L12" s="1133"/>
      <c r="M12" s="1173"/>
      <c r="N12" s="407"/>
      <c r="O12" s="238"/>
      <c r="Q12" s="3532"/>
      <c r="R12" s="3532"/>
      <c r="S12" s="1193"/>
      <c r="T12" s="265"/>
      <c r="U12" s="1144"/>
      <c r="V12" s="199" t="s">
        <v>673</v>
      </c>
      <c r="W12" s="275"/>
      <c r="X12" s="275"/>
      <c r="Y12" s="275"/>
      <c r="Z12" s="275"/>
      <c r="AA12" s="275"/>
      <c r="AB12" s="275"/>
      <c r="AC12" s="1269"/>
      <c r="AD12" s="1269"/>
      <c r="AE12" s="1269"/>
      <c r="AF12" s="1269"/>
      <c r="AG12" s="275"/>
      <c r="AH12" s="275"/>
      <c r="AI12" s="275"/>
      <c r="AJ12" s="275"/>
      <c r="AK12" s="275"/>
      <c r="AL12" s="275"/>
      <c r="AM12" s="275"/>
      <c r="AN12" s="275"/>
      <c r="AO12" s="275"/>
      <c r="AP12" s="235"/>
      <c r="AQ12" s="3553"/>
      <c r="AS12" s="398"/>
      <c r="AT12" s="398" t="str">
        <f t="shared" ref="AT12:AT17" si="1">IF(V12="","",V12)</f>
        <v>Добавить вид теплоносителя (параметры теплоносителя)</v>
      </c>
      <c r="AU12" s="398"/>
      <c r="AV12" s="398"/>
    </row>
    <row r="13" spans="1:48" ht="11.25" hidden="1" customHeight="1">
      <c r="A13" s="1133"/>
      <c r="B13" s="1133"/>
      <c r="C13" s="1133"/>
      <c r="D13" s="1133"/>
      <c r="E13" s="3555"/>
      <c r="F13" s="3555"/>
      <c r="G13" s="3555"/>
      <c r="H13" s="3555"/>
      <c r="I13" s="3401"/>
      <c r="J13" s="1133"/>
      <c r="K13" s="1133"/>
      <c r="L13" s="1133"/>
      <c r="M13" s="1173"/>
      <c r="N13" s="407"/>
      <c r="Q13" s="3532"/>
      <c r="R13" s="1193"/>
      <c r="S13" s="1193"/>
      <c r="T13" s="265"/>
      <c r="U13" s="1144"/>
      <c r="V13" s="273" t="s">
        <v>674</v>
      </c>
      <c r="W13" s="275"/>
      <c r="X13" s="275"/>
      <c r="Y13" s="275"/>
      <c r="Z13" s="275"/>
      <c r="AA13" s="275"/>
      <c r="AB13" s="275"/>
      <c r="AC13" s="275"/>
      <c r="AD13" s="275"/>
      <c r="AE13" s="275"/>
      <c r="AF13" s="274"/>
      <c r="AG13" s="275"/>
      <c r="AH13" s="275"/>
      <c r="AI13" s="275"/>
      <c r="AJ13" s="275"/>
      <c r="AK13" s="275"/>
      <c r="AL13" s="275"/>
      <c r="AM13" s="275"/>
      <c r="AN13" s="275"/>
      <c r="AO13" s="274"/>
      <c r="AP13" s="275"/>
      <c r="AQ13" s="214"/>
      <c r="AS13" s="398"/>
      <c r="AT13" s="398" t="str">
        <f t="shared" si="1"/>
        <v>Добавить группу потребителей</v>
      </c>
      <c r="AU13" s="398"/>
      <c r="AV13" s="398"/>
    </row>
    <row r="14" spans="1:48" ht="14.25" hidden="1" customHeight="1">
      <c r="A14" s="1133"/>
      <c r="B14" s="1133"/>
      <c r="C14" s="1133"/>
      <c r="D14" s="1133"/>
      <c r="E14" s="3555"/>
      <c r="F14" s="3555"/>
      <c r="G14" s="3555"/>
      <c r="H14" s="3554"/>
      <c r="I14" s="1133"/>
      <c r="J14" s="1133"/>
      <c r="K14" s="1133"/>
      <c r="L14" s="1133"/>
      <c r="M14" s="1173"/>
      <c r="N14" s="579"/>
      <c r="O14" s="579"/>
      <c r="P14" s="407"/>
      <c r="Q14" s="269"/>
      <c r="R14" s="282"/>
      <c r="S14" s="264"/>
      <c r="T14" s="269"/>
      <c r="U14" s="1247"/>
      <c r="V14" s="1248"/>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50"/>
      <c r="AS14" s="398"/>
      <c r="AT14" s="398" t="str">
        <f t="shared" si="1"/>
        <v/>
      </c>
      <c r="AU14" s="398"/>
      <c r="AV14" s="398"/>
    </row>
    <row r="15" spans="1:48" s="1866" customFormat="1" ht="14.25" hidden="1" customHeight="1">
      <c r="A15" s="1235"/>
      <c r="B15" s="1235"/>
      <c r="C15" s="1235"/>
      <c r="D15" s="1235"/>
      <c r="E15" s="3555"/>
      <c r="F15" s="3555"/>
      <c r="G15" s="3554"/>
      <c r="H15" s="1235"/>
      <c r="I15" s="1235"/>
      <c r="J15" s="1235"/>
      <c r="K15" s="1235"/>
      <c r="L15" s="1235"/>
      <c r="M15" s="1238"/>
      <c r="N15" s="1239"/>
      <c r="O15" s="1239"/>
      <c r="P15" s="260"/>
      <c r="Q15" s="1179"/>
      <c r="R15" s="1180"/>
      <c r="S15" s="1179"/>
      <c r="T15" s="1179"/>
      <c r="U15" s="1181"/>
      <c r="V15" s="1182" t="s">
        <v>676</v>
      </c>
      <c r="W15" s="1183"/>
      <c r="X15" s="1183"/>
      <c r="Y15" s="1183"/>
      <c r="Z15" s="1183"/>
      <c r="AA15" s="1183"/>
      <c r="AB15" s="1183"/>
      <c r="AC15" s="1183"/>
      <c r="AD15" s="1183"/>
      <c r="AE15" s="1183"/>
      <c r="AF15" s="1183"/>
      <c r="AG15" s="1183"/>
      <c r="AH15" s="1183"/>
      <c r="AI15" s="1183"/>
      <c r="AJ15" s="1183"/>
      <c r="AK15" s="1183"/>
      <c r="AL15" s="1183"/>
      <c r="AM15" s="1183"/>
      <c r="AN15" s="1183"/>
      <c r="AO15" s="1183"/>
      <c r="AP15" s="1183"/>
      <c r="AQ15" s="1183"/>
      <c r="AS15" s="670"/>
      <c r="AT15" s="670" t="str">
        <f t="shared" si="1"/>
        <v>Добавить источник для дифференциации</v>
      </c>
      <c r="AU15" s="670"/>
      <c r="AV15" s="670"/>
    </row>
    <row r="16" spans="1:48" s="1866" customFormat="1" ht="14.25" hidden="1" customHeight="1">
      <c r="A16" s="1235"/>
      <c r="B16" s="1235"/>
      <c r="C16" s="1235"/>
      <c r="D16" s="1235"/>
      <c r="E16" s="3555"/>
      <c r="F16" s="3554"/>
      <c r="G16" s="1235"/>
      <c r="H16" s="1235"/>
      <c r="I16" s="1235"/>
      <c r="J16" s="1235"/>
      <c r="K16" s="1235"/>
      <c r="L16" s="1235"/>
      <c r="M16" s="1238"/>
      <c r="N16" s="1240"/>
      <c r="O16" s="1240"/>
      <c r="P16" s="260"/>
      <c r="Q16" s="1179"/>
      <c r="R16" s="1180"/>
      <c r="S16" s="1179"/>
      <c r="T16" s="1179"/>
      <c r="U16" s="1185"/>
      <c r="V16" s="1186" t="s">
        <v>677</v>
      </c>
      <c r="W16" s="1187"/>
      <c r="X16" s="1187"/>
      <c r="Y16" s="1187"/>
      <c r="Z16" s="1187"/>
      <c r="AA16" s="1187"/>
      <c r="AB16" s="1187"/>
      <c r="AC16" s="1187"/>
      <c r="AD16" s="1187"/>
      <c r="AE16" s="1187"/>
      <c r="AF16" s="1187"/>
      <c r="AG16" s="1187"/>
      <c r="AH16" s="1187"/>
      <c r="AI16" s="1187"/>
      <c r="AJ16" s="1187"/>
      <c r="AK16" s="1187"/>
      <c r="AL16" s="1187"/>
      <c r="AM16" s="1187"/>
      <c r="AN16" s="1187"/>
      <c r="AO16" s="1187"/>
      <c r="AP16" s="1187"/>
      <c r="AQ16" s="1187"/>
      <c r="AS16" s="670"/>
      <c r="AT16" s="670" t="str">
        <f t="shared" si="1"/>
        <v>Добавить централизованную систему для дифференциации</v>
      </c>
      <c r="AU16" s="670"/>
      <c r="AV16" s="670"/>
    </row>
    <row r="17" spans="1:48" s="1866" customFormat="1" ht="14.25" hidden="1" customHeight="1">
      <c r="A17" s="1235"/>
      <c r="B17" s="1235"/>
      <c r="C17" s="1235"/>
      <c r="D17" s="1235"/>
      <c r="E17" s="3554"/>
      <c r="F17" s="1235"/>
      <c r="G17" s="1235"/>
      <c r="H17" s="1235"/>
      <c r="I17" s="1235"/>
      <c r="J17" s="1235"/>
      <c r="K17" s="1235"/>
      <c r="L17" s="1235"/>
      <c r="M17" s="1238"/>
      <c r="N17" s="1240"/>
      <c r="O17" s="1240"/>
      <c r="P17" s="260"/>
      <c r="Q17" s="1179"/>
      <c r="R17" s="1180"/>
      <c r="S17" s="1179"/>
      <c r="T17" s="1179"/>
      <c r="U17" s="1185"/>
      <c r="V17" s="1188" t="s">
        <v>678</v>
      </c>
      <c r="W17" s="1187"/>
      <c r="X17" s="1187"/>
      <c r="Y17" s="1187"/>
      <c r="Z17" s="1187"/>
      <c r="AA17" s="1187"/>
      <c r="AB17" s="1187"/>
      <c r="AC17" s="1187"/>
      <c r="AD17" s="1187"/>
      <c r="AE17" s="1187"/>
      <c r="AF17" s="1187"/>
      <c r="AG17" s="1187"/>
      <c r="AH17" s="1187"/>
      <c r="AI17" s="1187"/>
      <c r="AJ17" s="1187"/>
      <c r="AK17" s="1187"/>
      <c r="AL17" s="1187"/>
      <c r="AM17" s="1187"/>
      <c r="AN17" s="1187"/>
      <c r="AO17" s="1187"/>
      <c r="AP17" s="1187"/>
      <c r="AQ17" s="1187"/>
      <c r="AS17" s="670"/>
      <c r="AT17" s="670" t="str">
        <f t="shared" si="1"/>
        <v>Добавить территорию для дифференциации</v>
      </c>
      <c r="AU17" s="670"/>
      <c r="AV17" s="670"/>
    </row>
    <row r="18" spans="1:48" ht="14.25" hidden="1" customHeight="1">
      <c r="AF18" s="238"/>
      <c r="AO18" s="238"/>
    </row>
    <row r="19" spans="1:48" ht="14.25" hidden="1" customHeight="1">
      <c r="AG19" s="1221"/>
      <c r="AH19" s="1221"/>
      <c r="AI19" s="1221"/>
      <c r="AJ19" s="1221"/>
      <c r="AK19" s="1222"/>
      <c r="AL19" s="3526"/>
      <c r="AM19" s="3525" t="s">
        <v>64</v>
      </c>
      <c r="AN19" s="3526"/>
      <c r="AO19" s="3525" t="s">
        <v>64</v>
      </c>
    </row>
    <row r="20" spans="1:48" ht="14.25" hidden="1" customHeight="1">
      <c r="AG20" s="1221"/>
      <c r="AH20" s="1221"/>
      <c r="AI20" s="1221"/>
      <c r="AJ20" s="1221"/>
      <c r="AK20" s="1222"/>
      <c r="AL20" s="3526"/>
      <c r="AM20" s="3525"/>
      <c r="AN20" s="3526"/>
      <c r="AO20" s="3525"/>
    </row>
    <row r="21" spans="1:48" ht="14.25" hidden="1" customHeight="1">
      <c r="AG21" s="1221"/>
      <c r="AH21" s="1221"/>
      <c r="AI21" s="1221"/>
      <c r="AJ21" s="1221"/>
      <c r="AK21" s="1222"/>
      <c r="AL21" s="3526"/>
      <c r="AM21" s="3525"/>
      <c r="AN21" s="3526"/>
      <c r="AO21" s="3525"/>
    </row>
    <row r="22" spans="1:48" ht="14.25" hidden="1" customHeight="1">
      <c r="AG22" s="1221"/>
      <c r="AH22" s="1221"/>
      <c r="AI22" s="1221"/>
      <c r="AJ22" s="1221"/>
      <c r="AK22" s="239" t="str">
        <f>AL19&amp;"-"&amp;AN19</f>
        <v>-</v>
      </c>
      <c r="AL22" s="3525"/>
      <c r="AM22" s="3525"/>
      <c r="AN22" s="3525"/>
      <c r="AO22" s="3525"/>
    </row>
    <row r="23" spans="1:48" ht="14.25" hidden="1" customHeight="1">
      <c r="AO23" s="238"/>
    </row>
    <row r="24" spans="1:48" s="1903" customFormat="1" ht="22.5" hidden="1" customHeight="1">
      <c r="A24" s="1018"/>
      <c r="B24" s="1018"/>
      <c r="C24" s="1018"/>
      <c r="D24" s="1018"/>
      <c r="E24" s="1018"/>
      <c r="F24" s="1018"/>
      <c r="G24" s="1018"/>
      <c r="H24" s="1018"/>
      <c r="I24" s="1018"/>
      <c r="J24" s="1018"/>
      <c r="K24" s="1018"/>
      <c r="L24" s="1018"/>
      <c r="M24" s="1189"/>
      <c r="N24" s="1190"/>
      <c r="O24" s="1190"/>
      <c r="P24" s="1207" t="s">
        <v>679</v>
      </c>
      <c r="Q24" s="1223"/>
      <c r="R24" s="1232"/>
      <c r="S24" s="1232"/>
      <c r="T24" s="1232"/>
      <c r="U24" s="619"/>
      <c r="AC24" s="1228"/>
      <c r="AE24" s="1228"/>
      <c r="AF24" s="1227"/>
      <c r="AL24" s="1228"/>
      <c r="AN24" s="1228"/>
      <c r="AO24" s="1227"/>
      <c r="AR24" s="409"/>
      <c r="AS24" s="409"/>
      <c r="AT24" s="409"/>
      <c r="AU24" s="409"/>
      <c r="AV24" s="409"/>
    </row>
    <row r="25" spans="1:48" s="1903" customFormat="1" ht="14.25" hidden="1" customHeight="1">
      <c r="A25" s="1018"/>
      <c r="B25" s="1018"/>
      <c r="C25" s="1018"/>
      <c r="D25" s="1018"/>
      <c r="E25" s="1018"/>
      <c r="F25" s="1018"/>
      <c r="G25" s="1018"/>
      <c r="H25" s="1018"/>
      <c r="I25" s="1018"/>
      <c r="J25" s="1018"/>
      <c r="K25" s="1018"/>
      <c r="L25" s="1018"/>
      <c r="M25" s="1189"/>
      <c r="N25" s="1190"/>
      <c r="O25" s="1190"/>
      <c r="P25" s="1190"/>
      <c r="Q25" s="1223"/>
      <c r="R25" s="1232"/>
      <c r="S25" s="1232"/>
      <c r="T25" s="1232"/>
      <c r="U25" s="619"/>
      <c r="AF25" s="1227"/>
      <c r="AO25" s="1227"/>
      <c r="AR25" s="409"/>
      <c r="AS25" s="409"/>
      <c r="AT25" s="409"/>
      <c r="AU25" s="409"/>
      <c r="AV25" s="409"/>
    </row>
    <row r="26" spans="1:48" s="1903" customFormat="1" ht="14.25" hidden="1" customHeight="1">
      <c r="A26" s="1018"/>
      <c r="B26" s="1018"/>
      <c r="C26" s="1018"/>
      <c r="D26" s="1018"/>
      <c r="E26" s="1018"/>
      <c r="F26" s="1018"/>
      <c r="G26" s="1018"/>
      <c r="H26" s="1018"/>
      <c r="I26" s="1018"/>
      <c r="J26" s="1018"/>
      <c r="K26" s="1018"/>
      <c r="L26" s="1018"/>
      <c r="M26" s="1189"/>
      <c r="N26" s="1190"/>
      <c r="O26" s="1190"/>
      <c r="P26" s="1173" t="s">
        <v>680</v>
      </c>
      <c r="Q26" s="1223"/>
      <c r="R26" s="1232"/>
      <c r="S26" s="1232"/>
      <c r="T26" s="1232"/>
      <c r="U26" s="619"/>
      <c r="V26" s="1023" t="s">
        <v>681</v>
      </c>
      <c r="AD26" s="103" t="s">
        <v>682</v>
      </c>
      <c r="AF26" s="103" t="s">
        <v>683</v>
      </c>
      <c r="AG26" s="1023" t="s">
        <v>681</v>
      </c>
      <c r="AM26" s="103" t="s">
        <v>684</v>
      </c>
      <c r="AO26" s="103" t="s">
        <v>683</v>
      </c>
      <c r="AR26" s="409"/>
      <c r="AS26" s="409"/>
      <c r="AT26" s="409"/>
      <c r="AU26" s="409"/>
      <c r="AV26" s="409"/>
    </row>
    <row r="27" spans="1:48" ht="14.25" hidden="1" customHeight="1">
      <c r="P27" s="1173"/>
    </row>
    <row r="28" spans="1:48" ht="14.25" hidden="1" customHeight="1">
      <c r="P28" s="1173"/>
    </row>
    <row r="29" spans="1:48" ht="14.25" customHeight="1">
      <c r="R29" s="283"/>
      <c r="S29" s="283"/>
      <c r="T29" s="283"/>
      <c r="U29" s="1141"/>
      <c r="V29" s="272"/>
      <c r="W29" s="272"/>
      <c r="X29" s="407"/>
      <c r="Y29" s="407"/>
      <c r="Z29" s="407"/>
      <c r="AA29" s="407"/>
      <c r="AB29" s="407"/>
      <c r="AC29" s="407"/>
      <c r="AD29" s="407"/>
      <c r="AE29" s="407"/>
      <c r="AF29" s="407"/>
      <c r="AG29" s="407"/>
      <c r="AH29" s="407"/>
      <c r="AI29" s="407"/>
      <c r="AJ29" s="407"/>
      <c r="AK29" s="407"/>
      <c r="AL29" s="407"/>
      <c r="AM29" s="407"/>
      <c r="AN29" s="407"/>
      <c r="AO29" s="407"/>
    </row>
    <row r="30" spans="1:48" ht="54" customHeight="1">
      <c r="R30" s="283"/>
      <c r="S30" s="283"/>
      <c r="T30" s="283"/>
      <c r="U30" s="350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509"/>
      <c r="W30" s="3509"/>
      <c r="X30" s="3509"/>
      <c r="Y30" s="3509"/>
      <c r="Z30" s="3509"/>
      <c r="AA30" s="3509"/>
      <c r="AB30" s="3509"/>
      <c r="AC30" s="3509"/>
      <c r="AD30" s="3509"/>
      <c r="AE30" s="3509"/>
      <c r="AF30" s="3509"/>
      <c r="AG30" s="3509"/>
      <c r="AH30" s="3509"/>
      <c r="AI30" s="3509"/>
      <c r="AJ30" s="3509"/>
      <c r="AK30" s="3509"/>
      <c r="AL30" s="3509"/>
      <c r="AM30" s="3509"/>
      <c r="AN30" s="3509"/>
      <c r="AO30" s="1109"/>
    </row>
    <row r="31" spans="1:48" ht="14.25" customHeight="1">
      <c r="R31" s="283"/>
      <c r="S31" s="283"/>
      <c r="T31" s="283"/>
      <c r="U31" s="3480" t="str">
        <f>IF(org=0,"Не определено",org)</f>
        <v>АО "Орелгортеплоэнерго"</v>
      </c>
      <c r="V31" s="3480"/>
      <c r="W31" s="3480"/>
      <c r="X31" s="3480"/>
      <c r="Y31" s="3480"/>
      <c r="Z31" s="3480"/>
      <c r="AA31" s="3480"/>
      <c r="AB31" s="3480"/>
      <c r="AC31" s="3480"/>
      <c r="AD31" s="3480"/>
      <c r="AE31" s="3480"/>
      <c r="AF31" s="3480"/>
      <c r="AG31" s="3480"/>
      <c r="AH31" s="3480"/>
      <c r="AI31" s="3480"/>
      <c r="AJ31" s="3480"/>
      <c r="AK31" s="3480"/>
      <c r="AL31" s="3480"/>
      <c r="AM31" s="3480"/>
      <c r="AN31" s="3480"/>
      <c r="AO31" s="1109"/>
    </row>
    <row r="32" spans="1:48" ht="14.25" hidden="1" customHeight="1">
      <c r="R32" s="283"/>
      <c r="S32" s="283"/>
      <c r="T32" s="283"/>
      <c r="U32" s="1141"/>
      <c r="V32" s="272"/>
      <c r="W32" s="272"/>
      <c r="X32" s="233"/>
      <c r="Y32" s="233"/>
      <c r="Z32" s="233"/>
      <c r="AA32" s="233"/>
      <c r="AB32" s="233"/>
      <c r="AC32" s="233"/>
      <c r="AD32" s="233"/>
      <c r="AE32" s="233"/>
      <c r="AF32" s="233"/>
      <c r="AG32" s="233"/>
      <c r="AH32" s="233"/>
      <c r="AI32" s="233"/>
      <c r="AJ32" s="233"/>
      <c r="AK32" s="233"/>
      <c r="AL32" s="233"/>
      <c r="AM32" s="233"/>
      <c r="AN32" s="233"/>
      <c r="AO32" s="233"/>
      <c r="AP32" s="407"/>
    </row>
    <row r="33" spans="1:48" s="1944" customFormat="1" ht="25.5" hidden="1" customHeight="1">
      <c r="A33" s="1114"/>
      <c r="B33" s="1114"/>
      <c r="C33" s="1114"/>
      <c r="D33" s="1114"/>
      <c r="E33" s="1114"/>
      <c r="F33" s="1114"/>
      <c r="G33" s="1114"/>
      <c r="H33" s="1114"/>
      <c r="I33" s="1114"/>
      <c r="J33" s="1114"/>
      <c r="K33" s="1114"/>
      <c r="L33" s="1114"/>
      <c r="M33" s="1241"/>
      <c r="N33" s="1114"/>
      <c r="O33" s="1114"/>
      <c r="P33" s="1114"/>
      <c r="U33" s="3519" t="s">
        <v>38</v>
      </c>
      <c r="V33" s="3519"/>
      <c r="W33" s="1233"/>
      <c r="X33" s="3521" t="str">
        <f>IF(TITLE_NAME_OR_PR_CHANGE="",IF(TITLE_NAME_OR_PR="","",TITLE_NAME_OR_PR),TITLE_NAME_OR_PR_CHANGE)</f>
        <v/>
      </c>
      <c r="Y33" s="3521"/>
      <c r="Z33" s="3521"/>
      <c r="AA33" s="3521"/>
      <c r="AB33" s="3521"/>
      <c r="AC33" s="3521"/>
      <c r="AD33" s="3521"/>
      <c r="AE33" s="3521"/>
      <c r="AF33" s="237"/>
      <c r="AG33" s="3521" t="str">
        <f>IF(TITLE_NAME_OR_PR_CHANGE="",IF(TITLE_NAME_OR_PR="","",TITLE_NAME_OR_PR),TITLE_NAME_OR_PR_CHANGE)</f>
        <v/>
      </c>
      <c r="AH33" s="3521"/>
      <c r="AI33" s="3521"/>
      <c r="AJ33" s="3521"/>
      <c r="AK33" s="3521"/>
      <c r="AL33" s="3521"/>
      <c r="AM33" s="3521"/>
      <c r="AN33" s="3521"/>
      <c r="AO33" s="237"/>
      <c r="AP33" s="237"/>
      <c r="AQ33" s="193"/>
      <c r="AR33" s="276"/>
      <c r="AS33" s="276"/>
      <c r="AT33" s="276"/>
      <c r="AU33" s="276"/>
      <c r="AV33" s="276"/>
    </row>
    <row r="34" spans="1:48" s="1944" customFormat="1" ht="18.75" hidden="1" customHeight="1">
      <c r="A34" s="1114"/>
      <c r="B34" s="1114"/>
      <c r="C34" s="1114"/>
      <c r="D34" s="1114"/>
      <c r="E34" s="1114"/>
      <c r="F34" s="1114"/>
      <c r="G34" s="1114"/>
      <c r="H34" s="1114"/>
      <c r="I34" s="1114"/>
      <c r="J34" s="1114"/>
      <c r="K34" s="1114"/>
      <c r="L34" s="1114"/>
      <c r="M34" s="1241"/>
      <c r="N34" s="1114"/>
      <c r="O34" s="1114"/>
      <c r="P34" s="1114"/>
      <c r="U34" s="3519" t="s">
        <v>685</v>
      </c>
      <c r="V34" s="3519"/>
      <c r="W34" s="1233"/>
      <c r="X34" s="3520" t="str">
        <f>IF(TITLE_DATE_PR_CHANGE="",IF(TITLE_DATE_PR="","",TITLE_DATE_PR),TITLE_DATE_PR_CHANGE)</f>
        <v/>
      </c>
      <c r="Y34" s="3520"/>
      <c r="Z34" s="3520"/>
      <c r="AA34" s="3520"/>
      <c r="AB34" s="3520"/>
      <c r="AC34" s="3520"/>
      <c r="AD34" s="3520"/>
      <c r="AE34" s="3520"/>
      <c r="AF34" s="237"/>
      <c r="AG34" s="3520" t="str">
        <f>IF(TITLE_DATE_PR_CHANGE="",IF(TITLE_DATE_PR="","",TITLE_DATE_PR),TITLE_DATE_PR_CHANGE)</f>
        <v/>
      </c>
      <c r="AH34" s="3520"/>
      <c r="AI34" s="3520"/>
      <c r="AJ34" s="3520"/>
      <c r="AK34" s="3520"/>
      <c r="AL34" s="3520"/>
      <c r="AM34" s="3520"/>
      <c r="AN34" s="3520"/>
      <c r="AO34" s="237"/>
      <c r="AP34" s="237"/>
      <c r="AQ34" s="193"/>
      <c r="AR34" s="276"/>
      <c r="AS34" s="276"/>
      <c r="AT34" s="276"/>
      <c r="AU34" s="276"/>
      <c r="AV34" s="276"/>
    </row>
    <row r="35" spans="1:48" s="1944" customFormat="1" ht="18.75" hidden="1" customHeight="1">
      <c r="A35" s="1114"/>
      <c r="B35" s="1114"/>
      <c r="C35" s="1114"/>
      <c r="D35" s="1114"/>
      <c r="E35" s="1114"/>
      <c r="F35" s="1114"/>
      <c r="G35" s="1114"/>
      <c r="H35" s="1114"/>
      <c r="I35" s="1114"/>
      <c r="J35" s="1114"/>
      <c r="K35" s="1114"/>
      <c r="L35" s="1114"/>
      <c r="M35" s="1241"/>
      <c r="N35" s="1114"/>
      <c r="O35" s="1114"/>
      <c r="P35" s="1114"/>
      <c r="U35" s="3519" t="s">
        <v>686</v>
      </c>
      <c r="V35" s="3519"/>
      <c r="W35" s="1233"/>
      <c r="X35" s="3521" t="str">
        <f>IF(TITLE_NUMBER_PR_CHANGE="",IF(TITLE_NUMBER_PR="","",TITLE_NUMBER_PR),TITLE_NUMBER_PR_CHANGE)</f>
        <v/>
      </c>
      <c r="Y35" s="3521"/>
      <c r="Z35" s="3521"/>
      <c r="AA35" s="3521"/>
      <c r="AB35" s="3521"/>
      <c r="AC35" s="3521"/>
      <c r="AD35" s="3521"/>
      <c r="AE35" s="3521"/>
      <c r="AF35" s="237"/>
      <c r="AG35" s="3521" t="str">
        <f>IF(TITLE_NUMBER_PR_CHANGE="",IF(TITLE_NUMBER_PR="","",TITLE_NUMBER_PR),TITLE_NUMBER_PR_CHANGE)</f>
        <v/>
      </c>
      <c r="AH35" s="3521"/>
      <c r="AI35" s="3521"/>
      <c r="AJ35" s="3521"/>
      <c r="AK35" s="3521"/>
      <c r="AL35" s="3521"/>
      <c r="AM35" s="3521"/>
      <c r="AN35" s="3521"/>
      <c r="AO35" s="237"/>
      <c r="AP35" s="237"/>
      <c r="AQ35" s="193"/>
      <c r="AR35" s="276"/>
      <c r="AS35" s="276"/>
      <c r="AT35" s="276"/>
      <c r="AU35" s="276"/>
      <c r="AV35" s="276"/>
    </row>
    <row r="36" spans="1:48" s="1944" customFormat="1" ht="18.75" hidden="1" customHeight="1">
      <c r="A36" s="1114"/>
      <c r="B36" s="1114"/>
      <c r="C36" s="1114"/>
      <c r="D36" s="1114"/>
      <c r="E36" s="1114"/>
      <c r="F36" s="1114"/>
      <c r="G36" s="1114"/>
      <c r="H36" s="1114"/>
      <c r="I36" s="1114"/>
      <c r="J36" s="1114"/>
      <c r="K36" s="1114"/>
      <c r="L36" s="1114"/>
      <c r="M36" s="1241"/>
      <c r="N36" s="1114"/>
      <c r="O36" s="1114"/>
      <c r="P36" s="1114"/>
      <c r="U36" s="3519" t="s">
        <v>39</v>
      </c>
      <c r="V36" s="3519"/>
      <c r="W36" s="1233"/>
      <c r="X36" s="3521" t="str">
        <f>IF(TITLE_IST_PUB_CHANGE="",IF(TITLE_IST_PUB="","",TITLE_IST_PUB),TITLE_IST_PUB_CHANGE)</f>
        <v/>
      </c>
      <c r="Y36" s="3521"/>
      <c r="Z36" s="3521"/>
      <c r="AA36" s="3521"/>
      <c r="AB36" s="3521"/>
      <c r="AC36" s="3521"/>
      <c r="AD36" s="3521"/>
      <c r="AE36" s="3521"/>
      <c r="AF36" s="237"/>
      <c r="AG36" s="3521" t="str">
        <f>IF(TITLE_IST_PUB_CHANGE="",IF(TITLE_IST_PUB="","",TITLE_IST_PUB),TITLE_IST_PUB_CHANGE)</f>
        <v/>
      </c>
      <c r="AH36" s="3521"/>
      <c r="AI36" s="3521"/>
      <c r="AJ36" s="3521"/>
      <c r="AK36" s="3521"/>
      <c r="AL36" s="3521"/>
      <c r="AM36" s="3521"/>
      <c r="AN36" s="3521"/>
      <c r="AO36" s="237"/>
      <c r="AP36" s="237"/>
      <c r="AQ36" s="193"/>
      <c r="AR36" s="276"/>
      <c r="AS36" s="276"/>
      <c r="AT36" s="276"/>
      <c r="AU36" s="276"/>
      <c r="AV36" s="276"/>
    </row>
    <row r="37" spans="1:48" ht="14.25" hidden="1" customHeight="1">
      <c r="R37" s="283"/>
      <c r="S37" s="283"/>
      <c r="T37" s="283"/>
      <c r="U37" s="1141"/>
      <c r="V37" s="272"/>
      <c r="W37" s="272"/>
      <c r="X37" s="233"/>
      <c r="Y37" s="233"/>
      <c r="Z37" s="233"/>
      <c r="AA37" s="233"/>
      <c r="AB37" s="233"/>
      <c r="AC37" s="233"/>
      <c r="AD37" s="233"/>
      <c r="AE37" s="233"/>
      <c r="AF37" s="233"/>
      <c r="AG37" s="233"/>
      <c r="AH37" s="233"/>
      <c r="AI37" s="233"/>
      <c r="AJ37" s="233"/>
      <c r="AK37" s="233"/>
      <c r="AL37" s="233"/>
      <c r="AM37" s="233"/>
      <c r="AN37" s="233"/>
      <c r="AO37" s="233"/>
      <c r="AP37" s="407"/>
    </row>
    <row r="38" spans="1:48" s="1944" customFormat="1" ht="18.75" hidden="1" customHeight="1">
      <c r="A38" s="1114"/>
      <c r="B38" s="1114"/>
      <c r="C38" s="1114"/>
      <c r="D38" s="1114"/>
      <c r="E38" s="1114"/>
      <c r="F38" s="1114"/>
      <c r="G38" s="1114"/>
      <c r="H38" s="1114"/>
      <c r="I38" s="1114"/>
      <c r="J38" s="1114"/>
      <c r="K38" s="1114"/>
      <c r="L38" s="1114"/>
      <c r="M38" s="1241"/>
      <c r="N38" s="1114"/>
      <c r="O38" s="1114"/>
      <c r="P38" s="1114"/>
      <c r="U38" s="3519" t="s">
        <v>687</v>
      </c>
      <c r="V38" s="3519"/>
      <c r="W38" s="1233"/>
      <c r="X38" s="3520" t="str">
        <f>IF(TITLE_DATE_PR_CHANGE="",IF(TITLE_DATE_PR="","",TITLE_DATE_PR),TITLE_DATE_PR_CHANGE)</f>
        <v/>
      </c>
      <c r="Y38" s="3520"/>
      <c r="Z38" s="3520"/>
      <c r="AA38" s="3520"/>
      <c r="AB38" s="3520"/>
      <c r="AC38" s="3520"/>
      <c r="AD38" s="3520"/>
      <c r="AE38" s="3520"/>
      <c r="AF38" s="237"/>
      <c r="AG38" s="3520" t="str">
        <f>IF(TITLE_DATE_PR_CHANGE="",IF(TITLE_DATE_PR="","",TITLE_DATE_PR),TITLE_DATE_PR_CHANGE)</f>
        <v/>
      </c>
      <c r="AH38" s="3520"/>
      <c r="AI38" s="3520"/>
      <c r="AJ38" s="3520"/>
      <c r="AK38" s="3520"/>
      <c r="AL38" s="3520"/>
      <c r="AM38" s="3520"/>
      <c r="AN38" s="3520"/>
      <c r="AO38" s="237"/>
      <c r="AP38" s="237"/>
      <c r="AQ38" s="193"/>
      <c r="AR38" s="276"/>
      <c r="AS38" s="276"/>
      <c r="AT38" s="276"/>
      <c r="AU38" s="276"/>
      <c r="AV38" s="276"/>
    </row>
    <row r="39" spans="1:48" s="1944" customFormat="1" ht="18.75" hidden="1" customHeight="1">
      <c r="A39" s="1114"/>
      <c r="B39" s="1114"/>
      <c r="C39" s="1114"/>
      <c r="D39" s="1114"/>
      <c r="E39" s="1114"/>
      <c r="F39" s="1114"/>
      <c r="G39" s="1114"/>
      <c r="H39" s="1114"/>
      <c r="I39" s="1114"/>
      <c r="J39" s="1114"/>
      <c r="K39" s="1114"/>
      <c r="L39" s="1114"/>
      <c r="M39" s="1241"/>
      <c r="N39" s="1114"/>
      <c r="O39" s="1114"/>
      <c r="P39" s="1114"/>
      <c r="U39" s="3519" t="s">
        <v>688</v>
      </c>
      <c r="V39" s="3519"/>
      <c r="W39" s="1233"/>
      <c r="X39" s="3521" t="str">
        <f>IF(TITLE_NUMBER_PR_CHANGE="",IF(TITLE_NUMBER_PR="","",TITLE_NUMBER_PR),TITLE_NUMBER_PR_CHANGE)</f>
        <v/>
      </c>
      <c r="Y39" s="3521"/>
      <c r="Z39" s="3521"/>
      <c r="AA39" s="3521"/>
      <c r="AB39" s="3521"/>
      <c r="AC39" s="3521"/>
      <c r="AD39" s="3521"/>
      <c r="AE39" s="3521"/>
      <c r="AF39" s="237"/>
      <c r="AG39" s="3521" t="str">
        <f>IF(TITLE_NUMBER_PR_CHANGE="",IF(TITLE_NUMBER_PR="","",TITLE_NUMBER_PR),TITLE_NUMBER_PR_CHANGE)</f>
        <v/>
      </c>
      <c r="AH39" s="3521"/>
      <c r="AI39" s="3521"/>
      <c r="AJ39" s="3521"/>
      <c r="AK39" s="3521"/>
      <c r="AL39" s="3521"/>
      <c r="AM39" s="3521"/>
      <c r="AN39" s="3521"/>
      <c r="AO39" s="237"/>
      <c r="AP39" s="237"/>
      <c r="AQ39" s="193"/>
      <c r="AR39" s="276"/>
      <c r="AS39" s="276"/>
      <c r="AT39" s="276"/>
      <c r="AU39" s="276"/>
      <c r="AV39" s="276"/>
    </row>
    <row r="40" spans="1:48" s="1944" customFormat="1" ht="0" hidden="1" customHeight="1">
      <c r="A40" s="1114"/>
      <c r="B40" s="1114"/>
      <c r="C40" s="1114"/>
      <c r="D40" s="1114"/>
      <c r="E40" s="1114"/>
      <c r="F40" s="1114"/>
      <c r="G40" s="1114"/>
      <c r="H40" s="1114"/>
      <c r="I40" s="1114"/>
      <c r="J40" s="1114"/>
      <c r="K40" s="1114"/>
      <c r="L40" s="1114"/>
      <c r="M40" s="1241"/>
      <c r="N40" s="1114"/>
      <c r="O40" s="1114"/>
      <c r="P40" s="1114"/>
      <c r="U40" s="234"/>
      <c r="V40" s="234"/>
      <c r="W40" s="1202"/>
      <c r="X40" s="237"/>
      <c r="Y40" s="237"/>
      <c r="Z40" s="237"/>
      <c r="AA40" s="237"/>
      <c r="AB40" s="237"/>
      <c r="AC40" s="237"/>
      <c r="AD40" s="237"/>
      <c r="AE40" s="237"/>
      <c r="AF40" s="191" t="s">
        <v>689</v>
      </c>
      <c r="AG40" s="237"/>
      <c r="AH40" s="237"/>
      <c r="AI40" s="237"/>
      <c r="AJ40" s="237"/>
      <c r="AK40" s="237"/>
      <c r="AL40" s="237"/>
      <c r="AM40" s="237"/>
      <c r="AN40" s="237"/>
      <c r="AO40" s="191" t="s">
        <v>689</v>
      </c>
      <c r="AR40" s="276"/>
      <c r="AS40" s="276"/>
      <c r="AT40" s="276"/>
      <c r="AU40" s="276"/>
      <c r="AV40" s="276"/>
    </row>
    <row r="41" spans="1:48" ht="14.25" customHeight="1">
      <c r="R41" s="283"/>
      <c r="S41" s="283"/>
      <c r="T41" s="283"/>
      <c r="U41" s="1141"/>
      <c r="V41" s="272"/>
      <c r="W41" s="1110"/>
      <c r="X41" s="3540"/>
      <c r="Y41" s="3540"/>
      <c r="Z41" s="3540"/>
      <c r="AA41" s="3540"/>
      <c r="AB41" s="3540"/>
      <c r="AC41" s="3540"/>
      <c r="AD41" s="3540"/>
      <c r="AE41" s="3540"/>
      <c r="AF41" s="3540"/>
      <c r="AG41" s="3540"/>
      <c r="AH41" s="3540"/>
      <c r="AI41" s="3540"/>
      <c r="AJ41" s="3540"/>
      <c r="AK41" s="3540"/>
      <c r="AL41" s="3540"/>
      <c r="AM41" s="3540"/>
      <c r="AN41" s="3540"/>
      <c r="AO41" s="3540"/>
    </row>
    <row r="42" spans="1:48" ht="14.25" customHeight="1">
      <c r="R42" s="283"/>
      <c r="S42" s="283"/>
      <c r="T42" s="283"/>
      <c r="U42" s="3401" t="s">
        <v>560</v>
      </c>
      <c r="V42" s="3401"/>
      <c r="W42" s="3401"/>
      <c r="X42" s="3401"/>
      <c r="Y42" s="3401"/>
      <c r="Z42" s="3401"/>
      <c r="AA42" s="3401"/>
      <c r="AB42" s="3401"/>
      <c r="AC42" s="3401"/>
      <c r="AD42" s="3401"/>
      <c r="AE42" s="3401"/>
      <c r="AF42" s="3401"/>
      <c r="AG42" s="3401"/>
      <c r="AH42" s="3401"/>
      <c r="AI42" s="3401"/>
      <c r="AJ42" s="3401"/>
      <c r="AK42" s="3401"/>
      <c r="AL42" s="3401"/>
      <c r="AM42" s="3401"/>
      <c r="AN42" s="3401"/>
      <c r="AO42" s="3401"/>
      <c r="AP42" s="3401"/>
      <c r="AQ42" s="3401" t="s">
        <v>561</v>
      </c>
    </row>
    <row r="43" spans="1:48" ht="14.25" customHeight="1">
      <c r="R43" s="283"/>
      <c r="S43" s="283"/>
      <c r="T43" s="283"/>
      <c r="U43" s="3541" t="s">
        <v>85</v>
      </c>
      <c r="V43" s="3489" t="s">
        <v>690</v>
      </c>
      <c r="W43" s="212"/>
      <c r="X43" s="3542" t="s">
        <v>691</v>
      </c>
      <c r="Y43" s="3558"/>
      <c r="Z43" s="3558"/>
      <c r="AA43" s="3558"/>
      <c r="AB43" s="3558"/>
      <c r="AC43" s="3543"/>
      <c r="AD43" s="3543"/>
      <c r="AE43" s="3544"/>
      <c r="AF43" s="3545" t="s">
        <v>692</v>
      </c>
      <c r="AG43" s="3542" t="s">
        <v>691</v>
      </c>
      <c r="AH43" s="3558"/>
      <c r="AI43" s="3558"/>
      <c r="AJ43" s="3558"/>
      <c r="AK43" s="3558"/>
      <c r="AL43" s="3543"/>
      <c r="AM43" s="3543"/>
      <c r="AN43" s="3544"/>
      <c r="AO43" s="3545" t="s">
        <v>693</v>
      </c>
      <c r="AP43" s="3548" t="s">
        <v>694</v>
      </c>
      <c r="AQ43" s="3401"/>
    </row>
    <row r="44" spans="1:48" ht="33.75" customHeight="1">
      <c r="R44" s="283"/>
      <c r="S44" s="283"/>
      <c r="T44" s="283"/>
      <c r="U44" s="3541"/>
      <c r="V44" s="3489"/>
      <c r="W44" s="901"/>
      <c r="X44" s="3459" t="s">
        <v>717</v>
      </c>
      <c r="Y44" s="3401" t="s">
        <v>718</v>
      </c>
      <c r="Z44" s="3401"/>
      <c r="AA44" s="3401"/>
      <c r="AB44" s="3401"/>
      <c r="AC44" s="3459" t="s">
        <v>698</v>
      </c>
      <c r="AD44" s="3563"/>
      <c r="AE44" s="3460"/>
      <c r="AF44" s="3546"/>
      <c r="AG44" s="3459" t="s">
        <v>717</v>
      </c>
      <c r="AH44" s="3401" t="s">
        <v>718</v>
      </c>
      <c r="AI44" s="3401"/>
      <c r="AJ44" s="3401"/>
      <c r="AK44" s="3401"/>
      <c r="AL44" s="3459" t="s">
        <v>698</v>
      </c>
      <c r="AM44" s="3563"/>
      <c r="AN44" s="3460"/>
      <c r="AO44" s="3546"/>
      <c r="AP44" s="3549"/>
      <c r="AQ44" s="3401"/>
    </row>
    <row r="45" spans="1:48" ht="14.25" customHeight="1">
      <c r="R45" s="283"/>
      <c r="S45" s="283"/>
      <c r="T45" s="283"/>
      <c r="U45" s="3541"/>
      <c r="V45" s="3489"/>
      <c r="W45" s="901"/>
      <c r="X45" s="3461"/>
      <c r="Y45" s="3495" t="s">
        <v>719</v>
      </c>
      <c r="Z45" s="3494" t="s">
        <v>720</v>
      </c>
      <c r="AA45" s="3507"/>
      <c r="AB45" s="3508"/>
      <c r="AC45" s="3464"/>
      <c r="AD45" s="3564"/>
      <c r="AE45" s="3465"/>
      <c r="AF45" s="3546"/>
      <c r="AG45" s="3461"/>
      <c r="AH45" s="3495" t="s">
        <v>719</v>
      </c>
      <c r="AI45" s="3494" t="s">
        <v>720</v>
      </c>
      <c r="AJ45" s="3507"/>
      <c r="AK45" s="3508"/>
      <c r="AL45" s="3464"/>
      <c r="AM45" s="3564"/>
      <c r="AN45" s="3465"/>
      <c r="AO45" s="3546"/>
      <c r="AP45" s="3549"/>
      <c r="AQ45" s="3401"/>
    </row>
    <row r="46" spans="1:48" ht="25.5" customHeight="1">
      <c r="R46" s="283"/>
      <c r="S46" s="283"/>
      <c r="T46" s="283"/>
      <c r="U46" s="3541"/>
      <c r="V46" s="3489"/>
      <c r="W46" s="901"/>
      <c r="X46" s="3461"/>
      <c r="Y46" s="3562"/>
      <c r="Z46" s="3495" t="s">
        <v>721</v>
      </c>
      <c r="AA46" s="3494" t="s">
        <v>722</v>
      </c>
      <c r="AB46" s="3508"/>
      <c r="AC46" s="3495" t="s">
        <v>708</v>
      </c>
      <c r="AD46" s="3499" t="s">
        <v>709</v>
      </c>
      <c r="AE46" s="3497"/>
      <c r="AF46" s="3546"/>
      <c r="AG46" s="3461"/>
      <c r="AH46" s="3562"/>
      <c r="AI46" s="3495" t="s">
        <v>721</v>
      </c>
      <c r="AJ46" s="3494" t="s">
        <v>722</v>
      </c>
      <c r="AK46" s="3508"/>
      <c r="AL46" s="3495" t="s">
        <v>708</v>
      </c>
      <c r="AM46" s="3499" t="s">
        <v>709</v>
      </c>
      <c r="AN46" s="3497"/>
      <c r="AO46" s="3546"/>
      <c r="AP46" s="3549"/>
      <c r="AQ46" s="3401"/>
    </row>
    <row r="47" spans="1:48" ht="62.25" customHeight="1">
      <c r="A47" s="1126"/>
      <c r="B47" s="1126" t="s">
        <v>403</v>
      </c>
      <c r="C47" s="1126" t="s">
        <v>404</v>
      </c>
      <c r="D47" s="1126" t="s">
        <v>405</v>
      </c>
      <c r="E47" s="1173" t="s">
        <v>699</v>
      </c>
      <c r="F47" s="1173" t="s">
        <v>700</v>
      </c>
      <c r="G47" s="1173" t="s">
        <v>701</v>
      </c>
      <c r="H47" s="1173" t="s">
        <v>702</v>
      </c>
      <c r="I47" s="1173" t="s">
        <v>703</v>
      </c>
      <c r="J47" s="1173" t="s">
        <v>704</v>
      </c>
      <c r="K47" s="1173" t="s">
        <v>705</v>
      </c>
      <c r="L47" s="1173" t="s">
        <v>723</v>
      </c>
      <c r="M47" s="1173" t="s">
        <v>680</v>
      </c>
      <c r="R47" s="283"/>
      <c r="S47" s="283"/>
      <c r="T47" s="283"/>
      <c r="U47" s="3541"/>
      <c r="V47" s="3489"/>
      <c r="W47" s="213"/>
      <c r="X47" s="3464"/>
      <c r="Y47" s="3496"/>
      <c r="Z47" s="3496"/>
      <c r="AA47" s="1088" t="s">
        <v>724</v>
      </c>
      <c r="AB47" s="1088" t="s">
        <v>725</v>
      </c>
      <c r="AC47" s="3496"/>
      <c r="AD47" s="3500"/>
      <c r="AE47" s="3498"/>
      <c r="AF47" s="3547"/>
      <c r="AG47" s="3464"/>
      <c r="AH47" s="3496"/>
      <c r="AI47" s="3496"/>
      <c r="AJ47" s="1088" t="s">
        <v>724</v>
      </c>
      <c r="AK47" s="1088" t="s">
        <v>725</v>
      </c>
      <c r="AL47" s="3496"/>
      <c r="AM47" s="3500"/>
      <c r="AN47" s="3498"/>
      <c r="AO47" s="3547"/>
      <c r="AP47" s="3550"/>
      <c r="AQ47" s="3401"/>
    </row>
    <row r="48" spans="1:48" s="1838" customFormat="1" ht="11.25" hidden="1" customHeight="1">
      <c r="A48" s="1126"/>
      <c r="B48" s="1126"/>
      <c r="C48" s="1126"/>
      <c r="D48" s="1126"/>
      <c r="E48" s="1126"/>
      <c r="F48" s="1126"/>
      <c r="G48" s="1126"/>
      <c r="H48" s="1126"/>
      <c r="I48" s="1126"/>
      <c r="J48" s="1126"/>
      <c r="K48" s="1126"/>
      <c r="L48" s="1126"/>
      <c r="M48" s="1173"/>
      <c r="N48" s="1190"/>
      <c r="O48" s="1190"/>
      <c r="P48" s="1190"/>
      <c r="Q48" s="1112"/>
      <c r="R48" s="1113"/>
      <c r="S48" s="1120">
        <v>1</v>
      </c>
      <c r="T48" s="1120"/>
      <c r="U48" s="1143" t="s">
        <v>106</v>
      </c>
      <c r="V48" s="1121" t="s">
        <v>107</v>
      </c>
      <c r="W48" s="1111" t="str">
        <f ca="1">OFFSET(W48,0,-1)</f>
        <v>2</v>
      </c>
      <c r="X48" s="1197">
        <f ca="1">OFFSET(X48,0,-1)+1</f>
        <v>3</v>
      </c>
      <c r="Y48" s="1203"/>
      <c r="Z48" s="1203"/>
      <c r="AA48" s="1203">
        <f ca="1">OFFSET(AA48,0,-1)+1</f>
        <v>1</v>
      </c>
      <c r="AB48" s="1203">
        <f ca="1">OFFSET(AB48,0,-1)+1</f>
        <v>2</v>
      </c>
      <c r="AC48" s="1197">
        <f ca="1">OFFSET(AC48,0,-1)+1</f>
        <v>3</v>
      </c>
      <c r="AD48" s="3539">
        <f ca="1">OFFSET(AD48,0,-1)+1</f>
        <v>4</v>
      </c>
      <c r="AE48" s="3539"/>
      <c r="AF48" s="1197">
        <f ca="1">OFFSET(AF48,0,-2)+1</f>
        <v>5</v>
      </c>
      <c r="AG48" s="1197">
        <f ca="1">OFFSET(AG48,0,-1)+1</f>
        <v>6</v>
      </c>
      <c r="AH48" s="1197"/>
      <c r="AI48" s="1197"/>
      <c r="AJ48" s="1197">
        <f ca="1">OFFSET(AJ48,0,-1)+1</f>
        <v>1</v>
      </c>
      <c r="AK48" s="1197">
        <f ca="1">OFFSET(AK48,0,-1)+1</f>
        <v>2</v>
      </c>
      <c r="AL48" s="1197">
        <f ca="1">OFFSET(AL48,0,-1)+1</f>
        <v>3</v>
      </c>
      <c r="AM48" s="3539">
        <f ca="1">OFFSET(AM48,0,-1)+1</f>
        <v>4</v>
      </c>
      <c r="AN48" s="3539"/>
      <c r="AO48" s="1197">
        <f ca="1">OFFSET(AO48,0,-2)+1</f>
        <v>5</v>
      </c>
      <c r="AP48" s="1111">
        <f ca="1">OFFSET(AP48,0,-1)</f>
        <v>5</v>
      </c>
      <c r="AQ48" s="1197">
        <f ca="1">OFFSET(AQ48,0,-1)+1</f>
        <v>6</v>
      </c>
      <c r="AR48" s="409"/>
      <c r="AS48" s="409"/>
      <c r="AT48" s="409"/>
      <c r="AU48" s="409"/>
      <c r="AV48" s="409"/>
    </row>
    <row r="49" spans="1:48" ht="21" customHeight="1">
      <c r="A49" s="1133" t="s">
        <v>436</v>
      </c>
      <c r="B49" s="1133"/>
      <c r="C49" s="1133"/>
      <c r="D49" s="1133"/>
      <c r="E49" s="3554">
        <v>1</v>
      </c>
      <c r="F49" s="1133"/>
      <c r="G49" s="1133"/>
      <c r="H49" s="1133"/>
      <c r="I49" s="1133"/>
      <c r="J49" s="1133"/>
      <c r="K49" s="1133"/>
      <c r="L49" s="1133"/>
      <c r="M49" s="1173"/>
      <c r="N49" s="579"/>
      <c r="O49" s="579"/>
      <c r="P49" s="579"/>
      <c r="Q49" s="270"/>
      <c r="R49" s="269"/>
      <c r="S49" s="269"/>
      <c r="T49" s="264"/>
      <c r="U49" s="1198">
        <f>INDEX(PT_DIFFERENTIATION_NUM_NTAR,MATCH(A49,PT_DIFFERENTIATION_NTAR_ID,0))</f>
        <v>0</v>
      </c>
      <c r="V49" s="209" t="s">
        <v>391</v>
      </c>
      <c r="W49" s="211"/>
      <c r="X49" s="3522"/>
      <c r="Y49" s="3523"/>
      <c r="Z49" s="3523"/>
      <c r="AA49" s="3523"/>
      <c r="AB49" s="3523"/>
      <c r="AC49" s="3523"/>
      <c r="AD49" s="3523"/>
      <c r="AE49" s="3523"/>
      <c r="AF49" s="3524"/>
      <c r="AG49" s="3522" t="str">
        <f>INDEX(PT_DIFFERENTIATION_NTAR,MATCH(A49,PT_DIFFERENTIATION_NTAR_ID,0))</f>
        <v/>
      </c>
      <c r="AH49" s="3523"/>
      <c r="AI49" s="3523"/>
      <c r="AJ49" s="3523"/>
      <c r="AK49" s="3523"/>
      <c r="AL49" s="3523"/>
      <c r="AM49" s="3523"/>
      <c r="AN49" s="3523"/>
      <c r="AO49" s="3523"/>
      <c r="AP49" s="3524"/>
      <c r="AQ49" s="112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398"/>
      <c r="AT49" s="398" t="str">
        <f t="shared" ref="AT49:AT65" si="2">IF(V49="","",V49)</f>
        <v>Наименование тарифа</v>
      </c>
      <c r="AU49" s="398"/>
      <c r="AV49" s="398"/>
    </row>
    <row r="50" spans="1:48" ht="21" customHeight="1">
      <c r="A50" s="1133" t="s">
        <v>436</v>
      </c>
      <c r="B50" s="1133" t="s">
        <v>437</v>
      </c>
      <c r="C50" s="1133"/>
      <c r="D50" s="1133"/>
      <c r="E50" s="3555"/>
      <c r="F50" s="3554">
        <v>1</v>
      </c>
      <c r="G50" s="1133"/>
      <c r="H50" s="1133"/>
      <c r="I50" s="1133"/>
      <c r="J50" s="1133"/>
      <c r="K50" s="1133"/>
      <c r="L50" s="1133"/>
      <c r="M50" s="1173"/>
      <c r="N50" s="579"/>
      <c r="O50" s="579"/>
      <c r="P50" s="579"/>
      <c r="Q50" s="1194"/>
      <c r="R50" s="261"/>
      <c r="S50" s="407"/>
      <c r="T50" s="262"/>
      <c r="U50" s="1198" t="str">
        <f>INDEX(PT_DIFFERENTIATION_NUM_TER,MATCH(B50,PT_DIFFERENTIATION_TER_ID,0))</f>
        <v>.</v>
      </c>
      <c r="V50" s="219" t="s">
        <v>659</v>
      </c>
      <c r="W50" s="211"/>
      <c r="X50" s="3522"/>
      <c r="Y50" s="3523"/>
      <c r="Z50" s="3523"/>
      <c r="AA50" s="3523"/>
      <c r="AB50" s="3523"/>
      <c r="AC50" s="3523"/>
      <c r="AD50" s="3523"/>
      <c r="AE50" s="3523"/>
      <c r="AF50" s="3524"/>
      <c r="AG50" s="3522" t="str">
        <f>INDEX(PT_DIFFERENTIATION_TER,MATCH(B50,PT_DIFFERENTIATION_TER_ID,0))</f>
        <v/>
      </c>
      <c r="AH50" s="3523"/>
      <c r="AI50" s="3523"/>
      <c r="AJ50" s="3523"/>
      <c r="AK50" s="3523"/>
      <c r="AL50" s="3523"/>
      <c r="AM50" s="3523"/>
      <c r="AN50" s="3523"/>
      <c r="AO50" s="3523"/>
      <c r="AP50" s="3524"/>
      <c r="AQ50" s="1124" t="s">
        <v>660</v>
      </c>
      <c r="AS50" s="398"/>
      <c r="AT50" s="398" t="str">
        <f t="shared" si="2"/>
        <v>Территория действия тарифа</v>
      </c>
      <c r="AU50" s="398"/>
      <c r="AV50" s="398"/>
    </row>
    <row r="51" spans="1:48" ht="22.5" customHeight="1">
      <c r="A51" s="1133" t="s">
        <v>436</v>
      </c>
      <c r="B51" s="1133" t="s">
        <v>437</v>
      </c>
      <c r="C51" s="1133" t="s">
        <v>438</v>
      </c>
      <c r="D51" s="1133"/>
      <c r="E51" s="3555"/>
      <c r="F51" s="3555"/>
      <c r="G51" s="3554">
        <v>1</v>
      </c>
      <c r="H51" s="1133"/>
      <c r="I51" s="1133"/>
      <c r="J51" s="1133"/>
      <c r="K51" s="1133"/>
      <c r="L51" s="1133"/>
      <c r="M51" s="1173"/>
      <c r="N51" s="579"/>
      <c r="O51" s="579"/>
      <c r="P51" s="579"/>
      <c r="Q51" s="263"/>
      <c r="R51" s="261"/>
      <c r="S51" s="407"/>
      <c r="T51" s="262"/>
      <c r="U51" s="1198" t="str">
        <f>INDEX(PT_DIFFERENTIATION_NUM_CS,MATCH(C51,PT_DIFFERENTIATION_CS_ID,0))</f>
        <v>..</v>
      </c>
      <c r="V51" s="220" t="s">
        <v>661</v>
      </c>
      <c r="W51" s="211"/>
      <c r="X51" s="3522"/>
      <c r="Y51" s="3523"/>
      <c r="Z51" s="3523"/>
      <c r="AA51" s="3523"/>
      <c r="AB51" s="3523"/>
      <c r="AC51" s="3523"/>
      <c r="AD51" s="3523"/>
      <c r="AE51" s="3523"/>
      <c r="AF51" s="3524"/>
      <c r="AG51" s="3522" t="str">
        <f>INDEX(PT_DIFFERENTIATION_CS,MATCH(C51,PT_DIFFERENTIATION_CS_ID,0))</f>
        <v/>
      </c>
      <c r="AH51" s="3523"/>
      <c r="AI51" s="3523"/>
      <c r="AJ51" s="3523"/>
      <c r="AK51" s="3523"/>
      <c r="AL51" s="3523"/>
      <c r="AM51" s="3523"/>
      <c r="AN51" s="3523"/>
      <c r="AO51" s="3523"/>
      <c r="AP51" s="3524"/>
      <c r="AQ51" s="1124" t="s">
        <v>662</v>
      </c>
      <c r="AS51" s="398"/>
      <c r="AT51" s="398" t="str">
        <f t="shared" si="2"/>
        <v xml:space="preserve">Наименование системы теплоснабжения </v>
      </c>
      <c r="AU51" s="398"/>
      <c r="AV51" s="398"/>
    </row>
    <row r="52" spans="1:48" ht="21" customHeight="1">
      <c r="A52" s="1133" t="s">
        <v>436</v>
      </c>
      <c r="B52" s="1133" t="s">
        <v>437</v>
      </c>
      <c r="C52" s="1133" t="s">
        <v>438</v>
      </c>
      <c r="D52" s="1133" t="s">
        <v>439</v>
      </c>
      <c r="E52" s="3555"/>
      <c r="F52" s="3555"/>
      <c r="G52" s="3555"/>
      <c r="H52" s="3554">
        <v>1</v>
      </c>
      <c r="I52" s="1133"/>
      <c r="J52" s="1133"/>
      <c r="K52" s="1133"/>
      <c r="L52" s="1133"/>
      <c r="M52" s="1173"/>
      <c r="N52" s="579"/>
      <c r="O52" s="579"/>
      <c r="P52" s="579"/>
      <c r="Q52" s="263"/>
      <c r="R52" s="261"/>
      <c r="S52" s="407"/>
      <c r="T52" s="262"/>
      <c r="U52" s="1198" t="str">
        <f>INDEX(PT_DIFFERENTIATION_NUM_IST_TE,MATCH(D52,PT_DIFFERENTIATION_IST_TE_ID,0))</f>
        <v>...</v>
      </c>
      <c r="V52" s="221" t="s">
        <v>663</v>
      </c>
      <c r="W52" s="211"/>
      <c r="X52" s="3522"/>
      <c r="Y52" s="3523"/>
      <c r="Z52" s="3523"/>
      <c r="AA52" s="3523"/>
      <c r="AB52" s="3523"/>
      <c r="AC52" s="3523"/>
      <c r="AD52" s="3523"/>
      <c r="AE52" s="3523"/>
      <c r="AF52" s="3524"/>
      <c r="AG52" s="3522" t="str">
        <f>INDEX(PT_DIFFERENTIATION_IST_TE,MATCH(D52,PT_DIFFERENTIATION_IST_TE_ID,0))</f>
        <v/>
      </c>
      <c r="AH52" s="3523"/>
      <c r="AI52" s="3523"/>
      <c r="AJ52" s="3523"/>
      <c r="AK52" s="3523"/>
      <c r="AL52" s="3523"/>
      <c r="AM52" s="3523"/>
      <c r="AN52" s="3523"/>
      <c r="AO52" s="3523"/>
      <c r="AP52" s="3524"/>
      <c r="AQ52" s="1124" t="s">
        <v>664</v>
      </c>
      <c r="AS52" s="398"/>
      <c r="AT52" s="398" t="str">
        <f t="shared" si="2"/>
        <v xml:space="preserve">Источник тепловой энергии  </v>
      </c>
      <c r="AU52" s="398"/>
      <c r="AV52" s="398"/>
    </row>
    <row r="53" spans="1:48" s="1866" customFormat="1" ht="0" hidden="1" customHeight="1">
      <c r="A53" s="1236" t="s">
        <v>436</v>
      </c>
      <c r="B53" s="1236" t="s">
        <v>437</v>
      </c>
      <c r="C53" s="1236" t="s">
        <v>438</v>
      </c>
      <c r="D53" s="1236" t="s">
        <v>439</v>
      </c>
      <c r="E53" s="3555"/>
      <c r="F53" s="3555"/>
      <c r="G53" s="3555"/>
      <c r="H53" s="3555"/>
      <c r="I53" s="3401" t="str">
        <f>U52&amp;".1"</f>
        <v>....1</v>
      </c>
      <c r="J53" s="1236"/>
      <c r="K53" s="1236"/>
      <c r="L53" s="1236"/>
      <c r="M53" s="1242" t="s">
        <v>665</v>
      </c>
      <c r="N53" s="1112"/>
      <c r="O53" s="1112"/>
      <c r="P53" s="1112"/>
      <c r="Q53" s="3532">
        <v>1</v>
      </c>
      <c r="R53" s="1193"/>
      <c r="S53" s="1193"/>
      <c r="T53" s="265"/>
      <c r="U53" s="912"/>
      <c r="V53" s="1244"/>
      <c r="W53" s="1245"/>
      <c r="X53" s="3559"/>
      <c r="Y53" s="3560"/>
      <c r="Z53" s="3560"/>
      <c r="AA53" s="3560"/>
      <c r="AB53" s="3560"/>
      <c r="AC53" s="3560"/>
      <c r="AD53" s="3560"/>
      <c r="AE53" s="3560"/>
      <c r="AF53" s="3561"/>
      <c r="AG53" s="3559"/>
      <c r="AH53" s="3560"/>
      <c r="AI53" s="3560"/>
      <c r="AJ53" s="3560"/>
      <c r="AK53" s="3560"/>
      <c r="AL53" s="3560"/>
      <c r="AM53" s="3560"/>
      <c r="AN53" s="3560"/>
      <c r="AO53" s="3560"/>
      <c r="AP53" s="3561"/>
      <c r="AQ53" s="1246"/>
      <c r="AS53" s="398"/>
      <c r="AT53" s="398" t="str">
        <f t="shared" si="2"/>
        <v/>
      </c>
      <c r="AU53" s="398"/>
      <c r="AV53" s="398"/>
    </row>
    <row r="54" spans="1:48" ht="21" customHeight="1">
      <c r="A54" s="1133" t="s">
        <v>436</v>
      </c>
      <c r="B54" s="1133" t="s">
        <v>437</v>
      </c>
      <c r="C54" s="1133" t="s">
        <v>438</v>
      </c>
      <c r="D54" s="1133" t="s">
        <v>439</v>
      </c>
      <c r="E54" s="3555"/>
      <c r="F54" s="3555"/>
      <c r="G54" s="3555"/>
      <c r="H54" s="3555"/>
      <c r="I54" s="3383"/>
      <c r="J54" s="3401" t="str">
        <f>I53&amp;".1"</f>
        <v>....1.1</v>
      </c>
      <c r="K54" s="1133"/>
      <c r="L54" s="1133"/>
      <c r="M54" s="1173" t="s">
        <v>668</v>
      </c>
      <c r="Q54" s="3532"/>
      <c r="R54" s="3532">
        <v>1</v>
      </c>
      <c r="S54" s="416"/>
      <c r="T54" s="266"/>
      <c r="U54" s="1198" t="str">
        <f>$J54</f>
        <v>....1.1</v>
      </c>
      <c r="V54" s="198" t="s">
        <v>669</v>
      </c>
      <c r="W54" s="211"/>
      <c r="X54" s="3516"/>
      <c r="Y54" s="3517"/>
      <c r="Z54" s="3517"/>
      <c r="AA54" s="3517"/>
      <c r="AB54" s="3517"/>
      <c r="AC54" s="3512"/>
      <c r="AD54" s="3512"/>
      <c r="AE54" s="3512"/>
      <c r="AF54" s="3565"/>
      <c r="AG54" s="3516"/>
      <c r="AH54" s="3517"/>
      <c r="AI54" s="3517"/>
      <c r="AJ54" s="3517"/>
      <c r="AK54" s="3517"/>
      <c r="AL54" s="3517"/>
      <c r="AM54" s="3517"/>
      <c r="AN54" s="3517"/>
      <c r="AO54" s="3517"/>
      <c r="AP54" s="3518"/>
      <c r="AQ54" s="1124" t="s">
        <v>670</v>
      </c>
      <c r="AS54" s="398"/>
      <c r="AT54" s="398" t="str">
        <f t="shared" si="2"/>
        <v>Группа потребителей</v>
      </c>
      <c r="AU54" s="398"/>
      <c r="AV54" s="398"/>
    </row>
    <row r="55" spans="1:48" ht="21" customHeight="1">
      <c r="A55" s="1133" t="s">
        <v>436</v>
      </c>
      <c r="B55" s="1133" t="s">
        <v>437</v>
      </c>
      <c r="C55" s="1133" t="s">
        <v>438</v>
      </c>
      <c r="D55" s="1133" t="s">
        <v>439</v>
      </c>
      <c r="E55" s="3555"/>
      <c r="F55" s="3555"/>
      <c r="G55" s="3555"/>
      <c r="H55" s="3555"/>
      <c r="I55" s="3383"/>
      <c r="J55" s="3383"/>
      <c r="K55" s="3401" t="str">
        <f>J54&amp;".1"</f>
        <v>....1.1.1</v>
      </c>
      <c r="L55" s="61"/>
      <c r="M55" s="1173" t="s">
        <v>671</v>
      </c>
      <c r="Q55" s="3532"/>
      <c r="R55" s="3532"/>
      <c r="S55" s="416">
        <v>1</v>
      </c>
      <c r="T55" s="266"/>
      <c r="U55" s="1198" t="str">
        <f>$K55</f>
        <v>....1.1.1</v>
      </c>
      <c r="V55" s="1209"/>
      <c r="W55" s="211"/>
      <c r="X55" s="639"/>
      <c r="Y55" s="639"/>
      <c r="Z55" s="639"/>
      <c r="AA55" s="639"/>
      <c r="AB55" s="1266"/>
      <c r="AC55" s="3533"/>
      <c r="AD55" s="3412" t="s">
        <v>64</v>
      </c>
      <c r="AE55" s="3533"/>
      <c r="AF55" s="3412" t="s">
        <v>64</v>
      </c>
      <c r="AG55" s="1268"/>
      <c r="AH55" s="639"/>
      <c r="AI55" s="639"/>
      <c r="AJ55" s="639"/>
      <c r="AK55" s="1123"/>
      <c r="AL55" s="3533"/>
      <c r="AM55" s="3412" t="s">
        <v>64</v>
      </c>
      <c r="AN55" s="3533"/>
      <c r="AO55" s="3412" t="s">
        <v>64</v>
      </c>
      <c r="AP55" s="1210"/>
      <c r="AQ55" s="1171" t="s">
        <v>714</v>
      </c>
      <c r="AR55" s="409" t="e">
        <f ca="1">STRCHECKDATE(X57:AP57)</f>
        <v>#NAME?</v>
      </c>
      <c r="AS55" s="398"/>
      <c r="AT55" s="398" t="str">
        <f t="shared" si="2"/>
        <v/>
      </c>
      <c r="AU55" s="398"/>
      <c r="AV55" s="398"/>
    </row>
    <row r="56" spans="1:48" ht="11.25" customHeight="1">
      <c r="A56" s="1133" t="s">
        <v>436</v>
      </c>
      <c r="B56" s="1133" t="s">
        <v>437</v>
      </c>
      <c r="C56" s="1133" t="s">
        <v>438</v>
      </c>
      <c r="D56" s="1133" t="s">
        <v>439</v>
      </c>
      <c r="E56" s="3555"/>
      <c r="F56" s="3555"/>
      <c r="G56" s="3555"/>
      <c r="H56" s="3555"/>
      <c r="I56" s="3383"/>
      <c r="J56" s="3383"/>
      <c r="K56" s="3383"/>
      <c r="L56" s="3401" t="str">
        <f>K55&amp;".1"</f>
        <v>....1.1.1.1</v>
      </c>
      <c r="M56" s="1173"/>
      <c r="Q56" s="3532"/>
      <c r="R56" s="3532"/>
      <c r="S56" s="416">
        <v>1</v>
      </c>
      <c r="T56" s="266"/>
      <c r="U56" s="1198" t="str">
        <f>$L56</f>
        <v>....1.1.1.1</v>
      </c>
      <c r="V56" s="1252"/>
      <c r="W56" s="211"/>
      <c r="X56" s="236"/>
      <c r="Y56" s="639"/>
      <c r="Z56" s="639"/>
      <c r="AA56" s="639"/>
      <c r="AB56" s="1266"/>
      <c r="AC56" s="3534"/>
      <c r="AD56" s="3412"/>
      <c r="AE56" s="3534"/>
      <c r="AF56" s="3412"/>
      <c r="AG56" s="1268"/>
      <c r="AH56" s="639"/>
      <c r="AI56" s="639"/>
      <c r="AJ56" s="639"/>
      <c r="AK56" s="1123"/>
      <c r="AL56" s="3534"/>
      <c r="AM56" s="3412"/>
      <c r="AN56" s="3534"/>
      <c r="AO56" s="3412"/>
      <c r="AP56" s="1210"/>
      <c r="AQ56" s="3551" t="s">
        <v>715</v>
      </c>
      <c r="AR56" s="409" t="e">
        <f ca="1">STRCHECKDATE(X58:AP58)</f>
        <v>#NAME?</v>
      </c>
      <c r="AS56" s="398"/>
      <c r="AT56" s="398" t="str">
        <f t="shared" si="2"/>
        <v/>
      </c>
      <c r="AU56" s="398"/>
      <c r="AV56" s="398"/>
    </row>
    <row r="57" spans="1:48" ht="0" hidden="1" customHeight="1">
      <c r="A57" s="1133" t="s">
        <v>436</v>
      </c>
      <c r="B57" s="1133" t="s">
        <v>437</v>
      </c>
      <c r="C57" s="1133" t="s">
        <v>438</v>
      </c>
      <c r="D57" s="1133" t="s">
        <v>439</v>
      </c>
      <c r="E57" s="3555"/>
      <c r="F57" s="3555"/>
      <c r="G57" s="3555"/>
      <c r="H57" s="3555"/>
      <c r="I57" s="3383"/>
      <c r="J57" s="3383"/>
      <c r="K57" s="3383"/>
      <c r="L57" s="3401"/>
      <c r="M57" s="1173"/>
      <c r="Q57" s="3532"/>
      <c r="R57" s="3532"/>
      <c r="S57" s="416"/>
      <c r="T57" s="266"/>
      <c r="U57" s="1204"/>
      <c r="V57" s="211"/>
      <c r="W57" s="211"/>
      <c r="X57" s="236"/>
      <c r="Y57" s="236"/>
      <c r="Z57" s="236"/>
      <c r="AA57" s="236"/>
      <c r="AB57" s="1267" t="str">
        <f>AC55&amp;"-"&amp;AE55</f>
        <v>-</v>
      </c>
      <c r="AC57" s="3534"/>
      <c r="AD57" s="3412"/>
      <c r="AE57" s="3534"/>
      <c r="AF57" s="3412"/>
      <c r="AG57" s="1243"/>
      <c r="AH57" s="236"/>
      <c r="AI57" s="236"/>
      <c r="AJ57" s="236"/>
      <c r="AK57" s="239" t="str">
        <f>AL55&amp;"-"&amp;AN55</f>
        <v>-</v>
      </c>
      <c r="AL57" s="3534"/>
      <c r="AM57" s="3412"/>
      <c r="AN57" s="3534"/>
      <c r="AO57" s="3412"/>
      <c r="AP57" s="1211"/>
      <c r="AQ57" s="3552"/>
      <c r="AS57" s="398"/>
      <c r="AT57" s="398" t="str">
        <f t="shared" si="2"/>
        <v/>
      </c>
      <c r="AU57" s="398"/>
      <c r="AV57" s="398"/>
    </row>
    <row r="58" spans="1:48" ht="11.25" customHeight="1">
      <c r="A58" s="1133" t="s">
        <v>436</v>
      </c>
      <c r="B58" s="1133" t="s">
        <v>437</v>
      </c>
      <c r="C58" s="1133" t="s">
        <v>438</v>
      </c>
      <c r="D58" s="1133" t="s">
        <v>439</v>
      </c>
      <c r="E58" s="3555"/>
      <c r="F58" s="3555"/>
      <c r="G58" s="3555"/>
      <c r="H58" s="3555"/>
      <c r="I58" s="3383"/>
      <c r="J58" s="3383"/>
      <c r="K58" s="3401"/>
      <c r="L58" s="1133"/>
      <c r="M58" s="1173"/>
      <c r="Q58" s="3532"/>
      <c r="R58" s="3532"/>
      <c r="S58" s="1193"/>
      <c r="T58" s="265"/>
      <c r="U58" s="1144"/>
      <c r="V58" s="200" t="s">
        <v>716</v>
      </c>
      <c r="W58" s="275"/>
      <c r="X58" s="275"/>
      <c r="Y58" s="275"/>
      <c r="Z58" s="275"/>
      <c r="AA58" s="275"/>
      <c r="AB58" s="275"/>
      <c r="AC58" s="3534"/>
      <c r="AD58" s="3412"/>
      <c r="AE58" s="3534"/>
      <c r="AF58" s="3412"/>
      <c r="AG58" s="275"/>
      <c r="AH58" s="275"/>
      <c r="AI58" s="275"/>
      <c r="AJ58" s="275"/>
      <c r="AK58" s="275"/>
      <c r="AL58" s="3534"/>
      <c r="AM58" s="3412"/>
      <c r="AN58" s="3534"/>
      <c r="AO58" s="3412"/>
      <c r="AP58" s="235"/>
      <c r="AQ58" s="3552"/>
      <c r="AS58" s="398"/>
      <c r="AT58" s="398" t="str">
        <f t="shared" si="2"/>
        <v>Добавить наименование поставщика</v>
      </c>
      <c r="AU58" s="398"/>
      <c r="AV58" s="398"/>
    </row>
    <row r="59" spans="1:48" ht="11.25" customHeight="1">
      <c r="A59" s="1133" t="s">
        <v>436</v>
      </c>
      <c r="B59" s="1133" t="s">
        <v>437</v>
      </c>
      <c r="C59" s="1133" t="s">
        <v>438</v>
      </c>
      <c r="D59" s="1133" t="s">
        <v>439</v>
      </c>
      <c r="E59" s="3555"/>
      <c r="F59" s="3555"/>
      <c r="G59" s="3555"/>
      <c r="H59" s="3555"/>
      <c r="I59" s="3383"/>
      <c r="J59" s="3401"/>
      <c r="K59" s="1133"/>
      <c r="L59" s="1133"/>
      <c r="M59" s="1173"/>
      <c r="Q59" s="3532"/>
      <c r="R59" s="3532"/>
      <c r="S59" s="1193"/>
      <c r="T59" s="265"/>
      <c r="U59" s="1144"/>
      <c r="V59" s="199" t="s">
        <v>673</v>
      </c>
      <c r="W59" s="275"/>
      <c r="X59" s="275"/>
      <c r="Y59" s="275"/>
      <c r="Z59" s="275"/>
      <c r="AA59" s="275"/>
      <c r="AB59" s="275"/>
      <c r="AC59" s="1269"/>
      <c r="AD59" s="1269"/>
      <c r="AE59" s="1269"/>
      <c r="AF59" s="1269"/>
      <c r="AG59" s="275"/>
      <c r="AH59" s="275"/>
      <c r="AI59" s="275"/>
      <c r="AJ59" s="275"/>
      <c r="AK59" s="275"/>
      <c r="AL59" s="275"/>
      <c r="AM59" s="275"/>
      <c r="AN59" s="275"/>
      <c r="AO59" s="275"/>
      <c r="AP59" s="235"/>
      <c r="AQ59" s="3553"/>
      <c r="AS59" s="398"/>
      <c r="AT59" s="398" t="str">
        <f t="shared" si="2"/>
        <v>Добавить вид теплоносителя (параметры теплоносителя)</v>
      </c>
      <c r="AU59" s="398"/>
      <c r="AV59" s="398"/>
    </row>
    <row r="60" spans="1:48" ht="11.25" customHeight="1">
      <c r="A60" s="1133" t="s">
        <v>436</v>
      </c>
      <c r="B60" s="1133" t="s">
        <v>437</v>
      </c>
      <c r="C60" s="1133" t="s">
        <v>438</v>
      </c>
      <c r="D60" s="1133" t="s">
        <v>439</v>
      </c>
      <c r="E60" s="3555"/>
      <c r="F60" s="3555"/>
      <c r="G60" s="3555"/>
      <c r="H60" s="3555"/>
      <c r="I60" s="3401"/>
      <c r="J60" s="1133"/>
      <c r="K60" s="1133"/>
      <c r="L60" s="1133"/>
      <c r="M60" s="1173"/>
      <c r="Q60" s="3532"/>
      <c r="R60" s="1193"/>
      <c r="S60" s="1193"/>
      <c r="T60" s="265"/>
      <c r="U60" s="1144"/>
      <c r="V60" s="273" t="s">
        <v>674</v>
      </c>
      <c r="W60" s="275"/>
      <c r="X60" s="275"/>
      <c r="Y60" s="275"/>
      <c r="Z60" s="275"/>
      <c r="AA60" s="275"/>
      <c r="AB60" s="275"/>
      <c r="AC60" s="275"/>
      <c r="AD60" s="275"/>
      <c r="AE60" s="275"/>
      <c r="AF60" s="274"/>
      <c r="AG60" s="275"/>
      <c r="AH60" s="275"/>
      <c r="AI60" s="275"/>
      <c r="AJ60" s="275"/>
      <c r="AK60" s="275"/>
      <c r="AL60" s="275"/>
      <c r="AM60" s="275"/>
      <c r="AN60" s="275"/>
      <c r="AO60" s="274"/>
      <c r="AP60" s="275"/>
      <c r="AQ60" s="214"/>
      <c r="AS60" s="398"/>
      <c r="AT60" s="398" t="str">
        <f t="shared" si="2"/>
        <v>Добавить группу потребителей</v>
      </c>
      <c r="AU60" s="398"/>
      <c r="AV60" s="398"/>
    </row>
    <row r="61" spans="1:48" ht="0" hidden="1" customHeight="1">
      <c r="A61" s="1133" t="s">
        <v>436</v>
      </c>
      <c r="B61" s="1133" t="s">
        <v>437</v>
      </c>
      <c r="C61" s="1133" t="s">
        <v>438</v>
      </c>
      <c r="D61" s="1133" t="s">
        <v>439</v>
      </c>
      <c r="E61" s="3555"/>
      <c r="F61" s="3555"/>
      <c r="G61" s="3555"/>
      <c r="H61" s="3554"/>
      <c r="I61" s="1133"/>
      <c r="J61" s="1133"/>
      <c r="K61" s="1133"/>
      <c r="L61" s="1133"/>
      <c r="M61" s="1173"/>
      <c r="N61" s="579"/>
      <c r="O61" s="579"/>
      <c r="P61" s="407"/>
      <c r="Q61" s="269"/>
      <c r="R61" s="282"/>
      <c r="S61" s="264"/>
      <c r="T61" s="269"/>
      <c r="U61" s="1247"/>
      <c r="V61" s="1248"/>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50"/>
      <c r="AS61" s="398"/>
      <c r="AT61" s="398" t="str">
        <f t="shared" si="2"/>
        <v/>
      </c>
      <c r="AU61" s="398"/>
      <c r="AV61" s="398"/>
    </row>
    <row r="62" spans="1:48" s="1866" customFormat="1" ht="0" hidden="1" customHeight="1">
      <c r="A62" s="1236" t="s">
        <v>436</v>
      </c>
      <c r="B62" s="1236" t="s">
        <v>437</v>
      </c>
      <c r="C62" s="1236" t="s">
        <v>438</v>
      </c>
      <c r="D62" s="1235"/>
      <c r="E62" s="3555"/>
      <c r="F62" s="3555"/>
      <c r="G62" s="3554"/>
      <c r="H62" s="1235"/>
      <c r="I62" s="1235"/>
      <c r="J62" s="1235"/>
      <c r="K62" s="1235"/>
      <c r="L62" s="1235"/>
      <c r="M62" s="1238"/>
      <c r="N62" s="1239"/>
      <c r="O62" s="1239"/>
      <c r="P62" s="260"/>
      <c r="Q62" s="1179"/>
      <c r="R62" s="1180"/>
      <c r="S62" s="1179"/>
      <c r="T62" s="1179"/>
      <c r="U62" s="1185"/>
      <c r="V62" s="1188" t="s">
        <v>676</v>
      </c>
      <c r="W62" s="1187"/>
      <c r="X62" s="1187"/>
      <c r="Y62" s="1187"/>
      <c r="Z62" s="1187"/>
      <c r="AA62" s="1187"/>
      <c r="AB62" s="1187"/>
      <c r="AC62" s="1187"/>
      <c r="AD62" s="1187"/>
      <c r="AE62" s="1187"/>
      <c r="AF62" s="1187"/>
      <c r="AG62" s="1187"/>
      <c r="AH62" s="1187"/>
      <c r="AI62" s="1187"/>
      <c r="AJ62" s="1187"/>
      <c r="AK62" s="1187"/>
      <c r="AL62" s="1187"/>
      <c r="AM62" s="1187"/>
      <c r="AN62" s="1187"/>
      <c r="AO62" s="1187"/>
      <c r="AP62" s="1187"/>
      <c r="AQ62" s="1187"/>
      <c r="AS62" s="670"/>
      <c r="AT62" s="670" t="str">
        <f t="shared" si="2"/>
        <v>Добавить источник для дифференциации</v>
      </c>
      <c r="AU62" s="670"/>
      <c r="AV62" s="670"/>
    </row>
    <row r="63" spans="1:48" s="1866" customFormat="1" ht="0" hidden="1" customHeight="1">
      <c r="A63" s="1236" t="s">
        <v>436</v>
      </c>
      <c r="B63" s="1236" t="s">
        <v>437</v>
      </c>
      <c r="C63" s="1235"/>
      <c r="D63" s="1235"/>
      <c r="E63" s="3555"/>
      <c r="F63" s="3554"/>
      <c r="G63" s="1235"/>
      <c r="H63" s="1235"/>
      <c r="I63" s="1235"/>
      <c r="J63" s="1235"/>
      <c r="K63" s="1235"/>
      <c r="L63" s="1235"/>
      <c r="M63" s="1238"/>
      <c r="N63" s="1240"/>
      <c r="O63" s="1240"/>
      <c r="P63" s="260"/>
      <c r="Q63" s="1179"/>
      <c r="R63" s="1180"/>
      <c r="S63" s="1179"/>
      <c r="T63" s="1179"/>
      <c r="U63" s="1185"/>
      <c r="V63" s="1188" t="s">
        <v>677</v>
      </c>
      <c r="W63" s="1187"/>
      <c r="X63" s="1187"/>
      <c r="Y63" s="1187"/>
      <c r="Z63" s="1187"/>
      <c r="AA63" s="1187"/>
      <c r="AB63" s="1187"/>
      <c r="AC63" s="1187"/>
      <c r="AD63" s="1187"/>
      <c r="AE63" s="1187"/>
      <c r="AF63" s="1187"/>
      <c r="AG63" s="1187"/>
      <c r="AH63" s="1187"/>
      <c r="AI63" s="1187"/>
      <c r="AJ63" s="1187"/>
      <c r="AK63" s="1187"/>
      <c r="AL63" s="1187"/>
      <c r="AM63" s="1187"/>
      <c r="AN63" s="1187"/>
      <c r="AO63" s="1187"/>
      <c r="AP63" s="1187"/>
      <c r="AQ63" s="1187"/>
      <c r="AS63" s="670"/>
      <c r="AT63" s="670" t="str">
        <f t="shared" si="2"/>
        <v>Добавить централизованную систему для дифференциации</v>
      </c>
      <c r="AU63" s="670"/>
      <c r="AV63" s="670"/>
    </row>
    <row r="64" spans="1:48" s="1866" customFormat="1" ht="0" hidden="1" customHeight="1">
      <c r="A64" s="1236" t="s">
        <v>436</v>
      </c>
      <c r="B64" s="1236"/>
      <c r="C64" s="1236"/>
      <c r="D64" s="1236"/>
      <c r="E64" s="3554"/>
      <c r="F64" s="1236"/>
      <c r="G64" s="1236"/>
      <c r="H64" s="1236"/>
      <c r="I64" s="1236"/>
      <c r="J64" s="1236"/>
      <c r="K64" s="1236"/>
      <c r="L64" s="1236"/>
      <c r="M64" s="1242"/>
      <c r="N64" s="1240"/>
      <c r="O64" s="1240"/>
      <c r="P64" s="260"/>
      <c r="Q64" s="287"/>
      <c r="R64" s="1206"/>
      <c r="S64" s="287"/>
      <c r="T64" s="287"/>
      <c r="U64" s="1185"/>
      <c r="V64" s="1188" t="s">
        <v>678</v>
      </c>
      <c r="W64" s="1187"/>
      <c r="X64" s="1187"/>
      <c r="Y64" s="1187"/>
      <c r="Z64" s="1187"/>
      <c r="AA64" s="1187"/>
      <c r="AB64" s="1187"/>
      <c r="AC64" s="1187"/>
      <c r="AD64" s="1187"/>
      <c r="AE64" s="1187"/>
      <c r="AF64" s="1187"/>
      <c r="AG64" s="1187"/>
      <c r="AH64" s="1187"/>
      <c r="AI64" s="1187"/>
      <c r="AJ64" s="1187"/>
      <c r="AK64" s="1187"/>
      <c r="AL64" s="1187"/>
      <c r="AM64" s="1187"/>
      <c r="AN64" s="1187"/>
      <c r="AO64" s="1187"/>
      <c r="AP64" s="1187"/>
      <c r="AQ64" s="1187"/>
      <c r="AS64" s="398"/>
      <c r="AT64" s="398" t="str">
        <f t="shared" si="2"/>
        <v>Добавить территорию для дифференциации</v>
      </c>
      <c r="AU64" s="398"/>
      <c r="AV64" s="398"/>
    </row>
    <row r="65" spans="1:48" s="1866" customFormat="1" ht="5.25" customHeight="1">
      <c r="A65" s="1235"/>
      <c r="B65" s="1235"/>
      <c r="C65" s="1235"/>
      <c r="D65" s="1235"/>
      <c r="E65" s="1236"/>
      <c r="F65" s="1235"/>
      <c r="G65" s="1235"/>
      <c r="H65" s="1235"/>
      <c r="I65" s="1235"/>
      <c r="J65" s="1235"/>
      <c r="K65" s="1235"/>
      <c r="L65" s="1235"/>
      <c r="M65" s="1238"/>
      <c r="N65" s="1240"/>
      <c r="O65" s="1240"/>
      <c r="P65" s="260"/>
      <c r="Q65" s="1179"/>
      <c r="R65" s="1180"/>
      <c r="S65" s="1179"/>
      <c r="T65" s="1179"/>
      <c r="U65" s="1185"/>
      <c r="V65" s="1188" t="s">
        <v>710</v>
      </c>
      <c r="W65" s="1187"/>
      <c r="X65" s="1187"/>
      <c r="Y65" s="1187"/>
      <c r="Z65" s="1187"/>
      <c r="AA65" s="1187"/>
      <c r="AB65" s="1187"/>
      <c r="AC65" s="1187"/>
      <c r="AD65" s="1187"/>
      <c r="AE65" s="1187"/>
      <c r="AF65" s="1187"/>
      <c r="AG65" s="1187"/>
      <c r="AH65" s="1187"/>
      <c r="AI65" s="1187"/>
      <c r="AJ65" s="1187"/>
      <c r="AK65" s="1187"/>
      <c r="AL65" s="1187"/>
      <c r="AM65" s="1187"/>
      <c r="AN65" s="1187"/>
      <c r="AO65" s="1187"/>
      <c r="AP65" s="1187"/>
      <c r="AQ65" s="1187"/>
      <c r="AS65" s="670"/>
      <c r="AT65" s="670" t="str">
        <f t="shared" si="2"/>
        <v>Добавить наименование тарифа</v>
      </c>
      <c r="AU65" s="670"/>
      <c r="AV65" s="670"/>
    </row>
    <row r="66" spans="1:48" ht="11.25" customHeight="1">
      <c r="N66" s="1018"/>
      <c r="O66" s="1018"/>
      <c r="P66" s="407"/>
      <c r="Q66" s="1018"/>
      <c r="R66" s="1018"/>
      <c r="S66" s="1018"/>
      <c r="T66" s="1018"/>
      <c r="U66" s="1018"/>
      <c r="AR66" s="1018"/>
      <c r="AS66" s="1018"/>
      <c r="AT66" s="1018"/>
      <c r="AU66" s="1018"/>
      <c r="AV66" s="1018"/>
    </row>
    <row r="67" spans="1:48" ht="33.75" customHeight="1">
      <c r="P67" s="407"/>
      <c r="U67" s="1119"/>
      <c r="V67" s="3527"/>
      <c r="W67" s="3527"/>
      <c r="X67" s="3527"/>
      <c r="Y67" s="3527"/>
      <c r="Z67" s="3527"/>
      <c r="AA67" s="3527"/>
      <c r="AB67" s="3527"/>
      <c r="AC67" s="3527"/>
      <c r="AD67" s="3527"/>
      <c r="AE67" s="3527"/>
      <c r="AF67" s="3527"/>
      <c r="AG67" s="3527"/>
      <c r="AH67" s="3527"/>
      <c r="AI67" s="3527"/>
      <c r="AJ67" s="3527"/>
      <c r="AK67" s="3527"/>
      <c r="AL67" s="3527"/>
      <c r="AM67" s="3527"/>
      <c r="AN67" s="3527"/>
      <c r="AO67" s="3527"/>
      <c r="AP67" s="3527"/>
      <c r="AQ67" s="3527"/>
    </row>
    <row r="68" spans="1:48" ht="19.5" customHeight="1">
      <c r="P68" s="407"/>
      <c r="V68" s="3527"/>
      <c r="W68" s="3527"/>
      <c r="X68" s="3527"/>
      <c r="Y68" s="3527"/>
      <c r="Z68" s="3527"/>
      <c r="AA68" s="3527"/>
      <c r="AB68" s="3527"/>
      <c r="AC68" s="3527"/>
      <c r="AD68" s="3527"/>
      <c r="AE68" s="3527"/>
      <c r="AF68" s="3527"/>
      <c r="AG68" s="3527"/>
      <c r="AH68" s="3527"/>
      <c r="AI68" s="3527"/>
      <c r="AJ68" s="3527"/>
      <c r="AK68" s="3527"/>
      <c r="AL68" s="3527"/>
      <c r="AM68" s="3527"/>
      <c r="AN68" s="3527"/>
      <c r="AO68" s="3527"/>
      <c r="AP68" s="3527"/>
      <c r="AQ68" s="3527"/>
    </row>
    <row r="69" spans="1:48" ht="14.25" customHeight="1">
      <c r="P69" s="407"/>
    </row>
    <row r="70" spans="1:48" ht="27" customHeight="1">
      <c r="P70" s="407"/>
      <c r="V70" s="3527"/>
      <c r="W70" s="3527"/>
      <c r="X70" s="3527"/>
      <c r="Y70" s="3527"/>
      <c r="Z70" s="3527"/>
      <c r="AA70" s="3527"/>
      <c r="AB70" s="3527"/>
      <c r="AC70" s="3527"/>
      <c r="AD70" s="3527"/>
      <c r="AE70" s="3527"/>
      <c r="AF70" s="3527"/>
      <c r="AG70" s="3527"/>
      <c r="AH70" s="3527"/>
      <c r="AI70" s="3527"/>
      <c r="AJ70" s="3527"/>
      <c r="AK70" s="3527"/>
      <c r="AL70" s="3527"/>
      <c r="AM70" s="3527"/>
      <c r="AN70" s="3527"/>
      <c r="AO70" s="3527"/>
      <c r="AP70" s="3527"/>
      <c r="AQ70" s="3527"/>
    </row>
    <row r="71" spans="1:48" ht="18" customHeight="1">
      <c r="P71" s="407"/>
      <c r="V71" s="3527"/>
      <c r="W71" s="3527"/>
      <c r="X71" s="3527"/>
      <c r="Y71" s="3527"/>
      <c r="Z71" s="3527"/>
      <c r="AA71" s="3527"/>
      <c r="AB71" s="3527"/>
      <c r="AC71" s="3527"/>
      <c r="AD71" s="3527"/>
      <c r="AE71" s="3527"/>
      <c r="AF71" s="3527"/>
      <c r="AG71" s="3527"/>
      <c r="AH71" s="3527"/>
      <c r="AI71" s="3527"/>
      <c r="AJ71" s="3527"/>
      <c r="AK71" s="3527"/>
      <c r="AL71" s="3527"/>
      <c r="AM71" s="3527"/>
      <c r="AN71" s="3527"/>
      <c r="AO71" s="3527"/>
      <c r="AP71" s="3527"/>
      <c r="AQ71" s="3527"/>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D851B-8FC2-BB5F-DA3F-68915ED48591}">
  <sheetPr>
    <tabColor rgb="FFCCCCFF"/>
  </sheetPr>
  <dimension ref="A1:P78"/>
  <sheetViews>
    <sheetView showGridLines="0" tabSelected="1" topLeftCell="C1" zoomScale="90" workbookViewId="0">
      <selection activeCell="I69" sqref="I69"/>
    </sheetView>
  </sheetViews>
  <sheetFormatPr defaultColWidth="9.140625" defaultRowHeight="11.25" customHeight="1"/>
  <cols>
    <col min="1" max="1" width="10.7109375" style="1817" hidden="1" customWidth="1"/>
    <col min="2" max="2" width="10.7109375" style="1852" hidden="1" customWidth="1"/>
    <col min="3" max="3" width="3.7109375" style="1818" customWidth="1"/>
    <col min="4" max="4" width="1.7109375" style="1910" customWidth="1"/>
    <col min="5" max="5" width="55.28515625" style="1910" customWidth="1"/>
    <col min="6" max="6" width="55" style="1910" customWidth="1"/>
    <col min="7" max="7" width="1.7109375" style="1952" customWidth="1"/>
    <col min="8" max="8" width="18" style="1910" hidden="1" customWidth="1"/>
    <col min="9" max="9" width="59.7109375" style="1816" customWidth="1"/>
    <col min="10" max="10" width="52.140625" style="1903" hidden="1" customWidth="1"/>
    <col min="11" max="11" width="9.140625" style="1910"/>
    <col min="12" max="12" width="78" style="1910" customWidth="1"/>
    <col min="13" max="16" width="9.140625" style="1910"/>
  </cols>
  <sheetData>
    <row r="1" spans="1:11" s="1864" customFormat="1" ht="3" customHeight="1">
      <c r="A1" s="664"/>
      <c r="B1" s="155"/>
      <c r="F1" s="156">
        <v>26354809</v>
      </c>
      <c r="G1" s="318"/>
      <c r="H1" s="5"/>
      <c r="I1" s="318"/>
      <c r="J1" s="748"/>
    </row>
    <row r="2" spans="1:11" s="1926" customFormat="1" ht="14.25" customHeight="1">
      <c r="A2" s="664"/>
      <c r="B2" s="27"/>
      <c r="E2" s="1583" t="str">
        <f>code</f>
        <v>Код отчёта: PP110.OPEN.INFO.QUARTER.HEAT.EIAS</v>
      </c>
      <c r="F2" s="183"/>
      <c r="G2" s="159"/>
      <c r="H2" s="159"/>
      <c r="I2" s="159"/>
      <c r="J2" s="749"/>
      <c r="K2" s="159"/>
    </row>
    <row r="3" spans="1:11" ht="14.25" customHeight="1">
      <c r="E3" s="160" t="str">
        <f>version</f>
        <v>Версия отчёта: 1.0.6</v>
      </c>
      <c r="F3" s="183"/>
      <c r="G3" s="1962"/>
      <c r="H3"/>
      <c r="I3"/>
      <c r="J3" s="750"/>
      <c r="K3"/>
    </row>
    <row r="4" spans="1:11" s="1832" customFormat="1" ht="6" customHeight="1">
      <c r="A4" s="665"/>
      <c r="B4" s="147"/>
      <c r="C4" s="148"/>
      <c r="D4" s="149"/>
      <c r="E4" s="157"/>
      <c r="F4" s="158"/>
      <c r="G4" s="653"/>
      <c r="H4" s="316"/>
      <c r="I4" s="318"/>
      <c r="J4" s="751"/>
    </row>
    <row r="5" spans="1:11" ht="37.5" customHeight="1">
      <c r="D5" s="7"/>
      <c r="E5" s="3382"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3383"/>
      <c r="G5" s="654"/>
      <c r="J5" s="752"/>
    </row>
    <row r="6" spans="1:11" s="1832" customFormat="1" ht="6" customHeight="1">
      <c r="A6" s="665"/>
      <c r="B6" s="147"/>
      <c r="C6" s="148"/>
      <c r="D6" s="149"/>
      <c r="E6" s="151"/>
      <c r="F6" s="152"/>
      <c r="G6" s="654"/>
      <c r="H6" s="316"/>
      <c r="I6" s="318"/>
      <c r="J6" s="751"/>
    </row>
    <row r="7" spans="1:11" ht="19.5" customHeight="1">
      <c r="D7" s="7"/>
      <c r="E7" s="298" t="s">
        <v>13</v>
      </c>
      <c r="F7" s="131" t="s">
        <v>14</v>
      </c>
      <c r="G7" s="654"/>
    </row>
    <row r="8" spans="1:11" s="1832" customFormat="1" ht="6" customHeight="1">
      <c r="A8" s="666"/>
      <c r="B8" s="147"/>
      <c r="C8" s="148"/>
      <c r="D8" s="153"/>
      <c r="E8" s="151"/>
      <c r="F8" s="154"/>
      <c r="G8" s="9"/>
      <c r="H8" s="316"/>
      <c r="I8" s="318"/>
      <c r="J8" s="754"/>
    </row>
    <row r="9" spans="1:11" s="1910" customFormat="1" ht="19.5" hidden="1" customHeight="1">
      <c r="A9" s="665"/>
      <c r="B9" s="27"/>
      <c r="C9" s="315"/>
      <c r="D9" s="317"/>
      <c r="E9" s="1028" t="s">
        <v>15</v>
      </c>
      <c r="F9" s="1760"/>
      <c r="G9" s="654"/>
      <c r="I9" s="1739" t="str">
        <f>IF(TITLE_STRUCTURE_INFO_ROIV="","","раскрывается "&amp;INDEX(ROIV_INFO_COMMENT,MATCH(TITLE_STRUCTURE_INFO_ROIV,ROIV_INFO_LIST,0)))</f>
        <v/>
      </c>
      <c r="J9" s="753"/>
    </row>
    <row r="10" spans="1:11" s="1832" customFormat="1" ht="6" customHeight="1">
      <c r="A10" s="666"/>
      <c r="B10" s="331"/>
      <c r="C10" s="332"/>
      <c r="D10" s="153"/>
      <c r="E10" s="151"/>
      <c r="F10" s="154"/>
      <c r="G10" s="9"/>
      <c r="H10" s="316"/>
      <c r="I10" s="318"/>
      <c r="J10" s="754"/>
    </row>
    <row r="11" spans="1:11" ht="22.5" hidden="1" customHeight="1">
      <c r="A11" s="3385" t="s">
        <v>16</v>
      </c>
      <c r="D11" s="7"/>
      <c r="E11" s="1028" t="s">
        <v>17</v>
      </c>
      <c r="F11" s="1575" t="s">
        <v>18</v>
      </c>
      <c r="G11" s="9"/>
      <c r="H11" s="655" t="s">
        <v>19</v>
      </c>
      <c r="J11" s="753" t="s">
        <v>20</v>
      </c>
    </row>
    <row r="12" spans="1:11" ht="22.5" hidden="1" customHeight="1">
      <c r="A12" s="3385"/>
      <c r="D12" s="7"/>
      <c r="E12" s="1028" t="s">
        <v>21</v>
      </c>
      <c r="F12" s="1575"/>
      <c r="G12" s="6"/>
      <c r="J12" s="753" t="s">
        <v>22</v>
      </c>
    </row>
    <row r="13" spans="1:11" s="1910" customFormat="1" ht="22.5" hidden="1" customHeight="1">
      <c r="A13" s="669" t="s">
        <v>23</v>
      </c>
      <c r="B13" s="27"/>
      <c r="C13" s="315"/>
      <c r="D13" s="317"/>
      <c r="E13" s="1618" t="s">
        <v>24</v>
      </c>
      <c r="F13" s="1575" t="s">
        <v>18</v>
      </c>
      <c r="G13" s="9"/>
      <c r="H13"/>
      <c r="I13" s="318"/>
      <c r="J13" s="1619" t="s">
        <v>25</v>
      </c>
    </row>
    <row r="14" spans="1:11" s="1910" customFormat="1" ht="27" customHeight="1">
      <c r="A14" s="669" t="s">
        <v>26</v>
      </c>
      <c r="B14" s="27"/>
      <c r="C14" s="315"/>
      <c r="D14" s="317"/>
      <c r="E14" s="1028" t="s">
        <v>27</v>
      </c>
      <c r="F14" s="1907">
        <v>2023</v>
      </c>
      <c r="G14" s="9"/>
      <c r="H14"/>
      <c r="I14" s="318"/>
      <c r="J14" s="753" t="s">
        <v>28</v>
      </c>
    </row>
    <row r="15" spans="1:11" s="1910" customFormat="1" ht="19.5" customHeight="1">
      <c r="A15" s="669" t="s">
        <v>29</v>
      </c>
      <c r="B15" s="27"/>
      <c r="C15" s="315"/>
      <c r="D15" s="317"/>
      <c r="E15" s="1028" t="s">
        <v>30</v>
      </c>
      <c r="F15" s="1907" t="s">
        <v>31</v>
      </c>
      <c r="G15" s="9"/>
      <c r="H15"/>
      <c r="I15" s="318"/>
      <c r="J15" s="753" t="s">
        <v>32</v>
      </c>
    </row>
    <row r="16" spans="1:11" s="1832" customFormat="1" ht="6" customHeight="1">
      <c r="A16" s="666"/>
      <c r="B16" s="147"/>
      <c r="C16" s="148"/>
      <c r="D16" s="153"/>
      <c r="E16" s="151"/>
      <c r="F16" s="154"/>
      <c r="G16" s="9"/>
      <c r="H16" s="316"/>
      <c r="I16" s="318"/>
      <c r="J16" s="751"/>
    </row>
    <row r="17" spans="1:10" ht="19.5" customHeight="1">
      <c r="D17" s="7"/>
      <c r="E17" s="298" t="s">
        <v>33</v>
      </c>
      <c r="F17" s="1938" t="s">
        <v>34</v>
      </c>
      <c r="G17" s="6"/>
      <c r="H17" s="655" t="s">
        <v>19</v>
      </c>
    </row>
    <row r="18" spans="1:10" ht="25.5" hidden="1" customHeight="1">
      <c r="D18" s="7"/>
      <c r="E18" s="1618" t="s">
        <v>35</v>
      </c>
      <c r="F18" s="1576"/>
      <c r="G18" s="6"/>
      <c r="I18" s="656"/>
      <c r="J18" s="3384" t="s">
        <v>36</v>
      </c>
    </row>
    <row r="19" spans="1:10" ht="25.5" hidden="1" customHeight="1">
      <c r="D19" s="7"/>
      <c r="E19" s="1028"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576"/>
      <c r="G19" s="6"/>
      <c r="I19" s="656"/>
      <c r="J19" s="3384"/>
    </row>
    <row r="20" spans="1:10" ht="22.5" hidden="1" customHeight="1">
      <c r="D20" s="7"/>
      <c r="E20" s="8"/>
      <c r="F20" s="184" t="str">
        <f>"Первичное "&amp;IF(TEMPLATE_GROUP="P","установление тарифов","предложение по тарифам")</f>
        <v>Первичное предложение по тарифам</v>
      </c>
      <c r="G20" s="6"/>
      <c r="I20" s="301"/>
      <c r="J20" s="752" t="s">
        <v>37</v>
      </c>
    </row>
    <row r="21" spans="1:10" ht="19.5" hidden="1" customHeight="1">
      <c r="D21" s="7"/>
      <c r="E21" s="298" t="str">
        <f>"Дата "&amp;IF(TEMPLATE_GROUP="P","документа","подачи заявления")&amp;" об утверждении тарифов"</f>
        <v>Дата подачи заявления об утверждении тарифов</v>
      </c>
      <c r="F21" s="1575"/>
      <c r="G21" s="6"/>
      <c r="I21" s="657"/>
    </row>
    <row r="22" spans="1:10" ht="19.5" hidden="1" customHeight="1">
      <c r="D22" s="7"/>
      <c r="E22" s="298" t="str">
        <f>"Номер "&amp;IF(TEMPLATE_GROUP="P","документа","подачи заявления")&amp;" об утверждении тарифов"</f>
        <v>Номер подачи заявления об утверждении тарифов</v>
      </c>
      <c r="F22" s="132"/>
      <c r="G22" s="6"/>
      <c r="I22" s="657"/>
    </row>
    <row r="23" spans="1:10" ht="22.5" hidden="1" customHeight="1">
      <c r="D23" s="7"/>
      <c r="E23" s="298" t="s">
        <v>38</v>
      </c>
      <c r="F23" s="132"/>
      <c r="G23" s="6"/>
    </row>
    <row r="24" spans="1:10" ht="19.5" hidden="1" customHeight="1">
      <c r="D24" s="7"/>
      <c r="E24" s="298" t="s">
        <v>39</v>
      </c>
      <c r="F24" s="132"/>
      <c r="G24" s="6"/>
    </row>
    <row r="25" spans="1:10" ht="22.5" hidden="1" customHeight="1">
      <c r="D25" s="7"/>
      <c r="E25" s="8"/>
      <c r="F25" s="184" t="str">
        <f>"Изменение "&amp;IF(TEMPLATE_GROUP="P","тарифов","предложения по тарифам")</f>
        <v>Изменение предложения по тарифам</v>
      </c>
      <c r="G25" s="6"/>
      <c r="J25" s="752" t="s">
        <v>40</v>
      </c>
    </row>
    <row r="26" spans="1:10" ht="19.5" hidden="1" customHeight="1">
      <c r="D26" s="7"/>
      <c r="E26" s="298" t="str">
        <f>"Дата "&amp;IF(TEMPLATE_GROUP="P","принятия решения","подачи заявления")&amp;" об изменении тарифов"</f>
        <v>Дата подачи заявления об изменении тарифов</v>
      </c>
      <c r="F26" s="1576"/>
      <c r="G26" s="6"/>
    </row>
    <row r="27" spans="1:10" ht="19.5" hidden="1" customHeight="1">
      <c r="D27" s="7"/>
      <c r="E27" s="1028" t="str">
        <f>"Номер "&amp;IF(TEMPLATE_GROUP="P","принятия решения","заявления")&amp;" об изменении тарифов"</f>
        <v>Номер заявления об изменении тарифов</v>
      </c>
      <c r="F27" s="134"/>
      <c r="G27" s="6"/>
    </row>
    <row r="28" spans="1:10" ht="24.75" hidden="1" customHeight="1">
      <c r="D28" s="7"/>
      <c r="E28" s="298" t="s">
        <v>41</v>
      </c>
      <c r="F28" s="134"/>
      <c r="G28" s="6"/>
    </row>
    <row r="29" spans="1:10" ht="19.5" hidden="1" customHeight="1">
      <c r="D29" s="7"/>
      <c r="E29" s="298" t="s">
        <v>39</v>
      </c>
      <c r="F29" s="134"/>
      <c r="G29" s="6"/>
    </row>
    <row r="30" spans="1:10" s="1832" customFormat="1" ht="6" customHeight="1">
      <c r="A30" s="666"/>
      <c r="B30" s="147"/>
      <c r="C30" s="148"/>
      <c r="D30" s="153"/>
      <c r="E30" s="151"/>
      <c r="F30" s="154"/>
      <c r="G30" s="9"/>
      <c r="H30" s="316"/>
      <c r="I30" s="318"/>
      <c r="J30" s="751"/>
    </row>
    <row r="31" spans="1:10" ht="19.5" customHeight="1">
      <c r="C31" s="10"/>
      <c r="D31" s="11"/>
      <c r="E31" s="298" t="s">
        <v>42</v>
      </c>
      <c r="F31" s="133" t="s">
        <v>43</v>
      </c>
      <c r="G31" s="658"/>
    </row>
    <row r="32" spans="1:10" ht="19.5" hidden="1" customHeight="1">
      <c r="C32" s="10"/>
      <c r="D32" s="11"/>
      <c r="E32" s="299" t="s">
        <v>44</v>
      </c>
      <c r="F32" s="1610"/>
      <c r="G32" s="658"/>
    </row>
    <row r="33" spans="1:10" ht="19.5" customHeight="1">
      <c r="C33" s="10"/>
      <c r="D33" s="11"/>
      <c r="E33" s="298" t="s">
        <v>45</v>
      </c>
      <c r="F33" s="133" t="s">
        <v>46</v>
      </c>
      <c r="G33" s="658"/>
    </row>
    <row r="34" spans="1:10" ht="19.5" customHeight="1">
      <c r="C34" s="10"/>
      <c r="D34" s="11"/>
      <c r="E34" s="298" t="s">
        <v>47</v>
      </c>
      <c r="F34" s="133" t="s">
        <v>48</v>
      </c>
      <c r="G34" s="658"/>
      <c r="H34" s="12"/>
    </row>
    <row r="35" spans="1:10" s="1832" customFormat="1" ht="11.25" customHeight="1">
      <c r="A35" s="666"/>
      <c r="B35" s="147"/>
      <c r="C35" s="148"/>
      <c r="D35" s="153"/>
      <c r="E35" s="151"/>
      <c r="F35" s="154"/>
      <c r="G35" s="9"/>
      <c r="H35" s="316"/>
      <c r="I35" s="318"/>
      <c r="J35" s="751"/>
    </row>
    <row r="36" spans="1:10" ht="19.5" customHeight="1">
      <c r="A36" s="756"/>
      <c r="D36" s="11"/>
      <c r="E36" s="298" t="s">
        <v>49</v>
      </c>
      <c r="F36" s="1936" t="s">
        <v>50</v>
      </c>
      <c r="G36" s="9"/>
    </row>
    <row r="37" spans="1:10" ht="19.5" customHeight="1">
      <c r="A37" s="756"/>
      <c r="D37" s="11"/>
      <c r="E37" s="298" t="s">
        <v>51</v>
      </c>
      <c r="F37" s="1936" t="s">
        <v>52</v>
      </c>
      <c r="G37" s="9"/>
    </row>
    <row r="38" spans="1:10" s="1832" customFormat="1" ht="6" customHeight="1">
      <c r="A38" s="666"/>
      <c r="B38" s="147"/>
      <c r="C38" s="148"/>
      <c r="D38" s="149"/>
      <c r="E38" s="150"/>
      <c r="F38" s="923"/>
      <c r="G38" s="6"/>
      <c r="H38" s="316"/>
      <c r="I38" s="318"/>
      <c r="J38" s="753"/>
    </row>
    <row r="39" spans="1:10" ht="22.5" customHeight="1">
      <c r="A39" s="666"/>
      <c r="D39" s="7"/>
      <c r="E39" s="298" t="s">
        <v>53</v>
      </c>
      <c r="F39" s="600" t="s">
        <v>54</v>
      </c>
      <c r="G39" s="6"/>
      <c r="H39" s="655" t="s">
        <v>19</v>
      </c>
    </row>
    <row r="40" spans="1:10" s="1832" customFormat="1" ht="6" hidden="1" customHeight="1">
      <c r="A40" s="665"/>
      <c r="B40" s="331"/>
      <c r="C40" s="332"/>
      <c r="D40" s="333"/>
      <c r="E40" s="334"/>
      <c r="F40" s="923"/>
      <c r="G40" s="6"/>
      <c r="H40" s="316"/>
      <c r="I40" s="318"/>
      <c r="J40" s="753"/>
    </row>
    <row r="41" spans="1:10" s="1910" customFormat="1" ht="22.5" hidden="1" customHeight="1">
      <c r="A41" s="669" t="s">
        <v>23</v>
      </c>
      <c r="B41" s="320"/>
      <c r="C41" s="315"/>
      <c r="D41" s="317"/>
      <c r="E41" s="29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00" t="s">
        <v>54</v>
      </c>
      <c r="G41" s="6"/>
      <c r="I41" s="318"/>
      <c r="J41" s="753"/>
    </row>
    <row r="42" spans="1:10" s="1832" customFormat="1" ht="6" hidden="1" customHeight="1">
      <c r="A42" s="665"/>
      <c r="B42" s="331"/>
      <c r="C42" s="332"/>
      <c r="D42" s="333"/>
      <c r="E42" s="334"/>
      <c r="F42" s="923"/>
      <c r="G42" s="6"/>
      <c r="H42" s="316"/>
      <c r="I42" s="318"/>
      <c r="J42" s="751"/>
    </row>
    <row r="43" spans="1:10" s="1910" customFormat="1" ht="22.5" hidden="1" customHeight="1">
      <c r="A43" s="665"/>
      <c r="B43" s="320"/>
      <c r="C43" s="315"/>
      <c r="D43" s="317"/>
      <c r="E43" s="298" t="s">
        <v>55</v>
      </c>
      <c r="F43" s="600" t="s">
        <v>54</v>
      </c>
      <c r="G43" s="6"/>
      <c r="I43" s="318"/>
      <c r="J43" s="753"/>
    </row>
    <row r="44" spans="1:10" s="1910" customFormat="1" ht="22.5" hidden="1" customHeight="1">
      <c r="A44" s="665"/>
      <c r="B44" s="320"/>
      <c r="C44" s="315"/>
      <c r="D44" s="317"/>
      <c r="E44" s="1028" t="s">
        <v>56</v>
      </c>
      <c r="F44" s="1727"/>
      <c r="G44" s="6"/>
      <c r="I44" s="318"/>
      <c r="J44" s="753"/>
    </row>
    <row r="45" spans="1:10" s="1832" customFormat="1" ht="6" hidden="1" customHeight="1">
      <c r="A45" s="665"/>
      <c r="B45" s="331"/>
      <c r="C45" s="332"/>
      <c r="D45" s="333"/>
      <c r="E45" s="334"/>
      <c r="F45" s="923"/>
      <c r="G45" s="6"/>
      <c r="H45" s="316"/>
      <c r="I45" s="318"/>
      <c r="J45" s="753"/>
    </row>
    <row r="46" spans="1:10" s="1832" customFormat="1" ht="22.5" hidden="1" customHeight="1">
      <c r="A46" s="665"/>
      <c r="B46" s="331"/>
      <c r="C46" s="332"/>
      <c r="D46" s="333"/>
      <c r="E46" s="1028" t="s">
        <v>57</v>
      </c>
      <c r="F46" s="600" t="s">
        <v>54</v>
      </c>
      <c r="G46" s="6"/>
      <c r="H46" s="316"/>
      <c r="I46" s="318"/>
      <c r="J46" s="753"/>
    </row>
    <row r="47" spans="1:10" s="1910" customFormat="1" ht="22.5" hidden="1" customHeight="1">
      <c r="A47" s="665"/>
      <c r="B47" s="320"/>
      <c r="C47" s="315"/>
      <c r="D47" s="317"/>
      <c r="E47" s="1028" t="s">
        <v>58</v>
      </c>
      <c r="F47" s="600" t="s">
        <v>54</v>
      </c>
      <c r="G47" s="6"/>
      <c r="I47" s="318"/>
      <c r="J47" s="753"/>
    </row>
    <row r="48" spans="1:10" s="1832" customFormat="1" ht="6" hidden="1" customHeight="1">
      <c r="A48" s="665"/>
      <c r="B48" s="147"/>
      <c r="C48" s="148"/>
      <c r="D48" s="149"/>
      <c r="E48" s="150"/>
      <c r="F48" s="923"/>
      <c r="G48" s="6"/>
      <c r="H48" s="316"/>
      <c r="I48" s="318"/>
      <c r="J48" s="753"/>
    </row>
    <row r="49" spans="1:16" ht="22.5" hidden="1" customHeight="1">
      <c r="B49" s="68"/>
      <c r="D49" s="7"/>
      <c r="E49" s="29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00"/>
      <c r="G49" s="6"/>
    </row>
    <row r="50" spans="1:16" s="1832" customFormat="1" ht="6" hidden="1" customHeight="1">
      <c r="A50" s="666"/>
      <c r="B50" s="331"/>
      <c r="C50" s="332"/>
      <c r="D50" s="153"/>
      <c r="E50" s="151"/>
      <c r="F50" s="154"/>
      <c r="G50" s="9"/>
      <c r="H50" s="316"/>
      <c r="I50" s="318"/>
      <c r="J50" s="753"/>
    </row>
    <row r="51" spans="1:16" s="1910" customFormat="1" ht="22.5" hidden="1" customHeight="1">
      <c r="A51" s="667"/>
      <c r="B51" s="320"/>
      <c r="C51" s="428"/>
      <c r="D51" s="429"/>
      <c r="E51" s="298" t="s">
        <v>59</v>
      </c>
      <c r="F51" s="600" t="s">
        <v>54</v>
      </c>
      <c r="G51" s="430"/>
      <c r="I51" s="431"/>
      <c r="J51" s="755"/>
      <c r="P51" s="432"/>
    </row>
    <row r="52" spans="1:16" s="1832" customFormat="1" ht="6" hidden="1" customHeight="1">
      <c r="A52" s="666"/>
      <c r="B52" s="331"/>
      <c r="C52" s="332"/>
      <c r="D52" s="153"/>
      <c r="E52" s="151"/>
      <c r="F52" s="154"/>
      <c r="G52" s="9"/>
      <c r="H52" s="316"/>
      <c r="I52" s="318"/>
      <c r="J52" s="751"/>
    </row>
    <row r="53" spans="1:16" s="1910" customFormat="1" ht="22.5" hidden="1" customHeight="1">
      <c r="A53" s="667"/>
      <c r="B53" s="320"/>
      <c r="C53" s="428"/>
      <c r="D53" s="429"/>
      <c r="E53" s="298" t="s">
        <v>60</v>
      </c>
      <c r="F53" s="918" t="s">
        <v>54</v>
      </c>
      <c r="G53" s="430"/>
      <c r="I53" s="431"/>
      <c r="J53" s="755"/>
      <c r="P53" s="432"/>
    </row>
    <row r="54" spans="1:16" s="1910" customFormat="1" ht="22.5" hidden="1" customHeight="1">
      <c r="A54" s="667"/>
      <c r="B54" s="320"/>
      <c r="C54" s="428"/>
      <c r="D54" s="429"/>
      <c r="E54" s="298" t="s">
        <v>61</v>
      </c>
      <c r="F54" s="1617"/>
      <c r="G54" s="430"/>
      <c r="I54" s="431"/>
      <c r="J54" s="755"/>
      <c r="P54" s="432"/>
    </row>
    <row r="55" spans="1:16" s="1832" customFormat="1" ht="6" hidden="1" customHeight="1">
      <c r="A55" s="666"/>
      <c r="B55" s="331"/>
      <c r="C55" s="332"/>
      <c r="D55" s="153"/>
      <c r="E55" s="151"/>
      <c r="F55" s="154"/>
      <c r="G55" s="9"/>
      <c r="H55" s="316"/>
      <c r="I55" s="318"/>
      <c r="J55" s="751"/>
    </row>
    <row r="56" spans="1:16" s="1910" customFormat="1" ht="22.5" hidden="1" customHeight="1">
      <c r="A56" s="667"/>
      <c r="B56" s="320"/>
      <c r="C56" s="428"/>
      <c r="D56" s="429"/>
      <c r="E56" s="298" t="s">
        <v>62</v>
      </c>
      <c r="F56" s="918" t="s">
        <v>54</v>
      </c>
      <c r="G56" s="430"/>
      <c r="I56" s="431"/>
      <c r="J56" s="755"/>
      <c r="P56" s="432"/>
    </row>
    <row r="57" spans="1:16" s="1832" customFormat="1" ht="6" hidden="1" customHeight="1">
      <c r="A57" s="666"/>
      <c r="B57" s="331"/>
      <c r="C57" s="332"/>
      <c r="D57" s="153"/>
      <c r="E57" s="151"/>
      <c r="F57" s="154"/>
      <c r="G57" s="9"/>
      <c r="H57" s="316"/>
      <c r="I57" s="318"/>
      <c r="J57" s="751"/>
    </row>
    <row r="58" spans="1:16" s="1910" customFormat="1" ht="15" hidden="1" customHeight="1">
      <c r="A58" s="667"/>
      <c r="B58" s="320"/>
      <c r="C58" s="428"/>
      <c r="D58" s="429"/>
      <c r="E58" s="298" t="s">
        <v>63</v>
      </c>
      <c r="F58" s="918" t="s">
        <v>64</v>
      </c>
      <c r="G58" s="430"/>
      <c r="I58" s="431"/>
      <c r="J58" s="755"/>
      <c r="P58" s="432"/>
    </row>
    <row r="59" spans="1:16" s="1910" customFormat="1" ht="67.5" hidden="1" customHeight="1">
      <c r="A59" s="667"/>
      <c r="B59" s="320"/>
      <c r="C59" s="428"/>
      <c r="D59" s="429"/>
      <c r="E59" s="29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054"/>
      <c r="G59" s="430"/>
      <c r="I59" s="431"/>
      <c r="J59" s="755"/>
      <c r="P59" s="432"/>
    </row>
    <row r="60" spans="1:16" s="1910" customFormat="1" ht="15" hidden="1" customHeight="1">
      <c r="A60" s="667"/>
      <c r="B60" s="320"/>
      <c r="C60" s="428"/>
      <c r="D60" s="429"/>
      <c r="E60" s="1028" t="s">
        <v>65</v>
      </c>
      <c r="F60" s="1014"/>
      <c r="G60" s="430"/>
      <c r="I60" s="431"/>
      <c r="J60" s="755"/>
      <c r="P60" s="432"/>
    </row>
    <row r="61" spans="1:16" s="1832" customFormat="1" ht="6" hidden="1" customHeight="1">
      <c r="A61" s="666"/>
      <c r="B61" s="331"/>
      <c r="C61" s="332"/>
      <c r="D61" s="333"/>
      <c r="E61" s="334"/>
      <c r="F61" s="923"/>
      <c r="G61" s="6"/>
      <c r="H61" s="316"/>
      <c r="I61" s="318"/>
      <c r="J61" s="753"/>
    </row>
    <row r="62" spans="1:16" s="1910" customFormat="1" ht="33.75" hidden="1" customHeight="1">
      <c r="A62" s="666"/>
      <c r="B62" s="27"/>
      <c r="C62" s="315"/>
      <c r="D62" s="317"/>
      <c r="E62" s="1028" t="s">
        <v>66</v>
      </c>
      <c r="F62" s="1516" t="s">
        <v>64</v>
      </c>
      <c r="G62" s="6"/>
      <c r="H62" s="655" t="s">
        <v>19</v>
      </c>
      <c r="I62" s="318"/>
      <c r="J62" s="753"/>
    </row>
    <row r="63" spans="1:16" s="1832" customFormat="1" ht="6" customHeight="1">
      <c r="A63" s="666"/>
      <c r="B63" s="147"/>
      <c r="C63" s="148"/>
      <c r="D63" s="153"/>
      <c r="E63" s="151"/>
      <c r="F63" s="154"/>
      <c r="G63" s="9"/>
      <c r="H63" s="316"/>
      <c r="I63" s="318"/>
      <c r="J63" s="751"/>
    </row>
    <row r="64" spans="1:16" ht="19.5" customHeight="1">
      <c r="A64" s="668"/>
      <c r="B64" s="28"/>
      <c r="D64" s="14"/>
      <c r="E64" s="298" t="s">
        <v>67</v>
      </c>
      <c r="F64" s="132" t="s">
        <v>68</v>
      </c>
      <c r="G64" s="9"/>
    </row>
    <row r="65" spans="1:9" ht="19.5" customHeight="1">
      <c r="A65" s="668"/>
      <c r="B65" s="28"/>
      <c r="D65" s="14"/>
      <c r="E65" s="298" t="s">
        <v>69</v>
      </c>
      <c r="F65" s="132" t="s">
        <v>70</v>
      </c>
      <c r="G65" s="9"/>
    </row>
    <row r="66" spans="1:9" ht="35.25" customHeight="1">
      <c r="D66" s="7"/>
      <c r="E66" s="300" t="s">
        <v>71</v>
      </c>
      <c r="F66" s="924"/>
      <c r="G66" s="6"/>
    </row>
    <row r="67" spans="1:9" ht="19.5" customHeight="1">
      <c r="A67" s="668"/>
      <c r="D67" s="317"/>
      <c r="E67" s="298" t="s">
        <v>72</v>
      </c>
      <c r="F67" s="185" t="s">
        <v>73</v>
      </c>
      <c r="G67" s="9"/>
    </row>
    <row r="68" spans="1:9" ht="19.5" customHeight="1">
      <c r="A68" s="668"/>
      <c r="B68" s="28"/>
      <c r="D68" s="14"/>
      <c r="E68" s="298" t="s">
        <v>74</v>
      </c>
      <c r="F68" s="185" t="s">
        <v>75</v>
      </c>
      <c r="G68" s="9"/>
    </row>
    <row r="69" spans="1:9" ht="19.5" customHeight="1">
      <c r="A69" s="668"/>
      <c r="B69" s="28"/>
      <c r="D69" s="14"/>
      <c r="E69" s="298" t="s">
        <v>76</v>
      </c>
      <c r="F69" s="185" t="s">
        <v>77</v>
      </c>
      <c r="G69" s="9"/>
    </row>
    <row r="70" spans="1:9" ht="19.5" customHeight="1">
      <c r="D70" s="317"/>
      <c r="E70" s="298" t="s">
        <v>78</v>
      </c>
      <c r="F70" s="1963" t="s">
        <v>79</v>
      </c>
      <c r="G70" s="6"/>
    </row>
    <row r="71" spans="1:9" ht="20.25" customHeight="1">
      <c r="A71" s="668"/>
      <c r="D71" s="6"/>
      <c r="F71" s="55"/>
      <c r="G71" s="9"/>
    </row>
    <row r="72" spans="1:9" ht="19.5" customHeight="1">
      <c r="A72" s="668"/>
      <c r="B72" s="28"/>
      <c r="D72" s="14"/>
      <c r="E72" s="13"/>
      <c r="F72" s="56"/>
      <c r="G72" s="9"/>
    </row>
    <row r="73" spans="1:9" ht="19.5" customHeight="1">
      <c r="A73" s="668"/>
      <c r="B73" s="28"/>
      <c r="D73" s="14"/>
      <c r="E73" s="13"/>
      <c r="F73" s="56"/>
      <c r="G73" s="9"/>
    </row>
    <row r="74" spans="1:9" ht="19.5" customHeight="1">
      <c r="A74" s="668"/>
      <c r="B74" s="28"/>
      <c r="D74" s="14"/>
      <c r="E74" s="18"/>
      <c r="F74" s="56"/>
      <c r="G74" s="9"/>
    </row>
    <row r="75" spans="1:9" ht="19.5" customHeight="1">
      <c r="A75" s="668"/>
      <c r="B75" s="28"/>
      <c r="D75" s="14"/>
      <c r="E75" s="13"/>
      <c r="F75" s="56"/>
      <c r="G75" s="9"/>
    </row>
    <row r="78" spans="1:9" ht="11.25" customHeight="1">
      <c r="E78" s="297"/>
      <c r="F78" s="297"/>
      <c r="G78" s="297"/>
      <c r="H78" s="297"/>
      <c r="I78" s="297"/>
    </row>
  </sheetData>
  <sheetProtection formatColumns="0" formatRows="0" insertRows="0" deleteColumns="0" deleteRows="0" sort="0" autoFilter="0"/>
  <mergeCells count="3">
    <mergeCell ref="E5:F5"/>
    <mergeCell ref="J18:J19"/>
    <mergeCell ref="A11:A12"/>
  </mergeCells>
  <dataValidations count="11">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7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s>
  <hyperlinks>
    <hyperlink ref="H11" location="Титульный!H9" tooltip="Помощь по работе с полями отчётной формы" display="Как заполнить?" xr:uid="{306094E1-93C4-DE9C-E01E-EB66DBBEDE51}"/>
    <hyperlink ref="H17" location="Титульный!H9" tooltip="Помощь по работе с полями отчётной формы" display="Как заполнить?" xr:uid="{CA15F8B5-65BA-A924-3194-C34FE3EAF5C3}"/>
    <hyperlink ref="H39" location="Титульный!H9" tooltip="Помощь по работе с полями отчётной формы" display="Как заполнить?" xr:uid="{1C56BFD9-16F9-53CF-342A-920BA9D7ED8D}"/>
    <hyperlink ref="H62" location="Титульный!H9" tooltip="Помощь по работе с полями отчётной формы" display="Как заполнить?" xr:uid="{19C0105F-F3A2-3AE8-0FAF-121A4313FD88}"/>
    <hyperlink ref="F70" r:id="rId1" xr:uid="{82D8BCA5-02C2-731B-7FC7-7AD4FF59F652}"/>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6FBA5-28DD-E8A2-6493-E23510A3AF62}">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903" hidden="1"/>
    <col min="2" max="2" width="11" style="1903" hidden="1" customWidth="1"/>
    <col min="3" max="3" width="10.5703125" style="1903" hidden="1"/>
    <col min="4" max="4" width="11.85546875" style="1903" hidden="1" customWidth="1"/>
    <col min="5" max="5" width="10" style="1903" hidden="1" customWidth="1"/>
    <col min="6" max="6" width="8.7109375" style="1903" hidden="1" customWidth="1"/>
    <col min="7" max="7" width="7.5703125" style="1903" hidden="1" customWidth="1"/>
    <col min="8" max="8" width="11.42578125" style="1903" hidden="1" customWidth="1"/>
    <col min="9" max="9" width="12" style="1903" hidden="1" customWidth="1"/>
    <col min="10" max="10" width="9.85546875" style="1903" hidden="1" customWidth="1"/>
    <col min="11" max="11" width="11.42578125" style="1903" hidden="1" customWidth="1"/>
    <col min="12" max="12" width="19.140625" style="1953" hidden="1" customWidth="1"/>
    <col min="13" max="14" width="12.28515625" style="1839" hidden="1" customWidth="1"/>
    <col min="15" max="15" width="23.42578125" style="1839" hidden="1" customWidth="1"/>
    <col min="16" max="16" width="3.7109375" style="1839" hidden="1" customWidth="1"/>
    <col min="17" max="17" width="3.7109375" style="1833" hidden="1" customWidth="1"/>
    <col min="18" max="18" width="3.7109375" style="1906" customWidth="1"/>
    <col min="19" max="19" width="12.7109375" style="1951" customWidth="1"/>
    <col min="20" max="20" width="32" style="1910" customWidth="1"/>
    <col min="21" max="21" width="0.140625" style="1910" customWidth="1"/>
    <col min="22" max="23" width="21.7109375" style="1910" hidden="1" customWidth="1"/>
    <col min="24" max="24" width="11.7109375" style="1910" hidden="1" customWidth="1"/>
    <col min="25" max="25" width="3.7109375" style="1910" hidden="1" customWidth="1"/>
    <col min="26" max="26" width="11.7109375" style="1910" hidden="1" customWidth="1"/>
    <col min="27" max="27" width="8.5703125" style="1910" hidden="1" customWidth="1"/>
    <col min="28" max="28" width="5.42578125" style="1910" customWidth="1"/>
    <col min="29" max="30" width="3.7109375" style="1910" customWidth="1"/>
    <col min="31" max="31" width="24.7109375" style="1910" customWidth="1"/>
    <col min="32" max="34" width="3.7109375" style="1910" customWidth="1"/>
    <col min="35" max="35" width="24.7109375" style="1910" customWidth="1"/>
    <col min="36" max="38" width="3.7109375" style="1910" customWidth="1"/>
    <col min="39" max="39" width="18.85546875" style="1910" customWidth="1"/>
    <col min="40" max="41" width="21.7109375" style="1910" customWidth="1"/>
    <col min="42" max="42" width="11.7109375" style="1910" customWidth="1"/>
    <col min="43" max="43" width="3.7109375" style="1910" customWidth="1"/>
    <col min="44" max="44" width="11.7109375" style="1910" customWidth="1"/>
    <col min="45" max="45" width="8.5703125" style="1910" customWidth="1"/>
    <col min="46" max="46" width="4.7109375" style="1910" customWidth="1"/>
    <col min="47" max="47" width="115.7109375" style="1910" customWidth="1"/>
    <col min="48" max="49" width="10.5703125" style="1866"/>
    <col min="50" max="50" width="11.140625" style="1866" customWidth="1"/>
    <col min="51" max="52" width="10.5703125" style="1866"/>
  </cols>
  <sheetData>
    <row r="1" spans="1:52" ht="14.25" hidden="1" customHeight="1">
      <c r="W1" s="238"/>
      <c r="X1" s="238"/>
      <c r="AO1" s="238"/>
      <c r="AP1" s="238"/>
    </row>
    <row r="2" spans="1:52" ht="21" hidden="1" customHeight="1">
      <c r="A2" s="1224"/>
      <c r="B2" s="1224"/>
      <c r="C2" s="1224"/>
      <c r="D2" s="1224"/>
      <c r="E2" s="3528">
        <v>1</v>
      </c>
      <c r="F2" s="1224"/>
      <c r="G2" s="1224"/>
      <c r="H2" s="1224"/>
      <c r="I2" s="1224"/>
      <c r="J2" s="1224"/>
      <c r="K2" s="1224"/>
      <c r="L2" s="1225"/>
      <c r="M2" s="1226"/>
      <c r="N2" s="1226"/>
      <c r="O2" s="1226"/>
      <c r="P2" s="1270"/>
      <c r="Q2" s="750"/>
      <c r="R2" s="264"/>
      <c r="S2" s="1198" t="e">
        <f>INDEX(PT_DIFFERENTIATION_NUM_NTAR,MATCH(A2,PT_DIFFERENTIATION_NTAR_ID,0))</f>
        <v>#N/A</v>
      </c>
      <c r="T2" s="209" t="s">
        <v>391</v>
      </c>
      <c r="U2" s="211"/>
      <c r="V2" s="3523"/>
      <c r="W2" s="3523"/>
      <c r="X2" s="3523"/>
      <c r="Y2" s="3523"/>
      <c r="Z2" s="3523"/>
      <c r="AA2" s="3524"/>
      <c r="AB2" s="3522" t="e">
        <f>INDEX(PT_DIFFERENTIATION_NTAR,MATCH(A2,PT_DIFFERENTIATION_NTAR_ID,0))</f>
        <v>#N/A</v>
      </c>
      <c r="AC2" s="3523"/>
      <c r="AD2" s="3523"/>
      <c r="AE2" s="3523"/>
      <c r="AF2" s="3523"/>
      <c r="AG2" s="3523"/>
      <c r="AH2" s="3523"/>
      <c r="AI2" s="3523"/>
      <c r="AJ2" s="3523"/>
      <c r="AK2" s="3523"/>
      <c r="AL2" s="3523"/>
      <c r="AM2" s="3523"/>
      <c r="AN2" s="3523"/>
      <c r="AO2" s="3523"/>
      <c r="AP2" s="3523"/>
      <c r="AQ2" s="3523"/>
      <c r="AR2" s="3523"/>
      <c r="AS2" s="3523"/>
      <c r="AT2" s="3524"/>
      <c r="AU2" s="1124" t="s">
        <v>658</v>
      </c>
      <c r="AW2" s="398"/>
      <c r="AX2" s="398" t="str">
        <f t="shared" ref="AX2:AX8" si="0">IF(T2="","",T2)</f>
        <v>Наименование тарифа</v>
      </c>
      <c r="AY2" s="398"/>
      <c r="AZ2" s="398"/>
    </row>
    <row r="3" spans="1:52" ht="21" hidden="1" customHeight="1">
      <c r="A3" s="1224"/>
      <c r="B3" s="1224"/>
      <c r="C3" s="1224"/>
      <c r="D3" s="1224"/>
      <c r="E3" s="3529"/>
      <c r="F3" s="3528">
        <v>1</v>
      </c>
      <c r="G3" s="1224"/>
      <c r="H3" s="1224"/>
      <c r="I3" s="1224"/>
      <c r="J3" s="1224"/>
      <c r="K3" s="1224"/>
      <c r="L3" s="1225"/>
      <c r="M3" s="1226"/>
      <c r="N3" s="1226"/>
      <c r="O3" s="1226"/>
      <c r="P3" s="1271"/>
      <c r="Q3" s="1272"/>
      <c r="R3" s="262"/>
      <c r="S3" s="1198" t="e">
        <f>INDEX(PT_DIFFERENTIATION_NUM_TER,MATCH(B3,PT_DIFFERENTIATION_TER_ID,0))</f>
        <v>#N/A</v>
      </c>
      <c r="T3" s="219" t="s">
        <v>659</v>
      </c>
      <c r="U3" s="211"/>
      <c r="V3" s="3523"/>
      <c r="W3" s="3523"/>
      <c r="X3" s="3523"/>
      <c r="Y3" s="3523"/>
      <c r="Z3" s="3523"/>
      <c r="AA3" s="3524"/>
      <c r="AB3" s="3522" t="e">
        <f>INDEX(PT_DIFFERENTIATION_TER,MATCH(B3,PT_DIFFERENTIATION_TER_ID,0))</f>
        <v>#N/A</v>
      </c>
      <c r="AC3" s="3523"/>
      <c r="AD3" s="3523"/>
      <c r="AE3" s="3523"/>
      <c r="AF3" s="3523"/>
      <c r="AG3" s="3523"/>
      <c r="AH3" s="3523"/>
      <c r="AI3" s="3523"/>
      <c r="AJ3" s="3523"/>
      <c r="AK3" s="3523"/>
      <c r="AL3" s="3523"/>
      <c r="AM3" s="3523"/>
      <c r="AN3" s="3523"/>
      <c r="AO3" s="3523"/>
      <c r="AP3" s="3523"/>
      <c r="AQ3" s="3523"/>
      <c r="AR3" s="3523"/>
      <c r="AS3" s="3523"/>
      <c r="AT3" s="3524"/>
      <c r="AU3" s="1124" t="s">
        <v>660</v>
      </c>
      <c r="AW3" s="398"/>
      <c r="AX3" s="398" t="str">
        <f t="shared" si="0"/>
        <v>Территория действия тарифа</v>
      </c>
      <c r="AY3" s="398"/>
      <c r="AZ3" s="398"/>
    </row>
    <row r="4" spans="1:52" ht="22.5" hidden="1" customHeight="1">
      <c r="A4" s="1224"/>
      <c r="B4" s="1224"/>
      <c r="C4" s="1224"/>
      <c r="D4" s="1224"/>
      <c r="E4" s="3529"/>
      <c r="F4" s="3529"/>
      <c r="G4" s="3528">
        <v>1</v>
      </c>
      <c r="H4" s="1224"/>
      <c r="I4" s="1224"/>
      <c r="J4" s="1224"/>
      <c r="K4" s="1224"/>
      <c r="L4" s="1225"/>
      <c r="M4" s="1226"/>
      <c r="N4" s="1226"/>
      <c r="O4" s="1226"/>
      <c r="P4" s="1273"/>
      <c r="Q4" s="1272"/>
      <c r="R4" s="262"/>
      <c r="S4" s="1198" t="e">
        <f>INDEX(PT_DIFFERENTIATION_NUM_CS,MATCH(C4,PT_DIFFERENTIATION_CS_ID,0))</f>
        <v>#N/A</v>
      </c>
      <c r="T4" s="220" t="s">
        <v>661</v>
      </c>
      <c r="U4" s="211"/>
      <c r="V4" s="3523"/>
      <c r="W4" s="3523"/>
      <c r="X4" s="3523"/>
      <c r="Y4" s="3523"/>
      <c r="Z4" s="3523"/>
      <c r="AA4" s="3524"/>
      <c r="AB4" s="3522" t="e">
        <f>INDEX(PT_DIFFERENTIATION_CS,MATCH(C4,PT_DIFFERENTIATION_CS_ID,0))</f>
        <v>#N/A</v>
      </c>
      <c r="AC4" s="3523"/>
      <c r="AD4" s="3523"/>
      <c r="AE4" s="3523"/>
      <c r="AF4" s="3523"/>
      <c r="AG4" s="3523"/>
      <c r="AH4" s="3523"/>
      <c r="AI4" s="3523"/>
      <c r="AJ4" s="3523"/>
      <c r="AK4" s="3523"/>
      <c r="AL4" s="3523"/>
      <c r="AM4" s="3523"/>
      <c r="AN4" s="3523"/>
      <c r="AO4" s="3523"/>
      <c r="AP4" s="3523"/>
      <c r="AQ4" s="3523"/>
      <c r="AR4" s="3523"/>
      <c r="AS4" s="3523"/>
      <c r="AT4" s="3524"/>
      <c r="AU4" s="1124" t="s">
        <v>662</v>
      </c>
      <c r="AW4" s="398"/>
      <c r="AX4" s="398" t="str">
        <f t="shared" si="0"/>
        <v xml:space="preserve">Наименование системы теплоснабжения </v>
      </c>
      <c r="AY4" s="398"/>
      <c r="AZ4" s="398"/>
    </row>
    <row r="5" spans="1:52" ht="21" hidden="1" customHeight="1">
      <c r="A5" s="1224"/>
      <c r="B5" s="1224"/>
      <c r="C5" s="1224"/>
      <c r="D5" s="1224"/>
      <c r="E5" s="3529"/>
      <c r="F5" s="3529"/>
      <c r="G5" s="3529"/>
      <c r="H5" s="3528">
        <v>1</v>
      </c>
      <c r="I5" s="1224"/>
      <c r="J5" s="1224"/>
      <c r="K5" s="1224"/>
      <c r="L5" s="1225"/>
      <c r="M5" s="1226"/>
      <c r="N5" s="1226"/>
      <c r="O5" s="1226"/>
      <c r="P5" s="1273"/>
      <c r="Q5" s="1272"/>
      <c r="R5" s="262"/>
      <c r="S5" s="1198" t="e">
        <f>INDEX(PT_DIFFERENTIATION_NUM_IST_TE,MATCH(D5,PT_DIFFERENTIATION_IST_TE_ID,0))</f>
        <v>#N/A</v>
      </c>
      <c r="T5" s="221" t="s">
        <v>663</v>
      </c>
      <c r="U5" s="211"/>
      <c r="V5" s="3523"/>
      <c r="W5" s="3523"/>
      <c r="X5" s="3523"/>
      <c r="Y5" s="3523"/>
      <c r="Z5" s="3523"/>
      <c r="AA5" s="3524"/>
      <c r="AB5" s="3522" t="e">
        <f>INDEX(PT_DIFFERENTIATION_IST_TE,MATCH(D5,PT_DIFFERENTIATION_IST_TE_ID,0))</f>
        <v>#N/A</v>
      </c>
      <c r="AC5" s="3523"/>
      <c r="AD5" s="3523"/>
      <c r="AE5" s="3523"/>
      <c r="AF5" s="3523"/>
      <c r="AG5" s="3523"/>
      <c r="AH5" s="3523"/>
      <c r="AI5" s="3523"/>
      <c r="AJ5" s="3523"/>
      <c r="AK5" s="3523"/>
      <c r="AL5" s="3523"/>
      <c r="AM5" s="3523"/>
      <c r="AN5" s="3523"/>
      <c r="AO5" s="3523"/>
      <c r="AP5" s="3523"/>
      <c r="AQ5" s="3523"/>
      <c r="AR5" s="3523"/>
      <c r="AS5" s="3523"/>
      <c r="AT5" s="3524"/>
      <c r="AU5" s="1124" t="s">
        <v>664</v>
      </c>
      <c r="AW5" s="398"/>
      <c r="AX5" s="398" t="str">
        <f t="shared" si="0"/>
        <v xml:space="preserve">Источник тепловой энергии  </v>
      </c>
      <c r="AY5" s="398"/>
      <c r="AZ5" s="398"/>
    </row>
    <row r="6" spans="1:52" s="1866" customFormat="1" ht="14.25" hidden="1" customHeight="1">
      <c r="A6" s="1205"/>
      <c r="B6" s="1205"/>
      <c r="C6" s="1205"/>
      <c r="D6" s="1205"/>
      <c r="E6" s="3529"/>
      <c r="F6" s="3529"/>
      <c r="G6" s="3529"/>
      <c r="H6" s="3529"/>
      <c r="I6" s="3530" t="e">
        <f>S5&amp;".1"</f>
        <v>#N/A</v>
      </c>
      <c r="J6" s="1205"/>
      <c r="K6" s="1205"/>
      <c r="L6" s="1208" t="s">
        <v>665</v>
      </c>
      <c r="M6" s="408"/>
      <c r="N6" s="408"/>
      <c r="O6" s="408"/>
      <c r="P6" s="3532">
        <v>1</v>
      </c>
      <c r="Q6" s="1193"/>
      <c r="R6" s="265"/>
      <c r="S6" s="912"/>
      <c r="T6" s="1244"/>
      <c r="U6" s="1245"/>
      <c r="V6" s="3560"/>
      <c r="W6" s="3560"/>
      <c r="X6" s="3560"/>
      <c r="Y6" s="3560"/>
      <c r="Z6" s="3560"/>
      <c r="AA6" s="3561"/>
      <c r="AB6" s="3559"/>
      <c r="AC6" s="3560"/>
      <c r="AD6" s="3560"/>
      <c r="AE6" s="3560"/>
      <c r="AF6" s="3560"/>
      <c r="AG6" s="3560"/>
      <c r="AH6" s="3560"/>
      <c r="AI6" s="3560"/>
      <c r="AJ6" s="3560"/>
      <c r="AK6" s="3560"/>
      <c r="AL6" s="3560"/>
      <c r="AM6" s="3560"/>
      <c r="AN6" s="3560"/>
      <c r="AO6" s="3560"/>
      <c r="AP6" s="3560"/>
      <c r="AQ6" s="3560"/>
      <c r="AR6" s="3560"/>
      <c r="AS6" s="3560"/>
      <c r="AT6" s="3561"/>
      <c r="AU6" s="1246"/>
      <c r="AW6" s="398"/>
      <c r="AX6" s="398" t="str">
        <f t="shared" si="0"/>
        <v/>
      </c>
      <c r="AY6" s="398"/>
      <c r="AZ6" s="398"/>
    </row>
    <row r="7" spans="1:52" s="1866" customFormat="1" ht="14.25" hidden="1" customHeight="1">
      <c r="A7" s="1205"/>
      <c r="B7" s="1205"/>
      <c r="C7" s="1205"/>
      <c r="D7" s="1205"/>
      <c r="E7" s="3529"/>
      <c r="F7" s="3529"/>
      <c r="G7" s="3529"/>
      <c r="H7" s="3529"/>
      <c r="I7" s="3531"/>
      <c r="J7" s="3530" t="e">
        <f>S5&amp;".1"</f>
        <v>#N/A</v>
      </c>
      <c r="K7" s="1205"/>
      <c r="L7" s="1208"/>
      <c r="M7" s="408"/>
      <c r="N7" s="408"/>
      <c r="O7" s="408"/>
      <c r="P7" s="3532"/>
      <c r="Q7" s="3532">
        <v>1</v>
      </c>
      <c r="R7" s="266"/>
      <c r="S7" s="912"/>
      <c r="T7" s="1260"/>
      <c r="U7" s="1245"/>
      <c r="V7" s="3560"/>
      <c r="W7" s="3560"/>
      <c r="X7" s="3560"/>
      <c r="Y7" s="3560"/>
      <c r="Z7" s="3560"/>
      <c r="AA7" s="3561"/>
      <c r="AB7" s="3559"/>
      <c r="AC7" s="3560"/>
      <c r="AD7" s="3560"/>
      <c r="AE7" s="3560"/>
      <c r="AF7" s="3560"/>
      <c r="AG7" s="3560"/>
      <c r="AH7" s="3560"/>
      <c r="AI7" s="3560"/>
      <c r="AJ7" s="3560"/>
      <c r="AK7" s="3560"/>
      <c r="AL7" s="3560"/>
      <c r="AM7" s="3560"/>
      <c r="AN7" s="3560"/>
      <c r="AO7" s="3560"/>
      <c r="AP7" s="3560"/>
      <c r="AQ7" s="3560"/>
      <c r="AR7" s="3560"/>
      <c r="AS7" s="3560"/>
      <c r="AT7" s="3561"/>
      <c r="AU7" s="1246"/>
      <c r="AW7" s="398"/>
      <c r="AX7" s="398" t="str">
        <f t="shared" si="0"/>
        <v/>
      </c>
      <c r="AY7" s="398"/>
      <c r="AZ7" s="398"/>
    </row>
    <row r="8" spans="1:52" ht="21" hidden="1" customHeight="1">
      <c r="A8" s="1224"/>
      <c r="B8" s="1224"/>
      <c r="C8" s="1224"/>
      <c r="D8" s="1224"/>
      <c r="E8" s="3529"/>
      <c r="F8" s="3529"/>
      <c r="G8" s="3529"/>
      <c r="H8" s="3529"/>
      <c r="I8" s="3531"/>
      <c r="J8" s="3531"/>
      <c r="K8" s="3530" t="e">
        <f>S5&amp;".1"</f>
        <v>#N/A</v>
      </c>
      <c r="L8" s="1225"/>
      <c r="P8" s="3532"/>
      <c r="Q8" s="3532"/>
      <c r="R8" s="3581">
        <v>1</v>
      </c>
      <c r="S8" s="3578" t="e">
        <f>$K8</f>
        <v>#N/A</v>
      </c>
      <c r="T8" s="3575"/>
      <c r="U8" s="211"/>
      <c r="V8" s="639"/>
      <c r="W8" s="1123"/>
      <c r="X8" s="3533"/>
      <c r="Y8" s="3412" t="s">
        <v>64</v>
      </c>
      <c r="Z8" s="3533"/>
      <c r="AA8" s="3412" t="s">
        <v>64</v>
      </c>
      <c r="AB8" s="3412" t="s">
        <v>54</v>
      </c>
      <c r="AC8" s="3574"/>
      <c r="AD8" s="3484">
        <v>1</v>
      </c>
      <c r="AE8" s="3587"/>
      <c r="AF8" s="3412" t="s">
        <v>54</v>
      </c>
      <c r="AG8" s="3574"/>
      <c r="AH8" s="3484">
        <v>1</v>
      </c>
      <c r="AI8" s="3587"/>
      <c r="AJ8" s="3412" t="s">
        <v>54</v>
      </c>
      <c r="AK8" s="222"/>
      <c r="AL8" s="1199">
        <v>1</v>
      </c>
      <c r="AM8" s="1259"/>
      <c r="AN8" s="639"/>
      <c r="AO8" s="1123"/>
      <c r="AP8" s="1577"/>
      <c r="AQ8" s="1317" t="s">
        <v>64</v>
      </c>
      <c r="AR8" s="1577"/>
      <c r="AS8" s="1317" t="s">
        <v>64</v>
      </c>
      <c r="AT8" s="1210"/>
      <c r="AU8" s="3551" t="s">
        <v>726</v>
      </c>
      <c r="AV8" s="409" t="e">
        <f ca="1">STRCHECKDATE(V11:AT11)</f>
        <v>#NAME?</v>
      </c>
      <c r="AW8" s="398"/>
      <c r="AX8" s="398" t="str">
        <f t="shared" si="0"/>
        <v/>
      </c>
      <c r="AY8" s="398"/>
      <c r="AZ8" s="398"/>
    </row>
    <row r="9" spans="1:52" ht="11.25" hidden="1" customHeight="1">
      <c r="A9" s="1224"/>
      <c r="B9" s="1224"/>
      <c r="C9" s="1224"/>
      <c r="D9" s="1224"/>
      <c r="E9" s="3529"/>
      <c r="F9" s="3529"/>
      <c r="G9" s="3529"/>
      <c r="H9" s="3529"/>
      <c r="I9" s="3531"/>
      <c r="J9" s="3531"/>
      <c r="K9" s="3530"/>
      <c r="L9" s="1225"/>
      <c r="P9" s="3532"/>
      <c r="Q9" s="3532"/>
      <c r="R9" s="3581"/>
      <c r="S9" s="3579"/>
      <c r="T9" s="3576"/>
      <c r="U9" s="211"/>
      <c r="V9" s="1254"/>
      <c r="W9" s="1258"/>
      <c r="X9" s="3533"/>
      <c r="Y9" s="3412"/>
      <c r="Z9" s="3533"/>
      <c r="AA9" s="3412"/>
      <c r="AB9" s="3412"/>
      <c r="AC9" s="3574"/>
      <c r="AD9" s="3484"/>
      <c r="AE9" s="3587"/>
      <c r="AF9" s="3412"/>
      <c r="AG9" s="3574"/>
      <c r="AH9" s="3484"/>
      <c r="AI9" s="3587"/>
      <c r="AJ9" s="3412"/>
      <c r="AK9" s="227"/>
      <c r="AL9" s="323"/>
      <c r="AM9" s="322" t="s">
        <v>727</v>
      </c>
      <c r="AN9" s="1254"/>
      <c r="AO9" s="1351"/>
      <c r="AP9" s="1254"/>
      <c r="AQ9" s="1254"/>
      <c r="AR9" s="1254"/>
      <c r="AS9" s="1254"/>
      <c r="AT9" s="1251"/>
      <c r="AU9" s="3552"/>
      <c r="AW9" s="398"/>
      <c r="AX9" s="398"/>
      <c r="AY9" s="398"/>
      <c r="AZ9" s="398"/>
    </row>
    <row r="10" spans="1:52" ht="11.25" hidden="1" customHeight="1">
      <c r="A10" s="1224"/>
      <c r="B10" s="1224"/>
      <c r="C10" s="1224"/>
      <c r="D10" s="1224"/>
      <c r="E10" s="3529"/>
      <c r="F10" s="3529"/>
      <c r="G10" s="3529"/>
      <c r="H10" s="3529"/>
      <c r="I10" s="3531"/>
      <c r="J10" s="3531"/>
      <c r="K10" s="3530"/>
      <c r="L10" s="1225"/>
      <c r="P10" s="3532"/>
      <c r="Q10" s="3532"/>
      <c r="R10" s="3581"/>
      <c r="S10" s="3579"/>
      <c r="T10" s="3576"/>
      <c r="U10" s="211"/>
      <c r="V10" s="1254"/>
      <c r="W10" s="1258"/>
      <c r="X10" s="3533"/>
      <c r="Y10" s="3412"/>
      <c r="Z10" s="3533"/>
      <c r="AA10" s="3412"/>
      <c r="AB10" s="3412"/>
      <c r="AC10" s="3574"/>
      <c r="AD10" s="3484"/>
      <c r="AE10" s="3587"/>
      <c r="AF10" s="3412"/>
      <c r="AG10" s="205"/>
      <c r="AH10" s="322"/>
      <c r="AI10" s="322" t="s">
        <v>728</v>
      </c>
      <c r="AJ10" s="1254"/>
      <c r="AK10" s="1254"/>
      <c r="AL10" s="1254"/>
      <c r="AM10" s="1254"/>
      <c r="AN10" s="1254"/>
      <c r="AO10" s="1351"/>
      <c r="AP10" s="1254"/>
      <c r="AQ10" s="1254"/>
      <c r="AR10" s="1254"/>
      <c r="AS10" s="1254"/>
      <c r="AT10" s="1251"/>
      <c r="AU10" s="3552"/>
      <c r="AW10" s="398"/>
      <c r="AX10" s="398"/>
      <c r="AY10" s="398"/>
      <c r="AZ10" s="398"/>
    </row>
    <row r="11" spans="1:52" ht="11.25" hidden="1" customHeight="1">
      <c r="A11" s="1224"/>
      <c r="B11" s="1224"/>
      <c r="C11" s="1224"/>
      <c r="D11" s="1224"/>
      <c r="E11" s="3529"/>
      <c r="F11" s="3529"/>
      <c r="G11" s="3529"/>
      <c r="H11" s="3529"/>
      <c r="I11" s="3531"/>
      <c r="J11" s="3531"/>
      <c r="K11" s="3530"/>
      <c r="L11" s="1225"/>
      <c r="P11" s="3532"/>
      <c r="Q11" s="3532"/>
      <c r="R11" s="3581"/>
      <c r="S11" s="3580"/>
      <c r="T11" s="3577"/>
      <c r="U11" s="211"/>
      <c r="V11" s="1254"/>
      <c r="W11" s="1257" t="str">
        <f>X8&amp;"-"&amp;Z8</f>
        <v>-</v>
      </c>
      <c r="X11" s="3534"/>
      <c r="Y11" s="3412"/>
      <c r="Z11" s="3534"/>
      <c r="AA11" s="3412"/>
      <c r="AB11" s="3412"/>
      <c r="AC11" s="223"/>
      <c r="AD11" s="225"/>
      <c r="AE11" s="322" t="s">
        <v>729</v>
      </c>
      <c r="AF11" s="1254"/>
      <c r="AG11" s="1254"/>
      <c r="AH11" s="1254"/>
      <c r="AI11" s="1254"/>
      <c r="AJ11" s="1254"/>
      <c r="AK11" s="1254"/>
      <c r="AL11" s="1254"/>
      <c r="AM11" s="1254"/>
      <c r="AN11" s="1254"/>
      <c r="AO11" s="1255" t="str">
        <f>AP8&amp;"-"&amp;AR8</f>
        <v>-</v>
      </c>
      <c r="AP11" s="1254"/>
      <c r="AQ11" s="1254"/>
      <c r="AR11" s="1254"/>
      <c r="AS11" s="1254"/>
      <c r="AT11" s="1211"/>
      <c r="AU11" s="3552"/>
      <c r="AW11" s="398"/>
      <c r="AX11" s="398" t="str">
        <f t="shared" ref="AX11:AX17" si="1">IF(T11="","",T11)</f>
        <v/>
      </c>
      <c r="AY11" s="398"/>
      <c r="AZ11" s="398"/>
    </row>
    <row r="12" spans="1:52" ht="11.25" hidden="1" customHeight="1">
      <c r="A12" s="1224"/>
      <c r="B12" s="1224"/>
      <c r="C12" s="1224"/>
      <c r="D12" s="1224"/>
      <c r="E12" s="3529"/>
      <c r="F12" s="3529"/>
      <c r="G12" s="3529"/>
      <c r="H12" s="3529"/>
      <c r="I12" s="3531"/>
      <c r="J12" s="3530"/>
      <c r="K12" s="1224"/>
      <c r="L12" s="1225"/>
      <c r="P12" s="3532"/>
      <c r="Q12" s="3532"/>
      <c r="R12" s="265"/>
      <c r="S12" s="1144"/>
      <c r="T12" s="199" t="s">
        <v>730</v>
      </c>
      <c r="U12" s="275"/>
      <c r="V12" s="275"/>
      <c r="W12" s="275"/>
      <c r="X12" s="275"/>
      <c r="Y12" s="275"/>
      <c r="Z12" s="275"/>
      <c r="AA12" s="275"/>
      <c r="AB12" s="275"/>
      <c r="AC12" s="275"/>
      <c r="AD12" s="275"/>
      <c r="AE12" s="275"/>
      <c r="AF12" s="275"/>
      <c r="AG12" s="275"/>
      <c r="AH12" s="275"/>
      <c r="AI12" s="275"/>
      <c r="AJ12" s="275"/>
      <c r="AK12" s="275"/>
      <c r="AL12" s="275"/>
      <c r="AM12" s="275"/>
      <c r="AN12" s="275"/>
      <c r="AO12" s="275"/>
      <c r="AP12" s="275"/>
      <c r="AQ12" s="275"/>
      <c r="AR12" s="275"/>
      <c r="AS12" s="275"/>
      <c r="AT12" s="235"/>
      <c r="AU12" s="3553"/>
      <c r="AW12" s="398"/>
      <c r="AX12" s="398" t="str">
        <f t="shared" si="1"/>
        <v>Добавить строку</v>
      </c>
      <c r="AY12" s="398"/>
      <c r="AZ12" s="398"/>
    </row>
    <row r="13" spans="1:52" s="1866" customFormat="1" ht="14.25" hidden="1" customHeight="1">
      <c r="A13" s="1205"/>
      <c r="B13" s="1205"/>
      <c r="C13" s="1205"/>
      <c r="D13" s="1205"/>
      <c r="E13" s="3529"/>
      <c r="F13" s="3529"/>
      <c r="G13" s="3529"/>
      <c r="H13" s="3529"/>
      <c r="I13" s="3530"/>
      <c r="J13" s="1205"/>
      <c r="K13" s="1205"/>
      <c r="L13" s="1208"/>
      <c r="M13" s="408"/>
      <c r="N13" s="408"/>
      <c r="O13" s="408"/>
      <c r="P13" s="3532"/>
      <c r="Q13" s="1193"/>
      <c r="R13" s="265"/>
      <c r="S13" s="1247"/>
      <c r="T13" s="1248"/>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T13" s="1249"/>
      <c r="AU13" s="1250"/>
      <c r="AW13" s="398"/>
      <c r="AX13" s="398" t="str">
        <f t="shared" si="1"/>
        <v/>
      </c>
      <c r="AY13" s="398"/>
      <c r="AZ13" s="398"/>
    </row>
    <row r="14" spans="1:52" s="1866" customFormat="1" ht="14.25" hidden="1" customHeight="1">
      <c r="A14" s="1205"/>
      <c r="B14" s="1205"/>
      <c r="C14" s="1205"/>
      <c r="D14" s="1205"/>
      <c r="E14" s="3529"/>
      <c r="F14" s="3529"/>
      <c r="G14" s="3529"/>
      <c r="H14" s="3528"/>
      <c r="I14" s="1205"/>
      <c r="J14" s="1205"/>
      <c r="K14" s="1205"/>
      <c r="L14" s="1208"/>
      <c r="M14" s="1178"/>
      <c r="N14" s="1178"/>
      <c r="O14" s="416"/>
      <c r="P14" s="287"/>
      <c r="Q14" s="1206"/>
      <c r="R14" s="1262"/>
      <c r="S14" s="1247"/>
      <c r="T14" s="1248"/>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50"/>
      <c r="AW14" s="398"/>
      <c r="AX14" s="398" t="str">
        <f t="shared" si="1"/>
        <v/>
      </c>
      <c r="AY14" s="398"/>
      <c r="AZ14" s="398"/>
    </row>
    <row r="15" spans="1:52" s="1866" customFormat="1" ht="14.25" hidden="1" customHeight="1">
      <c r="A15" s="1205"/>
      <c r="B15" s="1205"/>
      <c r="C15" s="1205"/>
      <c r="D15" s="1177"/>
      <c r="E15" s="3529"/>
      <c r="F15" s="3529"/>
      <c r="G15" s="3528"/>
      <c r="H15" s="1177"/>
      <c r="I15" s="1177"/>
      <c r="J15" s="1177"/>
      <c r="K15" s="1177"/>
      <c r="L15" s="1201"/>
      <c r="M15" s="1178"/>
      <c r="N15" s="1178"/>
      <c r="P15" s="1179"/>
      <c r="Q15" s="1180"/>
      <c r="R15" s="1179"/>
      <c r="S15" s="1185"/>
      <c r="T15" s="1188" t="s">
        <v>676</v>
      </c>
      <c r="U15" s="1187"/>
      <c r="V15" s="1187"/>
      <c r="W15" s="1187"/>
      <c r="X15" s="1187"/>
      <c r="Y15" s="1187"/>
      <c r="Z15" s="1187"/>
      <c r="AA15" s="1187"/>
      <c r="AB15" s="1187"/>
      <c r="AC15" s="1187"/>
      <c r="AD15" s="1187"/>
      <c r="AE15" s="1187"/>
      <c r="AF15" s="1187"/>
      <c r="AG15" s="1187"/>
      <c r="AH15" s="1187"/>
      <c r="AI15" s="1187"/>
      <c r="AJ15" s="1187"/>
      <c r="AK15" s="1187"/>
      <c r="AL15" s="1187"/>
      <c r="AM15" s="1187"/>
      <c r="AN15" s="1187"/>
      <c r="AO15" s="1187"/>
      <c r="AP15" s="1187"/>
      <c r="AQ15" s="1187"/>
      <c r="AR15" s="1187"/>
      <c r="AS15" s="1187"/>
      <c r="AT15" s="1187"/>
      <c r="AU15" s="1187"/>
      <c r="AW15" s="670"/>
      <c r="AX15" s="670" t="str">
        <f t="shared" si="1"/>
        <v>Добавить источник для дифференциации</v>
      </c>
      <c r="AY15" s="670"/>
      <c r="AZ15" s="670"/>
    </row>
    <row r="16" spans="1:52" s="1866" customFormat="1" ht="14.25" hidden="1" customHeight="1">
      <c r="A16" s="1205"/>
      <c r="B16" s="1205"/>
      <c r="C16" s="1177"/>
      <c r="D16" s="1177"/>
      <c r="E16" s="3529"/>
      <c r="F16" s="3528"/>
      <c r="G16" s="1177"/>
      <c r="H16" s="1177"/>
      <c r="I16" s="1177"/>
      <c r="J16" s="1177"/>
      <c r="K16" s="1177"/>
      <c r="L16" s="1201"/>
      <c r="M16" s="1184"/>
      <c r="N16" s="1184"/>
      <c r="P16" s="1179"/>
      <c r="Q16" s="1180"/>
      <c r="R16" s="1179"/>
      <c r="S16" s="1185"/>
      <c r="T16" s="1188" t="s">
        <v>677</v>
      </c>
      <c r="U16" s="1187"/>
      <c r="V16" s="1187"/>
      <c r="W16" s="1187"/>
      <c r="X16" s="1187"/>
      <c r="Y16" s="1187"/>
      <c r="Z16" s="1187"/>
      <c r="AA16" s="1187"/>
      <c r="AB16" s="1187"/>
      <c r="AC16" s="1187"/>
      <c r="AD16" s="1187"/>
      <c r="AE16" s="1187"/>
      <c r="AF16" s="1187"/>
      <c r="AG16" s="1187"/>
      <c r="AH16" s="1187"/>
      <c r="AI16" s="1187"/>
      <c r="AJ16" s="1187"/>
      <c r="AK16" s="1187"/>
      <c r="AL16" s="1187"/>
      <c r="AM16" s="1187"/>
      <c r="AN16" s="1187"/>
      <c r="AO16" s="1187"/>
      <c r="AP16" s="1187"/>
      <c r="AQ16" s="1187"/>
      <c r="AR16" s="1187"/>
      <c r="AS16" s="1187"/>
      <c r="AT16" s="1187"/>
      <c r="AU16" s="1187"/>
      <c r="AW16" s="670"/>
      <c r="AX16" s="670" t="str">
        <f t="shared" si="1"/>
        <v>Добавить централизованную систему для дифференциации</v>
      </c>
      <c r="AY16" s="670"/>
      <c r="AZ16" s="670"/>
    </row>
    <row r="17" spans="1:52" s="1866" customFormat="1" ht="14.25" hidden="1" customHeight="1">
      <c r="A17" s="1205"/>
      <c r="B17" s="1205"/>
      <c r="C17" s="1205"/>
      <c r="D17" s="1205"/>
      <c r="E17" s="3528"/>
      <c r="F17" s="1205"/>
      <c r="G17" s="1205"/>
      <c r="H17" s="1205"/>
      <c r="I17" s="1205"/>
      <c r="J17" s="1205"/>
      <c r="K17" s="1205"/>
      <c r="L17" s="1208"/>
      <c r="M17" s="1184"/>
      <c r="N17" s="1184"/>
      <c r="O17" s="416"/>
      <c r="P17" s="287"/>
      <c r="Q17" s="1206"/>
      <c r="R17" s="287"/>
      <c r="S17" s="1185"/>
      <c r="T17" s="1188" t="s">
        <v>678</v>
      </c>
      <c r="U17" s="1187"/>
      <c r="V17" s="1187"/>
      <c r="W17" s="1187"/>
      <c r="X17" s="1187"/>
      <c r="Y17" s="1187"/>
      <c r="Z17" s="1187"/>
      <c r="AA17" s="1187"/>
      <c r="AB17" s="1187"/>
      <c r="AC17" s="1187"/>
      <c r="AD17" s="1187"/>
      <c r="AE17" s="1187"/>
      <c r="AF17" s="1187"/>
      <c r="AG17" s="1187"/>
      <c r="AH17" s="1187"/>
      <c r="AI17" s="1187"/>
      <c r="AJ17" s="1187"/>
      <c r="AK17" s="1187"/>
      <c r="AL17" s="1187"/>
      <c r="AM17" s="1187"/>
      <c r="AN17" s="1187"/>
      <c r="AO17" s="1187"/>
      <c r="AP17" s="1187"/>
      <c r="AQ17" s="1187"/>
      <c r="AR17" s="1187"/>
      <c r="AS17" s="1187"/>
      <c r="AT17" s="1187"/>
      <c r="AU17" s="1187"/>
      <c r="AW17" s="398"/>
      <c r="AX17" s="398" t="str">
        <f t="shared" si="1"/>
        <v>Добавить территорию для дифференциации</v>
      </c>
      <c r="AY17" s="398"/>
      <c r="AZ17" s="398"/>
    </row>
    <row r="18" spans="1:52" ht="14.25" hidden="1" customHeight="1">
      <c r="AA18" s="238"/>
      <c r="AS18" s="238"/>
    </row>
    <row r="19" spans="1:52" ht="14.25" hidden="1" customHeight="1">
      <c r="AB19" s="1187" t="s">
        <v>54</v>
      </c>
      <c r="AC19" s="1356"/>
      <c r="AD19" s="445">
        <v>1</v>
      </c>
      <c r="AE19" s="1357"/>
      <c r="AF19" s="1187" t="s">
        <v>54</v>
      </c>
      <c r="AG19" s="1356"/>
      <c r="AH19" s="445">
        <v>1</v>
      </c>
      <c r="AI19" s="1357"/>
      <c r="AJ19" s="1187" t="s">
        <v>54</v>
      </c>
      <c r="AK19" s="1358"/>
      <c r="AL19" s="445">
        <v>1</v>
      </c>
      <c r="AM19" s="1361"/>
      <c r="AN19" s="1264"/>
      <c r="AO19" s="1265"/>
      <c r="AP19" s="1579"/>
      <c r="AQ19" s="1318" t="s">
        <v>64</v>
      </c>
      <c r="AR19" s="1579"/>
      <c r="AS19" s="1318" t="s">
        <v>64</v>
      </c>
    </row>
    <row r="20" spans="1:52" ht="14.25" hidden="1" customHeight="1">
      <c r="AV20" s="394"/>
      <c r="AW20" s="394"/>
      <c r="AX20" s="394"/>
      <c r="AY20" s="394"/>
      <c r="AZ20" s="394"/>
    </row>
    <row r="21" spans="1:52" ht="14.25" hidden="1" customHeight="1">
      <c r="O21" s="1228" t="s">
        <v>679</v>
      </c>
      <c r="X21" s="1207"/>
      <c r="Z21" s="1207"/>
      <c r="AA21" s="238"/>
      <c r="AP21" s="1207"/>
      <c r="AR21" s="1207"/>
      <c r="AS21" s="238"/>
      <c r="AV21" s="394"/>
      <c r="AW21" s="394"/>
      <c r="AX21" s="394"/>
      <c r="AY21" s="394"/>
      <c r="AZ21" s="394"/>
    </row>
    <row r="22" spans="1:52" ht="14.25" hidden="1" customHeight="1">
      <c r="AA22" s="238"/>
      <c r="AS22" s="238"/>
      <c r="AV22" s="394"/>
      <c r="AW22" s="394"/>
      <c r="AX22" s="394"/>
      <c r="AY22" s="394"/>
      <c r="AZ22" s="394"/>
    </row>
    <row r="23" spans="1:52" s="1841" customFormat="1" ht="14.25" hidden="1" customHeight="1">
      <c r="M23" s="1363"/>
      <c r="N23" s="1363"/>
      <c r="O23" s="1364" t="s">
        <v>680</v>
      </c>
      <c r="P23" s="1363"/>
      <c r="Q23" s="1365"/>
      <c r="R23" s="1365"/>
      <c r="Y23" s="1362" t="s">
        <v>682</v>
      </c>
      <c r="AA23" s="1362" t="s">
        <v>683</v>
      </c>
      <c r="AB23" s="1362" t="s">
        <v>731</v>
      </c>
      <c r="AE23" s="1362" t="s">
        <v>732</v>
      </c>
      <c r="AF23" s="1362" t="s">
        <v>731</v>
      </c>
      <c r="AI23" s="1362" t="s">
        <v>733</v>
      </c>
      <c r="AJ23" s="1362" t="s">
        <v>731</v>
      </c>
      <c r="AM23" s="1362" t="s">
        <v>734</v>
      </c>
      <c r="AQ23" s="1362" t="s">
        <v>682</v>
      </c>
      <c r="AS23" s="1362" t="s">
        <v>683</v>
      </c>
      <c r="AV23" s="1366"/>
      <c r="AW23" s="1366"/>
      <c r="AX23" s="1366"/>
      <c r="AY23" s="1366"/>
      <c r="AZ23" s="1366"/>
    </row>
    <row r="24" spans="1:52" ht="14.25" hidden="1" customHeight="1">
      <c r="O24" s="1225"/>
      <c r="AV24" s="394"/>
      <c r="AW24" s="394"/>
      <c r="AX24" s="394"/>
      <c r="AY24" s="394"/>
      <c r="AZ24" s="394"/>
    </row>
    <row r="25" spans="1:52" ht="14.25" hidden="1" customHeight="1">
      <c r="O25" s="1225"/>
      <c r="AV25" s="394"/>
      <c r="AW25" s="394"/>
      <c r="AX25" s="394"/>
      <c r="AY25" s="394"/>
      <c r="AZ25" s="394"/>
    </row>
    <row r="26" spans="1:52" ht="14.25" customHeight="1">
      <c r="Q26" s="203"/>
      <c r="R26" s="283"/>
      <c r="S26" s="1141"/>
      <c r="T26" s="272"/>
      <c r="U26" s="272"/>
      <c r="V26" s="407"/>
      <c r="W26" s="407"/>
      <c r="X26" s="407"/>
      <c r="Y26" s="407"/>
      <c r="Z26" s="407"/>
      <c r="AA26" s="407"/>
      <c r="AB26" s="407"/>
      <c r="AC26" s="407"/>
      <c r="AD26" s="407"/>
      <c r="AE26" s="407"/>
      <c r="AF26" s="407"/>
      <c r="AG26" s="407"/>
      <c r="AH26" s="407"/>
      <c r="AI26" s="407"/>
      <c r="AJ26" s="407"/>
      <c r="AK26" s="407"/>
      <c r="AL26" s="407"/>
      <c r="AM26" s="407"/>
      <c r="AN26" s="407"/>
      <c r="AO26" s="407"/>
      <c r="AP26" s="407"/>
      <c r="AQ26" s="407"/>
      <c r="AR26" s="407"/>
      <c r="AS26" s="407"/>
    </row>
    <row r="27" spans="1:52" ht="26.25" customHeight="1">
      <c r="Q27" s="203"/>
      <c r="R27" s="283"/>
      <c r="S27" s="350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509"/>
      <c r="U27" s="3509"/>
      <c r="V27" s="3509"/>
      <c r="W27" s="3509"/>
      <c r="X27" s="3509"/>
      <c r="Y27" s="3509"/>
      <c r="Z27" s="3509"/>
      <c r="AA27" s="3509"/>
      <c r="AB27" s="3509"/>
      <c r="AC27" s="3509"/>
      <c r="AD27" s="3509"/>
      <c r="AE27" s="3509"/>
      <c r="AF27" s="3509"/>
      <c r="AG27" s="3509"/>
      <c r="AH27" s="3509"/>
      <c r="AI27" s="3509"/>
      <c r="AJ27" s="3509"/>
      <c r="AK27" s="3509"/>
      <c r="AL27" s="3509"/>
      <c r="AM27" s="3509"/>
      <c r="AN27" s="3509"/>
      <c r="AO27" s="3509"/>
      <c r="AP27" s="3509"/>
      <c r="AQ27" s="3509"/>
      <c r="AR27" s="3509"/>
      <c r="AS27" s="1109"/>
    </row>
    <row r="28" spans="1:52" ht="14.25" customHeight="1">
      <c r="Q28" s="203"/>
      <c r="R28" s="283"/>
      <c r="S28" s="3480" t="str">
        <f>IF(org=0,"Не определено",org)</f>
        <v>АО "Орелгортеплоэнерго"</v>
      </c>
      <c r="T28" s="3480"/>
      <c r="U28" s="3480"/>
      <c r="V28" s="3480"/>
      <c r="W28" s="3480"/>
      <c r="X28" s="3480"/>
      <c r="Y28" s="3480"/>
      <c r="Z28" s="3480"/>
      <c r="AA28" s="3480"/>
      <c r="AB28" s="3480"/>
      <c r="AC28" s="3480"/>
      <c r="AD28" s="3480"/>
      <c r="AE28" s="3480"/>
      <c r="AF28" s="3480"/>
      <c r="AG28" s="3480"/>
      <c r="AH28" s="3480"/>
      <c r="AI28" s="3480"/>
      <c r="AJ28" s="3480"/>
      <c r="AK28" s="3480"/>
      <c r="AL28" s="3480"/>
      <c r="AM28" s="3480"/>
      <c r="AN28" s="3480"/>
      <c r="AO28" s="3480"/>
      <c r="AP28" s="3480"/>
      <c r="AQ28" s="3480"/>
      <c r="AR28" s="3480"/>
      <c r="AS28" s="1109"/>
    </row>
    <row r="29" spans="1:52" ht="14.25" hidden="1" customHeight="1">
      <c r="Q29" s="203"/>
      <c r="R29" s="283"/>
      <c r="S29" s="1141"/>
      <c r="T29" s="272"/>
      <c r="U29" s="272"/>
      <c r="V29" s="233"/>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407"/>
    </row>
    <row r="30" spans="1:52" s="1944" customFormat="1" ht="25.5" hidden="1" customHeight="1">
      <c r="A30" s="1229"/>
      <c r="B30" s="1229"/>
      <c r="C30" s="1229"/>
      <c r="D30" s="1229"/>
      <c r="E30" s="1229"/>
      <c r="F30" s="1229"/>
      <c r="G30" s="1229"/>
      <c r="H30" s="1229"/>
      <c r="I30" s="1229"/>
      <c r="J30" s="1229"/>
      <c r="K30" s="1229"/>
      <c r="L30" s="1230"/>
      <c r="M30" s="1229"/>
      <c r="N30" s="1229"/>
      <c r="O30" s="1229"/>
      <c r="P30" s="1229"/>
      <c r="Q30" s="1229"/>
      <c r="S30" s="3519" t="s">
        <v>38</v>
      </c>
      <c r="T30" s="3519"/>
      <c r="U30" s="1233"/>
      <c r="V30" s="3521" t="str">
        <f>IF(TITLE_NAME_OR_PR_CHANGE="",IF(TITLE_NAME_OR_PR="","",TITLE_NAME_OR_PR),TITLE_NAME_OR_PR_CHANGE)</f>
        <v/>
      </c>
      <c r="W30" s="3521"/>
      <c r="X30" s="3521"/>
      <c r="Y30" s="3521"/>
      <c r="Z30" s="3521"/>
      <c r="AA30" s="237"/>
      <c r="AB30" s="3521" t="str">
        <f>IF(TITLE_NAME_OR_PR_CHANGE="",IF(TITLE_NAME_OR_PR="","",TITLE_NAME_OR_PR),TITLE_NAME_OR_PR_CHANGE)</f>
        <v/>
      </c>
      <c r="AC30" s="3521"/>
      <c r="AD30" s="3521"/>
      <c r="AE30" s="3521"/>
      <c r="AF30" s="3521"/>
      <c r="AG30" s="3521"/>
      <c r="AH30" s="3521"/>
      <c r="AI30" s="3521"/>
      <c r="AJ30" s="3521"/>
      <c r="AK30" s="3521"/>
      <c r="AL30" s="3521"/>
      <c r="AM30" s="3521"/>
      <c r="AN30" s="3521"/>
      <c r="AO30" s="3521"/>
      <c r="AP30" s="3521"/>
      <c r="AQ30" s="3521"/>
      <c r="AR30" s="3521"/>
      <c r="AS30" s="237"/>
      <c r="AT30" s="237"/>
      <c r="AU30" s="193"/>
      <c r="AV30" s="276"/>
      <c r="AW30" s="276"/>
      <c r="AX30" s="276"/>
      <c r="AY30" s="276"/>
      <c r="AZ30" s="276"/>
    </row>
    <row r="31" spans="1:52" s="1944" customFormat="1" ht="18.75" hidden="1" customHeight="1">
      <c r="A31" s="1229"/>
      <c r="B31" s="1229"/>
      <c r="C31" s="1229"/>
      <c r="D31" s="1229"/>
      <c r="E31" s="1229"/>
      <c r="F31" s="1229"/>
      <c r="G31" s="1229"/>
      <c r="H31" s="1229"/>
      <c r="I31" s="1229"/>
      <c r="J31" s="1229"/>
      <c r="K31" s="1229"/>
      <c r="L31" s="1230"/>
      <c r="M31" s="1229"/>
      <c r="N31" s="1229"/>
      <c r="O31" s="1229"/>
      <c r="P31" s="1229"/>
      <c r="Q31" s="1229"/>
      <c r="S31" s="3519" t="s">
        <v>685</v>
      </c>
      <c r="T31" s="3519"/>
      <c r="U31" s="1233"/>
      <c r="V31" s="3520" t="str">
        <f>IF(TITLE_DATE_PR_CHANGE="",IF(TITLE_DATE_PR="","",TITLE_DATE_PR),TITLE_DATE_PR_CHANGE)</f>
        <v/>
      </c>
      <c r="W31" s="3520"/>
      <c r="X31" s="3520"/>
      <c r="Y31" s="3520"/>
      <c r="Z31" s="3520"/>
      <c r="AA31" s="237"/>
      <c r="AB31" s="3520" t="str">
        <f>IF(TITLE_DATE_PR_CHANGE="",IF(TITLE_DATE_PR="","",TITLE_DATE_PR),TITLE_DATE_PR_CHANGE)</f>
        <v/>
      </c>
      <c r="AC31" s="3520"/>
      <c r="AD31" s="3520"/>
      <c r="AE31" s="3520"/>
      <c r="AF31" s="3520"/>
      <c r="AG31" s="3520"/>
      <c r="AH31" s="3520"/>
      <c r="AI31" s="3520"/>
      <c r="AJ31" s="3520"/>
      <c r="AK31" s="3520"/>
      <c r="AL31" s="3520"/>
      <c r="AM31" s="3520"/>
      <c r="AN31" s="3520"/>
      <c r="AO31" s="3520"/>
      <c r="AP31" s="3520"/>
      <c r="AQ31" s="3520"/>
      <c r="AR31" s="3520"/>
      <c r="AS31" s="237"/>
      <c r="AT31" s="237"/>
      <c r="AU31" s="193"/>
      <c r="AV31" s="276"/>
      <c r="AW31" s="276"/>
      <c r="AX31" s="276"/>
      <c r="AY31" s="276"/>
      <c r="AZ31" s="276"/>
    </row>
    <row r="32" spans="1:52" s="1944" customFormat="1" ht="18.75" hidden="1" customHeight="1">
      <c r="A32" s="1229"/>
      <c r="B32" s="1229"/>
      <c r="C32" s="1229"/>
      <c r="D32" s="1229"/>
      <c r="E32" s="1229"/>
      <c r="F32" s="1229"/>
      <c r="G32" s="1229"/>
      <c r="H32" s="1229"/>
      <c r="I32" s="1229"/>
      <c r="J32" s="1229"/>
      <c r="K32" s="1229"/>
      <c r="L32" s="1230"/>
      <c r="M32" s="1229"/>
      <c r="N32" s="1229"/>
      <c r="O32" s="1229"/>
      <c r="P32" s="1229"/>
      <c r="Q32" s="1229"/>
      <c r="S32" s="3519" t="s">
        <v>686</v>
      </c>
      <c r="T32" s="3519"/>
      <c r="U32" s="1233"/>
      <c r="V32" s="3521" t="str">
        <f>IF(TITLE_NUMBER_PR_CHANGE="",IF(TITLE_NUMBER_PR="","",TITLE_NUMBER_PR),TITLE_NUMBER_PR_CHANGE)</f>
        <v/>
      </c>
      <c r="W32" s="3521"/>
      <c r="X32" s="3521"/>
      <c r="Y32" s="3521"/>
      <c r="Z32" s="3521"/>
      <c r="AA32" s="237"/>
      <c r="AB32" s="3521" t="str">
        <f>IF(TITLE_NUMBER_PR_CHANGE="",IF(TITLE_NUMBER_PR="","",TITLE_NUMBER_PR),TITLE_NUMBER_PR_CHANGE)</f>
        <v/>
      </c>
      <c r="AC32" s="3521"/>
      <c r="AD32" s="3521"/>
      <c r="AE32" s="3521"/>
      <c r="AF32" s="3521"/>
      <c r="AG32" s="3521"/>
      <c r="AH32" s="3521"/>
      <c r="AI32" s="3521"/>
      <c r="AJ32" s="3521"/>
      <c r="AK32" s="3521"/>
      <c r="AL32" s="3521"/>
      <c r="AM32" s="3521"/>
      <c r="AN32" s="3521"/>
      <c r="AO32" s="3521"/>
      <c r="AP32" s="3521"/>
      <c r="AQ32" s="3521"/>
      <c r="AR32" s="3521"/>
      <c r="AS32" s="237"/>
      <c r="AT32" s="237"/>
      <c r="AU32" s="193"/>
      <c r="AV32" s="276"/>
      <c r="AW32" s="276"/>
      <c r="AX32" s="276"/>
      <c r="AY32" s="276"/>
      <c r="AZ32" s="276"/>
    </row>
    <row r="33" spans="1:52" s="1944" customFormat="1" ht="18.75" hidden="1" customHeight="1">
      <c r="A33" s="1229"/>
      <c r="B33" s="1229"/>
      <c r="C33" s="1229"/>
      <c r="D33" s="1229"/>
      <c r="E33" s="1229"/>
      <c r="F33" s="1229"/>
      <c r="G33" s="1229"/>
      <c r="H33" s="1229"/>
      <c r="I33" s="1229"/>
      <c r="J33" s="1229"/>
      <c r="K33" s="1229"/>
      <c r="L33" s="1230"/>
      <c r="M33" s="1229"/>
      <c r="N33" s="1229"/>
      <c r="O33" s="1229"/>
      <c r="P33" s="1229"/>
      <c r="Q33" s="1229"/>
      <c r="S33" s="3519" t="s">
        <v>39</v>
      </c>
      <c r="T33" s="3519"/>
      <c r="U33" s="1233"/>
      <c r="V33" s="3521" t="str">
        <f>IF(TITLE_IST_PUB_CHANGE="",IF(TITLE_IST_PUB="","",TITLE_IST_PUB),TITLE_IST_PUB_CHANGE)</f>
        <v/>
      </c>
      <c r="W33" s="3521"/>
      <c r="X33" s="3521"/>
      <c r="Y33" s="3521"/>
      <c r="Z33" s="3521"/>
      <c r="AA33" s="237"/>
      <c r="AB33" s="3521" t="str">
        <f>IF(TITLE_IST_PUB_CHANGE="",IF(TITLE_IST_PUB="","",TITLE_IST_PUB),TITLE_IST_PUB_CHANGE)</f>
        <v/>
      </c>
      <c r="AC33" s="3521"/>
      <c r="AD33" s="3521"/>
      <c r="AE33" s="3521"/>
      <c r="AF33" s="3521"/>
      <c r="AG33" s="3521"/>
      <c r="AH33" s="3521"/>
      <c r="AI33" s="3521"/>
      <c r="AJ33" s="3521"/>
      <c r="AK33" s="3521"/>
      <c r="AL33" s="3521"/>
      <c r="AM33" s="3521"/>
      <c r="AN33" s="3521"/>
      <c r="AO33" s="3521"/>
      <c r="AP33" s="3521"/>
      <c r="AQ33" s="3521"/>
      <c r="AR33" s="3521"/>
      <c r="AS33" s="237"/>
      <c r="AT33" s="237"/>
      <c r="AU33" s="193"/>
      <c r="AV33" s="276"/>
      <c r="AW33" s="276"/>
      <c r="AX33" s="276"/>
      <c r="AY33" s="276"/>
      <c r="AZ33" s="276"/>
    </row>
    <row r="34" spans="1:52" ht="14.25" hidden="1" customHeight="1">
      <c r="Q34" s="203"/>
      <c r="R34" s="283"/>
      <c r="S34" s="1141"/>
      <c r="T34" s="272"/>
      <c r="U34" s="272"/>
      <c r="V34" s="233"/>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407"/>
    </row>
    <row r="35" spans="1:52" s="1944" customFormat="1" ht="18.75" hidden="1" customHeight="1">
      <c r="A35" s="1229"/>
      <c r="B35" s="1229"/>
      <c r="C35" s="1229"/>
      <c r="D35" s="1229"/>
      <c r="E35" s="1229"/>
      <c r="F35" s="1229"/>
      <c r="G35" s="1229"/>
      <c r="H35" s="1229"/>
      <c r="I35" s="1229"/>
      <c r="J35" s="1229"/>
      <c r="K35" s="1229"/>
      <c r="L35" s="1230"/>
      <c r="M35" s="1229"/>
      <c r="N35" s="1229"/>
      <c r="O35" s="1229"/>
      <c r="P35" s="1229"/>
      <c r="Q35" s="1229"/>
      <c r="S35" s="3519" t="s">
        <v>685</v>
      </c>
      <c r="T35" s="3519"/>
      <c r="U35" s="1233"/>
      <c r="V35" s="3520" t="str">
        <f>IF(TITLE_DATE_PR_CHANGE="",IF(TITLE_DATE_PR="","",TITLE_DATE_PR),TITLE_DATE_PR_CHANGE)</f>
        <v/>
      </c>
      <c r="W35" s="3520"/>
      <c r="X35" s="3520"/>
      <c r="Y35" s="3520"/>
      <c r="Z35" s="3520"/>
      <c r="AA35" s="237"/>
      <c r="AB35" s="3520" t="str">
        <f>IF(TITLE_DATE_PR_CHANGE="",IF(TITLE_DATE_PR="","",TITLE_DATE_PR),TITLE_DATE_PR_CHANGE)</f>
        <v/>
      </c>
      <c r="AC35" s="3520"/>
      <c r="AD35" s="3520"/>
      <c r="AE35" s="3520"/>
      <c r="AF35" s="3520"/>
      <c r="AG35" s="3520"/>
      <c r="AH35" s="3520"/>
      <c r="AI35" s="3520"/>
      <c r="AJ35" s="3520"/>
      <c r="AK35" s="3520"/>
      <c r="AL35" s="3520"/>
      <c r="AM35" s="3520"/>
      <c r="AN35" s="3520"/>
      <c r="AO35" s="3520"/>
      <c r="AP35" s="3520"/>
      <c r="AQ35" s="3520"/>
      <c r="AR35" s="3520"/>
      <c r="AS35" s="237"/>
      <c r="AT35" s="237"/>
      <c r="AU35" s="193"/>
      <c r="AV35" s="276"/>
      <c r="AW35" s="276"/>
      <c r="AX35" s="276"/>
      <c r="AY35" s="276"/>
      <c r="AZ35" s="276"/>
    </row>
    <row r="36" spans="1:52" s="1944" customFormat="1" ht="18" hidden="1" customHeight="1">
      <c r="A36" s="1229"/>
      <c r="B36" s="1229"/>
      <c r="C36" s="1229"/>
      <c r="D36" s="1229"/>
      <c r="E36" s="1229"/>
      <c r="F36" s="1229"/>
      <c r="G36" s="1229"/>
      <c r="H36" s="1229"/>
      <c r="I36" s="1229"/>
      <c r="J36" s="1229"/>
      <c r="K36" s="1229"/>
      <c r="L36" s="1230"/>
      <c r="M36" s="1229"/>
      <c r="N36" s="1229"/>
      <c r="O36" s="1229"/>
      <c r="P36" s="1229"/>
      <c r="Q36" s="1229"/>
      <c r="S36" s="3519" t="s">
        <v>686</v>
      </c>
      <c r="T36" s="3519"/>
      <c r="U36" s="1233"/>
      <c r="V36" s="3521" t="str">
        <f>IF(TITLE_NUMBER_PR_CHANGE="",IF(TITLE_NUMBER_PR="","",TITLE_NUMBER_PR),TITLE_NUMBER_PR_CHANGE)</f>
        <v/>
      </c>
      <c r="W36" s="3521"/>
      <c r="X36" s="3521"/>
      <c r="Y36" s="3521"/>
      <c r="Z36" s="3521"/>
      <c r="AA36" s="237"/>
      <c r="AB36" s="3521" t="str">
        <f>IF(TITLE_NUMBER_PR_CHANGE="",IF(TITLE_NUMBER_PR="","",TITLE_NUMBER_PR),TITLE_NUMBER_PR_CHANGE)</f>
        <v/>
      </c>
      <c r="AC36" s="3521"/>
      <c r="AD36" s="3521"/>
      <c r="AE36" s="3521"/>
      <c r="AF36" s="3521"/>
      <c r="AG36" s="3521"/>
      <c r="AH36" s="3521"/>
      <c r="AI36" s="3521"/>
      <c r="AJ36" s="3521"/>
      <c r="AK36" s="3521"/>
      <c r="AL36" s="3521"/>
      <c r="AM36" s="3521"/>
      <c r="AN36" s="3521"/>
      <c r="AO36" s="3521"/>
      <c r="AP36" s="3521"/>
      <c r="AQ36" s="3521"/>
      <c r="AR36" s="3521"/>
      <c r="AS36" s="237"/>
      <c r="AT36" s="237"/>
      <c r="AU36" s="193"/>
      <c r="AV36" s="276"/>
      <c r="AW36" s="276"/>
      <c r="AX36" s="276"/>
      <c r="AY36" s="276"/>
      <c r="AZ36" s="276"/>
    </row>
    <row r="37" spans="1:52" s="1944" customFormat="1" ht="0.75" customHeight="1">
      <c r="A37" s="1229"/>
      <c r="B37" s="1229"/>
      <c r="C37" s="1229"/>
      <c r="D37" s="1229"/>
      <c r="E37" s="1229"/>
      <c r="F37" s="1229"/>
      <c r="G37" s="1229"/>
      <c r="H37" s="1229"/>
      <c r="I37" s="1229"/>
      <c r="J37" s="1229"/>
      <c r="K37" s="1229"/>
      <c r="L37" s="1230"/>
      <c r="M37" s="1229"/>
      <c r="N37" s="1229"/>
      <c r="O37" s="1229"/>
      <c r="P37" s="1229"/>
      <c r="Q37" s="1229"/>
      <c r="S37" s="234"/>
      <c r="T37" s="234"/>
      <c r="U37" s="1202"/>
      <c r="V37" s="237"/>
      <c r="W37" s="237"/>
      <c r="X37" s="237"/>
      <c r="Y37" s="237"/>
      <c r="Z37" s="237"/>
      <c r="AA37" s="191" t="s">
        <v>689</v>
      </c>
      <c r="AB37" s="237"/>
      <c r="AC37" s="237"/>
      <c r="AD37" s="237"/>
      <c r="AE37" s="237"/>
      <c r="AF37" s="237"/>
      <c r="AG37" s="237"/>
      <c r="AH37" s="237"/>
      <c r="AI37" s="237"/>
      <c r="AJ37" s="237"/>
      <c r="AK37" s="237"/>
      <c r="AL37" s="237"/>
      <c r="AM37" s="237"/>
      <c r="AN37" s="237"/>
      <c r="AO37" s="237"/>
      <c r="AP37" s="237"/>
      <c r="AQ37" s="237"/>
      <c r="AR37" s="237"/>
      <c r="AS37" s="191" t="s">
        <v>689</v>
      </c>
      <c r="AV37" s="276"/>
      <c r="AW37" s="276"/>
      <c r="AX37" s="276"/>
      <c r="AY37" s="276"/>
      <c r="AZ37" s="276"/>
    </row>
    <row r="38" spans="1:52" ht="14.25" customHeight="1">
      <c r="Q38" s="203"/>
      <c r="R38" s="283"/>
      <c r="S38" s="1141"/>
      <c r="T38" s="272"/>
      <c r="U38" s="1110"/>
      <c r="V38" s="3540"/>
      <c r="W38" s="3540"/>
      <c r="X38" s="3540"/>
      <c r="Y38" s="3540"/>
      <c r="Z38" s="3540"/>
      <c r="AA38" s="3540"/>
      <c r="AB38" s="3540"/>
      <c r="AC38" s="3540"/>
      <c r="AD38" s="3540"/>
      <c r="AE38" s="3540"/>
      <c r="AF38" s="3540"/>
      <c r="AG38" s="3540"/>
      <c r="AH38" s="3540"/>
      <c r="AI38" s="3540"/>
      <c r="AJ38" s="3540"/>
      <c r="AK38" s="3540"/>
      <c r="AL38" s="3540"/>
      <c r="AM38" s="3540"/>
      <c r="AN38" s="3540"/>
      <c r="AO38" s="3540"/>
      <c r="AP38" s="3540"/>
      <c r="AQ38" s="3540"/>
      <c r="AR38" s="3540"/>
      <c r="AS38" s="3540"/>
    </row>
    <row r="39" spans="1:52" ht="14.25" customHeight="1">
      <c r="Q39" s="203"/>
      <c r="R39" s="283"/>
      <c r="S39" s="3401" t="s">
        <v>560</v>
      </c>
      <c r="T39" s="3401"/>
      <c r="U39" s="3401"/>
      <c r="V39" s="3401"/>
      <c r="W39" s="3401"/>
      <c r="X39" s="3401"/>
      <c r="Y39" s="3401"/>
      <c r="Z39" s="3401"/>
      <c r="AA39" s="3401"/>
      <c r="AB39" s="3458"/>
      <c r="AC39" s="3458"/>
      <c r="AD39" s="3458"/>
      <c r="AE39" s="3458"/>
      <c r="AF39" s="3401"/>
      <c r="AG39" s="3401"/>
      <c r="AH39" s="3401"/>
      <c r="AI39" s="3401"/>
      <c r="AJ39" s="3401"/>
      <c r="AK39" s="3401"/>
      <c r="AL39" s="3401"/>
      <c r="AM39" s="3401"/>
      <c r="AN39" s="3401"/>
      <c r="AO39" s="3401"/>
      <c r="AP39" s="3401"/>
      <c r="AQ39" s="3401"/>
      <c r="AR39" s="3401"/>
      <c r="AS39" s="3401"/>
      <c r="AT39" s="3401"/>
      <c r="AU39" s="3401" t="s">
        <v>561</v>
      </c>
    </row>
    <row r="40" spans="1:52" ht="14.25" customHeight="1">
      <c r="Q40" s="203"/>
      <c r="R40" s="283"/>
      <c r="S40" s="3541" t="s">
        <v>85</v>
      </c>
      <c r="T40" s="3489" t="s">
        <v>735</v>
      </c>
      <c r="U40" s="212"/>
      <c r="V40" s="3543"/>
      <c r="W40" s="3543"/>
      <c r="X40" s="3543"/>
      <c r="Y40" s="3543"/>
      <c r="Z40" s="3544"/>
      <c r="AA40" s="3583" t="s">
        <v>692</v>
      </c>
      <c r="AB40" s="3567" t="s">
        <v>736</v>
      </c>
      <c r="AC40" s="3558"/>
      <c r="AD40" s="3558"/>
      <c r="AE40" s="3568"/>
      <c r="AF40" s="3558" t="s">
        <v>737</v>
      </c>
      <c r="AG40" s="3558"/>
      <c r="AH40" s="3558"/>
      <c r="AI40" s="3568"/>
      <c r="AJ40" s="3567" t="s">
        <v>738</v>
      </c>
      <c r="AK40" s="3558"/>
      <c r="AL40" s="3558"/>
      <c r="AM40" s="3568"/>
      <c r="AN40" s="3567" t="s">
        <v>691</v>
      </c>
      <c r="AO40" s="3558"/>
      <c r="AP40" s="3543"/>
      <c r="AQ40" s="3543"/>
      <c r="AR40" s="3544"/>
      <c r="AS40" s="3545" t="s">
        <v>692</v>
      </c>
      <c r="AT40" s="3548" t="s">
        <v>694</v>
      </c>
      <c r="AU40" s="3401"/>
    </row>
    <row r="41" spans="1:52" ht="33.75" customHeight="1">
      <c r="Q41" s="203"/>
      <c r="R41" s="283"/>
      <c r="S41" s="3541"/>
      <c r="T41" s="3489"/>
      <c r="U41" s="901"/>
      <c r="V41" s="3459" t="s">
        <v>739</v>
      </c>
      <c r="W41" s="3460"/>
      <c r="X41" s="3459" t="s">
        <v>698</v>
      </c>
      <c r="Y41" s="3563"/>
      <c r="Z41" s="3460"/>
      <c r="AA41" s="3584"/>
      <c r="AB41" s="3569"/>
      <c r="AC41" s="3570"/>
      <c r="AD41" s="3570"/>
      <c r="AE41" s="3582"/>
      <c r="AF41" s="3570"/>
      <c r="AG41" s="3570"/>
      <c r="AH41" s="3570"/>
      <c r="AI41" s="3582"/>
      <c r="AJ41" s="3569"/>
      <c r="AK41" s="3570"/>
      <c r="AL41" s="3570"/>
      <c r="AM41" s="3570"/>
      <c r="AN41" s="3401" t="s">
        <v>740</v>
      </c>
      <c r="AO41" s="3401"/>
      <c r="AP41" s="3563" t="s">
        <v>698</v>
      </c>
      <c r="AQ41" s="3563"/>
      <c r="AR41" s="3460"/>
      <c r="AS41" s="3546"/>
      <c r="AT41" s="3549"/>
      <c r="AU41" s="3401"/>
    </row>
    <row r="42" spans="1:52" ht="14.25" customHeight="1">
      <c r="Q42" s="203"/>
      <c r="R42" s="283"/>
      <c r="S42" s="3541"/>
      <c r="T42" s="3489"/>
      <c r="U42" s="901"/>
      <c r="V42" s="3464"/>
      <c r="W42" s="3465"/>
      <c r="X42" s="3464"/>
      <c r="Y42" s="3564"/>
      <c r="Z42" s="3465"/>
      <c r="AA42" s="3584"/>
      <c r="AB42" s="3569"/>
      <c r="AC42" s="3570"/>
      <c r="AD42" s="3570"/>
      <c r="AE42" s="3582"/>
      <c r="AF42" s="3570"/>
      <c r="AG42" s="3570"/>
      <c r="AH42" s="3570"/>
      <c r="AI42" s="3582"/>
      <c r="AJ42" s="3569"/>
      <c r="AK42" s="3570"/>
      <c r="AL42" s="3570"/>
      <c r="AM42" s="3570"/>
      <c r="AN42" s="3586"/>
      <c r="AO42" s="3586"/>
      <c r="AP42" s="3564"/>
      <c r="AQ42" s="3564"/>
      <c r="AR42" s="3465"/>
      <c r="AS42" s="3546"/>
      <c r="AT42" s="3549"/>
      <c r="AU42" s="3401"/>
    </row>
    <row r="43" spans="1:52" ht="14.25" customHeight="1">
      <c r="A43" s="1231"/>
      <c r="B43" s="1231" t="s">
        <v>403</v>
      </c>
      <c r="C43" s="1231" t="s">
        <v>404</v>
      </c>
      <c r="D43" s="1231" t="s">
        <v>405</v>
      </c>
      <c r="E43" s="1225" t="s">
        <v>699</v>
      </c>
      <c r="F43" s="1225" t="s">
        <v>700</v>
      </c>
      <c r="G43" s="1225" t="s">
        <v>701</v>
      </c>
      <c r="H43" s="1225" t="s">
        <v>702</v>
      </c>
      <c r="I43" s="1225" t="s">
        <v>703</v>
      </c>
      <c r="J43" s="1225" t="s">
        <v>704</v>
      </c>
      <c r="K43" s="1225" t="s">
        <v>705</v>
      </c>
      <c r="L43" s="1225" t="s">
        <v>680</v>
      </c>
      <c r="Q43" s="203"/>
      <c r="R43" s="283"/>
      <c r="S43" s="3541"/>
      <c r="T43" s="3489"/>
      <c r="U43" s="213"/>
      <c r="V43" s="1192" t="s">
        <v>741</v>
      </c>
      <c r="W43" s="1192" t="s">
        <v>742</v>
      </c>
      <c r="X43" s="1200" t="s">
        <v>708</v>
      </c>
      <c r="Y43" s="3494" t="s">
        <v>709</v>
      </c>
      <c r="Z43" s="3508"/>
      <c r="AA43" s="3585"/>
      <c r="AB43" s="3571"/>
      <c r="AC43" s="3572"/>
      <c r="AD43" s="3572"/>
      <c r="AE43" s="3573"/>
      <c r="AF43" s="3572"/>
      <c r="AG43" s="3572"/>
      <c r="AH43" s="3572"/>
      <c r="AI43" s="3573"/>
      <c r="AJ43" s="3571"/>
      <c r="AK43" s="3572"/>
      <c r="AL43" s="3572"/>
      <c r="AM43" s="3573"/>
      <c r="AN43" s="1700" t="s">
        <v>741</v>
      </c>
      <c r="AO43" s="1700" t="s">
        <v>742</v>
      </c>
      <c r="AP43" s="1200" t="s">
        <v>708</v>
      </c>
      <c r="AQ43" s="3494" t="s">
        <v>709</v>
      </c>
      <c r="AR43" s="3508"/>
      <c r="AS43" s="3547"/>
      <c r="AT43" s="3550"/>
      <c r="AU43" s="3401"/>
    </row>
    <row r="44" spans="1:52" s="1838" customFormat="1" ht="11.25" hidden="1" customHeight="1">
      <c r="A44" s="1231"/>
      <c r="B44" s="1231"/>
      <c r="C44" s="1231"/>
      <c r="D44" s="1231"/>
      <c r="E44" s="1231"/>
      <c r="F44" s="1231"/>
      <c r="G44" s="1231"/>
      <c r="H44" s="1231"/>
      <c r="I44" s="1231"/>
      <c r="J44" s="1231"/>
      <c r="K44" s="1231"/>
      <c r="L44" s="1225"/>
      <c r="M44" s="1223"/>
      <c r="N44" s="1223"/>
      <c r="O44" s="1223"/>
      <c r="P44" s="408"/>
      <c r="Q44" s="1120"/>
      <c r="R44" s="1120">
        <v>1</v>
      </c>
      <c r="S44" s="1143" t="s">
        <v>106</v>
      </c>
      <c r="T44" s="1121" t="s">
        <v>107</v>
      </c>
      <c r="U44" s="1111" t="str">
        <f ca="1">OFFSET(U44,0,-1)</f>
        <v>2</v>
      </c>
      <c r="V44" s="1197">
        <f ca="1">OFFSET(V44,0,-1)+1</f>
        <v>3</v>
      </c>
      <c r="W44" s="1197">
        <f ca="1">OFFSET(W44,0,-1)+1</f>
        <v>4</v>
      </c>
      <c r="X44" s="1197">
        <f ca="1">OFFSET(X44,0,-1)+1</f>
        <v>5</v>
      </c>
      <c r="Y44" s="3539">
        <f ca="1">OFFSET(Y44,0,-1)+1</f>
        <v>6</v>
      </c>
      <c r="Z44" s="3539"/>
      <c r="AA44" s="1197">
        <f ca="1">OFFSET(AA44,0,-2)+1</f>
        <v>7</v>
      </c>
      <c r="AB44" s="1203">
        <f ca="1">OFFSET(AB44,0,-1)+1</f>
        <v>8</v>
      </c>
      <c r="AC44" s="1203"/>
      <c r="AD44" s="1203"/>
      <c r="AE44" s="1203"/>
      <c r="AF44" s="1197"/>
      <c r="AG44" s="1197"/>
      <c r="AH44" s="1197"/>
      <c r="AI44" s="1197"/>
      <c r="AJ44" s="1197"/>
      <c r="AK44" s="1197"/>
      <c r="AL44" s="1197"/>
      <c r="AM44" s="1197"/>
      <c r="AN44" s="1197">
        <f ca="1">OFFSET(AN44,0,-1)+1</f>
        <v>1</v>
      </c>
      <c r="AO44" s="1197">
        <f ca="1">OFFSET(AO44,0,-1)+1</f>
        <v>2</v>
      </c>
      <c r="AP44" s="1197">
        <f ca="1">OFFSET(AP44,0,-1)+1</f>
        <v>3</v>
      </c>
      <c r="AQ44" s="3539">
        <f ca="1">OFFSET(AQ44,0,-1)+1</f>
        <v>4</v>
      </c>
      <c r="AR44" s="3539"/>
      <c r="AS44" s="1197">
        <f ca="1">OFFSET(AS44,0,-2)+1</f>
        <v>5</v>
      </c>
      <c r="AT44" s="1111">
        <f ca="1">OFFSET(AT44,0,-1)</f>
        <v>5</v>
      </c>
      <c r="AU44" s="1197">
        <f ca="1">OFFSET(AU44,0,-1)+1</f>
        <v>6</v>
      </c>
      <c r="AV44" s="409"/>
      <c r="AW44" s="409"/>
      <c r="AX44" s="409"/>
      <c r="AY44" s="409"/>
      <c r="AZ44" s="409"/>
    </row>
    <row r="45" spans="1:52" ht="102" customHeight="1">
      <c r="A45" s="1224" t="s">
        <v>460</v>
      </c>
      <c r="B45" s="1224"/>
      <c r="C45" s="1224"/>
      <c r="D45" s="1224"/>
      <c r="E45" s="3528">
        <v>1</v>
      </c>
      <c r="F45" s="1224"/>
      <c r="G45" s="1224"/>
      <c r="H45" s="1224"/>
      <c r="I45" s="1224"/>
      <c r="J45" s="1224"/>
      <c r="K45" s="1224"/>
      <c r="L45" s="1225"/>
      <c r="M45" s="1226"/>
      <c r="N45" s="1226"/>
      <c r="O45" s="1226"/>
      <c r="P45" s="1270"/>
      <c r="Q45" s="750"/>
      <c r="R45" s="264"/>
      <c r="S45" s="1198">
        <f>INDEX(PT_DIFFERENTIATION_NUM_NTAR,MATCH(A45,PT_DIFFERENTIATION_NTAR_ID,0))</f>
        <v>0</v>
      </c>
      <c r="T45" s="209" t="s">
        <v>391</v>
      </c>
      <c r="U45" s="211"/>
      <c r="V45" s="3523"/>
      <c r="W45" s="3523"/>
      <c r="X45" s="3523"/>
      <c r="Y45" s="3523"/>
      <c r="Z45" s="3523"/>
      <c r="AA45" s="3524"/>
      <c r="AB45" s="3522" t="str">
        <f>INDEX(PT_DIFFERENTIATION_NTAR,MATCH(A45,PT_DIFFERENTIATION_NTAR_ID,0))</f>
        <v/>
      </c>
      <c r="AC45" s="3523"/>
      <c r="AD45" s="3523"/>
      <c r="AE45" s="3523"/>
      <c r="AF45" s="3523"/>
      <c r="AG45" s="3523"/>
      <c r="AH45" s="3523"/>
      <c r="AI45" s="3523"/>
      <c r="AJ45" s="3523"/>
      <c r="AK45" s="3523"/>
      <c r="AL45" s="3523"/>
      <c r="AM45" s="3523"/>
      <c r="AN45" s="3523"/>
      <c r="AO45" s="3523"/>
      <c r="AP45" s="3523"/>
      <c r="AQ45" s="3523"/>
      <c r="AR45" s="3523"/>
      <c r="AS45" s="3523"/>
      <c r="AT45" s="3524"/>
      <c r="AU45" s="112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398"/>
      <c r="AX45" s="398" t="str">
        <f t="shared" ref="AX45:AX51" si="2">IF(T45="","",T45)</f>
        <v>Наименование тарифа</v>
      </c>
      <c r="AY45" s="398"/>
      <c r="AZ45" s="398"/>
    </row>
    <row r="46" spans="1:52" ht="21" customHeight="1">
      <c r="A46" s="1224" t="s">
        <v>460</v>
      </c>
      <c r="B46" s="1224" t="s">
        <v>461</v>
      </c>
      <c r="C46" s="1224"/>
      <c r="D46" s="1224"/>
      <c r="E46" s="3529"/>
      <c r="F46" s="3528">
        <v>1</v>
      </c>
      <c r="G46" s="1224"/>
      <c r="H46" s="1224"/>
      <c r="I46" s="1224"/>
      <c r="J46" s="1224"/>
      <c r="K46" s="1224"/>
      <c r="L46" s="1225"/>
      <c r="M46" s="1226"/>
      <c r="N46" s="1226"/>
      <c r="O46" s="1226"/>
      <c r="P46" s="1271"/>
      <c r="Q46" s="1272"/>
      <c r="R46" s="262"/>
      <c r="S46" s="1198" t="str">
        <f>INDEX(PT_DIFFERENTIATION_NUM_TER,MATCH(B46,PT_DIFFERENTIATION_TER_ID,0))</f>
        <v>.</v>
      </c>
      <c r="T46" s="219" t="s">
        <v>659</v>
      </c>
      <c r="U46" s="211"/>
      <c r="V46" s="3523"/>
      <c r="W46" s="3523"/>
      <c r="X46" s="3523"/>
      <c r="Y46" s="3523"/>
      <c r="Z46" s="3523"/>
      <c r="AA46" s="3524"/>
      <c r="AB46" s="3522" t="str">
        <f>INDEX(PT_DIFFERENTIATION_TER,MATCH(B46,PT_DIFFERENTIATION_TER_ID,0))</f>
        <v/>
      </c>
      <c r="AC46" s="3523"/>
      <c r="AD46" s="3523"/>
      <c r="AE46" s="3523"/>
      <c r="AF46" s="3523"/>
      <c r="AG46" s="3523"/>
      <c r="AH46" s="3523"/>
      <c r="AI46" s="3523"/>
      <c r="AJ46" s="3523"/>
      <c r="AK46" s="3523"/>
      <c r="AL46" s="3523"/>
      <c r="AM46" s="3523"/>
      <c r="AN46" s="3523"/>
      <c r="AO46" s="3523"/>
      <c r="AP46" s="3523"/>
      <c r="AQ46" s="3523"/>
      <c r="AR46" s="3523"/>
      <c r="AS46" s="3523"/>
      <c r="AT46" s="3524"/>
      <c r="AU46" s="1124" t="s">
        <v>660</v>
      </c>
      <c r="AW46" s="398"/>
      <c r="AX46" s="398" t="str">
        <f t="shared" si="2"/>
        <v>Территория действия тарифа</v>
      </c>
      <c r="AY46" s="398"/>
      <c r="AZ46" s="398"/>
    </row>
    <row r="47" spans="1:52" ht="23.25" customHeight="1">
      <c r="A47" s="1224" t="s">
        <v>460</v>
      </c>
      <c r="B47" s="1224" t="s">
        <v>461</v>
      </c>
      <c r="C47" s="1224" t="s">
        <v>462</v>
      </c>
      <c r="D47" s="1224"/>
      <c r="E47" s="3529"/>
      <c r="F47" s="3529"/>
      <c r="G47" s="3528">
        <v>1</v>
      </c>
      <c r="H47" s="1224"/>
      <c r="I47" s="1224"/>
      <c r="J47" s="1224"/>
      <c r="K47" s="1224"/>
      <c r="L47" s="1225"/>
      <c r="M47" s="1226"/>
      <c r="N47" s="1226"/>
      <c r="O47" s="1226"/>
      <c r="P47" s="1273"/>
      <c r="Q47" s="1272"/>
      <c r="R47" s="262"/>
      <c r="S47" s="1198" t="str">
        <f>INDEX(PT_DIFFERENTIATION_NUM_CS,MATCH(C47,PT_DIFFERENTIATION_CS_ID,0))</f>
        <v>..</v>
      </c>
      <c r="T47" s="220" t="s">
        <v>661</v>
      </c>
      <c r="U47" s="211"/>
      <c r="V47" s="3523"/>
      <c r="W47" s="3523"/>
      <c r="X47" s="3523"/>
      <c r="Y47" s="3523"/>
      <c r="Z47" s="3523"/>
      <c r="AA47" s="3524"/>
      <c r="AB47" s="3522" t="str">
        <f>INDEX(PT_DIFFERENTIATION_CS,MATCH(C47,PT_DIFFERENTIATION_CS_ID,0))</f>
        <v/>
      </c>
      <c r="AC47" s="3523"/>
      <c r="AD47" s="3523"/>
      <c r="AE47" s="3523"/>
      <c r="AF47" s="3523"/>
      <c r="AG47" s="3523"/>
      <c r="AH47" s="3523"/>
      <c r="AI47" s="3523"/>
      <c r="AJ47" s="3523"/>
      <c r="AK47" s="3523"/>
      <c r="AL47" s="3523"/>
      <c r="AM47" s="3523"/>
      <c r="AN47" s="3523"/>
      <c r="AO47" s="3523"/>
      <c r="AP47" s="3523"/>
      <c r="AQ47" s="3523"/>
      <c r="AR47" s="3523"/>
      <c r="AS47" s="3523"/>
      <c r="AT47" s="3524"/>
      <c r="AU47" s="1124" t="s">
        <v>662</v>
      </c>
      <c r="AW47" s="398"/>
      <c r="AX47" s="398" t="str">
        <f t="shared" si="2"/>
        <v xml:space="preserve">Наименование системы теплоснабжения </v>
      </c>
      <c r="AY47" s="398"/>
      <c r="AZ47" s="398"/>
    </row>
    <row r="48" spans="1:52" ht="21" customHeight="1">
      <c r="A48" s="1224" t="s">
        <v>460</v>
      </c>
      <c r="B48" s="1224" t="s">
        <v>461</v>
      </c>
      <c r="C48" s="1224" t="s">
        <v>462</v>
      </c>
      <c r="D48" s="1224" t="s">
        <v>463</v>
      </c>
      <c r="E48" s="3529"/>
      <c r="F48" s="3529"/>
      <c r="G48" s="3529"/>
      <c r="H48" s="3528">
        <v>1</v>
      </c>
      <c r="I48" s="1224"/>
      <c r="J48" s="1224"/>
      <c r="K48" s="1224"/>
      <c r="L48" s="1225"/>
      <c r="M48" s="1226"/>
      <c r="N48" s="1226"/>
      <c r="O48" s="1226"/>
      <c r="P48" s="1273"/>
      <c r="Q48" s="1272"/>
      <c r="R48" s="262"/>
      <c r="S48" s="1198" t="str">
        <f>INDEX(PT_DIFFERENTIATION_NUM_IST_TE,MATCH(D48,PT_DIFFERENTIATION_IST_TE_ID,0))</f>
        <v>...</v>
      </c>
      <c r="T48" s="221" t="s">
        <v>663</v>
      </c>
      <c r="U48" s="211"/>
      <c r="V48" s="3523"/>
      <c r="W48" s="3523"/>
      <c r="X48" s="3523"/>
      <c r="Y48" s="3523"/>
      <c r="Z48" s="3523"/>
      <c r="AA48" s="3524"/>
      <c r="AB48" s="3522" t="str">
        <f>INDEX(PT_DIFFERENTIATION_IST_TE,MATCH(D48,PT_DIFFERENTIATION_IST_TE_ID,0))</f>
        <v/>
      </c>
      <c r="AC48" s="3523"/>
      <c r="AD48" s="3523"/>
      <c r="AE48" s="3523"/>
      <c r="AF48" s="3523"/>
      <c r="AG48" s="3523"/>
      <c r="AH48" s="3523"/>
      <c r="AI48" s="3523"/>
      <c r="AJ48" s="3523"/>
      <c r="AK48" s="3523"/>
      <c r="AL48" s="3523"/>
      <c r="AM48" s="3523"/>
      <c r="AN48" s="3523"/>
      <c r="AO48" s="3523"/>
      <c r="AP48" s="3523"/>
      <c r="AQ48" s="3523"/>
      <c r="AR48" s="3523"/>
      <c r="AS48" s="3523"/>
      <c r="AT48" s="3524"/>
      <c r="AU48" s="1124" t="s">
        <v>664</v>
      </c>
      <c r="AW48" s="398"/>
      <c r="AX48" s="398" t="str">
        <f t="shared" si="2"/>
        <v xml:space="preserve">Источник тепловой энергии  </v>
      </c>
      <c r="AY48" s="398"/>
      <c r="AZ48" s="398"/>
    </row>
    <row r="49" spans="1:52" s="1866" customFormat="1" ht="0" hidden="1" customHeight="1">
      <c r="A49" s="1205" t="s">
        <v>460</v>
      </c>
      <c r="B49" s="1205" t="s">
        <v>461</v>
      </c>
      <c r="C49" s="1205" t="s">
        <v>462</v>
      </c>
      <c r="D49" s="1205" t="s">
        <v>463</v>
      </c>
      <c r="E49" s="3529"/>
      <c r="F49" s="3529"/>
      <c r="G49" s="3529"/>
      <c r="H49" s="3529"/>
      <c r="I49" s="3530" t="str">
        <f>S48&amp;".1"</f>
        <v>....1</v>
      </c>
      <c r="J49" s="1205"/>
      <c r="K49" s="1205"/>
      <c r="L49" s="1208" t="s">
        <v>665</v>
      </c>
      <c r="M49" s="408"/>
      <c r="N49" s="408"/>
      <c r="O49" s="408"/>
      <c r="P49" s="3532">
        <v>1</v>
      </c>
      <c r="Q49" s="1193"/>
      <c r="R49" s="265"/>
      <c r="S49" s="912"/>
      <c r="T49" s="1244"/>
      <c r="U49" s="1245"/>
      <c r="V49" s="3560"/>
      <c r="W49" s="3560"/>
      <c r="X49" s="3560"/>
      <c r="Y49" s="3560"/>
      <c r="Z49" s="3560"/>
      <c r="AA49" s="3561"/>
      <c r="AB49" s="3559"/>
      <c r="AC49" s="3560"/>
      <c r="AD49" s="3560"/>
      <c r="AE49" s="3560"/>
      <c r="AF49" s="3560"/>
      <c r="AG49" s="3560"/>
      <c r="AH49" s="3560"/>
      <c r="AI49" s="3560"/>
      <c r="AJ49" s="3560"/>
      <c r="AK49" s="3560"/>
      <c r="AL49" s="3560"/>
      <c r="AM49" s="3560"/>
      <c r="AN49" s="3560"/>
      <c r="AO49" s="3560"/>
      <c r="AP49" s="3560"/>
      <c r="AQ49" s="3560"/>
      <c r="AR49" s="3560"/>
      <c r="AS49" s="3560"/>
      <c r="AT49" s="3561"/>
      <c r="AU49" s="1246"/>
      <c r="AW49" s="398"/>
      <c r="AX49" s="398" t="str">
        <f t="shared" si="2"/>
        <v/>
      </c>
      <c r="AY49" s="398"/>
      <c r="AZ49" s="398"/>
    </row>
    <row r="50" spans="1:52" s="1866" customFormat="1" ht="0" hidden="1" customHeight="1">
      <c r="A50" s="1205" t="s">
        <v>460</v>
      </c>
      <c r="B50" s="1205" t="s">
        <v>461</v>
      </c>
      <c r="C50" s="1205" t="s">
        <v>462</v>
      </c>
      <c r="D50" s="1205" t="s">
        <v>463</v>
      </c>
      <c r="E50" s="3529"/>
      <c r="F50" s="3529"/>
      <c r="G50" s="3529"/>
      <c r="H50" s="3529"/>
      <c r="I50" s="3531"/>
      <c r="J50" s="3530" t="str">
        <f>S48&amp;".1"</f>
        <v>....1</v>
      </c>
      <c r="K50" s="1205"/>
      <c r="L50" s="1208"/>
      <c r="M50" s="408"/>
      <c r="N50" s="408"/>
      <c r="O50" s="408"/>
      <c r="P50" s="3532"/>
      <c r="Q50" s="3532">
        <v>1</v>
      </c>
      <c r="R50" s="266"/>
      <c r="S50" s="912"/>
      <c r="T50" s="1260"/>
      <c r="U50" s="1245"/>
      <c r="V50" s="3560"/>
      <c r="W50" s="3560"/>
      <c r="X50" s="3560"/>
      <c r="Y50" s="3560"/>
      <c r="Z50" s="3560"/>
      <c r="AA50" s="3561"/>
      <c r="AB50" s="3559"/>
      <c r="AC50" s="3560"/>
      <c r="AD50" s="3560"/>
      <c r="AE50" s="3560"/>
      <c r="AF50" s="3560"/>
      <c r="AG50" s="3560"/>
      <c r="AH50" s="3560"/>
      <c r="AI50" s="3560"/>
      <c r="AJ50" s="3560"/>
      <c r="AK50" s="3560"/>
      <c r="AL50" s="3560"/>
      <c r="AM50" s="3560"/>
      <c r="AN50" s="3560"/>
      <c r="AO50" s="3560"/>
      <c r="AP50" s="3560"/>
      <c r="AQ50" s="3560"/>
      <c r="AR50" s="3560"/>
      <c r="AS50" s="3560"/>
      <c r="AT50" s="3561"/>
      <c r="AU50" s="1246"/>
      <c r="AW50" s="398"/>
      <c r="AX50" s="398" t="str">
        <f t="shared" si="2"/>
        <v/>
      </c>
      <c r="AY50" s="398"/>
      <c r="AZ50" s="398"/>
    </row>
    <row r="51" spans="1:52" ht="21" customHeight="1">
      <c r="A51" s="1224" t="s">
        <v>460</v>
      </c>
      <c r="B51" s="1224" t="s">
        <v>461</v>
      </c>
      <c r="C51" s="1224" t="s">
        <v>462</v>
      </c>
      <c r="D51" s="1224" t="s">
        <v>463</v>
      </c>
      <c r="E51" s="3529"/>
      <c r="F51" s="3529"/>
      <c r="G51" s="3529"/>
      <c r="H51" s="3529"/>
      <c r="I51" s="3531"/>
      <c r="J51" s="3531"/>
      <c r="K51" s="3530" t="str">
        <f>S48&amp;".1"</f>
        <v>....1</v>
      </c>
      <c r="L51" s="1225"/>
      <c r="P51" s="3532"/>
      <c r="Q51" s="3532"/>
      <c r="R51" s="266">
        <v>1</v>
      </c>
      <c r="S51" s="3578" t="str">
        <f>$K51</f>
        <v>....1</v>
      </c>
      <c r="T51" s="3575"/>
      <c r="U51" s="211"/>
      <c r="V51" s="639"/>
      <c r="W51" s="1123"/>
      <c r="X51" s="1577"/>
      <c r="Y51" s="1317" t="s">
        <v>64</v>
      </c>
      <c r="Z51" s="1577"/>
      <c r="AA51" s="1317" t="s">
        <v>64</v>
      </c>
      <c r="AB51" s="3412" t="s">
        <v>54</v>
      </c>
      <c r="AC51" s="3574"/>
      <c r="AD51" s="3484">
        <v>1</v>
      </c>
      <c r="AE51" s="3566" t="s">
        <v>18</v>
      </c>
      <c r="AF51" s="3412" t="s">
        <v>54</v>
      </c>
      <c r="AG51" s="3574"/>
      <c r="AH51" s="3484">
        <v>1</v>
      </c>
      <c r="AI51" s="3566" t="s">
        <v>18</v>
      </c>
      <c r="AJ51" s="3412" t="s">
        <v>54</v>
      </c>
      <c r="AK51" s="222"/>
      <c r="AL51" s="1199">
        <v>1</v>
      </c>
      <c r="AM51" s="1263"/>
      <c r="AN51" s="639"/>
      <c r="AO51" s="1123"/>
      <c r="AP51" s="1577"/>
      <c r="AQ51" s="1317" t="s">
        <v>64</v>
      </c>
      <c r="AR51" s="1577"/>
      <c r="AS51" s="1317" t="s">
        <v>64</v>
      </c>
      <c r="AT51" s="1210"/>
      <c r="AU51" s="3551" t="s">
        <v>743</v>
      </c>
      <c r="AV51" s="409" t="e">
        <f ca="1">STRCHECKDATE(V54:AT54)</f>
        <v>#NAME?</v>
      </c>
      <c r="AW51" s="398"/>
      <c r="AX51" s="398" t="str">
        <f t="shared" si="2"/>
        <v/>
      </c>
      <c r="AY51" s="398"/>
      <c r="AZ51" s="398"/>
    </row>
    <row r="52" spans="1:52" ht="11.25" customHeight="1">
      <c r="A52" s="1224" t="s">
        <v>460</v>
      </c>
      <c r="B52" s="1224"/>
      <c r="C52" s="1224"/>
      <c r="D52" s="1224"/>
      <c r="E52" s="3529"/>
      <c r="F52" s="3529"/>
      <c r="G52" s="3529"/>
      <c r="H52" s="3529"/>
      <c r="I52" s="3531"/>
      <c r="J52" s="3531"/>
      <c r="K52" s="3530"/>
      <c r="L52" s="1225"/>
      <c r="P52" s="3532"/>
      <c r="Q52" s="3532"/>
      <c r="R52" s="266"/>
      <c r="S52" s="3579"/>
      <c r="T52" s="3576"/>
      <c r="U52" s="211"/>
      <c r="V52" s="1254"/>
      <c r="W52" s="1351"/>
      <c r="X52" s="1254"/>
      <c r="Y52" s="1254"/>
      <c r="Z52" s="1254"/>
      <c r="AA52" s="1254"/>
      <c r="AB52" s="3412"/>
      <c r="AC52" s="3574"/>
      <c r="AD52" s="3484"/>
      <c r="AE52" s="3566"/>
      <c r="AF52" s="3412"/>
      <c r="AG52" s="3574"/>
      <c r="AH52" s="3484"/>
      <c r="AI52" s="3566"/>
      <c r="AJ52" s="3412"/>
      <c r="AK52" s="227"/>
      <c r="AL52" s="323"/>
      <c r="AM52" s="322" t="s">
        <v>727</v>
      </c>
      <c r="AN52" s="1254"/>
      <c r="AO52" s="1351"/>
      <c r="AP52" s="1254"/>
      <c r="AQ52" s="1254"/>
      <c r="AR52" s="1254"/>
      <c r="AS52" s="1254"/>
      <c r="AT52" s="1251"/>
      <c r="AU52" s="3552"/>
      <c r="AW52" s="398"/>
      <c r="AX52" s="398"/>
      <c r="AY52" s="398"/>
      <c r="AZ52" s="398"/>
    </row>
    <row r="53" spans="1:52" ht="11.25" customHeight="1">
      <c r="A53" s="1224" t="s">
        <v>460</v>
      </c>
      <c r="B53" s="1224"/>
      <c r="C53" s="1224"/>
      <c r="D53" s="1224"/>
      <c r="E53" s="3529"/>
      <c r="F53" s="3529"/>
      <c r="G53" s="3529"/>
      <c r="H53" s="3529"/>
      <c r="I53" s="3531"/>
      <c r="J53" s="3531"/>
      <c r="K53" s="3530"/>
      <c r="L53" s="1225"/>
      <c r="P53" s="3532"/>
      <c r="Q53" s="3532"/>
      <c r="R53" s="266"/>
      <c r="S53" s="3579"/>
      <c r="T53" s="3576"/>
      <c r="U53" s="211"/>
      <c r="V53" s="1254"/>
      <c r="W53" s="1351"/>
      <c r="X53" s="1254"/>
      <c r="Y53" s="1254"/>
      <c r="Z53" s="1254"/>
      <c r="AA53" s="1254"/>
      <c r="AB53" s="3412"/>
      <c r="AC53" s="3574"/>
      <c r="AD53" s="3484"/>
      <c r="AE53" s="3566"/>
      <c r="AF53" s="3412"/>
      <c r="AG53" s="205"/>
      <c r="AH53" s="322"/>
      <c r="AI53" s="322" t="s">
        <v>728</v>
      </c>
      <c r="AJ53" s="1254"/>
      <c r="AK53" s="1254"/>
      <c r="AL53" s="1254"/>
      <c r="AM53" s="1254"/>
      <c r="AN53" s="1254"/>
      <c r="AO53" s="1351"/>
      <c r="AP53" s="1254"/>
      <c r="AQ53" s="1254"/>
      <c r="AR53" s="1254"/>
      <c r="AS53" s="1254"/>
      <c r="AT53" s="1251"/>
      <c r="AU53" s="3552"/>
      <c r="AW53" s="398"/>
      <c r="AX53" s="398"/>
      <c r="AY53" s="398"/>
      <c r="AZ53" s="398"/>
    </row>
    <row r="54" spans="1:52" ht="11.25" customHeight="1">
      <c r="A54" s="1224" t="s">
        <v>460</v>
      </c>
      <c r="B54" s="1224" t="s">
        <v>461</v>
      </c>
      <c r="C54" s="1224" t="s">
        <v>462</v>
      </c>
      <c r="D54" s="1224" t="s">
        <v>463</v>
      </c>
      <c r="E54" s="3529"/>
      <c r="F54" s="3529"/>
      <c r="G54" s="3529"/>
      <c r="H54" s="3529"/>
      <c r="I54" s="3531"/>
      <c r="J54" s="3531"/>
      <c r="K54" s="3530"/>
      <c r="L54" s="1225"/>
      <c r="P54" s="3532"/>
      <c r="Q54" s="3532"/>
      <c r="R54" s="266"/>
      <c r="S54" s="3580"/>
      <c r="T54" s="3577"/>
      <c r="U54" s="211"/>
      <c r="V54" s="1254"/>
      <c r="W54" s="1255" t="str">
        <f>X51&amp;"-"&amp;Z51</f>
        <v>-</v>
      </c>
      <c r="X54" s="1254"/>
      <c r="Y54" s="1254"/>
      <c r="Z54" s="1254"/>
      <c r="AA54" s="1254"/>
      <c r="AB54" s="3412"/>
      <c r="AC54" s="223"/>
      <c r="AD54" s="225"/>
      <c r="AE54" s="322" t="s">
        <v>729</v>
      </c>
      <c r="AF54" s="1254"/>
      <c r="AG54" s="1254"/>
      <c r="AH54" s="1254"/>
      <c r="AI54" s="1254"/>
      <c r="AJ54" s="1254"/>
      <c r="AK54" s="1254"/>
      <c r="AL54" s="1254"/>
      <c r="AM54" s="1254"/>
      <c r="AN54" s="1254"/>
      <c r="AO54" s="1255" t="str">
        <f>AP51&amp;"-"&amp;AR51</f>
        <v>-</v>
      </c>
      <c r="AP54" s="1254"/>
      <c r="AQ54" s="1254"/>
      <c r="AR54" s="1254"/>
      <c r="AS54" s="1254"/>
      <c r="AT54" s="1211"/>
      <c r="AU54" s="3552"/>
      <c r="AW54" s="398"/>
      <c r="AX54" s="398" t="str">
        <f t="shared" ref="AX54:AX62" si="3">IF(T54="","",T54)</f>
        <v/>
      </c>
      <c r="AY54" s="398"/>
      <c r="AZ54" s="398"/>
    </row>
    <row r="55" spans="1:52" ht="11.25" customHeight="1">
      <c r="A55" s="1224" t="s">
        <v>460</v>
      </c>
      <c r="B55" s="1224" t="s">
        <v>461</v>
      </c>
      <c r="C55" s="1224" t="s">
        <v>462</v>
      </c>
      <c r="D55" s="1224" t="s">
        <v>463</v>
      </c>
      <c r="E55" s="3529"/>
      <c r="F55" s="3529"/>
      <c r="G55" s="3529"/>
      <c r="H55" s="3529"/>
      <c r="I55" s="3531"/>
      <c r="J55" s="3530"/>
      <c r="K55" s="1224"/>
      <c r="L55" s="1225"/>
      <c r="P55" s="3532"/>
      <c r="Q55" s="3532"/>
      <c r="R55" s="265"/>
      <c r="S55" s="1144"/>
      <c r="T55" s="199" t="s">
        <v>730</v>
      </c>
      <c r="U55" s="275"/>
      <c r="V55" s="275"/>
      <c r="W55" s="275"/>
      <c r="X55" s="275"/>
      <c r="Y55" s="275"/>
      <c r="Z55" s="275"/>
      <c r="AA55" s="235"/>
      <c r="AB55" s="1360"/>
      <c r="AC55" s="275"/>
      <c r="AD55" s="275"/>
      <c r="AE55" s="275"/>
      <c r="AF55" s="275"/>
      <c r="AG55" s="275"/>
      <c r="AH55" s="275"/>
      <c r="AI55" s="275"/>
      <c r="AJ55" s="275"/>
      <c r="AK55" s="275"/>
      <c r="AL55" s="275"/>
      <c r="AM55" s="275"/>
      <c r="AN55" s="275"/>
      <c r="AO55" s="275"/>
      <c r="AP55" s="275"/>
      <c r="AQ55" s="275"/>
      <c r="AR55" s="275"/>
      <c r="AS55" s="275"/>
      <c r="AT55" s="235"/>
      <c r="AU55" s="3553"/>
      <c r="AW55" s="398"/>
      <c r="AX55" s="398" t="str">
        <f t="shared" si="3"/>
        <v>Добавить строку</v>
      </c>
      <c r="AY55" s="398"/>
      <c r="AZ55" s="398"/>
    </row>
    <row r="56" spans="1:52" s="1866" customFormat="1" ht="0" hidden="1" customHeight="1">
      <c r="A56" s="1205" t="s">
        <v>460</v>
      </c>
      <c r="B56" s="1205" t="s">
        <v>461</v>
      </c>
      <c r="C56" s="1205" t="s">
        <v>462</v>
      </c>
      <c r="D56" s="1205" t="s">
        <v>463</v>
      </c>
      <c r="E56" s="3529"/>
      <c r="F56" s="3529"/>
      <c r="G56" s="3529"/>
      <c r="H56" s="3529"/>
      <c r="I56" s="3530"/>
      <c r="J56" s="1205"/>
      <c r="K56" s="1205"/>
      <c r="L56" s="1208"/>
      <c r="M56" s="408"/>
      <c r="N56" s="408"/>
      <c r="O56" s="408"/>
      <c r="P56" s="3532"/>
      <c r="Q56" s="1193"/>
      <c r="R56" s="265"/>
      <c r="S56" s="1247"/>
      <c r="T56" s="1248" t="s">
        <v>674</v>
      </c>
      <c r="U56" s="1249"/>
      <c r="V56" s="1249"/>
      <c r="W56" s="1249"/>
      <c r="X56" s="1249"/>
      <c r="Y56" s="1249"/>
      <c r="Z56" s="1249"/>
      <c r="AA56" s="1249"/>
      <c r="AB56" s="1249"/>
      <c r="AC56" s="1249"/>
      <c r="AD56" s="1249"/>
      <c r="AE56" s="1249"/>
      <c r="AF56" s="1249"/>
      <c r="AG56" s="1249"/>
      <c r="AH56" s="1249"/>
      <c r="AI56" s="1249"/>
      <c r="AJ56" s="1249"/>
      <c r="AK56" s="1249"/>
      <c r="AL56" s="1249"/>
      <c r="AM56" s="1249"/>
      <c r="AN56" s="1249"/>
      <c r="AO56" s="1249"/>
      <c r="AP56" s="1249"/>
      <c r="AQ56" s="1249"/>
      <c r="AR56" s="1249"/>
      <c r="AS56" s="1249"/>
      <c r="AT56" s="1249"/>
      <c r="AU56" s="1250"/>
      <c r="AW56" s="398"/>
      <c r="AX56" s="398" t="str">
        <f t="shared" si="3"/>
        <v>Добавить группу потребителей</v>
      </c>
      <c r="AY56" s="398"/>
      <c r="AZ56" s="398"/>
    </row>
    <row r="57" spans="1:52" s="1838" customFormat="1" ht="0" hidden="1" customHeight="1">
      <c r="A57" s="1205" t="s">
        <v>460</v>
      </c>
      <c r="B57" s="1205" t="s">
        <v>461</v>
      </c>
      <c r="C57" s="1205" t="s">
        <v>462</v>
      </c>
      <c r="D57" s="1205" t="s">
        <v>463</v>
      </c>
      <c r="E57" s="3529"/>
      <c r="F57" s="3529"/>
      <c r="G57" s="3529"/>
      <c r="H57" s="3528"/>
      <c r="I57" s="1205"/>
      <c r="J57" s="1205"/>
      <c r="K57" s="1205"/>
      <c r="L57" s="1208"/>
      <c r="M57" s="1178"/>
      <c r="N57" s="1178"/>
      <c r="O57" s="416"/>
      <c r="P57" s="287"/>
      <c r="Q57" s="1206"/>
      <c r="R57" s="1261"/>
      <c r="S57" s="1247"/>
      <c r="T57" s="1248"/>
      <c r="U57" s="1249"/>
      <c r="V57" s="1249"/>
      <c r="W57" s="1249"/>
      <c r="X57" s="1249"/>
      <c r="Y57" s="1249"/>
      <c r="Z57" s="1249"/>
      <c r="AA57" s="1249"/>
      <c r="AB57" s="1249"/>
      <c r="AC57" s="1249"/>
      <c r="AD57" s="1249"/>
      <c r="AE57" s="1249"/>
      <c r="AF57" s="1249"/>
      <c r="AG57" s="1249"/>
      <c r="AH57" s="1249"/>
      <c r="AI57" s="1249"/>
      <c r="AJ57" s="1249"/>
      <c r="AK57" s="1249"/>
      <c r="AL57" s="1249"/>
      <c r="AM57" s="1249"/>
      <c r="AN57" s="1249"/>
      <c r="AO57" s="1249"/>
      <c r="AP57" s="1249"/>
      <c r="AQ57" s="1249"/>
      <c r="AR57" s="1249"/>
      <c r="AS57" s="1249"/>
      <c r="AT57" s="1249"/>
      <c r="AU57" s="1250"/>
      <c r="AV57" s="409"/>
      <c r="AW57" s="398"/>
      <c r="AX57" s="398" t="str">
        <f t="shared" si="3"/>
        <v/>
      </c>
      <c r="AY57" s="398"/>
      <c r="AZ57" s="398"/>
    </row>
    <row r="58" spans="1:52" s="1866" customFormat="1" ht="0" hidden="1" customHeight="1">
      <c r="A58" s="1205" t="s">
        <v>460</v>
      </c>
      <c r="B58" s="1205" t="s">
        <v>461</v>
      </c>
      <c r="C58" s="1205" t="s">
        <v>462</v>
      </c>
      <c r="D58" s="1177"/>
      <c r="E58" s="3529"/>
      <c r="F58" s="3529"/>
      <c r="G58" s="3528"/>
      <c r="H58" s="1177"/>
      <c r="I58" s="1177"/>
      <c r="J58" s="1177"/>
      <c r="K58" s="1177"/>
      <c r="L58" s="1201"/>
      <c r="M58" s="1178"/>
      <c r="N58" s="1178"/>
      <c r="P58" s="1179"/>
      <c r="Q58" s="1180"/>
      <c r="R58" s="1179"/>
      <c r="S58" s="1185"/>
      <c r="T58" s="1188" t="s">
        <v>676</v>
      </c>
      <c r="U58" s="1187"/>
      <c r="V58" s="1187"/>
      <c r="W58" s="1187"/>
      <c r="X58" s="1187"/>
      <c r="Y58" s="1187"/>
      <c r="Z58" s="1187"/>
      <c r="AA58" s="1187"/>
      <c r="AB58" s="1187"/>
      <c r="AC58" s="1187"/>
      <c r="AD58" s="1187"/>
      <c r="AE58" s="1187"/>
      <c r="AF58" s="1187"/>
      <c r="AG58" s="1187"/>
      <c r="AH58" s="1187"/>
      <c r="AI58" s="1187"/>
      <c r="AJ58" s="1187"/>
      <c r="AK58" s="1187"/>
      <c r="AL58" s="1187"/>
      <c r="AM58" s="1187"/>
      <c r="AN58" s="1187"/>
      <c r="AO58" s="1187"/>
      <c r="AP58" s="1187"/>
      <c r="AQ58" s="1187"/>
      <c r="AR58" s="1187"/>
      <c r="AS58" s="1187"/>
      <c r="AT58" s="1187"/>
      <c r="AU58" s="1187"/>
      <c r="AW58" s="670"/>
      <c r="AX58" s="670" t="str">
        <f t="shared" si="3"/>
        <v>Добавить источник для дифференциации</v>
      </c>
      <c r="AY58" s="670"/>
      <c r="AZ58" s="670"/>
    </row>
    <row r="59" spans="1:52" s="1866" customFormat="1" ht="0" hidden="1" customHeight="1">
      <c r="A59" s="1205" t="s">
        <v>460</v>
      </c>
      <c r="B59" s="1205" t="s">
        <v>461</v>
      </c>
      <c r="C59" s="1177"/>
      <c r="D59" s="1177"/>
      <c r="E59" s="3529"/>
      <c r="F59" s="3528"/>
      <c r="G59" s="1177"/>
      <c r="H59" s="1177"/>
      <c r="I59" s="1177"/>
      <c r="J59" s="1177"/>
      <c r="K59" s="1177"/>
      <c r="L59" s="1201"/>
      <c r="M59" s="1184"/>
      <c r="N59" s="1184"/>
      <c r="P59" s="1179"/>
      <c r="Q59" s="1180"/>
      <c r="R59" s="1179"/>
      <c r="S59" s="1185"/>
      <c r="T59" s="1188" t="s">
        <v>677</v>
      </c>
      <c r="U59" s="1187"/>
      <c r="V59" s="1187"/>
      <c r="W59" s="1187"/>
      <c r="X59" s="1187"/>
      <c r="Y59" s="1187"/>
      <c r="Z59" s="1187"/>
      <c r="AA59" s="1187"/>
      <c r="AB59" s="1187"/>
      <c r="AC59" s="1187"/>
      <c r="AD59" s="1187"/>
      <c r="AE59" s="1187"/>
      <c r="AF59" s="1187"/>
      <c r="AG59" s="1187"/>
      <c r="AH59" s="1187"/>
      <c r="AI59" s="1187"/>
      <c r="AJ59" s="1187"/>
      <c r="AK59" s="1187"/>
      <c r="AL59" s="1187"/>
      <c r="AM59" s="1187"/>
      <c r="AN59" s="1187"/>
      <c r="AO59" s="1187"/>
      <c r="AP59" s="1187"/>
      <c r="AQ59" s="1187"/>
      <c r="AR59" s="1187"/>
      <c r="AS59" s="1187"/>
      <c r="AT59" s="1187"/>
      <c r="AU59" s="1187"/>
      <c r="AW59" s="670"/>
      <c r="AX59" s="670" t="str">
        <f t="shared" si="3"/>
        <v>Добавить централизованную систему для дифференциации</v>
      </c>
      <c r="AY59" s="670"/>
      <c r="AZ59" s="670"/>
    </row>
    <row r="60" spans="1:52" s="1866" customFormat="1" ht="0" hidden="1" customHeight="1">
      <c r="A60" s="1205" t="s">
        <v>460</v>
      </c>
      <c r="B60" s="1205"/>
      <c r="C60" s="1205"/>
      <c r="D60" s="1205"/>
      <c r="E60" s="3529"/>
      <c r="F60" s="1205"/>
      <c r="G60" s="1205"/>
      <c r="H60" s="1205"/>
      <c r="I60" s="1205"/>
      <c r="J60" s="1205"/>
      <c r="K60" s="1205"/>
      <c r="L60" s="1208"/>
      <c r="M60" s="1184"/>
      <c r="N60" s="1184"/>
      <c r="O60" s="416"/>
      <c r="P60" s="287"/>
      <c r="Q60" s="1206"/>
      <c r="R60" s="287"/>
      <c r="S60" s="1185"/>
      <c r="T60" s="1188" t="s">
        <v>678</v>
      </c>
      <c r="U60" s="1187"/>
      <c r="V60" s="1187"/>
      <c r="W60" s="1187"/>
      <c r="X60" s="1187"/>
      <c r="Y60" s="1187"/>
      <c r="Z60" s="1187"/>
      <c r="AA60" s="1187"/>
      <c r="AB60" s="1187"/>
      <c r="AC60" s="1187"/>
      <c r="AD60" s="1187"/>
      <c r="AE60" s="1187"/>
      <c r="AF60" s="1187"/>
      <c r="AG60" s="1187"/>
      <c r="AH60" s="1187"/>
      <c r="AI60" s="1187"/>
      <c r="AJ60" s="1187"/>
      <c r="AK60" s="1187"/>
      <c r="AL60" s="1187"/>
      <c r="AM60" s="1187"/>
      <c r="AN60" s="1187"/>
      <c r="AO60" s="1187"/>
      <c r="AP60" s="1187"/>
      <c r="AQ60" s="1187"/>
      <c r="AR60" s="1187"/>
      <c r="AS60" s="1187"/>
      <c r="AT60" s="1187"/>
      <c r="AU60" s="1187"/>
      <c r="AW60" s="398"/>
      <c r="AX60" s="398" t="str">
        <f t="shared" si="3"/>
        <v>Добавить территорию для дифференциации</v>
      </c>
      <c r="AY60" s="398"/>
      <c r="AZ60" s="398"/>
    </row>
    <row r="61" spans="1:52" s="1866" customFormat="1" ht="0" hidden="1" customHeight="1">
      <c r="A61" s="1205" t="s">
        <v>460</v>
      </c>
      <c r="B61" s="1205"/>
      <c r="C61" s="1205"/>
      <c r="D61" s="1205"/>
      <c r="E61" s="3528"/>
      <c r="F61" s="1205"/>
      <c r="G61" s="1205"/>
      <c r="H61" s="1205"/>
      <c r="I61" s="1205"/>
      <c r="J61" s="1205"/>
      <c r="K61" s="1205"/>
      <c r="L61" s="1208"/>
      <c r="M61" s="1184"/>
      <c r="N61" s="1184"/>
      <c r="O61" s="416"/>
      <c r="P61" s="287"/>
      <c r="Q61" s="1206"/>
      <c r="R61" s="287"/>
      <c r="S61" s="1185"/>
      <c r="T61" s="1188" t="s">
        <v>678</v>
      </c>
      <c r="U61" s="1187"/>
      <c r="V61" s="1187"/>
      <c r="W61" s="1187"/>
      <c r="X61" s="1187"/>
      <c r="Y61" s="1187"/>
      <c r="Z61" s="1187"/>
      <c r="AA61" s="1187"/>
      <c r="AB61" s="1187"/>
      <c r="AC61" s="1187"/>
      <c r="AD61" s="1187"/>
      <c r="AE61" s="1187"/>
      <c r="AF61" s="1187"/>
      <c r="AG61" s="1187"/>
      <c r="AH61" s="1187"/>
      <c r="AI61" s="1187"/>
      <c r="AJ61" s="1187"/>
      <c r="AK61" s="1187"/>
      <c r="AL61" s="1187"/>
      <c r="AM61" s="1187"/>
      <c r="AN61" s="1187"/>
      <c r="AO61" s="1187"/>
      <c r="AP61" s="1187"/>
      <c r="AQ61" s="1187"/>
      <c r="AR61" s="1187"/>
      <c r="AS61" s="1187"/>
      <c r="AT61" s="1187"/>
      <c r="AU61" s="1187"/>
      <c r="AW61" s="398"/>
      <c r="AX61" s="398" t="str">
        <f t="shared" si="3"/>
        <v>Добавить территорию для дифференциации</v>
      </c>
      <c r="AY61" s="398"/>
      <c r="AZ61" s="398"/>
    </row>
    <row r="62" spans="1:52" s="1866" customFormat="1" ht="0" hidden="1" customHeight="1">
      <c r="A62" s="1177"/>
      <c r="B62" s="1177"/>
      <c r="C62" s="1177"/>
      <c r="D62" s="1177"/>
      <c r="E62" s="1205"/>
      <c r="F62" s="1177"/>
      <c r="G62" s="1177"/>
      <c r="H62" s="1177"/>
      <c r="I62" s="1177"/>
      <c r="J62" s="1177"/>
      <c r="K62" s="1177"/>
      <c r="L62" s="1201"/>
      <c r="M62" s="1184"/>
      <c r="N62" s="1184"/>
      <c r="P62" s="1179"/>
      <c r="Q62" s="1180"/>
      <c r="R62" s="1179"/>
      <c r="S62" s="1185"/>
      <c r="T62" s="1188" t="s">
        <v>710</v>
      </c>
      <c r="U62" s="1187"/>
      <c r="V62" s="1187"/>
      <c r="W62" s="1187"/>
      <c r="X62" s="1187"/>
      <c r="Y62" s="1187"/>
      <c r="Z62" s="1187"/>
      <c r="AA62" s="1187"/>
      <c r="AB62" s="1187"/>
      <c r="AC62" s="1187"/>
      <c r="AD62" s="1187"/>
      <c r="AE62" s="1187"/>
      <c r="AF62" s="1187"/>
      <c r="AG62" s="1187"/>
      <c r="AH62" s="1187"/>
      <c r="AI62" s="1187"/>
      <c r="AJ62" s="1187"/>
      <c r="AK62" s="1187"/>
      <c r="AL62" s="1187"/>
      <c r="AM62" s="1187"/>
      <c r="AN62" s="1187"/>
      <c r="AO62" s="1187"/>
      <c r="AP62" s="1187"/>
      <c r="AQ62" s="1187"/>
      <c r="AR62" s="1187"/>
      <c r="AS62" s="1187"/>
      <c r="AT62" s="1187"/>
      <c r="AU62" s="1187"/>
      <c r="AW62" s="670"/>
      <c r="AX62" s="670" t="str">
        <f t="shared" si="3"/>
        <v>Добавить наименование тарифа</v>
      </c>
      <c r="AY62" s="670"/>
      <c r="AZ62" s="670"/>
    </row>
    <row r="63" spans="1:52" ht="11.25" customHeight="1">
      <c r="M63" s="1023"/>
      <c r="N63" s="1023"/>
      <c r="O63" s="434"/>
      <c r="P63" s="1023"/>
      <c r="Q63" s="1023"/>
      <c r="R63" s="1018"/>
      <c r="S63" s="1018"/>
      <c r="AV63" s="1018"/>
      <c r="AW63" s="1018"/>
      <c r="AX63" s="1018"/>
      <c r="AY63" s="1018"/>
      <c r="AZ63" s="1018"/>
    </row>
    <row r="64" spans="1:52" ht="18.75" customHeight="1">
      <c r="O64" s="434"/>
      <c r="S64" s="1119"/>
      <c r="T64" s="3527"/>
      <c r="U64" s="3527"/>
      <c r="V64" s="3527"/>
      <c r="W64" s="3527"/>
      <c r="X64" s="3527"/>
      <c r="Y64" s="3527"/>
      <c r="Z64" s="3527"/>
      <c r="AA64" s="3527"/>
      <c r="AB64" s="3527"/>
      <c r="AC64" s="3527"/>
      <c r="AD64" s="3527"/>
      <c r="AE64" s="3527"/>
      <c r="AF64" s="3527"/>
      <c r="AG64" s="3527"/>
      <c r="AH64" s="3527"/>
      <c r="AI64" s="3527"/>
      <c r="AJ64" s="3527"/>
      <c r="AK64" s="3527"/>
      <c r="AL64" s="3527"/>
      <c r="AM64" s="3527"/>
      <c r="AN64" s="3527"/>
      <c r="AO64" s="3527"/>
      <c r="AP64" s="3527"/>
      <c r="AQ64" s="3527"/>
      <c r="AR64" s="3527"/>
      <c r="AS64" s="3527"/>
      <c r="AT64" s="3527"/>
      <c r="AU64" s="3527"/>
    </row>
    <row r="65" spans="15:47" ht="19.5" customHeight="1">
      <c r="O65" s="434"/>
      <c r="T65" s="3527"/>
      <c r="U65" s="3527"/>
      <c r="V65" s="3527"/>
      <c r="W65" s="3527"/>
      <c r="X65" s="3527"/>
      <c r="Y65" s="3527"/>
      <c r="Z65" s="3527"/>
      <c r="AA65" s="3527"/>
      <c r="AB65" s="3527"/>
      <c r="AC65" s="3527"/>
      <c r="AD65" s="3527"/>
      <c r="AE65" s="3527"/>
      <c r="AF65" s="3527"/>
      <c r="AG65" s="3527"/>
      <c r="AH65" s="3527"/>
      <c r="AI65" s="3527"/>
      <c r="AJ65" s="3527"/>
      <c r="AK65" s="3527"/>
      <c r="AL65" s="3527"/>
      <c r="AM65" s="3527"/>
      <c r="AN65" s="3527"/>
      <c r="AO65" s="3527"/>
      <c r="AP65" s="3527"/>
      <c r="AQ65" s="3527"/>
      <c r="AR65" s="3527"/>
      <c r="AS65" s="3527"/>
      <c r="AT65" s="3527"/>
      <c r="AU65" s="3527"/>
    </row>
    <row r="66" spans="15:47" ht="14.25" customHeight="1">
      <c r="O66" s="434"/>
      <c r="T66" s="1195"/>
      <c r="U66" s="1195"/>
      <c r="V66" s="1195"/>
      <c r="W66" s="1195"/>
      <c r="X66" s="1195"/>
      <c r="Y66" s="1195"/>
      <c r="Z66" s="1195"/>
      <c r="AA66" s="1195"/>
      <c r="AB66" s="1195"/>
      <c r="AC66" s="1195"/>
      <c r="AD66" s="1195"/>
      <c r="AE66" s="1195"/>
      <c r="AF66" s="1195"/>
      <c r="AG66" s="1195"/>
      <c r="AH66" s="1195"/>
      <c r="AI66" s="1195"/>
      <c r="AJ66" s="1195"/>
      <c r="AK66" s="1195"/>
      <c r="AL66" s="1195"/>
      <c r="AM66" s="1195"/>
      <c r="AN66" s="1195"/>
      <c r="AO66" s="1195"/>
      <c r="AP66" s="1195"/>
      <c r="AQ66" s="1195"/>
      <c r="AR66" s="1195"/>
      <c r="AS66" s="1195"/>
      <c r="AT66" s="1195"/>
      <c r="AU66" s="1195"/>
    </row>
    <row r="67" spans="15:47" ht="18.75" customHeight="1">
      <c r="O67" s="434"/>
      <c r="T67" s="3527"/>
      <c r="U67" s="3527"/>
      <c r="V67" s="3527"/>
      <c r="W67" s="3527"/>
      <c r="X67" s="3527"/>
      <c r="Y67" s="3527"/>
      <c r="Z67" s="3527"/>
      <c r="AA67" s="3527"/>
      <c r="AB67" s="3527"/>
      <c r="AC67" s="3527"/>
      <c r="AD67" s="3527"/>
      <c r="AE67" s="3527"/>
      <c r="AF67" s="3527"/>
      <c r="AG67" s="3527"/>
      <c r="AH67" s="3527"/>
      <c r="AI67" s="3527"/>
      <c r="AJ67" s="3527"/>
      <c r="AK67" s="3527"/>
      <c r="AL67" s="3527"/>
      <c r="AM67" s="3527"/>
      <c r="AN67" s="3527"/>
      <c r="AO67" s="3527"/>
      <c r="AP67" s="3527"/>
      <c r="AQ67" s="3527"/>
      <c r="AR67" s="3527"/>
      <c r="AS67" s="3527"/>
      <c r="AT67" s="3527"/>
      <c r="AU67" s="3527"/>
    </row>
    <row r="68" spans="15:47" ht="15.75" customHeight="1">
      <c r="O68" s="434"/>
      <c r="T68" s="3527"/>
      <c r="U68" s="3527"/>
      <c r="V68" s="3527"/>
      <c r="W68" s="3527"/>
      <c r="X68" s="3527"/>
      <c r="Y68" s="3527"/>
      <c r="Z68" s="3527"/>
      <c r="AA68" s="3527"/>
      <c r="AB68" s="3527"/>
      <c r="AC68" s="3527"/>
      <c r="AD68" s="3527"/>
      <c r="AE68" s="3527"/>
      <c r="AF68" s="3527"/>
      <c r="AG68" s="3527"/>
      <c r="AH68" s="3527"/>
      <c r="AI68" s="3527"/>
      <c r="AJ68" s="3527"/>
      <c r="AK68" s="3527"/>
      <c r="AL68" s="3527"/>
      <c r="AM68" s="3527"/>
      <c r="AN68" s="3527"/>
      <c r="AO68" s="3527"/>
      <c r="AP68" s="3527"/>
      <c r="AQ68" s="3527"/>
      <c r="AR68" s="3527"/>
      <c r="AS68" s="3527"/>
      <c r="AT68" s="3527"/>
      <c r="AU68" s="3527"/>
    </row>
    <row r="69" spans="15:47" ht="14.25" customHeight="1">
      <c r="O69" s="434"/>
    </row>
  </sheetData>
  <sheetProtection formatColumns="0" formatRows="0" insertRows="0" deleteColumns="0" deleteRows="0" sort="0" autoFilter="0"/>
  <mergeCells count="118">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s>
  <dataValidations count="9">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CBE8B-0177-E246-1199-F71F9F64289E}">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03" hidden="1"/>
    <col min="2" max="2" width="11" style="1903" hidden="1" customWidth="1"/>
    <col min="3" max="3" width="10.5703125" style="1903" hidden="1"/>
    <col min="4" max="4" width="11.85546875" style="1903" hidden="1" customWidth="1"/>
    <col min="5" max="5" width="10" style="1903" hidden="1" customWidth="1"/>
    <col min="6" max="6" width="8.7109375" style="1903" hidden="1" customWidth="1"/>
    <col min="7" max="7" width="7.5703125" style="1903" hidden="1" customWidth="1"/>
    <col min="8" max="8" width="11.42578125" style="1903" hidden="1" customWidth="1"/>
    <col min="9" max="9" width="14.140625" style="1903" hidden="1" customWidth="1"/>
    <col min="10" max="10" width="9.85546875" style="1903" hidden="1" customWidth="1"/>
    <col min="11" max="11" width="14.7109375" style="1903" hidden="1" customWidth="1"/>
    <col min="12" max="12" width="19.140625" style="1953" hidden="1" customWidth="1"/>
    <col min="13" max="14" width="12.28515625" style="1839" hidden="1" customWidth="1"/>
    <col min="15" max="15" width="23.42578125" style="1839" hidden="1" customWidth="1"/>
    <col min="16" max="16" width="3.7109375" style="1957" customWidth="1"/>
    <col min="17" max="18" width="3.7109375" style="1906" customWidth="1"/>
    <col min="19" max="19" width="12.7109375" style="1951" customWidth="1"/>
    <col min="20" max="20" width="35.7109375" style="1910" customWidth="1"/>
    <col min="21" max="21" width="0.140625" style="1910" customWidth="1"/>
    <col min="22" max="24" width="24.7109375" style="1910" hidden="1" customWidth="1"/>
    <col min="25" max="25" width="11.7109375" style="1910" hidden="1" customWidth="1"/>
    <col min="26" max="26" width="3.7109375" style="1910" hidden="1" customWidth="1"/>
    <col min="27" max="27" width="11.7109375" style="1910" hidden="1" customWidth="1"/>
    <col min="28" max="28" width="8.5703125" style="1910" hidden="1" customWidth="1"/>
    <col min="29" max="31" width="24.7109375" style="1910" customWidth="1"/>
    <col min="32" max="32" width="11.7109375" style="1910" customWidth="1"/>
    <col min="33" max="33" width="3.7109375" style="1910" customWidth="1"/>
    <col min="34" max="34" width="11.7109375" style="1910" customWidth="1"/>
    <col min="35" max="35" width="8.5703125" style="1910" hidden="1" customWidth="1"/>
    <col min="36" max="36" width="4.7109375" style="1910" customWidth="1"/>
    <col min="37" max="37" width="115.7109375" style="1910" customWidth="1"/>
    <col min="38" max="39" width="10.5703125" style="1866"/>
    <col min="40" max="40" width="11.140625" style="1866" customWidth="1"/>
    <col min="41" max="42" width="10.5703125" style="1866"/>
  </cols>
  <sheetData>
    <row r="1" spans="1:42" ht="14.25" hidden="1" customHeight="1">
      <c r="X1" s="238"/>
      <c r="Y1" s="238"/>
      <c r="AE1" s="238"/>
      <c r="AF1" s="238"/>
    </row>
    <row r="2" spans="1:42" ht="23.25" hidden="1" customHeight="1">
      <c r="A2" s="1224"/>
      <c r="B2" s="1224"/>
      <c r="C2" s="1224"/>
      <c r="D2" s="1224"/>
      <c r="E2" s="3528">
        <v>1</v>
      </c>
      <c r="F2" s="1224"/>
      <c r="G2" s="1224"/>
      <c r="H2" s="1224"/>
      <c r="I2" s="1224"/>
      <c r="J2" s="1224"/>
      <c r="K2" s="1224"/>
      <c r="L2" s="1225"/>
      <c r="M2" s="1226"/>
      <c r="N2" s="1226"/>
      <c r="O2" s="1226"/>
      <c r="P2" s="270"/>
      <c r="Q2" s="269"/>
      <c r="R2" s="264"/>
      <c r="S2" s="1285" t="e">
        <f>INDEX(PT_DIFFERENTIATION_NUM_NTAR,MATCH(A2,PT_DIFFERENTIATION_NTAR_ID,0))</f>
        <v>#N/A</v>
      </c>
      <c r="T2" s="209" t="s">
        <v>391</v>
      </c>
      <c r="U2" s="211"/>
      <c r="V2" s="3522"/>
      <c r="W2" s="3523"/>
      <c r="X2" s="3523"/>
      <c r="Y2" s="3523"/>
      <c r="Z2" s="3523"/>
      <c r="AA2" s="3523"/>
      <c r="AB2" s="3524"/>
      <c r="AC2" s="3522" t="e">
        <f>INDEX(PT_DIFFERENTIATION_NTAR,MATCH(A2,PT_DIFFERENTIATION_NTAR_ID,0))</f>
        <v>#N/A</v>
      </c>
      <c r="AD2" s="3523"/>
      <c r="AE2" s="3523"/>
      <c r="AF2" s="3523"/>
      <c r="AG2" s="3523"/>
      <c r="AH2" s="3523"/>
      <c r="AI2" s="3523"/>
      <c r="AJ2" s="3524"/>
      <c r="AK2" s="112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398"/>
      <c r="AN2" s="398" t="str">
        <f t="shared" ref="AN2:AN13" si="0">IF(T2="","",T2)</f>
        <v>Наименование тарифа</v>
      </c>
      <c r="AO2" s="398"/>
      <c r="AP2" s="398"/>
    </row>
    <row r="3" spans="1:42" ht="23.25" hidden="1" customHeight="1">
      <c r="A3" s="1224"/>
      <c r="B3" s="1224"/>
      <c r="C3" s="1224"/>
      <c r="D3" s="1224"/>
      <c r="E3" s="3529"/>
      <c r="F3" s="3528">
        <v>1</v>
      </c>
      <c r="G3" s="1224"/>
      <c r="H3" s="1224"/>
      <c r="I3" s="1224"/>
      <c r="J3" s="1224"/>
      <c r="K3" s="1224"/>
      <c r="L3" s="1225"/>
      <c r="M3" s="1226"/>
      <c r="N3" s="1226"/>
      <c r="O3" s="1226"/>
      <c r="P3" s="1283"/>
      <c r="Q3" s="261"/>
      <c r="R3" s="262"/>
      <c r="S3" s="1285" t="e">
        <f>INDEX(PT_DIFFERENTIATION_NUM_TER,MATCH(B3,PT_DIFFERENTIATION_TER_ID,0))</f>
        <v>#N/A</v>
      </c>
      <c r="T3" s="219" t="s">
        <v>659</v>
      </c>
      <c r="U3" s="211"/>
      <c r="V3" s="3522"/>
      <c r="W3" s="3523"/>
      <c r="X3" s="3523"/>
      <c r="Y3" s="3523"/>
      <c r="Z3" s="3523"/>
      <c r="AA3" s="3523"/>
      <c r="AB3" s="3524"/>
      <c r="AC3" s="3522" t="e">
        <f>INDEX(PT_DIFFERENTIATION_TER,MATCH(B3,PT_DIFFERENTIATION_TER_ID,0))</f>
        <v>#N/A</v>
      </c>
      <c r="AD3" s="3523"/>
      <c r="AE3" s="3523"/>
      <c r="AF3" s="3523"/>
      <c r="AG3" s="3523"/>
      <c r="AH3" s="3523"/>
      <c r="AI3" s="3523"/>
      <c r="AJ3" s="3524"/>
      <c r="AK3" s="1124" t="s">
        <v>660</v>
      </c>
      <c r="AM3" s="398"/>
      <c r="AN3" s="398" t="str">
        <f t="shared" si="0"/>
        <v>Территория действия тарифа</v>
      </c>
      <c r="AO3" s="398"/>
      <c r="AP3" s="398"/>
    </row>
    <row r="4" spans="1:42" ht="23.25" hidden="1" customHeight="1">
      <c r="A4" s="1224"/>
      <c r="B4" s="1224"/>
      <c r="C4" s="1224"/>
      <c r="D4" s="1224"/>
      <c r="E4" s="3529"/>
      <c r="F4" s="3529"/>
      <c r="G4" s="3528">
        <v>1</v>
      </c>
      <c r="H4" s="1224"/>
      <c r="I4" s="1224"/>
      <c r="J4" s="1224"/>
      <c r="K4" s="1224"/>
      <c r="L4" s="1225"/>
      <c r="M4" s="1226"/>
      <c r="N4" s="1226"/>
      <c r="O4" s="1226"/>
      <c r="P4" s="263"/>
      <c r="Q4" s="261"/>
      <c r="R4" s="262"/>
      <c r="S4" s="1285" t="e">
        <f>INDEX(PT_DIFFERENTIATION_NUM_CS,MATCH(C4,PT_DIFFERENTIATION_CS_ID,0))</f>
        <v>#N/A</v>
      </c>
      <c r="T4" s="220" t="s">
        <v>744</v>
      </c>
      <c r="U4" s="211"/>
      <c r="V4" s="3522"/>
      <c r="W4" s="3523"/>
      <c r="X4" s="3523"/>
      <c r="Y4" s="3523"/>
      <c r="Z4" s="3523"/>
      <c r="AA4" s="3523"/>
      <c r="AB4" s="3524"/>
      <c r="AC4" s="3522" t="e">
        <f>INDEX(PT_DIFFERENTIATION_CS,MATCH(C4,PT_DIFFERENTIATION_CS_ID,0))</f>
        <v>#N/A</v>
      </c>
      <c r="AD4" s="3523"/>
      <c r="AE4" s="3523"/>
      <c r="AF4" s="3523"/>
      <c r="AG4" s="3523"/>
      <c r="AH4" s="3523"/>
      <c r="AI4" s="3523"/>
      <c r="AJ4" s="3524"/>
      <c r="AK4" s="1124" t="s">
        <v>745</v>
      </c>
      <c r="AM4" s="398"/>
      <c r="AN4" s="398" t="str">
        <f t="shared" si="0"/>
        <v>Наименование централизованной системы холодного водоснабжения</v>
      </c>
      <c r="AO4" s="398"/>
      <c r="AP4" s="398"/>
    </row>
    <row r="5" spans="1:42" ht="23.25" hidden="1" customHeight="1">
      <c r="A5" s="1224"/>
      <c r="B5" s="1224"/>
      <c r="C5" s="1224"/>
      <c r="D5" s="1224"/>
      <c r="E5" s="3529"/>
      <c r="F5" s="3529"/>
      <c r="G5" s="3529"/>
      <c r="H5" s="3529"/>
      <c r="I5" s="3530" t="e">
        <f>S4&amp;".1"</f>
        <v>#N/A</v>
      </c>
      <c r="J5" s="1224"/>
      <c r="K5" s="1224"/>
      <c r="L5" s="1225"/>
      <c r="P5" s="3532">
        <v>1</v>
      </c>
      <c r="Q5" s="1282"/>
      <c r="R5" s="265"/>
      <c r="S5" s="1285" t="e">
        <f>$I5</f>
        <v>#N/A</v>
      </c>
      <c r="T5" s="197" t="s">
        <v>746</v>
      </c>
      <c r="U5" s="211"/>
      <c r="V5" s="3588"/>
      <c r="W5" s="3589"/>
      <c r="X5" s="3589"/>
      <c r="Y5" s="3589"/>
      <c r="Z5" s="3589"/>
      <c r="AA5" s="3589"/>
      <c r="AB5" s="3590"/>
      <c r="AC5" s="3591"/>
      <c r="AD5" s="3592"/>
      <c r="AE5" s="3592"/>
      <c r="AF5" s="3592"/>
      <c r="AG5" s="3592"/>
      <c r="AH5" s="3592"/>
      <c r="AI5" s="3592"/>
      <c r="AJ5" s="3593"/>
      <c r="AK5" s="1124" t="s">
        <v>747</v>
      </c>
      <c r="AM5" s="398"/>
      <c r="AN5" s="398" t="str">
        <f t="shared" si="0"/>
        <v>Наименование признака дифференциации</v>
      </c>
      <c r="AO5" s="398"/>
      <c r="AP5" s="398"/>
    </row>
    <row r="6" spans="1:42" ht="23.25" hidden="1" customHeight="1">
      <c r="A6" s="1224"/>
      <c r="B6" s="1224"/>
      <c r="C6" s="1224"/>
      <c r="D6" s="1224"/>
      <c r="E6" s="3529"/>
      <c r="F6" s="3529"/>
      <c r="G6" s="3529"/>
      <c r="H6" s="3529"/>
      <c r="I6" s="3531"/>
      <c r="J6" s="3530" t="e">
        <f>I5&amp;".1"</f>
        <v>#N/A</v>
      </c>
      <c r="K6" s="1224"/>
      <c r="L6" s="1225" t="s">
        <v>668</v>
      </c>
      <c r="P6" s="3532"/>
      <c r="Q6" s="3532">
        <v>1</v>
      </c>
      <c r="R6" s="266"/>
      <c r="S6" s="1285" t="e">
        <f>$J6</f>
        <v>#N/A</v>
      </c>
      <c r="T6" s="198" t="s">
        <v>669</v>
      </c>
      <c r="U6" s="211"/>
      <c r="V6" s="3516"/>
      <c r="W6" s="3517"/>
      <c r="X6" s="3517"/>
      <c r="Y6" s="3517"/>
      <c r="Z6" s="3517"/>
      <c r="AA6" s="3517"/>
      <c r="AB6" s="3518"/>
      <c r="AC6" s="3516"/>
      <c r="AD6" s="3517"/>
      <c r="AE6" s="3517"/>
      <c r="AF6" s="3517"/>
      <c r="AG6" s="3517"/>
      <c r="AH6" s="3517"/>
      <c r="AI6" s="3517"/>
      <c r="AJ6" s="3518"/>
      <c r="AK6" s="1171" t="s">
        <v>748</v>
      </c>
      <c r="AM6" s="398"/>
      <c r="AN6" s="398" t="str">
        <f t="shared" si="0"/>
        <v>Группа потребителей</v>
      </c>
      <c r="AO6" s="398"/>
      <c r="AP6" s="398"/>
    </row>
    <row r="7" spans="1:42" ht="23.25" hidden="1" customHeight="1">
      <c r="A7" s="1224"/>
      <c r="B7" s="1224"/>
      <c r="C7" s="1224"/>
      <c r="D7" s="1224"/>
      <c r="E7" s="3529"/>
      <c r="F7" s="3529"/>
      <c r="G7" s="3529"/>
      <c r="H7" s="3529"/>
      <c r="I7" s="3531"/>
      <c r="J7" s="3531"/>
      <c r="K7" s="3530" t="e">
        <f>J6&amp;".1"</f>
        <v>#N/A</v>
      </c>
      <c r="L7" s="1225"/>
      <c r="P7" s="3532"/>
      <c r="Q7" s="3532"/>
      <c r="R7" s="266">
        <v>1</v>
      </c>
      <c r="S7" s="1285" t="e">
        <f>$K7</f>
        <v>#N/A</v>
      </c>
      <c r="T7" s="1297"/>
      <c r="U7" s="211"/>
      <c r="V7" s="639"/>
      <c r="W7" s="639"/>
      <c r="X7" s="1123"/>
      <c r="Y7" s="3533"/>
      <c r="Z7" s="3412" t="s">
        <v>64</v>
      </c>
      <c r="AA7" s="3533"/>
      <c r="AB7" s="3412" t="s">
        <v>64</v>
      </c>
      <c r="AC7" s="639"/>
      <c r="AD7" s="639"/>
      <c r="AE7" s="1123"/>
      <c r="AF7" s="3533"/>
      <c r="AG7" s="3412" t="s">
        <v>64</v>
      </c>
      <c r="AH7" s="3535"/>
      <c r="AI7" s="3412" t="s">
        <v>64</v>
      </c>
      <c r="AJ7" s="1298"/>
      <c r="AK7" s="35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09" t="e">
        <f ca="1">STRCHECKDATE(V8:AJ8)</f>
        <v>#NAME?</v>
      </c>
      <c r="AM7" s="398"/>
      <c r="AN7" s="398" t="str">
        <f t="shared" si="0"/>
        <v/>
      </c>
      <c r="AO7" s="398"/>
      <c r="AP7" s="398"/>
    </row>
    <row r="8" spans="1:42" ht="14.25" hidden="1" customHeight="1">
      <c r="A8" s="1224"/>
      <c r="B8" s="1224"/>
      <c r="C8" s="1224"/>
      <c r="D8" s="1224"/>
      <c r="E8" s="3529"/>
      <c r="F8" s="3529"/>
      <c r="G8" s="3529"/>
      <c r="H8" s="3529"/>
      <c r="I8" s="3531"/>
      <c r="J8" s="3531"/>
      <c r="K8" s="3530"/>
      <c r="L8" s="1225"/>
      <c r="P8" s="3532"/>
      <c r="Q8" s="3532"/>
      <c r="R8" s="266"/>
      <c r="S8" s="1284"/>
      <c r="T8" s="211"/>
      <c r="U8" s="211"/>
      <c r="V8" s="236"/>
      <c r="W8" s="236"/>
      <c r="X8" s="239" t="str">
        <f>Y7&amp;"-"&amp;AA7</f>
        <v>-</v>
      </c>
      <c r="Y8" s="3534"/>
      <c r="Z8" s="3412"/>
      <c r="AA8" s="3534"/>
      <c r="AB8" s="3412"/>
      <c r="AC8" s="236"/>
      <c r="AD8" s="236"/>
      <c r="AE8" s="239" t="str">
        <f>AF7&amp;"-"&amp;AH7</f>
        <v>-</v>
      </c>
      <c r="AF8" s="3534"/>
      <c r="AG8" s="3412"/>
      <c r="AH8" s="3536"/>
      <c r="AI8" s="3412"/>
      <c r="AJ8" s="1299"/>
      <c r="AK8" s="3594"/>
      <c r="AM8" s="398"/>
      <c r="AN8" s="398" t="str">
        <f t="shared" si="0"/>
        <v/>
      </c>
      <c r="AO8" s="398"/>
      <c r="AP8" s="398"/>
    </row>
    <row r="9" spans="1:42" ht="21" hidden="1" customHeight="1">
      <c r="A9" s="1224"/>
      <c r="B9" s="1224"/>
      <c r="C9" s="1224"/>
      <c r="D9" s="1224"/>
      <c r="E9" s="3529"/>
      <c r="F9" s="3529"/>
      <c r="G9" s="3529"/>
      <c r="H9" s="3529"/>
      <c r="I9" s="3531"/>
      <c r="J9" s="3530"/>
      <c r="K9" s="1224"/>
      <c r="L9" s="1225"/>
      <c r="P9" s="3532"/>
      <c r="Q9" s="3532"/>
      <c r="R9" s="265"/>
      <c r="S9" s="1144"/>
      <c r="T9" s="199" t="s">
        <v>749</v>
      </c>
      <c r="U9" s="275"/>
      <c r="V9" s="275"/>
      <c r="W9" s="275"/>
      <c r="X9" s="275"/>
      <c r="Y9" s="275"/>
      <c r="Z9" s="275"/>
      <c r="AA9" s="275"/>
      <c r="AB9" s="275"/>
      <c r="AC9" s="275"/>
      <c r="AD9" s="275"/>
      <c r="AE9" s="275"/>
      <c r="AF9" s="275"/>
      <c r="AG9" s="275"/>
      <c r="AH9" s="275"/>
      <c r="AI9" s="275"/>
      <c r="AJ9" s="275"/>
      <c r="AK9" s="1124" t="s">
        <v>750</v>
      </c>
      <c r="AM9" s="398"/>
      <c r="AN9" s="398" t="str">
        <f t="shared" si="0"/>
        <v>Добавить значение признака дифференциации</v>
      </c>
      <c r="AO9" s="398"/>
      <c r="AP9" s="398"/>
    </row>
    <row r="10" spans="1:42" ht="21" hidden="1" customHeight="1">
      <c r="A10" s="1224"/>
      <c r="B10" s="1224"/>
      <c r="C10" s="1224"/>
      <c r="D10" s="1224"/>
      <c r="E10" s="3529"/>
      <c r="F10" s="3529"/>
      <c r="G10" s="3529"/>
      <c r="H10" s="3529"/>
      <c r="I10" s="3530"/>
      <c r="J10" s="1224"/>
      <c r="K10" s="1224"/>
      <c r="L10" s="1225"/>
      <c r="P10" s="3532"/>
      <c r="Q10" s="1282"/>
      <c r="R10" s="265"/>
      <c r="S10" s="1144"/>
      <c r="T10" s="273" t="s">
        <v>674</v>
      </c>
      <c r="U10" s="275"/>
      <c r="V10" s="275"/>
      <c r="W10" s="275"/>
      <c r="X10" s="275"/>
      <c r="Y10" s="275"/>
      <c r="Z10" s="275"/>
      <c r="AA10" s="275"/>
      <c r="AB10" s="274"/>
      <c r="AC10" s="275"/>
      <c r="AD10" s="275"/>
      <c r="AE10" s="275"/>
      <c r="AF10" s="275"/>
      <c r="AG10" s="275"/>
      <c r="AH10" s="275"/>
      <c r="AI10" s="274"/>
      <c r="AJ10" s="275"/>
      <c r="AK10" s="1300"/>
      <c r="AM10" s="398"/>
      <c r="AN10" s="398" t="str">
        <f t="shared" si="0"/>
        <v>Добавить группу потребителей</v>
      </c>
      <c r="AO10" s="398"/>
      <c r="AP10" s="398"/>
    </row>
    <row r="11" spans="1:42" ht="14.25" hidden="1" customHeight="1">
      <c r="A11" s="1224"/>
      <c r="B11" s="1224"/>
      <c r="C11" s="1224"/>
      <c r="D11" s="1224"/>
      <c r="E11" s="3529"/>
      <c r="F11" s="3529"/>
      <c r="G11" s="3529"/>
      <c r="H11" s="3528"/>
      <c r="I11" s="1224"/>
      <c r="J11" s="1224"/>
      <c r="K11" s="1224"/>
      <c r="L11" s="1225"/>
      <c r="M11" s="1226"/>
      <c r="N11" s="1226"/>
      <c r="O11" s="434"/>
      <c r="P11" s="269"/>
      <c r="Q11" s="282"/>
      <c r="R11" s="264"/>
      <c r="S11" s="1144"/>
      <c r="T11" s="280" t="s">
        <v>751</v>
      </c>
      <c r="U11" s="275"/>
      <c r="V11" s="275"/>
      <c r="W11" s="275"/>
      <c r="X11" s="275"/>
      <c r="Y11" s="275"/>
      <c r="Z11" s="275"/>
      <c r="AA11" s="275"/>
      <c r="AB11" s="274"/>
      <c r="AC11" s="275"/>
      <c r="AD11" s="275"/>
      <c r="AE11" s="275"/>
      <c r="AF11" s="275"/>
      <c r="AG11" s="275"/>
      <c r="AH11" s="275"/>
      <c r="AI11" s="274"/>
      <c r="AJ11" s="275"/>
      <c r="AK11" s="214"/>
      <c r="AM11" s="398"/>
      <c r="AN11" s="398" t="str">
        <f t="shared" si="0"/>
        <v>Добавить наименование признака дифференциации</v>
      </c>
      <c r="AO11" s="398"/>
      <c r="AP11" s="398"/>
    </row>
    <row r="12" spans="1:42" s="1866" customFormat="1" ht="14.25" hidden="1" customHeight="1">
      <c r="A12" s="1205"/>
      <c r="B12" s="1205"/>
      <c r="C12" s="1177"/>
      <c r="D12" s="1177"/>
      <c r="E12" s="3529"/>
      <c r="F12" s="3528"/>
      <c r="G12" s="1177"/>
      <c r="H12" s="1177"/>
      <c r="I12" s="1177"/>
      <c r="J12" s="1177"/>
      <c r="K12" s="1177"/>
      <c r="L12" s="1286"/>
      <c r="M12" s="1184"/>
      <c r="N12" s="1184"/>
      <c r="P12" s="1179"/>
      <c r="Q12" s="1180"/>
      <c r="R12" s="1179"/>
      <c r="S12" s="1185"/>
      <c r="T12" s="1188" t="s">
        <v>677</v>
      </c>
      <c r="U12" s="1187"/>
      <c r="V12" s="1187"/>
      <c r="W12" s="1187"/>
      <c r="X12" s="1187"/>
      <c r="Y12" s="1187"/>
      <c r="Z12" s="1187"/>
      <c r="AA12" s="1187"/>
      <c r="AB12" s="1187"/>
      <c r="AC12" s="1187"/>
      <c r="AD12" s="1187"/>
      <c r="AE12" s="1187"/>
      <c r="AF12" s="1187"/>
      <c r="AG12" s="1187"/>
      <c r="AH12" s="1187"/>
      <c r="AI12" s="1187"/>
      <c r="AJ12" s="1187"/>
      <c r="AK12" s="1187"/>
      <c r="AM12" s="670"/>
      <c r="AN12" s="670" t="str">
        <f t="shared" si="0"/>
        <v>Добавить централизованную систему для дифференциации</v>
      </c>
      <c r="AO12" s="670"/>
      <c r="AP12" s="670"/>
    </row>
    <row r="13" spans="1:42" s="1866" customFormat="1" ht="14.25" hidden="1" customHeight="1">
      <c r="A13" s="1205"/>
      <c r="B13" s="1205"/>
      <c r="C13" s="1205"/>
      <c r="D13" s="1205"/>
      <c r="E13" s="3528"/>
      <c r="F13" s="1205"/>
      <c r="G13" s="1205"/>
      <c r="H13" s="1205"/>
      <c r="I13" s="1205"/>
      <c r="J13" s="1205"/>
      <c r="K13" s="1205"/>
      <c r="L13" s="1208"/>
      <c r="M13" s="1184"/>
      <c r="N13" s="1184"/>
      <c r="O13" s="416"/>
      <c r="P13" s="287"/>
      <c r="Q13" s="1206"/>
      <c r="R13" s="287"/>
      <c r="S13" s="1185"/>
      <c r="T13" s="1188" t="s">
        <v>678</v>
      </c>
      <c r="U13" s="1187"/>
      <c r="V13" s="1187"/>
      <c r="W13" s="1187"/>
      <c r="X13" s="1187"/>
      <c r="Y13" s="1187"/>
      <c r="Z13" s="1187"/>
      <c r="AA13" s="1187"/>
      <c r="AB13" s="1187"/>
      <c r="AC13" s="1187"/>
      <c r="AD13" s="1187"/>
      <c r="AE13" s="1187"/>
      <c r="AF13" s="1187"/>
      <c r="AG13" s="1187"/>
      <c r="AH13" s="1187"/>
      <c r="AI13" s="1187"/>
      <c r="AJ13" s="1187"/>
      <c r="AK13" s="1187"/>
      <c r="AM13" s="398"/>
      <c r="AN13" s="398" t="str">
        <f t="shared" si="0"/>
        <v>Добавить территорию для дифференциации</v>
      </c>
      <c r="AO13" s="398"/>
      <c r="AP13" s="398"/>
    </row>
    <row r="14" spans="1:42" ht="14.25" hidden="1" customHeight="1">
      <c r="AB14" s="238"/>
      <c r="AI14" s="238"/>
    </row>
    <row r="15" spans="1:42" ht="14.25" hidden="1" customHeight="1">
      <c r="AC15" s="1221"/>
      <c r="AD15" s="1221"/>
      <c r="AE15" s="1222"/>
      <c r="AF15" s="3526"/>
      <c r="AG15" s="3525" t="s">
        <v>64</v>
      </c>
      <c r="AH15" s="3526"/>
      <c r="AI15" s="3525" t="s">
        <v>64</v>
      </c>
    </row>
    <row r="16" spans="1:42" ht="14.25" hidden="1" customHeight="1">
      <c r="AC16" s="1221"/>
      <c r="AD16" s="1221"/>
      <c r="AE16" s="239" t="str">
        <f>AF15&amp;"-"&amp;AH15</f>
        <v>-</v>
      </c>
      <c r="AF16" s="3525"/>
      <c r="AG16" s="3525"/>
      <c r="AH16" s="3525"/>
      <c r="AI16" s="3525"/>
    </row>
    <row r="17" spans="1:42" ht="14.25" hidden="1" customHeight="1">
      <c r="AI17" s="238"/>
    </row>
    <row r="18" spans="1:42" s="1903" customFormat="1" ht="22.5" hidden="1" customHeight="1">
      <c r="L18" s="1281"/>
      <c r="M18" s="1223"/>
      <c r="N18" s="1223"/>
      <c r="O18" s="1228" t="s">
        <v>679</v>
      </c>
      <c r="P18" s="1223"/>
      <c r="Q18" s="1232"/>
      <c r="R18" s="1232"/>
      <c r="S18" s="619"/>
      <c r="Y18" s="1228"/>
      <c r="AA18" s="1228"/>
      <c r="AB18" s="1227"/>
      <c r="AF18" s="1228"/>
      <c r="AH18" s="1228"/>
      <c r="AI18" s="1227"/>
      <c r="AL18" s="409"/>
      <c r="AM18" s="409"/>
      <c r="AN18" s="409"/>
      <c r="AO18" s="409"/>
      <c r="AP18" s="409"/>
    </row>
    <row r="19" spans="1:42" s="1903" customFormat="1" ht="14.25" hidden="1" customHeight="1">
      <c r="L19" s="1281"/>
      <c r="M19" s="1223"/>
      <c r="N19" s="1223"/>
      <c r="O19" s="1223"/>
      <c r="P19" s="1223"/>
      <c r="Q19" s="1232"/>
      <c r="R19" s="1232"/>
      <c r="S19" s="619"/>
      <c r="AB19" s="1227"/>
      <c r="AI19" s="1227"/>
      <c r="AL19" s="409"/>
      <c r="AM19" s="409"/>
      <c r="AN19" s="409"/>
      <c r="AO19" s="409"/>
      <c r="AP19" s="409"/>
    </row>
    <row r="20" spans="1:42" s="1903" customFormat="1" ht="12" hidden="1" customHeight="1">
      <c r="L20" s="1281"/>
      <c r="M20" s="1223"/>
      <c r="N20" s="1223"/>
      <c r="O20" s="1225" t="s">
        <v>680</v>
      </c>
      <c r="P20" s="1223"/>
      <c r="Q20" s="1301"/>
      <c r="R20" s="1301"/>
      <c r="S20" s="619"/>
      <c r="T20" s="1023" t="s">
        <v>681</v>
      </c>
      <c r="Z20" s="103" t="s">
        <v>682</v>
      </c>
      <c r="AB20" s="103" t="s">
        <v>683</v>
      </c>
      <c r="AC20" s="1023" t="s">
        <v>681</v>
      </c>
      <c r="AG20" s="103" t="s">
        <v>684</v>
      </c>
      <c r="AI20" s="103" t="s">
        <v>683</v>
      </c>
    </row>
    <row r="21" spans="1:42" ht="14.25" hidden="1" customHeight="1">
      <c r="O21" s="1225"/>
    </row>
    <row r="22" spans="1:42" ht="14.25" hidden="1" customHeight="1">
      <c r="O22" s="1225"/>
    </row>
    <row r="23" spans="1:42" ht="14.25" customHeight="1">
      <c r="Q23" s="283"/>
      <c r="R23" s="283"/>
      <c r="S23" s="1141"/>
      <c r="T23" s="272"/>
      <c r="U23" s="272"/>
      <c r="V23" s="407"/>
      <c r="W23" s="407"/>
      <c r="X23" s="407"/>
      <c r="Y23" s="407"/>
      <c r="Z23" s="407"/>
      <c r="AA23" s="407"/>
      <c r="AB23" s="407"/>
      <c r="AC23" s="407"/>
      <c r="AD23" s="407"/>
      <c r="AE23" s="407"/>
      <c r="AF23" s="407"/>
      <c r="AG23" s="407"/>
      <c r="AH23" s="407"/>
      <c r="AI23" s="407"/>
    </row>
    <row r="24" spans="1:42" ht="14.25" customHeight="1">
      <c r="Q24" s="283"/>
      <c r="R24" s="283"/>
      <c r="S24" s="350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509"/>
      <c r="U24" s="3509"/>
      <c r="V24" s="3509"/>
      <c r="W24" s="3509"/>
      <c r="X24" s="3509"/>
      <c r="Y24" s="3509"/>
      <c r="Z24" s="3509"/>
      <c r="AA24" s="3509"/>
      <c r="AB24" s="3509"/>
      <c r="AC24" s="3509"/>
      <c r="AD24" s="3509"/>
      <c r="AE24" s="3509"/>
      <c r="AF24" s="3509"/>
      <c r="AG24" s="3509"/>
      <c r="AH24" s="3509"/>
      <c r="AI24" s="1109"/>
    </row>
    <row r="25" spans="1:42" ht="14.25" customHeight="1">
      <c r="Q25" s="283"/>
      <c r="R25" s="283"/>
      <c r="S25" s="3480" t="str">
        <f>IF(org=0,"Не определено",org)</f>
        <v>АО "Орелгортеплоэнерго"</v>
      </c>
      <c r="T25" s="3480"/>
      <c r="U25" s="3480"/>
      <c r="V25" s="3480"/>
      <c r="W25" s="3480"/>
      <c r="X25" s="3480"/>
      <c r="Y25" s="3480"/>
      <c r="Z25" s="3480"/>
      <c r="AA25" s="3480"/>
      <c r="AB25" s="3480"/>
      <c r="AC25" s="3480"/>
      <c r="AD25" s="3480"/>
      <c r="AE25" s="3480"/>
      <c r="AF25" s="3480"/>
      <c r="AG25" s="3480"/>
      <c r="AH25" s="3480"/>
      <c r="AI25" s="1109"/>
    </row>
    <row r="26" spans="1:42" ht="14.25" hidden="1" customHeight="1">
      <c r="Q26" s="283"/>
      <c r="R26" s="283"/>
      <c r="S26" s="1141"/>
      <c r="T26" s="272"/>
      <c r="U26" s="272"/>
      <c r="V26" s="233"/>
      <c r="W26" s="233"/>
      <c r="X26" s="233"/>
      <c r="Y26" s="233"/>
      <c r="Z26" s="233"/>
      <c r="AA26" s="233"/>
      <c r="AB26" s="233"/>
      <c r="AC26" s="233"/>
      <c r="AD26" s="233"/>
      <c r="AE26" s="233"/>
      <c r="AF26" s="233"/>
      <c r="AG26" s="233"/>
      <c r="AH26" s="233"/>
      <c r="AI26" s="233"/>
      <c r="AJ26" s="407"/>
    </row>
    <row r="27" spans="1:42" s="1944" customFormat="1" ht="25.5" hidden="1" customHeight="1">
      <c r="A27" s="1229"/>
      <c r="B27" s="1229"/>
      <c r="C27" s="1229"/>
      <c r="D27" s="1229"/>
      <c r="E27" s="1229"/>
      <c r="F27" s="1229"/>
      <c r="G27" s="1229"/>
      <c r="H27" s="1229"/>
      <c r="I27" s="1229"/>
      <c r="J27" s="1229"/>
      <c r="K27" s="1229"/>
      <c r="L27" s="1230"/>
      <c r="M27" s="1229"/>
      <c r="N27" s="1229"/>
      <c r="O27" s="1229"/>
      <c r="S27" s="3519" t="s">
        <v>38</v>
      </c>
      <c r="T27" s="3519"/>
      <c r="U27" s="1233"/>
      <c r="V27" s="3521" t="str">
        <f>IF(TITLE_NAME_OR_PR_CHANGE="",IF(TITLE_NAME_OR_PR="","",TITLE_NAME_OR_PR),TITLE_NAME_OR_PR_CHANGE)</f>
        <v/>
      </c>
      <c r="W27" s="3521"/>
      <c r="X27" s="3521"/>
      <c r="Y27" s="3521"/>
      <c r="Z27" s="3521"/>
      <c r="AA27" s="3521"/>
      <c r="AB27" s="237"/>
      <c r="AC27" s="3521" t="str">
        <f>IF(TITLE_NAME_OR_PR_CHANGE="",IF(TITLE_NAME_OR_PR="","",TITLE_NAME_OR_PR),TITLE_NAME_OR_PR_CHANGE)</f>
        <v/>
      </c>
      <c r="AD27" s="3521"/>
      <c r="AE27" s="3521"/>
      <c r="AF27" s="3521"/>
      <c r="AG27" s="3521"/>
      <c r="AH27" s="3521"/>
      <c r="AI27" s="237"/>
      <c r="AJ27" s="237"/>
      <c r="AK27" s="193"/>
      <c r="AL27" s="276"/>
      <c r="AM27" s="276"/>
      <c r="AN27" s="276"/>
      <c r="AO27" s="276"/>
      <c r="AP27" s="276"/>
    </row>
    <row r="28" spans="1:42" s="1944" customFormat="1" ht="18.75" hidden="1" customHeight="1">
      <c r="A28" s="1229"/>
      <c r="B28" s="1229"/>
      <c r="C28" s="1229"/>
      <c r="D28" s="1229"/>
      <c r="E28" s="1229"/>
      <c r="F28" s="1229"/>
      <c r="G28" s="1229"/>
      <c r="H28" s="1229"/>
      <c r="I28" s="1229"/>
      <c r="J28" s="1229"/>
      <c r="K28" s="1229"/>
      <c r="L28" s="1230"/>
      <c r="M28" s="1229"/>
      <c r="N28" s="1229"/>
      <c r="O28" s="1229"/>
      <c r="S28" s="3519" t="s">
        <v>685</v>
      </c>
      <c r="T28" s="3519"/>
      <c r="U28" s="1233"/>
      <c r="V28" s="3520" t="str">
        <f>IF(TITLE_DATE_PR_CHANGE="",IF(TITLE_DATE_PR="","",TITLE_DATE_PR),TITLE_DATE_PR_CHANGE)</f>
        <v/>
      </c>
      <c r="W28" s="3520"/>
      <c r="X28" s="3520"/>
      <c r="Y28" s="3520"/>
      <c r="Z28" s="3520"/>
      <c r="AA28" s="3520"/>
      <c r="AB28" s="237"/>
      <c r="AC28" s="3520" t="str">
        <f>IF(TITLE_DATE_PR_CHANGE="",IF(TITLE_DATE_PR="","",TITLE_DATE_PR),TITLE_DATE_PR_CHANGE)</f>
        <v/>
      </c>
      <c r="AD28" s="3520"/>
      <c r="AE28" s="3520"/>
      <c r="AF28" s="3520"/>
      <c r="AG28" s="3520"/>
      <c r="AH28" s="3520"/>
      <c r="AI28" s="237"/>
      <c r="AJ28" s="237"/>
      <c r="AK28" s="193"/>
      <c r="AL28" s="276"/>
      <c r="AM28" s="276"/>
      <c r="AN28" s="276"/>
      <c r="AO28" s="276"/>
      <c r="AP28" s="276"/>
    </row>
    <row r="29" spans="1:42" s="1944" customFormat="1" ht="18.75" hidden="1" customHeight="1">
      <c r="A29" s="1229"/>
      <c r="B29" s="1229"/>
      <c r="C29" s="1229"/>
      <c r="D29" s="1229"/>
      <c r="E29" s="1229"/>
      <c r="F29" s="1229"/>
      <c r="G29" s="1229"/>
      <c r="H29" s="1229"/>
      <c r="I29" s="1229"/>
      <c r="J29" s="1229"/>
      <c r="K29" s="1229"/>
      <c r="L29" s="1230"/>
      <c r="M29" s="1229"/>
      <c r="N29" s="1229"/>
      <c r="O29" s="1229"/>
      <c r="S29" s="3519" t="s">
        <v>686</v>
      </c>
      <c r="T29" s="3519"/>
      <c r="U29" s="1233"/>
      <c r="V29" s="3521" t="str">
        <f>IF(TITLE_NUMBER_PR_CHANGE="",IF(TITLE_NUMBER_PR="","",TITLE_NUMBER_PR),TITLE_NUMBER_PR_CHANGE)</f>
        <v/>
      </c>
      <c r="W29" s="3521"/>
      <c r="X29" s="3521"/>
      <c r="Y29" s="3521"/>
      <c r="Z29" s="3521"/>
      <c r="AA29" s="3521"/>
      <c r="AB29" s="237"/>
      <c r="AC29" s="3521" t="str">
        <f>IF(TITLE_NUMBER_PR_CHANGE="",IF(TITLE_NUMBER_PR="","",TITLE_NUMBER_PR),TITLE_NUMBER_PR_CHANGE)</f>
        <v/>
      </c>
      <c r="AD29" s="3521"/>
      <c r="AE29" s="3521"/>
      <c r="AF29" s="3521"/>
      <c r="AG29" s="3521"/>
      <c r="AH29" s="3521"/>
      <c r="AI29" s="237"/>
      <c r="AJ29" s="237"/>
      <c r="AK29" s="193"/>
      <c r="AL29" s="276"/>
      <c r="AM29" s="276"/>
      <c r="AN29" s="276"/>
      <c r="AO29" s="276"/>
      <c r="AP29" s="276"/>
    </row>
    <row r="30" spans="1:42" s="1944" customFormat="1" ht="18.75" hidden="1" customHeight="1">
      <c r="A30" s="1229"/>
      <c r="B30" s="1229"/>
      <c r="C30" s="1229"/>
      <c r="D30" s="1229"/>
      <c r="E30" s="1229"/>
      <c r="F30" s="1229"/>
      <c r="G30" s="1229"/>
      <c r="H30" s="1229"/>
      <c r="I30" s="1229"/>
      <c r="J30" s="1229"/>
      <c r="K30" s="1229"/>
      <c r="L30" s="1230"/>
      <c r="M30" s="1229"/>
      <c r="N30" s="1229"/>
      <c r="O30" s="1229"/>
      <c r="S30" s="3519" t="s">
        <v>39</v>
      </c>
      <c r="T30" s="3519"/>
      <c r="U30" s="1233"/>
      <c r="V30" s="3521" t="str">
        <f>IF(TITLE_IST_PUB_CHANGE="",IF(TITLE_IST_PUB="","",TITLE_IST_PUB),TITLE_IST_PUB_CHANGE)</f>
        <v/>
      </c>
      <c r="W30" s="3521"/>
      <c r="X30" s="3521"/>
      <c r="Y30" s="3521"/>
      <c r="Z30" s="3521"/>
      <c r="AA30" s="3521"/>
      <c r="AB30" s="237"/>
      <c r="AC30" s="3521" t="str">
        <f>IF(TITLE_IST_PUB_CHANGE="",IF(TITLE_IST_PUB="","",TITLE_IST_PUB),TITLE_IST_PUB_CHANGE)</f>
        <v/>
      </c>
      <c r="AD30" s="3521"/>
      <c r="AE30" s="3521"/>
      <c r="AF30" s="3521"/>
      <c r="AG30" s="3521"/>
      <c r="AH30" s="3521"/>
      <c r="AI30" s="237"/>
      <c r="AJ30" s="237"/>
      <c r="AK30" s="193"/>
      <c r="AL30" s="276"/>
      <c r="AM30" s="276"/>
      <c r="AN30" s="276"/>
      <c r="AO30" s="276"/>
      <c r="AP30" s="276"/>
    </row>
    <row r="31" spans="1:42" ht="14.25" hidden="1" customHeight="1">
      <c r="Q31" s="283"/>
      <c r="R31" s="283"/>
      <c r="S31" s="1141"/>
      <c r="T31" s="272"/>
      <c r="U31" s="272"/>
      <c r="V31" s="233"/>
      <c r="W31" s="233"/>
      <c r="X31" s="233"/>
      <c r="Y31" s="233"/>
      <c r="Z31" s="233"/>
      <c r="AA31" s="233"/>
      <c r="AB31" s="233"/>
      <c r="AC31" s="233"/>
      <c r="AD31" s="233"/>
      <c r="AE31" s="233"/>
      <c r="AF31" s="233"/>
      <c r="AG31" s="233"/>
      <c r="AH31" s="233"/>
      <c r="AI31" s="233"/>
      <c r="AJ31" s="407"/>
    </row>
    <row r="32" spans="1:42" s="1944" customFormat="1" ht="18.75" hidden="1" customHeight="1">
      <c r="A32" s="1229"/>
      <c r="B32" s="1229"/>
      <c r="C32" s="1229"/>
      <c r="D32" s="1229"/>
      <c r="E32" s="1229"/>
      <c r="F32" s="1229"/>
      <c r="G32" s="1229"/>
      <c r="H32" s="1229"/>
      <c r="I32" s="1229"/>
      <c r="J32" s="1229"/>
      <c r="K32" s="1229"/>
      <c r="L32" s="1230"/>
      <c r="M32" s="1229"/>
      <c r="N32" s="1229"/>
      <c r="O32" s="1229"/>
      <c r="S32" s="3519" t="s">
        <v>687</v>
      </c>
      <c r="T32" s="3519"/>
      <c r="U32" s="1233"/>
      <c r="V32" s="3520" t="str">
        <f>IF(TITLE_DATE_PR_CHANGE="",IF(TITLE_DATE_PR="","",TITLE_DATE_PR),TITLE_DATE_PR_CHANGE)</f>
        <v/>
      </c>
      <c r="W32" s="3520"/>
      <c r="X32" s="3520"/>
      <c r="Y32" s="3520"/>
      <c r="Z32" s="3520"/>
      <c r="AA32" s="3520"/>
      <c r="AB32" s="237"/>
      <c r="AC32" s="3520" t="str">
        <f>IF(TITLE_DATE_PR_CHANGE="",IF(TITLE_DATE_PR="","",TITLE_DATE_PR),TITLE_DATE_PR_CHANGE)</f>
        <v/>
      </c>
      <c r="AD32" s="3520"/>
      <c r="AE32" s="3520"/>
      <c r="AF32" s="3520"/>
      <c r="AG32" s="3520"/>
      <c r="AH32" s="3520"/>
      <c r="AI32" s="237"/>
      <c r="AJ32" s="237"/>
      <c r="AK32" s="193"/>
      <c r="AL32" s="276"/>
      <c r="AM32" s="276"/>
      <c r="AN32" s="276"/>
      <c r="AO32" s="276"/>
      <c r="AP32" s="276"/>
    </row>
    <row r="33" spans="1:42" s="1944" customFormat="1" ht="18.75" hidden="1" customHeight="1">
      <c r="A33" s="1229"/>
      <c r="B33" s="1229"/>
      <c r="C33" s="1229"/>
      <c r="D33" s="1229"/>
      <c r="E33" s="1229"/>
      <c r="F33" s="1229"/>
      <c r="G33" s="1229"/>
      <c r="H33" s="1229"/>
      <c r="I33" s="1229"/>
      <c r="J33" s="1229"/>
      <c r="K33" s="1229"/>
      <c r="L33" s="1230"/>
      <c r="M33" s="1229"/>
      <c r="N33" s="1229"/>
      <c r="O33" s="1229"/>
      <c r="S33" s="3519" t="s">
        <v>688</v>
      </c>
      <c r="T33" s="3519"/>
      <c r="U33" s="1233"/>
      <c r="V33" s="3521" t="str">
        <f>IF(TITLE_NUMBER_PR_CHANGE="",IF(TITLE_NUMBER_PR="","",TITLE_NUMBER_PR),TITLE_NUMBER_PR_CHANGE)</f>
        <v/>
      </c>
      <c r="W33" s="3521"/>
      <c r="X33" s="3521"/>
      <c r="Y33" s="3521"/>
      <c r="Z33" s="3521"/>
      <c r="AA33" s="3521"/>
      <c r="AB33" s="237"/>
      <c r="AC33" s="3521" t="str">
        <f>IF(TITLE_NUMBER_PR_CHANGE="",IF(TITLE_NUMBER_PR="","",TITLE_NUMBER_PR),TITLE_NUMBER_PR_CHANGE)</f>
        <v/>
      </c>
      <c r="AD33" s="3521"/>
      <c r="AE33" s="3521"/>
      <c r="AF33" s="3521"/>
      <c r="AG33" s="3521"/>
      <c r="AH33" s="3521"/>
      <c r="AI33" s="237"/>
      <c r="AJ33" s="237"/>
      <c r="AK33" s="193"/>
      <c r="AL33" s="276"/>
      <c r="AM33" s="276"/>
      <c r="AN33" s="276"/>
      <c r="AO33" s="276"/>
      <c r="AP33" s="276"/>
    </row>
    <row r="34" spans="1:42" s="1944" customFormat="1" ht="0.75" customHeight="1">
      <c r="A34" s="1229"/>
      <c r="B34" s="1229"/>
      <c r="C34" s="1229"/>
      <c r="D34" s="1229"/>
      <c r="E34" s="1229"/>
      <c r="F34" s="1229"/>
      <c r="G34" s="1229"/>
      <c r="H34" s="1229"/>
      <c r="I34" s="1229"/>
      <c r="J34" s="1229"/>
      <c r="K34" s="1229"/>
      <c r="L34" s="1230"/>
      <c r="M34" s="1229"/>
      <c r="N34" s="1229"/>
      <c r="O34" s="1229"/>
      <c r="S34" s="234"/>
      <c r="T34" s="234"/>
      <c r="U34" s="1216"/>
      <c r="V34" s="237"/>
      <c r="W34" s="237"/>
      <c r="X34" s="237"/>
      <c r="Y34" s="237"/>
      <c r="Z34" s="237"/>
      <c r="AA34" s="237"/>
      <c r="AB34" s="191" t="s">
        <v>689</v>
      </c>
      <c r="AC34" s="237"/>
      <c r="AD34" s="237"/>
      <c r="AE34" s="237"/>
      <c r="AF34" s="237"/>
      <c r="AG34" s="237"/>
      <c r="AH34" s="237"/>
      <c r="AI34" s="191" t="s">
        <v>689</v>
      </c>
      <c r="AL34" s="276"/>
      <c r="AM34" s="276"/>
      <c r="AN34" s="276"/>
      <c r="AO34" s="276"/>
      <c r="AP34" s="276"/>
    </row>
    <row r="35" spans="1:42" ht="14.25" customHeight="1">
      <c r="Q35" s="283"/>
      <c r="R35" s="283"/>
      <c r="S35" s="1141"/>
      <c r="T35" s="272"/>
      <c r="U35" s="1110"/>
      <c r="V35" s="3540"/>
      <c r="W35" s="3540"/>
      <c r="X35" s="3540"/>
      <c r="Y35" s="3540"/>
      <c r="Z35" s="3540"/>
      <c r="AA35" s="3540"/>
      <c r="AB35" s="3540"/>
      <c r="AC35" s="3540"/>
      <c r="AD35" s="3540"/>
      <c r="AE35" s="3540"/>
      <c r="AF35" s="3540"/>
      <c r="AG35" s="3540"/>
      <c r="AH35" s="3540"/>
      <c r="AI35" s="3540"/>
    </row>
    <row r="36" spans="1:42" ht="14.25" customHeight="1">
      <c r="Q36" s="283"/>
      <c r="R36" s="283"/>
      <c r="S36" s="3401" t="s">
        <v>560</v>
      </c>
      <c r="T36" s="3401"/>
      <c r="U36" s="3401"/>
      <c r="V36" s="3401"/>
      <c r="W36" s="3401"/>
      <c r="X36" s="3401"/>
      <c r="Y36" s="3401"/>
      <c r="Z36" s="3401"/>
      <c r="AA36" s="3401"/>
      <c r="AB36" s="3401"/>
      <c r="AC36" s="3401"/>
      <c r="AD36" s="3401"/>
      <c r="AE36" s="3401"/>
      <c r="AF36" s="3401"/>
      <c r="AG36" s="3401"/>
      <c r="AH36" s="3401"/>
      <c r="AI36" s="3401"/>
      <c r="AJ36" s="3401"/>
      <c r="AK36" s="3401" t="s">
        <v>561</v>
      </c>
    </row>
    <row r="37" spans="1:42" ht="14.25" customHeight="1">
      <c r="Q37" s="283"/>
      <c r="R37" s="283"/>
      <c r="S37" s="3541" t="s">
        <v>85</v>
      </c>
      <c r="T37" s="3489" t="s">
        <v>690</v>
      </c>
      <c r="U37" s="212"/>
      <c r="V37" s="3542" t="s">
        <v>691</v>
      </c>
      <c r="W37" s="3543"/>
      <c r="X37" s="3543"/>
      <c r="Y37" s="3543"/>
      <c r="Z37" s="3543"/>
      <c r="AA37" s="3544"/>
      <c r="AB37" s="3545" t="s">
        <v>692</v>
      </c>
      <c r="AC37" s="3542" t="s">
        <v>691</v>
      </c>
      <c r="AD37" s="3543"/>
      <c r="AE37" s="3543"/>
      <c r="AF37" s="3543"/>
      <c r="AG37" s="3543"/>
      <c r="AH37" s="3544"/>
      <c r="AI37" s="3545" t="s">
        <v>693</v>
      </c>
      <c r="AJ37" s="3548" t="s">
        <v>694</v>
      </c>
      <c r="AK37" s="3401"/>
    </row>
    <row r="38" spans="1:42" ht="33.75" customHeight="1">
      <c r="Q38" s="283"/>
      <c r="R38" s="283"/>
      <c r="S38" s="3541"/>
      <c r="T38" s="3489"/>
      <c r="U38" s="901"/>
      <c r="V38" s="1213" t="s">
        <v>752</v>
      </c>
      <c r="W38" s="3383" t="s">
        <v>697</v>
      </c>
      <c r="X38" s="3382"/>
      <c r="Y38" s="3383" t="s">
        <v>698</v>
      </c>
      <c r="Z38" s="3388"/>
      <c r="AA38" s="3382"/>
      <c r="AB38" s="3546"/>
      <c r="AC38" s="1213" t="s">
        <v>752</v>
      </c>
      <c r="AD38" s="3383" t="s">
        <v>697</v>
      </c>
      <c r="AE38" s="3382"/>
      <c r="AF38" s="3383" t="s">
        <v>698</v>
      </c>
      <c r="AG38" s="3388"/>
      <c r="AH38" s="3382"/>
      <c r="AI38" s="3546"/>
      <c r="AJ38" s="3549"/>
      <c r="AK38" s="3401"/>
    </row>
    <row r="39" spans="1:42" ht="33.75" customHeight="1">
      <c r="A39" s="1231"/>
      <c r="B39" s="1231" t="s">
        <v>403</v>
      </c>
      <c r="C39" s="1231" t="s">
        <v>404</v>
      </c>
      <c r="D39" s="1231" t="s">
        <v>405</v>
      </c>
      <c r="E39" s="1225" t="s">
        <v>699</v>
      </c>
      <c r="F39" s="1225" t="s">
        <v>700</v>
      </c>
      <c r="G39" s="1225" t="s">
        <v>701</v>
      </c>
      <c r="H39" s="1225"/>
      <c r="I39" s="1225" t="s">
        <v>753</v>
      </c>
      <c r="J39" s="1225" t="s">
        <v>704</v>
      </c>
      <c r="K39" s="1225" t="s">
        <v>754</v>
      </c>
      <c r="L39" s="1225" t="s">
        <v>680</v>
      </c>
      <c r="Q39" s="283"/>
      <c r="R39" s="283"/>
      <c r="S39" s="3541"/>
      <c r="T39" s="3489"/>
      <c r="U39" s="213"/>
      <c r="V39" s="1213" t="s">
        <v>755</v>
      </c>
      <c r="W39" s="1088" t="s">
        <v>756</v>
      </c>
      <c r="X39" s="1088" t="s">
        <v>757</v>
      </c>
      <c r="Y39" s="1218" t="s">
        <v>708</v>
      </c>
      <c r="Z39" s="3494" t="s">
        <v>709</v>
      </c>
      <c r="AA39" s="3508"/>
      <c r="AB39" s="3547"/>
      <c r="AC39" s="1213" t="s">
        <v>755</v>
      </c>
      <c r="AD39" s="1088" t="s">
        <v>756</v>
      </c>
      <c r="AE39" s="1088" t="s">
        <v>757</v>
      </c>
      <c r="AF39" s="1218" t="s">
        <v>708</v>
      </c>
      <c r="AG39" s="3494" t="s">
        <v>709</v>
      </c>
      <c r="AH39" s="3508"/>
      <c r="AI39" s="3547"/>
      <c r="AJ39" s="3550"/>
      <c r="AK39" s="3401"/>
    </row>
    <row r="40" spans="1:42" s="1838" customFormat="1" ht="11.25" hidden="1" customHeight="1">
      <c r="A40" s="1231"/>
      <c r="B40" s="1231"/>
      <c r="C40" s="1231"/>
      <c r="D40" s="1231"/>
      <c r="E40" s="1231"/>
      <c r="F40" s="1231"/>
      <c r="G40" s="1231"/>
      <c r="H40" s="1231"/>
      <c r="I40" s="1231"/>
      <c r="J40" s="1231"/>
      <c r="K40" s="1231"/>
      <c r="L40" s="1225"/>
      <c r="M40" s="1223"/>
      <c r="N40" s="1223"/>
      <c r="O40" s="1223"/>
      <c r="P40" s="1112"/>
      <c r="Q40" s="1113"/>
      <c r="R40" s="1120">
        <v>1</v>
      </c>
      <c r="S40" s="1143" t="s">
        <v>106</v>
      </c>
      <c r="T40" s="1121" t="s">
        <v>107</v>
      </c>
      <c r="U40" s="1111" t="str">
        <f ca="1">OFFSET(U40,0,-1)</f>
        <v>2</v>
      </c>
      <c r="V40" s="1214">
        <f ca="1">OFFSET(V40,0,-1)+1</f>
        <v>3</v>
      </c>
      <c r="W40" s="1214">
        <f ca="1">OFFSET(W40,0,-1)+1</f>
        <v>4</v>
      </c>
      <c r="X40" s="1214">
        <f ca="1">OFFSET(X40,0,-1)+1</f>
        <v>5</v>
      </c>
      <c r="Y40" s="1214">
        <f ca="1">OFFSET(Y40,0,-1)+1</f>
        <v>6</v>
      </c>
      <c r="Z40" s="3539">
        <f ca="1">OFFSET(Z40,0,-1)+1</f>
        <v>7</v>
      </c>
      <c r="AA40" s="3539"/>
      <c r="AB40" s="1214">
        <f ca="1">OFFSET(AB40,0,-2)+1</f>
        <v>8</v>
      </c>
      <c r="AC40" s="1214">
        <f ca="1">OFFSET(AC40,0,-1)+1</f>
        <v>9</v>
      </c>
      <c r="AD40" s="1214">
        <f ca="1">OFFSET(AD40,0,-1)+1</f>
        <v>10</v>
      </c>
      <c r="AE40" s="1214">
        <f ca="1">OFFSET(AE40,0,-1)+1</f>
        <v>11</v>
      </c>
      <c r="AF40" s="1214">
        <f ca="1">OFFSET(AF40,0,-1)+1</f>
        <v>12</v>
      </c>
      <c r="AG40" s="3539">
        <f ca="1">OFFSET(AG40,0,-1)+1</f>
        <v>13</v>
      </c>
      <c r="AH40" s="3539"/>
      <c r="AI40" s="1214">
        <f ca="1">OFFSET(AI40,0,-2)+1</f>
        <v>14</v>
      </c>
      <c r="AJ40" s="1111">
        <f ca="1">OFFSET(AJ40,0,-1)</f>
        <v>14</v>
      </c>
      <c r="AK40" s="1214">
        <f ca="1">OFFSET(AK40,0,-1)+1</f>
        <v>15</v>
      </c>
      <c r="AL40" s="409"/>
      <c r="AM40" s="409"/>
      <c r="AN40" s="409"/>
      <c r="AO40" s="409"/>
      <c r="AP40" s="409"/>
    </row>
    <row r="41" spans="1:42" ht="23.25" customHeight="1">
      <c r="A41" s="1224" t="s">
        <v>486</v>
      </c>
      <c r="B41" s="1224"/>
      <c r="C41" s="1224"/>
      <c r="D41" s="1224"/>
      <c r="E41" s="3528">
        <v>1</v>
      </c>
      <c r="F41" s="1224"/>
      <c r="G41" s="1224"/>
      <c r="H41" s="1224"/>
      <c r="I41" s="1224"/>
      <c r="J41" s="1224"/>
      <c r="K41" s="1224"/>
      <c r="L41" s="1225"/>
      <c r="M41" s="1226"/>
      <c r="N41" s="1226"/>
      <c r="O41" s="1226"/>
      <c r="P41" s="270"/>
      <c r="Q41" s="269"/>
      <c r="R41" s="264"/>
      <c r="S41" s="1219">
        <f>INDEX(PT_DIFFERENTIATION_NUM_NTAR,MATCH(A41,PT_DIFFERENTIATION_NTAR_ID,0))</f>
        <v>0</v>
      </c>
      <c r="T41" s="209" t="s">
        <v>391</v>
      </c>
      <c r="U41" s="211"/>
      <c r="V41" s="3522"/>
      <c r="W41" s="3523"/>
      <c r="X41" s="3523"/>
      <c r="Y41" s="3523"/>
      <c r="Z41" s="3523"/>
      <c r="AA41" s="3523"/>
      <c r="AB41" s="3524"/>
      <c r="AC41" s="3522" t="str">
        <f>INDEX(PT_DIFFERENTIATION_NTAR,MATCH(A41,PT_DIFFERENTIATION_NTAR_ID,0))</f>
        <v/>
      </c>
      <c r="AD41" s="3523"/>
      <c r="AE41" s="3523"/>
      <c r="AF41" s="3523"/>
      <c r="AG41" s="3523"/>
      <c r="AH41" s="3523"/>
      <c r="AI41" s="3523"/>
      <c r="AJ41" s="3524"/>
      <c r="AK41" s="112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398"/>
      <c r="AN41" s="398" t="str">
        <f t="shared" ref="AN41:AN53" si="1">IF(T41="","",T41)</f>
        <v>Наименование тарифа</v>
      </c>
      <c r="AO41" s="398"/>
      <c r="AP41" s="398"/>
    </row>
    <row r="42" spans="1:42" ht="23.25" customHeight="1">
      <c r="A42" s="1224" t="s">
        <v>486</v>
      </c>
      <c r="B42" s="1224" t="s">
        <v>487</v>
      </c>
      <c r="C42" s="1224"/>
      <c r="D42" s="1224"/>
      <c r="E42" s="3529"/>
      <c r="F42" s="3528">
        <v>1</v>
      </c>
      <c r="G42" s="1224"/>
      <c r="H42" s="1224"/>
      <c r="I42" s="1224"/>
      <c r="J42" s="1224"/>
      <c r="K42" s="1224"/>
      <c r="L42" s="1225"/>
      <c r="M42" s="1226"/>
      <c r="N42" s="1226"/>
      <c r="O42" s="1226"/>
      <c r="P42" s="1217"/>
      <c r="Q42" s="261"/>
      <c r="R42" s="262"/>
      <c r="S42" s="1219" t="str">
        <f>INDEX(PT_DIFFERENTIATION_NUM_TER,MATCH(B42,PT_DIFFERENTIATION_TER_ID,0))</f>
        <v>.</v>
      </c>
      <c r="T42" s="219" t="s">
        <v>659</v>
      </c>
      <c r="U42" s="211"/>
      <c r="V42" s="3522"/>
      <c r="W42" s="3523"/>
      <c r="X42" s="3523"/>
      <c r="Y42" s="3523"/>
      <c r="Z42" s="3523"/>
      <c r="AA42" s="3523"/>
      <c r="AB42" s="3524"/>
      <c r="AC42" s="3522" t="str">
        <f>INDEX(PT_DIFFERENTIATION_TER,MATCH(B42,PT_DIFFERENTIATION_TER_ID,0))</f>
        <v/>
      </c>
      <c r="AD42" s="3523"/>
      <c r="AE42" s="3523"/>
      <c r="AF42" s="3523"/>
      <c r="AG42" s="3523"/>
      <c r="AH42" s="3523"/>
      <c r="AI42" s="3523"/>
      <c r="AJ42" s="3524"/>
      <c r="AK42" s="1124" t="s">
        <v>660</v>
      </c>
      <c r="AM42" s="398"/>
      <c r="AN42" s="398" t="str">
        <f t="shared" si="1"/>
        <v>Территория действия тарифа</v>
      </c>
      <c r="AO42" s="398"/>
      <c r="AP42" s="398"/>
    </row>
    <row r="43" spans="1:42" ht="23.25" customHeight="1">
      <c r="A43" s="1224" t="s">
        <v>486</v>
      </c>
      <c r="B43" s="1224" t="s">
        <v>487</v>
      </c>
      <c r="C43" s="1224" t="s">
        <v>488</v>
      </c>
      <c r="D43" s="1224"/>
      <c r="E43" s="3529"/>
      <c r="F43" s="3529"/>
      <c r="G43" s="3528">
        <v>1</v>
      </c>
      <c r="H43" s="1224"/>
      <c r="I43" s="1224"/>
      <c r="J43" s="1224"/>
      <c r="K43" s="1224"/>
      <c r="L43" s="1225"/>
      <c r="M43" s="1226"/>
      <c r="N43" s="1226"/>
      <c r="O43" s="1226"/>
      <c r="P43" s="263"/>
      <c r="Q43" s="261"/>
      <c r="R43" s="262"/>
      <c r="S43" s="1219" t="str">
        <f>INDEX(PT_DIFFERENTIATION_NUM_CS,MATCH(C43,PT_DIFFERENTIATION_CS_ID,0))</f>
        <v>..</v>
      </c>
      <c r="T43" s="220" t="s">
        <v>744</v>
      </c>
      <c r="U43" s="211"/>
      <c r="V43" s="3522"/>
      <c r="W43" s="3523"/>
      <c r="X43" s="3523"/>
      <c r="Y43" s="3523"/>
      <c r="Z43" s="3523"/>
      <c r="AA43" s="3523"/>
      <c r="AB43" s="3524"/>
      <c r="AC43" s="3522" t="str">
        <f>INDEX(PT_DIFFERENTIATION_CS,MATCH(C43,PT_DIFFERENTIATION_CS_ID,0))</f>
        <v/>
      </c>
      <c r="AD43" s="3523"/>
      <c r="AE43" s="3523"/>
      <c r="AF43" s="3523"/>
      <c r="AG43" s="3523"/>
      <c r="AH43" s="3523"/>
      <c r="AI43" s="3523"/>
      <c r="AJ43" s="3524"/>
      <c r="AK43" s="1124" t="s">
        <v>745</v>
      </c>
      <c r="AM43" s="398"/>
      <c r="AN43" s="398" t="str">
        <f t="shared" si="1"/>
        <v>Наименование централизованной системы холодного водоснабжения</v>
      </c>
      <c r="AO43" s="398"/>
      <c r="AP43" s="398"/>
    </row>
    <row r="44" spans="1:42" ht="23.25" customHeight="1">
      <c r="A44" s="1224" t="s">
        <v>486</v>
      </c>
      <c r="B44" s="1224" t="s">
        <v>487</v>
      </c>
      <c r="C44" s="1224" t="s">
        <v>488</v>
      </c>
      <c r="D44" s="1224" t="s">
        <v>758</v>
      </c>
      <c r="E44" s="3529"/>
      <c r="F44" s="3529"/>
      <c r="G44" s="3529"/>
      <c r="H44" s="3529"/>
      <c r="I44" s="3530" t="str">
        <f>S43&amp;".1"</f>
        <v>...1</v>
      </c>
      <c r="J44" s="1224"/>
      <c r="K44" s="1224"/>
      <c r="L44" s="1225"/>
      <c r="P44" s="3532">
        <v>1</v>
      </c>
      <c r="Q44" s="1215"/>
      <c r="R44" s="265"/>
      <c r="S44" s="1219" t="str">
        <f>$I44</f>
        <v>...1</v>
      </c>
      <c r="T44" s="197" t="s">
        <v>746</v>
      </c>
      <c r="U44" s="211"/>
      <c r="V44" s="3588"/>
      <c r="W44" s="3589"/>
      <c r="X44" s="3589"/>
      <c r="Y44" s="3589"/>
      <c r="Z44" s="3589"/>
      <c r="AA44" s="3589"/>
      <c r="AB44" s="3590"/>
      <c r="AC44" s="3591"/>
      <c r="AD44" s="3592"/>
      <c r="AE44" s="3592"/>
      <c r="AF44" s="3592"/>
      <c r="AG44" s="3592"/>
      <c r="AH44" s="3592"/>
      <c r="AI44" s="3592"/>
      <c r="AJ44" s="3593"/>
      <c r="AK44" s="1124" t="s">
        <v>747</v>
      </c>
      <c r="AM44" s="398"/>
      <c r="AN44" s="398" t="str">
        <f t="shared" si="1"/>
        <v>Наименование признака дифференциации</v>
      </c>
      <c r="AO44" s="398"/>
      <c r="AP44" s="398"/>
    </row>
    <row r="45" spans="1:42" ht="23.25" customHeight="1">
      <c r="A45" s="1224" t="s">
        <v>486</v>
      </c>
      <c r="B45" s="1224" t="s">
        <v>487</v>
      </c>
      <c r="C45" s="1224" t="s">
        <v>488</v>
      </c>
      <c r="D45" s="1224" t="s">
        <v>758</v>
      </c>
      <c r="E45" s="3529"/>
      <c r="F45" s="3529"/>
      <c r="G45" s="3529"/>
      <c r="H45" s="3529"/>
      <c r="I45" s="3531"/>
      <c r="J45" s="3530" t="str">
        <f>I44&amp;".1"</f>
        <v>...1.1</v>
      </c>
      <c r="K45" s="1224"/>
      <c r="L45" s="1225" t="s">
        <v>668</v>
      </c>
      <c r="P45" s="3532"/>
      <c r="Q45" s="3532">
        <v>1</v>
      </c>
      <c r="R45" s="266"/>
      <c r="S45" s="1219" t="str">
        <f>$J45</f>
        <v>...1.1</v>
      </c>
      <c r="T45" s="198" t="s">
        <v>669</v>
      </c>
      <c r="U45" s="211"/>
      <c r="V45" s="3516"/>
      <c r="W45" s="3517"/>
      <c r="X45" s="3517"/>
      <c r="Y45" s="3517"/>
      <c r="Z45" s="3517"/>
      <c r="AA45" s="3517"/>
      <c r="AB45" s="3518"/>
      <c r="AC45" s="3516"/>
      <c r="AD45" s="3517"/>
      <c r="AE45" s="3517"/>
      <c r="AF45" s="3517"/>
      <c r="AG45" s="3517"/>
      <c r="AH45" s="3517"/>
      <c r="AI45" s="3517"/>
      <c r="AJ45" s="3518"/>
      <c r="AK45" s="1171" t="s">
        <v>748</v>
      </c>
      <c r="AM45" s="398"/>
      <c r="AN45" s="398" t="str">
        <f t="shared" si="1"/>
        <v>Группа потребителей</v>
      </c>
      <c r="AO45" s="398"/>
      <c r="AP45" s="398"/>
    </row>
    <row r="46" spans="1:42" ht="23.25" customHeight="1">
      <c r="A46" s="1224" t="s">
        <v>486</v>
      </c>
      <c r="B46" s="1224" t="s">
        <v>487</v>
      </c>
      <c r="C46" s="1224" t="s">
        <v>488</v>
      </c>
      <c r="D46" s="1224" t="s">
        <v>758</v>
      </c>
      <c r="E46" s="3529"/>
      <c r="F46" s="3529"/>
      <c r="G46" s="3529"/>
      <c r="H46" s="3529"/>
      <c r="I46" s="3531"/>
      <c r="J46" s="3531"/>
      <c r="K46" s="3530" t="str">
        <f>J45&amp;".1"</f>
        <v>...1.1.1</v>
      </c>
      <c r="L46" s="1225"/>
      <c r="P46" s="3532"/>
      <c r="Q46" s="3532"/>
      <c r="R46" s="266">
        <v>1</v>
      </c>
      <c r="S46" s="1219" t="str">
        <f>$K46</f>
        <v>...1.1.1</v>
      </c>
      <c r="T46" s="1297"/>
      <c r="U46" s="211"/>
      <c r="V46" s="1221"/>
      <c r="W46" s="1221"/>
      <c r="X46" s="1222"/>
      <c r="Y46" s="3526"/>
      <c r="Z46" s="3525" t="s">
        <v>64</v>
      </c>
      <c r="AA46" s="3526"/>
      <c r="AB46" s="3525" t="s">
        <v>64</v>
      </c>
      <c r="AC46" s="639"/>
      <c r="AD46" s="639"/>
      <c r="AE46" s="1123"/>
      <c r="AF46" s="3533"/>
      <c r="AG46" s="3412" t="s">
        <v>64</v>
      </c>
      <c r="AH46" s="3535"/>
      <c r="AI46" s="3412" t="s">
        <v>54</v>
      </c>
      <c r="AJ46" s="1298"/>
      <c r="AK46" s="35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09" t="e">
        <f ca="1">STRCHECKDATE(V47:AJ47)</f>
        <v>#NAME?</v>
      </c>
      <c r="AM46" s="398"/>
      <c r="AN46" s="398" t="str">
        <f t="shared" si="1"/>
        <v/>
      </c>
      <c r="AO46" s="398"/>
      <c r="AP46" s="398"/>
    </row>
    <row r="47" spans="1:42" ht="0" hidden="1" customHeight="1">
      <c r="A47" s="1224" t="s">
        <v>486</v>
      </c>
      <c r="B47" s="1224" t="s">
        <v>487</v>
      </c>
      <c r="C47" s="1224" t="s">
        <v>488</v>
      </c>
      <c r="D47" s="1224" t="s">
        <v>758</v>
      </c>
      <c r="E47" s="3529"/>
      <c r="F47" s="3529"/>
      <c r="G47" s="3529"/>
      <c r="H47" s="3529"/>
      <c r="I47" s="3531"/>
      <c r="J47" s="3531"/>
      <c r="K47" s="3530"/>
      <c r="L47" s="1225"/>
      <c r="P47" s="3532"/>
      <c r="Q47" s="3532"/>
      <c r="R47" s="266"/>
      <c r="S47" s="1220"/>
      <c r="T47" s="211"/>
      <c r="U47" s="211"/>
      <c r="V47" s="1221"/>
      <c r="W47" s="1221"/>
      <c r="X47" s="239" t="str">
        <f>Y46&amp;"-"&amp;AA46</f>
        <v>-</v>
      </c>
      <c r="Y47" s="3525"/>
      <c r="Z47" s="3525"/>
      <c r="AA47" s="3525"/>
      <c r="AB47" s="3525"/>
      <c r="AC47" s="236"/>
      <c r="AD47" s="236"/>
      <c r="AE47" s="239" t="str">
        <f>AF46&amp;"-"&amp;AH46</f>
        <v>-</v>
      </c>
      <c r="AF47" s="3534"/>
      <c r="AG47" s="3412"/>
      <c r="AH47" s="3536"/>
      <c r="AI47" s="3412"/>
      <c r="AJ47" s="1299"/>
      <c r="AK47" s="3594"/>
      <c r="AM47" s="398"/>
      <c r="AN47" s="398" t="str">
        <f t="shared" si="1"/>
        <v/>
      </c>
      <c r="AO47" s="398"/>
      <c r="AP47" s="398"/>
    </row>
    <row r="48" spans="1:42" ht="21" customHeight="1">
      <c r="A48" s="1224" t="s">
        <v>486</v>
      </c>
      <c r="B48" s="1224" t="s">
        <v>487</v>
      </c>
      <c r="C48" s="1224" t="s">
        <v>488</v>
      </c>
      <c r="D48" s="1224" t="s">
        <v>758</v>
      </c>
      <c r="E48" s="3529"/>
      <c r="F48" s="3529"/>
      <c r="G48" s="3529"/>
      <c r="H48" s="3529"/>
      <c r="I48" s="3531"/>
      <c r="J48" s="3530"/>
      <c r="K48" s="1224"/>
      <c r="L48" s="1225"/>
      <c r="P48" s="3532"/>
      <c r="Q48" s="3532"/>
      <c r="R48" s="265"/>
      <c r="S48" s="1144"/>
      <c r="T48" s="199" t="s">
        <v>749</v>
      </c>
      <c r="U48" s="275"/>
      <c r="V48" s="275"/>
      <c r="W48" s="275"/>
      <c r="X48" s="275"/>
      <c r="Y48" s="275"/>
      <c r="Z48" s="275"/>
      <c r="AA48" s="275"/>
      <c r="AB48" s="275"/>
      <c r="AC48" s="275"/>
      <c r="AD48" s="275"/>
      <c r="AE48" s="275"/>
      <c r="AF48" s="275"/>
      <c r="AG48" s="275"/>
      <c r="AH48" s="275"/>
      <c r="AI48" s="275"/>
      <c r="AJ48" s="275"/>
      <c r="AK48" s="1124" t="s">
        <v>750</v>
      </c>
      <c r="AM48" s="398"/>
      <c r="AN48" s="398" t="str">
        <f t="shared" si="1"/>
        <v>Добавить значение признака дифференциации</v>
      </c>
      <c r="AO48" s="398"/>
      <c r="AP48" s="398"/>
    </row>
    <row r="49" spans="1:42" ht="21" customHeight="1">
      <c r="A49" s="1224" t="s">
        <v>486</v>
      </c>
      <c r="B49" s="1224" t="s">
        <v>487</v>
      </c>
      <c r="C49" s="1224" t="s">
        <v>488</v>
      </c>
      <c r="D49" s="1224" t="s">
        <v>758</v>
      </c>
      <c r="E49" s="3529"/>
      <c r="F49" s="3529"/>
      <c r="G49" s="3529"/>
      <c r="H49" s="3529"/>
      <c r="I49" s="3530"/>
      <c r="J49" s="1224"/>
      <c r="K49" s="1224"/>
      <c r="L49" s="1225"/>
      <c r="P49" s="3532"/>
      <c r="Q49" s="1215"/>
      <c r="R49" s="265"/>
      <c r="S49" s="1144"/>
      <c r="T49" s="273" t="s">
        <v>674</v>
      </c>
      <c r="U49" s="275"/>
      <c r="V49" s="275"/>
      <c r="W49" s="275"/>
      <c r="X49" s="275"/>
      <c r="Y49" s="275"/>
      <c r="Z49" s="275"/>
      <c r="AA49" s="275"/>
      <c r="AB49" s="274"/>
      <c r="AC49" s="275"/>
      <c r="AD49" s="275"/>
      <c r="AE49" s="275"/>
      <c r="AF49" s="275"/>
      <c r="AG49" s="275"/>
      <c r="AH49" s="275"/>
      <c r="AI49" s="274"/>
      <c r="AJ49" s="275"/>
      <c r="AK49" s="1300"/>
      <c r="AM49" s="398"/>
      <c r="AN49" s="398" t="str">
        <f t="shared" si="1"/>
        <v>Добавить группу потребителей</v>
      </c>
      <c r="AO49" s="398"/>
      <c r="AP49" s="398"/>
    </row>
    <row r="50" spans="1:42" ht="21" customHeight="1">
      <c r="A50" s="1224" t="s">
        <v>486</v>
      </c>
      <c r="B50" s="1224" t="s">
        <v>487</v>
      </c>
      <c r="C50" s="1224" t="s">
        <v>488</v>
      </c>
      <c r="D50" s="1224" t="s">
        <v>758</v>
      </c>
      <c r="E50" s="3529"/>
      <c r="F50" s="3529"/>
      <c r="G50" s="3529"/>
      <c r="H50" s="3528"/>
      <c r="I50" s="1224"/>
      <c r="J50" s="1224"/>
      <c r="K50" s="1224"/>
      <c r="L50" s="1225"/>
      <c r="M50" s="1226"/>
      <c r="N50" s="1226"/>
      <c r="O50" s="434"/>
      <c r="P50" s="269"/>
      <c r="Q50" s="282"/>
      <c r="R50" s="264"/>
      <c r="S50" s="1144"/>
      <c r="T50" s="280" t="s">
        <v>751</v>
      </c>
      <c r="U50" s="275"/>
      <c r="V50" s="275"/>
      <c r="W50" s="275"/>
      <c r="X50" s="275"/>
      <c r="Y50" s="275"/>
      <c r="Z50" s="275"/>
      <c r="AA50" s="275"/>
      <c r="AB50" s="274"/>
      <c r="AC50" s="275"/>
      <c r="AD50" s="275"/>
      <c r="AE50" s="275"/>
      <c r="AF50" s="275"/>
      <c r="AG50" s="275"/>
      <c r="AH50" s="275"/>
      <c r="AI50" s="274"/>
      <c r="AJ50" s="275"/>
      <c r="AK50" s="214"/>
      <c r="AM50" s="398"/>
      <c r="AN50" s="398" t="str">
        <f t="shared" si="1"/>
        <v>Добавить наименование признака дифференциации</v>
      </c>
      <c r="AO50" s="398"/>
      <c r="AP50" s="398"/>
    </row>
    <row r="51" spans="1:42" s="1866" customFormat="1" ht="0" hidden="1" customHeight="1">
      <c r="A51" s="1205" t="s">
        <v>486</v>
      </c>
      <c r="B51" s="1205" t="s">
        <v>487</v>
      </c>
      <c r="C51" s="1177"/>
      <c r="D51" s="1177"/>
      <c r="E51" s="3529"/>
      <c r="F51" s="3528"/>
      <c r="G51" s="1177"/>
      <c r="H51" s="1177"/>
      <c r="I51" s="1177"/>
      <c r="J51" s="1177"/>
      <c r="K51" s="1177"/>
      <c r="L51" s="1286"/>
      <c r="M51" s="1184"/>
      <c r="N51" s="1184"/>
      <c r="P51" s="1179"/>
      <c r="Q51" s="1180"/>
      <c r="R51" s="1179"/>
      <c r="S51" s="1185"/>
      <c r="T51" s="1188" t="s">
        <v>677</v>
      </c>
      <c r="U51" s="1187"/>
      <c r="V51" s="1187"/>
      <c r="W51" s="1187"/>
      <c r="X51" s="1187"/>
      <c r="Y51" s="1187"/>
      <c r="Z51" s="1187"/>
      <c r="AA51" s="1187"/>
      <c r="AB51" s="1187"/>
      <c r="AC51" s="1187"/>
      <c r="AD51" s="1187"/>
      <c r="AE51" s="1187"/>
      <c r="AF51" s="1187"/>
      <c r="AG51" s="1187"/>
      <c r="AH51" s="1187"/>
      <c r="AI51" s="1187"/>
      <c r="AJ51" s="1187"/>
      <c r="AK51" s="1187"/>
      <c r="AM51" s="670"/>
      <c r="AN51" s="670" t="str">
        <f t="shared" si="1"/>
        <v>Добавить централизованную систему для дифференциации</v>
      </c>
      <c r="AO51" s="670"/>
      <c r="AP51" s="670"/>
    </row>
    <row r="52" spans="1:42" s="1866" customFormat="1" ht="0" hidden="1" customHeight="1">
      <c r="A52" s="1205" t="s">
        <v>486</v>
      </c>
      <c r="B52" s="1205"/>
      <c r="C52" s="1205"/>
      <c r="D52" s="1205"/>
      <c r="E52" s="3528"/>
      <c r="F52" s="1205"/>
      <c r="G52" s="1205"/>
      <c r="H52" s="1205"/>
      <c r="I52" s="1205"/>
      <c r="J52" s="1205"/>
      <c r="K52" s="1205"/>
      <c r="L52" s="1208"/>
      <c r="M52" s="1184"/>
      <c r="N52" s="1184"/>
      <c r="O52" s="416"/>
      <c r="P52" s="287"/>
      <c r="Q52" s="1206"/>
      <c r="R52" s="287"/>
      <c r="S52" s="1185"/>
      <c r="T52" s="1188" t="s">
        <v>678</v>
      </c>
      <c r="U52" s="1187"/>
      <c r="V52" s="1187"/>
      <c r="W52" s="1187"/>
      <c r="X52" s="1187"/>
      <c r="Y52" s="1187"/>
      <c r="Z52" s="1187"/>
      <c r="AA52" s="1187"/>
      <c r="AB52" s="1187"/>
      <c r="AC52" s="1187"/>
      <c r="AD52" s="1187"/>
      <c r="AE52" s="1187"/>
      <c r="AF52" s="1187"/>
      <c r="AG52" s="1187"/>
      <c r="AH52" s="1187"/>
      <c r="AI52" s="1187"/>
      <c r="AJ52" s="1187"/>
      <c r="AK52" s="1187"/>
      <c r="AM52" s="398"/>
      <c r="AN52" s="398" t="str">
        <f t="shared" si="1"/>
        <v>Добавить территорию для дифференциации</v>
      </c>
      <c r="AO52" s="398"/>
      <c r="AP52" s="398"/>
    </row>
    <row r="53" spans="1:42" s="1866" customFormat="1" ht="0" hidden="1" customHeight="1">
      <c r="A53" s="1177"/>
      <c r="B53" s="1177"/>
      <c r="C53" s="1177"/>
      <c r="D53" s="1177"/>
      <c r="E53" s="1205"/>
      <c r="F53" s="1177"/>
      <c r="G53" s="1177"/>
      <c r="H53" s="1177"/>
      <c r="I53" s="1177"/>
      <c r="J53" s="1177"/>
      <c r="K53" s="1177"/>
      <c r="L53" s="1286"/>
      <c r="M53" s="1184"/>
      <c r="N53" s="1184"/>
      <c r="P53" s="1179"/>
      <c r="Q53" s="1180"/>
      <c r="R53" s="1179"/>
      <c r="S53" s="1185"/>
      <c r="T53" s="1188" t="s">
        <v>710</v>
      </c>
      <c r="U53" s="1187"/>
      <c r="V53" s="1187"/>
      <c r="W53" s="1187"/>
      <c r="X53" s="1187"/>
      <c r="Y53" s="1187"/>
      <c r="Z53" s="1187"/>
      <c r="AA53" s="1187"/>
      <c r="AB53" s="1187"/>
      <c r="AC53" s="1187"/>
      <c r="AD53" s="1187"/>
      <c r="AE53" s="1187"/>
      <c r="AF53" s="1187"/>
      <c r="AG53" s="1187"/>
      <c r="AH53" s="1187"/>
      <c r="AI53" s="1187"/>
      <c r="AJ53" s="1187"/>
      <c r="AK53" s="1187"/>
      <c r="AM53" s="670"/>
      <c r="AN53" s="670" t="str">
        <f t="shared" si="1"/>
        <v>Добавить наименование тарифа</v>
      </c>
      <c r="AO53" s="670"/>
      <c r="AP53" s="670"/>
    </row>
    <row r="54" spans="1:42" ht="11.25" customHeight="1">
      <c r="M54" s="1023"/>
      <c r="N54" s="1023"/>
      <c r="O54" s="434"/>
      <c r="P54" s="1018"/>
      <c r="Q54" s="1018"/>
      <c r="R54" s="1018"/>
      <c r="S54" s="1018"/>
      <c r="AL54" s="1018"/>
      <c r="AM54" s="1018"/>
      <c r="AN54" s="1018"/>
      <c r="AO54" s="1018"/>
      <c r="AP54" s="1018"/>
    </row>
    <row r="55" spans="1:42" ht="14.25" customHeight="1">
      <c r="O55" s="434"/>
      <c r="S55" s="1119"/>
      <c r="T55" s="3527"/>
      <c r="U55" s="3527"/>
      <c r="V55" s="3527"/>
      <c r="W55" s="3527"/>
      <c r="X55" s="3527"/>
      <c r="Y55" s="3527"/>
      <c r="Z55" s="3527"/>
      <c r="AA55" s="3527"/>
      <c r="AB55" s="3527"/>
      <c r="AC55" s="3527"/>
      <c r="AD55" s="3527"/>
      <c r="AE55" s="3527"/>
      <c r="AF55" s="3527"/>
      <c r="AG55" s="3527"/>
      <c r="AH55" s="3527"/>
      <c r="AI55" s="3527"/>
      <c r="AJ55" s="3527"/>
      <c r="AK55" s="3527"/>
    </row>
    <row r="56" spans="1:42" ht="14.25" customHeight="1">
      <c r="O56" s="434"/>
    </row>
    <row r="57" spans="1:42" ht="14.25" customHeight="1">
      <c r="O57" s="434"/>
      <c r="S57" s="1119"/>
      <c r="T57" s="3527"/>
      <c r="U57" s="3527"/>
      <c r="V57" s="3527"/>
      <c r="W57" s="3527"/>
      <c r="X57" s="3527"/>
      <c r="Y57" s="3527"/>
      <c r="Z57" s="3527"/>
      <c r="AA57" s="3527"/>
      <c r="AB57" s="3527"/>
      <c r="AC57" s="3527"/>
      <c r="AD57" s="3527"/>
      <c r="AE57" s="3527"/>
      <c r="AF57" s="3527"/>
      <c r="AG57" s="3527"/>
      <c r="AH57" s="3527"/>
      <c r="AI57" s="3527"/>
      <c r="AJ57" s="3527"/>
      <c r="AK57" s="3527"/>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60E3-442F-882D-52B5-3F79546C1A85}">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03" hidden="1"/>
    <col min="2" max="2" width="11" style="1903" hidden="1" customWidth="1"/>
    <col min="3" max="3" width="10.5703125" style="1903" hidden="1"/>
    <col min="4" max="4" width="11.85546875" style="1903" hidden="1" customWidth="1"/>
    <col min="5" max="5" width="10" style="1903" hidden="1" customWidth="1"/>
    <col min="6" max="6" width="8.7109375" style="1903" hidden="1" customWidth="1"/>
    <col min="7" max="7" width="7.5703125" style="1903" hidden="1" customWidth="1"/>
    <col min="8" max="8" width="11.42578125" style="1903" hidden="1" customWidth="1"/>
    <col min="9" max="9" width="14.140625" style="1903" hidden="1" customWidth="1"/>
    <col min="10" max="10" width="9.85546875" style="1903" hidden="1" customWidth="1"/>
    <col min="11" max="11" width="14.7109375" style="1903" hidden="1" customWidth="1"/>
    <col min="12" max="12" width="19.140625" style="1953" hidden="1" customWidth="1"/>
    <col min="13" max="14" width="12.28515625" style="1839" hidden="1" customWidth="1"/>
    <col min="15" max="15" width="23.42578125" style="1839" hidden="1" customWidth="1"/>
    <col min="16" max="16" width="3.7109375" style="1957" customWidth="1"/>
    <col min="17" max="18" width="3.7109375" style="1906" customWidth="1"/>
    <col min="19" max="19" width="12.7109375" style="1951" customWidth="1"/>
    <col min="20" max="20" width="35.7109375" style="1910" customWidth="1"/>
    <col min="21" max="21" width="0.140625" style="1910" customWidth="1"/>
    <col min="22" max="24" width="24.7109375" style="1910" hidden="1" customWidth="1"/>
    <col min="25" max="25" width="11.7109375" style="1910" hidden="1" customWidth="1"/>
    <col min="26" max="26" width="3.7109375" style="1910" hidden="1" customWidth="1"/>
    <col min="27" max="27" width="11.7109375" style="1910" hidden="1" customWidth="1"/>
    <col min="28" max="28" width="8.5703125" style="1910" hidden="1" customWidth="1"/>
    <col min="29" max="31" width="24.7109375" style="1910" customWidth="1"/>
    <col min="32" max="32" width="11.7109375" style="1910" customWidth="1"/>
    <col min="33" max="33" width="3.7109375" style="1910" customWidth="1"/>
    <col min="34" max="34" width="11.7109375" style="1910" customWidth="1"/>
    <col min="35" max="35" width="8.5703125" style="1910" hidden="1" customWidth="1"/>
    <col min="36" max="36" width="4.7109375" style="1910" customWidth="1"/>
    <col min="37" max="37" width="115.7109375" style="1910" customWidth="1"/>
    <col min="38" max="39" width="10.5703125" style="1866"/>
    <col min="40" max="40" width="11.140625" style="1866" customWidth="1"/>
    <col min="41" max="42" width="10.5703125" style="1866"/>
  </cols>
  <sheetData>
    <row r="1" spans="1:42" ht="14.25" hidden="1" customHeight="1">
      <c r="X1" s="238"/>
      <c r="Y1" s="238"/>
      <c r="AE1" s="238"/>
      <c r="AF1" s="238"/>
    </row>
    <row r="2" spans="1:42" ht="23.25" hidden="1" customHeight="1">
      <c r="A2" s="1224"/>
      <c r="B2" s="1224"/>
      <c r="C2" s="1224"/>
      <c r="D2" s="1224"/>
      <c r="E2" s="3528">
        <v>1</v>
      </c>
      <c r="F2" s="1224"/>
      <c r="G2" s="1224"/>
      <c r="H2" s="1224"/>
      <c r="I2" s="1224"/>
      <c r="J2" s="1224"/>
      <c r="K2" s="1224"/>
      <c r="L2" s="1225"/>
      <c r="M2" s="1226"/>
      <c r="N2" s="1226"/>
      <c r="O2" s="1226"/>
      <c r="P2" s="270"/>
      <c r="Q2" s="269"/>
      <c r="R2" s="264"/>
      <c r="S2" s="1315" t="e">
        <f>INDEX(PT_DIFFERENTIATION_NUM_NTAR,MATCH(A2,PT_DIFFERENTIATION_NTAR_ID,0))</f>
        <v>#N/A</v>
      </c>
      <c r="T2" s="209" t="s">
        <v>391</v>
      </c>
      <c r="U2" s="211"/>
      <c r="V2" s="3522"/>
      <c r="W2" s="3523"/>
      <c r="X2" s="3523"/>
      <c r="Y2" s="3523"/>
      <c r="Z2" s="3523"/>
      <c r="AA2" s="3523"/>
      <c r="AB2" s="3524"/>
      <c r="AC2" s="3522" t="e">
        <f>INDEX(PT_DIFFERENTIATION_NTAR,MATCH(A2,PT_DIFFERENTIATION_NTAR_ID,0))</f>
        <v>#N/A</v>
      </c>
      <c r="AD2" s="3523"/>
      <c r="AE2" s="3523"/>
      <c r="AF2" s="3523"/>
      <c r="AG2" s="3523"/>
      <c r="AH2" s="3523"/>
      <c r="AI2" s="3523"/>
      <c r="AJ2" s="3524"/>
      <c r="AK2" s="112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398"/>
      <c r="AN2" s="398" t="str">
        <f t="shared" ref="AN2:AN13" si="0">IF(T2="","",T2)</f>
        <v>Наименование тарифа</v>
      </c>
      <c r="AO2" s="398"/>
      <c r="AP2" s="398"/>
    </row>
    <row r="3" spans="1:42" ht="23.25" hidden="1" customHeight="1">
      <c r="A3" s="1224"/>
      <c r="B3" s="1224"/>
      <c r="C3" s="1224"/>
      <c r="D3" s="1224"/>
      <c r="E3" s="3529"/>
      <c r="F3" s="3528">
        <v>1</v>
      </c>
      <c r="G3" s="1224"/>
      <c r="H3" s="1224"/>
      <c r="I3" s="1224"/>
      <c r="J3" s="1224"/>
      <c r="K3" s="1224"/>
      <c r="L3" s="1225"/>
      <c r="M3" s="1226"/>
      <c r="N3" s="1226"/>
      <c r="O3" s="1226"/>
      <c r="P3" s="1311"/>
      <c r="Q3" s="261"/>
      <c r="R3" s="262"/>
      <c r="S3" s="1315" t="e">
        <f>INDEX(PT_DIFFERENTIATION_NUM_TER,MATCH(B3,PT_DIFFERENTIATION_TER_ID,0))</f>
        <v>#N/A</v>
      </c>
      <c r="T3" s="219" t="s">
        <v>659</v>
      </c>
      <c r="U3" s="211"/>
      <c r="V3" s="3522"/>
      <c r="W3" s="3523"/>
      <c r="X3" s="3523"/>
      <c r="Y3" s="3523"/>
      <c r="Z3" s="3523"/>
      <c r="AA3" s="3523"/>
      <c r="AB3" s="3524"/>
      <c r="AC3" s="3522" t="e">
        <f>INDEX(PT_DIFFERENTIATION_TER,MATCH(B3,PT_DIFFERENTIATION_TER_ID,0))</f>
        <v>#N/A</v>
      </c>
      <c r="AD3" s="3523"/>
      <c r="AE3" s="3523"/>
      <c r="AF3" s="3523"/>
      <c r="AG3" s="3523"/>
      <c r="AH3" s="3523"/>
      <c r="AI3" s="3523"/>
      <c r="AJ3" s="3524"/>
      <c r="AK3" s="1124" t="s">
        <v>660</v>
      </c>
      <c r="AM3" s="398"/>
      <c r="AN3" s="398" t="str">
        <f t="shared" si="0"/>
        <v>Территория действия тарифа</v>
      </c>
      <c r="AO3" s="398"/>
      <c r="AP3" s="398"/>
    </row>
    <row r="4" spans="1:42" ht="23.25" hidden="1" customHeight="1">
      <c r="A4" s="1224"/>
      <c r="B4" s="1224"/>
      <c r="C4" s="1224"/>
      <c r="D4" s="1224"/>
      <c r="E4" s="3529"/>
      <c r="F4" s="3529"/>
      <c r="G4" s="3528">
        <v>1</v>
      </c>
      <c r="H4" s="1224"/>
      <c r="I4" s="1224"/>
      <c r="J4" s="1224"/>
      <c r="K4" s="1224"/>
      <c r="L4" s="1225"/>
      <c r="M4" s="1226"/>
      <c r="N4" s="1226"/>
      <c r="O4" s="1226"/>
      <c r="P4" s="263"/>
      <c r="Q4" s="261"/>
      <c r="R4" s="262"/>
      <c r="S4" s="1315" t="e">
        <f>INDEX(PT_DIFFERENTIATION_NUM_CS,MATCH(C4,PT_DIFFERENTIATION_CS_ID,0))</f>
        <v>#N/A</v>
      </c>
      <c r="T4" s="220" t="s">
        <v>744</v>
      </c>
      <c r="U4" s="211"/>
      <c r="V4" s="3522"/>
      <c r="W4" s="3523"/>
      <c r="X4" s="3523"/>
      <c r="Y4" s="3523"/>
      <c r="Z4" s="3523"/>
      <c r="AA4" s="3523"/>
      <c r="AB4" s="3524"/>
      <c r="AC4" s="3522" t="e">
        <f>INDEX(PT_DIFFERENTIATION_CS,MATCH(C4,PT_DIFFERENTIATION_CS_ID,0))</f>
        <v>#N/A</v>
      </c>
      <c r="AD4" s="3523"/>
      <c r="AE4" s="3523"/>
      <c r="AF4" s="3523"/>
      <c r="AG4" s="3523"/>
      <c r="AH4" s="3523"/>
      <c r="AI4" s="3523"/>
      <c r="AJ4" s="3524"/>
      <c r="AK4" s="1124" t="s">
        <v>745</v>
      </c>
      <c r="AM4" s="398"/>
      <c r="AN4" s="398" t="str">
        <f t="shared" si="0"/>
        <v>Наименование централизованной системы холодного водоснабжения</v>
      </c>
      <c r="AO4" s="398"/>
      <c r="AP4" s="398"/>
    </row>
    <row r="5" spans="1:42" ht="23.25" hidden="1" customHeight="1">
      <c r="A5" s="1224"/>
      <c r="B5" s="1224"/>
      <c r="C5" s="1224"/>
      <c r="D5" s="1224"/>
      <c r="E5" s="3529"/>
      <c r="F5" s="3529"/>
      <c r="G5" s="3529"/>
      <c r="H5" s="3529"/>
      <c r="I5" s="3530" t="e">
        <f>S4&amp;".1"</f>
        <v>#N/A</v>
      </c>
      <c r="J5" s="1224"/>
      <c r="K5" s="1224"/>
      <c r="L5" s="1225"/>
      <c r="P5" s="3532">
        <v>1</v>
      </c>
      <c r="Q5" s="1308"/>
      <c r="R5" s="265"/>
      <c r="S5" s="1315" t="e">
        <f>$I5</f>
        <v>#N/A</v>
      </c>
      <c r="T5" s="197" t="s">
        <v>746</v>
      </c>
      <c r="U5" s="211"/>
      <c r="V5" s="3588"/>
      <c r="W5" s="3589"/>
      <c r="X5" s="3589"/>
      <c r="Y5" s="3589"/>
      <c r="Z5" s="3589"/>
      <c r="AA5" s="3589"/>
      <c r="AB5" s="3590"/>
      <c r="AC5" s="3591"/>
      <c r="AD5" s="3592"/>
      <c r="AE5" s="3592"/>
      <c r="AF5" s="3592"/>
      <c r="AG5" s="3592"/>
      <c r="AH5" s="3592"/>
      <c r="AI5" s="3592"/>
      <c r="AJ5" s="3593"/>
      <c r="AK5" s="1124" t="s">
        <v>747</v>
      </c>
      <c r="AM5" s="398"/>
      <c r="AN5" s="398" t="str">
        <f t="shared" si="0"/>
        <v>Наименование признака дифференциации</v>
      </c>
      <c r="AO5" s="398"/>
      <c r="AP5" s="398"/>
    </row>
    <row r="6" spans="1:42" ht="23.25" hidden="1" customHeight="1">
      <c r="A6" s="1224"/>
      <c r="B6" s="1224"/>
      <c r="C6" s="1224"/>
      <c r="D6" s="1224"/>
      <c r="E6" s="3529"/>
      <c r="F6" s="3529"/>
      <c r="G6" s="3529"/>
      <c r="H6" s="3529"/>
      <c r="I6" s="3531"/>
      <c r="J6" s="3530" t="e">
        <f>I5&amp;".1"</f>
        <v>#N/A</v>
      </c>
      <c r="K6" s="1224"/>
      <c r="L6" s="1225" t="s">
        <v>668</v>
      </c>
      <c r="P6" s="3532"/>
      <c r="Q6" s="3532">
        <v>1</v>
      </c>
      <c r="R6" s="266"/>
      <c r="S6" s="1315" t="e">
        <f>$J6</f>
        <v>#N/A</v>
      </c>
      <c r="T6" s="198" t="s">
        <v>669</v>
      </c>
      <c r="U6" s="211"/>
      <c r="V6" s="3516"/>
      <c r="W6" s="3517"/>
      <c r="X6" s="3517"/>
      <c r="Y6" s="3517"/>
      <c r="Z6" s="3517"/>
      <c r="AA6" s="3517"/>
      <c r="AB6" s="3518"/>
      <c r="AC6" s="3516"/>
      <c r="AD6" s="3517"/>
      <c r="AE6" s="3517"/>
      <c r="AF6" s="3517"/>
      <c r="AG6" s="3517"/>
      <c r="AH6" s="3517"/>
      <c r="AI6" s="3517"/>
      <c r="AJ6" s="3518"/>
      <c r="AK6" s="1171" t="s">
        <v>748</v>
      </c>
      <c r="AM6" s="398"/>
      <c r="AN6" s="398" t="str">
        <f t="shared" si="0"/>
        <v>Группа потребителей</v>
      </c>
      <c r="AO6" s="398"/>
      <c r="AP6" s="398"/>
    </row>
    <row r="7" spans="1:42" ht="23.25" hidden="1" customHeight="1">
      <c r="A7" s="1224"/>
      <c r="B7" s="1224"/>
      <c r="C7" s="1224"/>
      <c r="D7" s="1224"/>
      <c r="E7" s="3529"/>
      <c r="F7" s="3529"/>
      <c r="G7" s="3529"/>
      <c r="H7" s="3529"/>
      <c r="I7" s="3531"/>
      <c r="J7" s="3531"/>
      <c r="K7" s="3530" t="e">
        <f>J6&amp;".1"</f>
        <v>#N/A</v>
      </c>
      <c r="L7" s="1225"/>
      <c r="P7" s="3532"/>
      <c r="Q7" s="3532"/>
      <c r="R7" s="266">
        <v>1</v>
      </c>
      <c r="S7" s="1315" t="e">
        <f>$K7</f>
        <v>#N/A</v>
      </c>
      <c r="T7" s="1297"/>
      <c r="U7" s="211"/>
      <c r="V7" s="639"/>
      <c r="W7" s="639"/>
      <c r="X7" s="1123"/>
      <c r="Y7" s="3533"/>
      <c r="Z7" s="3412" t="s">
        <v>64</v>
      </c>
      <c r="AA7" s="3533"/>
      <c r="AB7" s="3412" t="s">
        <v>64</v>
      </c>
      <c r="AC7" s="639"/>
      <c r="AD7" s="639"/>
      <c r="AE7" s="1123"/>
      <c r="AF7" s="3533"/>
      <c r="AG7" s="3412" t="s">
        <v>64</v>
      </c>
      <c r="AH7" s="3535"/>
      <c r="AI7" s="3412" t="s">
        <v>64</v>
      </c>
      <c r="AJ7" s="1298"/>
      <c r="AK7" s="35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09" t="e">
        <f ca="1">STRCHECKDATE(V8:AJ8)</f>
        <v>#NAME?</v>
      </c>
      <c r="AM7" s="398"/>
      <c r="AN7" s="398" t="str">
        <f t="shared" si="0"/>
        <v/>
      </c>
      <c r="AO7" s="398"/>
      <c r="AP7" s="398"/>
    </row>
    <row r="8" spans="1:42" ht="14.25" hidden="1" customHeight="1">
      <c r="A8" s="1224"/>
      <c r="B8" s="1224"/>
      <c r="C8" s="1224"/>
      <c r="D8" s="1224"/>
      <c r="E8" s="3529"/>
      <c r="F8" s="3529"/>
      <c r="G8" s="3529"/>
      <c r="H8" s="3529"/>
      <c r="I8" s="3531"/>
      <c r="J8" s="3531"/>
      <c r="K8" s="3530"/>
      <c r="L8" s="1225"/>
      <c r="P8" s="3532"/>
      <c r="Q8" s="3532"/>
      <c r="R8" s="266"/>
      <c r="S8" s="1314"/>
      <c r="T8" s="211"/>
      <c r="U8" s="211"/>
      <c r="V8" s="236"/>
      <c r="W8" s="236"/>
      <c r="X8" s="239" t="str">
        <f>Y7&amp;"-"&amp;AA7</f>
        <v>-</v>
      </c>
      <c r="Y8" s="3534"/>
      <c r="Z8" s="3412"/>
      <c r="AA8" s="3534"/>
      <c r="AB8" s="3412"/>
      <c r="AC8" s="236"/>
      <c r="AD8" s="236"/>
      <c r="AE8" s="239" t="str">
        <f>AF7&amp;"-"&amp;AH7</f>
        <v>-</v>
      </c>
      <c r="AF8" s="3534"/>
      <c r="AG8" s="3412"/>
      <c r="AH8" s="3536"/>
      <c r="AI8" s="3412"/>
      <c r="AJ8" s="1299"/>
      <c r="AK8" s="3594"/>
      <c r="AM8" s="398"/>
      <c r="AN8" s="398" t="str">
        <f t="shared" si="0"/>
        <v/>
      </c>
      <c r="AO8" s="398"/>
      <c r="AP8" s="398"/>
    </row>
    <row r="9" spans="1:42" ht="21" hidden="1" customHeight="1">
      <c r="A9" s="1224"/>
      <c r="B9" s="1224"/>
      <c r="C9" s="1224"/>
      <c r="D9" s="1224"/>
      <c r="E9" s="3529"/>
      <c r="F9" s="3529"/>
      <c r="G9" s="3529"/>
      <c r="H9" s="3529"/>
      <c r="I9" s="3531"/>
      <c r="J9" s="3530"/>
      <c r="K9" s="1224"/>
      <c r="L9" s="1225"/>
      <c r="P9" s="3532"/>
      <c r="Q9" s="3532"/>
      <c r="R9" s="265"/>
      <c r="S9" s="1144"/>
      <c r="T9" s="199" t="s">
        <v>749</v>
      </c>
      <c r="U9" s="275"/>
      <c r="V9" s="275"/>
      <c r="W9" s="275"/>
      <c r="X9" s="275"/>
      <c r="Y9" s="275"/>
      <c r="Z9" s="275"/>
      <c r="AA9" s="275"/>
      <c r="AB9" s="275"/>
      <c r="AC9" s="275"/>
      <c r="AD9" s="275"/>
      <c r="AE9" s="275"/>
      <c r="AF9" s="275"/>
      <c r="AG9" s="275"/>
      <c r="AH9" s="275"/>
      <c r="AI9" s="275"/>
      <c r="AJ9" s="275"/>
      <c r="AK9" s="1124" t="s">
        <v>750</v>
      </c>
      <c r="AM9" s="398"/>
      <c r="AN9" s="398" t="str">
        <f t="shared" si="0"/>
        <v>Добавить значение признака дифференциации</v>
      </c>
      <c r="AO9" s="398"/>
      <c r="AP9" s="398"/>
    </row>
    <row r="10" spans="1:42" ht="21" hidden="1" customHeight="1">
      <c r="A10" s="1224"/>
      <c r="B10" s="1224"/>
      <c r="C10" s="1224"/>
      <c r="D10" s="1224"/>
      <c r="E10" s="3529"/>
      <c r="F10" s="3529"/>
      <c r="G10" s="3529"/>
      <c r="H10" s="3529"/>
      <c r="I10" s="3530"/>
      <c r="J10" s="1224"/>
      <c r="K10" s="1224"/>
      <c r="L10" s="1225"/>
      <c r="P10" s="3532"/>
      <c r="Q10" s="1308"/>
      <c r="R10" s="265"/>
      <c r="S10" s="1144"/>
      <c r="T10" s="273" t="s">
        <v>674</v>
      </c>
      <c r="U10" s="275"/>
      <c r="V10" s="275"/>
      <c r="W10" s="275"/>
      <c r="X10" s="275"/>
      <c r="Y10" s="275"/>
      <c r="Z10" s="275"/>
      <c r="AA10" s="275"/>
      <c r="AB10" s="274"/>
      <c r="AC10" s="275"/>
      <c r="AD10" s="275"/>
      <c r="AE10" s="275"/>
      <c r="AF10" s="275"/>
      <c r="AG10" s="275"/>
      <c r="AH10" s="275"/>
      <c r="AI10" s="274"/>
      <c r="AJ10" s="275"/>
      <c r="AK10" s="1300"/>
      <c r="AM10" s="398"/>
      <c r="AN10" s="398" t="str">
        <f t="shared" si="0"/>
        <v>Добавить группу потребителей</v>
      </c>
      <c r="AO10" s="398"/>
      <c r="AP10" s="398"/>
    </row>
    <row r="11" spans="1:42" ht="21" hidden="1" customHeight="1">
      <c r="A11" s="1224"/>
      <c r="B11" s="1224"/>
      <c r="C11" s="1224"/>
      <c r="D11" s="1224"/>
      <c r="E11" s="3529"/>
      <c r="F11" s="3529"/>
      <c r="G11" s="3529"/>
      <c r="H11" s="3528"/>
      <c r="I11" s="1224"/>
      <c r="J11" s="1224"/>
      <c r="K11" s="1224"/>
      <c r="L11" s="1225"/>
      <c r="M11" s="1226"/>
      <c r="N11" s="1226"/>
      <c r="O11" s="434"/>
      <c r="P11" s="269"/>
      <c r="Q11" s="282"/>
      <c r="R11" s="264"/>
      <c r="S11" s="1144"/>
      <c r="T11" s="280" t="s">
        <v>751</v>
      </c>
      <c r="U11" s="275"/>
      <c r="V11" s="275"/>
      <c r="W11" s="275"/>
      <c r="X11" s="275"/>
      <c r="Y11" s="275"/>
      <c r="Z11" s="275"/>
      <c r="AA11" s="275"/>
      <c r="AB11" s="274"/>
      <c r="AC11" s="275"/>
      <c r="AD11" s="275"/>
      <c r="AE11" s="275"/>
      <c r="AF11" s="275"/>
      <c r="AG11" s="275"/>
      <c r="AH11" s="275"/>
      <c r="AI11" s="274"/>
      <c r="AJ11" s="275"/>
      <c r="AK11" s="214"/>
      <c r="AM11" s="398"/>
      <c r="AN11" s="398" t="str">
        <f t="shared" si="0"/>
        <v>Добавить наименование признака дифференциации</v>
      </c>
      <c r="AO11" s="398"/>
      <c r="AP11" s="398"/>
    </row>
    <row r="12" spans="1:42" s="1866" customFormat="1" ht="14.25" hidden="1" customHeight="1">
      <c r="A12" s="1205"/>
      <c r="B12" s="1205"/>
      <c r="C12" s="1177"/>
      <c r="D12" s="1177"/>
      <c r="E12" s="3529"/>
      <c r="F12" s="3528"/>
      <c r="G12" s="1177"/>
      <c r="H12" s="1177"/>
      <c r="I12" s="1177"/>
      <c r="J12" s="1177"/>
      <c r="K12" s="1177"/>
      <c r="L12" s="1316"/>
      <c r="M12" s="1184"/>
      <c r="N12" s="1184"/>
      <c r="P12" s="1179"/>
      <c r="Q12" s="1180"/>
      <c r="R12" s="1179"/>
      <c r="S12" s="1185"/>
      <c r="T12" s="1188" t="s">
        <v>677</v>
      </c>
      <c r="U12" s="1187"/>
      <c r="V12" s="1187"/>
      <c r="W12" s="1187"/>
      <c r="X12" s="1187"/>
      <c r="Y12" s="1187"/>
      <c r="Z12" s="1187"/>
      <c r="AA12" s="1187"/>
      <c r="AB12" s="1187"/>
      <c r="AC12" s="1187"/>
      <c r="AD12" s="1187"/>
      <c r="AE12" s="1187"/>
      <c r="AF12" s="1187"/>
      <c r="AG12" s="1187"/>
      <c r="AH12" s="1187"/>
      <c r="AI12" s="1187"/>
      <c r="AJ12" s="1187"/>
      <c r="AK12" s="1187"/>
      <c r="AM12" s="670"/>
      <c r="AN12" s="670" t="str">
        <f t="shared" si="0"/>
        <v>Добавить централизованную систему для дифференциации</v>
      </c>
      <c r="AO12" s="670"/>
      <c r="AP12" s="670"/>
    </row>
    <row r="13" spans="1:42" s="1866" customFormat="1" ht="14.25" hidden="1" customHeight="1">
      <c r="A13" s="1205"/>
      <c r="B13" s="1205"/>
      <c r="C13" s="1205"/>
      <c r="D13" s="1205"/>
      <c r="E13" s="3528"/>
      <c r="F13" s="1205"/>
      <c r="G13" s="1205"/>
      <c r="H13" s="1205"/>
      <c r="I13" s="1205"/>
      <c r="J13" s="1205"/>
      <c r="K13" s="1205"/>
      <c r="L13" s="1208"/>
      <c r="M13" s="1184"/>
      <c r="N13" s="1184"/>
      <c r="O13" s="416"/>
      <c r="P13" s="287"/>
      <c r="Q13" s="1206"/>
      <c r="R13" s="287"/>
      <c r="S13" s="1185"/>
      <c r="T13" s="1188" t="s">
        <v>678</v>
      </c>
      <c r="U13" s="1187"/>
      <c r="V13" s="1187"/>
      <c r="W13" s="1187"/>
      <c r="X13" s="1187"/>
      <c r="Y13" s="1187"/>
      <c r="Z13" s="1187"/>
      <c r="AA13" s="1187"/>
      <c r="AB13" s="1187"/>
      <c r="AC13" s="1187"/>
      <c r="AD13" s="1187"/>
      <c r="AE13" s="1187"/>
      <c r="AF13" s="1187"/>
      <c r="AG13" s="1187"/>
      <c r="AH13" s="1187"/>
      <c r="AI13" s="1187"/>
      <c r="AJ13" s="1187"/>
      <c r="AK13" s="1187"/>
      <c r="AM13" s="398"/>
      <c r="AN13" s="398" t="str">
        <f t="shared" si="0"/>
        <v>Добавить территорию для дифференциации</v>
      </c>
      <c r="AO13" s="398"/>
      <c r="AP13" s="398"/>
    </row>
    <row r="14" spans="1:42" ht="14.25" hidden="1" customHeight="1">
      <c r="AB14" s="238"/>
      <c r="AI14" s="238"/>
    </row>
    <row r="15" spans="1:42" ht="14.25" hidden="1" customHeight="1">
      <c r="AC15" s="1221"/>
      <c r="AD15" s="1221"/>
      <c r="AE15" s="1222"/>
      <c r="AF15" s="3526"/>
      <c r="AG15" s="3525" t="s">
        <v>64</v>
      </c>
      <c r="AH15" s="3526"/>
      <c r="AI15" s="3525" t="s">
        <v>64</v>
      </c>
    </row>
    <row r="16" spans="1:42" ht="14.25" hidden="1" customHeight="1">
      <c r="AC16" s="1221"/>
      <c r="AD16" s="1221"/>
      <c r="AE16" s="239" t="str">
        <f>AF15&amp;"-"&amp;AH15</f>
        <v>-</v>
      </c>
      <c r="AF16" s="3525"/>
      <c r="AG16" s="3525"/>
      <c r="AH16" s="3525"/>
      <c r="AI16" s="3525"/>
    </row>
    <row r="17" spans="1:42" ht="14.25" hidden="1" customHeight="1">
      <c r="AI17" s="238"/>
    </row>
    <row r="18" spans="1:42" s="1903" customFormat="1" ht="22.5" hidden="1" customHeight="1">
      <c r="L18" s="1305"/>
      <c r="M18" s="1223"/>
      <c r="N18" s="1223"/>
      <c r="O18" s="1228" t="s">
        <v>679</v>
      </c>
      <c r="P18" s="1223"/>
      <c r="Q18" s="1232"/>
      <c r="R18" s="1232"/>
      <c r="S18" s="619"/>
      <c r="Y18" s="1228"/>
      <c r="AA18" s="1228"/>
      <c r="AB18" s="1227"/>
      <c r="AF18" s="1228"/>
      <c r="AH18" s="1228"/>
      <c r="AI18" s="1227"/>
      <c r="AL18" s="409"/>
      <c r="AM18" s="409"/>
      <c r="AN18" s="409"/>
      <c r="AO18" s="409"/>
      <c r="AP18" s="409"/>
    </row>
    <row r="19" spans="1:42" s="1903" customFormat="1" ht="14.25" hidden="1" customHeight="1">
      <c r="L19" s="1305"/>
      <c r="M19" s="1223"/>
      <c r="N19" s="1223"/>
      <c r="O19" s="1223"/>
      <c r="P19" s="1223"/>
      <c r="Q19" s="1232"/>
      <c r="R19" s="1232"/>
      <c r="S19" s="619"/>
      <c r="AB19" s="1227"/>
      <c r="AI19" s="1227"/>
      <c r="AL19" s="409"/>
      <c r="AM19" s="409"/>
      <c r="AN19" s="409"/>
      <c r="AO19" s="409"/>
      <c r="AP19" s="409"/>
    </row>
    <row r="20" spans="1:42" s="1903" customFormat="1" ht="12" hidden="1" customHeight="1">
      <c r="L20" s="1305"/>
      <c r="M20" s="1223"/>
      <c r="N20" s="1223"/>
      <c r="O20" s="1225" t="s">
        <v>680</v>
      </c>
      <c r="P20" s="1223"/>
      <c r="Q20" s="1301"/>
      <c r="R20" s="1301"/>
      <c r="S20" s="619"/>
      <c r="T20" s="1023" t="s">
        <v>681</v>
      </c>
      <c r="Z20" s="103" t="s">
        <v>682</v>
      </c>
      <c r="AB20" s="103" t="s">
        <v>683</v>
      </c>
      <c r="AC20" s="1023" t="s">
        <v>681</v>
      </c>
      <c r="AG20" s="103" t="s">
        <v>684</v>
      </c>
      <c r="AI20" s="103" t="s">
        <v>683</v>
      </c>
    </row>
    <row r="21" spans="1:42" ht="14.25" hidden="1" customHeight="1">
      <c r="O21" s="1225"/>
    </row>
    <row r="22" spans="1:42" ht="14.25" hidden="1" customHeight="1">
      <c r="O22" s="1225"/>
    </row>
    <row r="23" spans="1:42" ht="14.25" customHeight="1">
      <c r="Q23" s="283"/>
      <c r="R23" s="283"/>
      <c r="S23" s="1141"/>
      <c r="T23" s="272"/>
      <c r="U23" s="272"/>
      <c r="V23" s="407"/>
      <c r="W23" s="407"/>
      <c r="X23" s="407"/>
      <c r="Y23" s="407"/>
      <c r="Z23" s="407"/>
      <c r="AA23" s="407"/>
      <c r="AB23" s="407"/>
      <c r="AC23" s="407"/>
      <c r="AD23" s="407"/>
      <c r="AE23" s="407"/>
      <c r="AF23" s="407"/>
      <c r="AG23" s="407"/>
      <c r="AH23" s="407"/>
      <c r="AI23" s="407"/>
    </row>
    <row r="24" spans="1:42" ht="14.25" customHeight="1">
      <c r="Q24" s="283"/>
      <c r="R24" s="283"/>
      <c r="S24" s="350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509"/>
      <c r="U24" s="3509"/>
      <c r="V24" s="3509"/>
      <c r="W24" s="3509"/>
      <c r="X24" s="3509"/>
      <c r="Y24" s="3509"/>
      <c r="Z24" s="3509"/>
      <c r="AA24" s="3509"/>
      <c r="AB24" s="3509"/>
      <c r="AC24" s="3509"/>
      <c r="AD24" s="3509"/>
      <c r="AE24" s="3509"/>
      <c r="AF24" s="3509"/>
      <c r="AG24" s="3509"/>
      <c r="AH24" s="3509"/>
      <c r="AI24" s="1109"/>
    </row>
    <row r="25" spans="1:42" ht="14.25" customHeight="1">
      <c r="Q25" s="283"/>
      <c r="R25" s="283"/>
      <c r="S25" s="3480" t="str">
        <f>IF(org=0,"Не определено",org)</f>
        <v>АО "Орелгортеплоэнерго"</v>
      </c>
      <c r="T25" s="3480"/>
      <c r="U25" s="3480"/>
      <c r="V25" s="3480"/>
      <c r="W25" s="3480"/>
      <c r="X25" s="3480"/>
      <c r="Y25" s="3480"/>
      <c r="Z25" s="3480"/>
      <c r="AA25" s="3480"/>
      <c r="AB25" s="3480"/>
      <c r="AC25" s="3480"/>
      <c r="AD25" s="3480"/>
      <c r="AE25" s="3480"/>
      <c r="AF25" s="3480"/>
      <c r="AG25" s="3480"/>
      <c r="AH25" s="3480"/>
      <c r="AI25" s="1109"/>
    </row>
    <row r="26" spans="1:42" ht="14.25" hidden="1" customHeight="1">
      <c r="Q26" s="283"/>
      <c r="R26" s="283"/>
      <c r="S26" s="1141"/>
      <c r="T26" s="272"/>
      <c r="U26" s="272"/>
      <c r="V26" s="233"/>
      <c r="W26" s="233"/>
      <c r="X26" s="233"/>
      <c r="Y26" s="233"/>
      <c r="Z26" s="233"/>
      <c r="AA26" s="233"/>
      <c r="AB26" s="233"/>
      <c r="AC26" s="233"/>
      <c r="AD26" s="233"/>
      <c r="AE26" s="233"/>
      <c r="AF26" s="233"/>
      <c r="AG26" s="233"/>
      <c r="AH26" s="233"/>
      <c r="AI26" s="233"/>
      <c r="AJ26" s="407"/>
    </row>
    <row r="27" spans="1:42" s="1944" customFormat="1" ht="25.5" hidden="1" customHeight="1">
      <c r="A27" s="1229"/>
      <c r="B27" s="1229"/>
      <c r="C27" s="1229"/>
      <c r="D27" s="1229"/>
      <c r="E27" s="1229"/>
      <c r="F27" s="1229"/>
      <c r="G27" s="1229"/>
      <c r="H27" s="1229"/>
      <c r="I27" s="1229"/>
      <c r="J27" s="1229"/>
      <c r="K27" s="1229"/>
      <c r="L27" s="1230"/>
      <c r="M27" s="1229"/>
      <c r="N27" s="1229"/>
      <c r="O27" s="1229"/>
      <c r="S27" s="3519" t="s">
        <v>38</v>
      </c>
      <c r="T27" s="3519"/>
      <c r="U27" s="1233"/>
      <c r="V27" s="3521" t="str">
        <f>IF(TITLE_NAME_OR_PR_CHANGE="",IF(TITLE_NAME_OR_PR="","",TITLE_NAME_OR_PR),TITLE_NAME_OR_PR_CHANGE)</f>
        <v/>
      </c>
      <c r="W27" s="3521"/>
      <c r="X27" s="3521"/>
      <c r="Y27" s="3521"/>
      <c r="Z27" s="3521"/>
      <c r="AA27" s="3521"/>
      <c r="AB27" s="237"/>
      <c r="AC27" s="3521" t="str">
        <f>IF(TITLE_NAME_OR_PR_CHANGE="",IF(TITLE_NAME_OR_PR="","",TITLE_NAME_OR_PR),TITLE_NAME_OR_PR_CHANGE)</f>
        <v/>
      </c>
      <c r="AD27" s="3521"/>
      <c r="AE27" s="3521"/>
      <c r="AF27" s="3521"/>
      <c r="AG27" s="3521"/>
      <c r="AH27" s="3521"/>
      <c r="AI27" s="237"/>
      <c r="AJ27" s="237"/>
      <c r="AK27" s="193"/>
      <c r="AL27" s="276"/>
      <c r="AM27" s="276"/>
      <c r="AN27" s="276"/>
      <c r="AO27" s="276"/>
      <c r="AP27" s="276"/>
    </row>
    <row r="28" spans="1:42" s="1944" customFormat="1" ht="18.75" hidden="1" customHeight="1">
      <c r="A28" s="1229"/>
      <c r="B28" s="1229"/>
      <c r="C28" s="1229"/>
      <c r="D28" s="1229"/>
      <c r="E28" s="1229"/>
      <c r="F28" s="1229"/>
      <c r="G28" s="1229"/>
      <c r="H28" s="1229"/>
      <c r="I28" s="1229"/>
      <c r="J28" s="1229"/>
      <c r="K28" s="1229"/>
      <c r="L28" s="1230"/>
      <c r="M28" s="1229"/>
      <c r="N28" s="1229"/>
      <c r="O28" s="1229"/>
      <c r="S28" s="3519" t="s">
        <v>685</v>
      </c>
      <c r="T28" s="3519"/>
      <c r="U28" s="1233"/>
      <c r="V28" s="3520" t="str">
        <f>IF(TITLE_DATE_PR_CHANGE="",IF(TITLE_DATE_PR="","",TITLE_DATE_PR),TITLE_DATE_PR_CHANGE)</f>
        <v/>
      </c>
      <c r="W28" s="3520"/>
      <c r="X28" s="3520"/>
      <c r="Y28" s="3520"/>
      <c r="Z28" s="3520"/>
      <c r="AA28" s="3520"/>
      <c r="AB28" s="237"/>
      <c r="AC28" s="3520" t="str">
        <f>IF(TITLE_DATE_PR_CHANGE="",IF(TITLE_DATE_PR="","",TITLE_DATE_PR),TITLE_DATE_PR_CHANGE)</f>
        <v/>
      </c>
      <c r="AD28" s="3520"/>
      <c r="AE28" s="3520"/>
      <c r="AF28" s="3520"/>
      <c r="AG28" s="3520"/>
      <c r="AH28" s="3520"/>
      <c r="AI28" s="237"/>
      <c r="AJ28" s="237"/>
      <c r="AK28" s="193"/>
      <c r="AL28" s="276"/>
      <c r="AM28" s="276"/>
      <c r="AN28" s="276"/>
      <c r="AO28" s="276"/>
      <c r="AP28" s="276"/>
    </row>
    <row r="29" spans="1:42" s="1944" customFormat="1" ht="18.75" hidden="1" customHeight="1">
      <c r="A29" s="1229"/>
      <c r="B29" s="1229"/>
      <c r="C29" s="1229"/>
      <c r="D29" s="1229"/>
      <c r="E29" s="1229"/>
      <c r="F29" s="1229"/>
      <c r="G29" s="1229"/>
      <c r="H29" s="1229"/>
      <c r="I29" s="1229"/>
      <c r="J29" s="1229"/>
      <c r="K29" s="1229"/>
      <c r="L29" s="1230"/>
      <c r="M29" s="1229"/>
      <c r="N29" s="1229"/>
      <c r="O29" s="1229"/>
      <c r="S29" s="3519" t="s">
        <v>686</v>
      </c>
      <c r="T29" s="3519"/>
      <c r="U29" s="1233"/>
      <c r="V29" s="3521" t="str">
        <f>IF(TITLE_NUMBER_PR_CHANGE="",IF(TITLE_NUMBER_PR="","",TITLE_NUMBER_PR),TITLE_NUMBER_PR_CHANGE)</f>
        <v/>
      </c>
      <c r="W29" s="3521"/>
      <c r="X29" s="3521"/>
      <c r="Y29" s="3521"/>
      <c r="Z29" s="3521"/>
      <c r="AA29" s="3521"/>
      <c r="AB29" s="237"/>
      <c r="AC29" s="3521" t="str">
        <f>IF(TITLE_NUMBER_PR_CHANGE="",IF(TITLE_NUMBER_PR="","",TITLE_NUMBER_PR),TITLE_NUMBER_PR_CHANGE)</f>
        <v/>
      </c>
      <c r="AD29" s="3521"/>
      <c r="AE29" s="3521"/>
      <c r="AF29" s="3521"/>
      <c r="AG29" s="3521"/>
      <c r="AH29" s="3521"/>
      <c r="AI29" s="237"/>
      <c r="AJ29" s="237"/>
      <c r="AK29" s="193"/>
      <c r="AL29" s="276"/>
      <c r="AM29" s="276"/>
      <c r="AN29" s="276"/>
      <c r="AO29" s="276"/>
      <c r="AP29" s="276"/>
    </row>
    <row r="30" spans="1:42" s="1944" customFormat="1" ht="18.75" hidden="1" customHeight="1">
      <c r="A30" s="1229"/>
      <c r="B30" s="1229"/>
      <c r="C30" s="1229"/>
      <c r="D30" s="1229"/>
      <c r="E30" s="1229"/>
      <c r="F30" s="1229"/>
      <c r="G30" s="1229"/>
      <c r="H30" s="1229"/>
      <c r="I30" s="1229"/>
      <c r="J30" s="1229"/>
      <c r="K30" s="1229"/>
      <c r="L30" s="1230"/>
      <c r="M30" s="1229"/>
      <c r="N30" s="1229"/>
      <c r="O30" s="1229"/>
      <c r="S30" s="3519" t="s">
        <v>39</v>
      </c>
      <c r="T30" s="3519"/>
      <c r="U30" s="1233"/>
      <c r="V30" s="3521" t="str">
        <f>IF(TITLE_IST_PUB_CHANGE="",IF(TITLE_IST_PUB="","",TITLE_IST_PUB),TITLE_IST_PUB_CHANGE)</f>
        <v/>
      </c>
      <c r="W30" s="3521"/>
      <c r="X30" s="3521"/>
      <c r="Y30" s="3521"/>
      <c r="Z30" s="3521"/>
      <c r="AA30" s="3521"/>
      <c r="AB30" s="237"/>
      <c r="AC30" s="3521" t="str">
        <f>IF(TITLE_IST_PUB_CHANGE="",IF(TITLE_IST_PUB="","",TITLE_IST_PUB),TITLE_IST_PUB_CHANGE)</f>
        <v/>
      </c>
      <c r="AD30" s="3521"/>
      <c r="AE30" s="3521"/>
      <c r="AF30" s="3521"/>
      <c r="AG30" s="3521"/>
      <c r="AH30" s="3521"/>
      <c r="AI30" s="237"/>
      <c r="AJ30" s="237"/>
      <c r="AK30" s="193"/>
      <c r="AL30" s="276"/>
      <c r="AM30" s="276"/>
      <c r="AN30" s="276"/>
      <c r="AO30" s="276"/>
      <c r="AP30" s="276"/>
    </row>
    <row r="31" spans="1:42" ht="14.25" hidden="1" customHeight="1">
      <c r="Q31" s="283"/>
      <c r="R31" s="283"/>
      <c r="S31" s="1141"/>
      <c r="T31" s="272"/>
      <c r="U31" s="272"/>
      <c r="V31" s="233"/>
      <c r="W31" s="233"/>
      <c r="X31" s="233"/>
      <c r="Y31" s="233"/>
      <c r="Z31" s="233"/>
      <c r="AA31" s="233"/>
      <c r="AB31" s="233"/>
      <c r="AC31" s="233"/>
      <c r="AD31" s="233"/>
      <c r="AE31" s="233"/>
      <c r="AF31" s="233"/>
      <c r="AG31" s="233"/>
      <c r="AH31" s="233"/>
      <c r="AI31" s="233"/>
      <c r="AJ31" s="407"/>
    </row>
    <row r="32" spans="1:42" s="1944" customFormat="1" ht="18.75" hidden="1" customHeight="1">
      <c r="A32" s="1229"/>
      <c r="B32" s="1229"/>
      <c r="C32" s="1229"/>
      <c r="D32" s="1229"/>
      <c r="E32" s="1229"/>
      <c r="F32" s="1229"/>
      <c r="G32" s="1229"/>
      <c r="H32" s="1229"/>
      <c r="I32" s="1229"/>
      <c r="J32" s="1229"/>
      <c r="K32" s="1229"/>
      <c r="L32" s="1230"/>
      <c r="M32" s="1229"/>
      <c r="N32" s="1229"/>
      <c r="O32" s="1229"/>
      <c r="S32" s="3519" t="s">
        <v>687</v>
      </c>
      <c r="T32" s="3519"/>
      <c r="U32" s="1233"/>
      <c r="V32" s="3520" t="str">
        <f>IF(TITLE_DATE_PR_CHANGE="",IF(TITLE_DATE_PR="","",TITLE_DATE_PR),TITLE_DATE_PR_CHANGE)</f>
        <v/>
      </c>
      <c r="W32" s="3520"/>
      <c r="X32" s="3520"/>
      <c r="Y32" s="3520"/>
      <c r="Z32" s="3520"/>
      <c r="AA32" s="3520"/>
      <c r="AB32" s="237"/>
      <c r="AC32" s="3520" t="str">
        <f>IF(TITLE_DATE_PR_CHANGE="",IF(TITLE_DATE_PR="","",TITLE_DATE_PR),TITLE_DATE_PR_CHANGE)</f>
        <v/>
      </c>
      <c r="AD32" s="3520"/>
      <c r="AE32" s="3520"/>
      <c r="AF32" s="3520"/>
      <c r="AG32" s="3520"/>
      <c r="AH32" s="3520"/>
      <c r="AI32" s="237"/>
      <c r="AJ32" s="237"/>
      <c r="AK32" s="193"/>
      <c r="AL32" s="276"/>
      <c r="AM32" s="276"/>
      <c r="AN32" s="276"/>
      <c r="AO32" s="276"/>
      <c r="AP32" s="276"/>
    </row>
    <row r="33" spans="1:42" s="1944" customFormat="1" ht="18.75" hidden="1" customHeight="1">
      <c r="A33" s="1229"/>
      <c r="B33" s="1229"/>
      <c r="C33" s="1229"/>
      <c r="D33" s="1229"/>
      <c r="E33" s="1229"/>
      <c r="F33" s="1229"/>
      <c r="G33" s="1229"/>
      <c r="H33" s="1229"/>
      <c r="I33" s="1229"/>
      <c r="J33" s="1229"/>
      <c r="K33" s="1229"/>
      <c r="L33" s="1230"/>
      <c r="M33" s="1229"/>
      <c r="N33" s="1229"/>
      <c r="O33" s="1229"/>
      <c r="S33" s="3519" t="s">
        <v>688</v>
      </c>
      <c r="T33" s="3519"/>
      <c r="U33" s="1233"/>
      <c r="V33" s="3521" t="str">
        <f>IF(TITLE_NUMBER_PR_CHANGE="",IF(TITLE_NUMBER_PR="","",TITLE_NUMBER_PR),TITLE_NUMBER_PR_CHANGE)</f>
        <v/>
      </c>
      <c r="W33" s="3521"/>
      <c r="X33" s="3521"/>
      <c r="Y33" s="3521"/>
      <c r="Z33" s="3521"/>
      <c r="AA33" s="3521"/>
      <c r="AB33" s="237"/>
      <c r="AC33" s="3521" t="str">
        <f>IF(TITLE_NUMBER_PR_CHANGE="",IF(TITLE_NUMBER_PR="","",TITLE_NUMBER_PR),TITLE_NUMBER_PR_CHANGE)</f>
        <v/>
      </c>
      <c r="AD33" s="3521"/>
      <c r="AE33" s="3521"/>
      <c r="AF33" s="3521"/>
      <c r="AG33" s="3521"/>
      <c r="AH33" s="3521"/>
      <c r="AI33" s="237"/>
      <c r="AJ33" s="237"/>
      <c r="AK33" s="193"/>
      <c r="AL33" s="276"/>
      <c r="AM33" s="276"/>
      <c r="AN33" s="276"/>
      <c r="AO33" s="276"/>
      <c r="AP33" s="276"/>
    </row>
    <row r="34" spans="1:42" s="1944" customFormat="1" ht="0.75" customHeight="1">
      <c r="A34" s="1229"/>
      <c r="B34" s="1229"/>
      <c r="C34" s="1229"/>
      <c r="D34" s="1229"/>
      <c r="E34" s="1229"/>
      <c r="F34" s="1229"/>
      <c r="G34" s="1229"/>
      <c r="H34" s="1229"/>
      <c r="I34" s="1229"/>
      <c r="J34" s="1229"/>
      <c r="K34" s="1229"/>
      <c r="L34" s="1230"/>
      <c r="M34" s="1229"/>
      <c r="N34" s="1229"/>
      <c r="O34" s="1229"/>
      <c r="S34" s="234"/>
      <c r="T34" s="234"/>
      <c r="U34" s="1312"/>
      <c r="V34" s="237"/>
      <c r="W34" s="237"/>
      <c r="X34" s="237"/>
      <c r="Y34" s="237"/>
      <c r="Z34" s="237"/>
      <c r="AA34" s="237"/>
      <c r="AB34" s="191" t="s">
        <v>689</v>
      </c>
      <c r="AC34" s="237"/>
      <c r="AD34" s="237"/>
      <c r="AE34" s="237"/>
      <c r="AF34" s="237"/>
      <c r="AG34" s="237"/>
      <c r="AH34" s="237"/>
      <c r="AI34" s="191" t="s">
        <v>689</v>
      </c>
      <c r="AL34" s="276"/>
      <c r="AM34" s="276"/>
      <c r="AN34" s="276"/>
      <c r="AO34" s="276"/>
      <c r="AP34" s="276"/>
    </row>
    <row r="35" spans="1:42" ht="14.25" customHeight="1">
      <c r="Q35" s="283"/>
      <c r="R35" s="283"/>
      <c r="S35" s="1141"/>
      <c r="T35" s="272"/>
      <c r="U35" s="1110"/>
      <c r="V35" s="3540"/>
      <c r="W35" s="3540"/>
      <c r="X35" s="3540"/>
      <c r="Y35" s="3540"/>
      <c r="Z35" s="3540"/>
      <c r="AA35" s="3540"/>
      <c r="AB35" s="3540"/>
      <c r="AC35" s="3540"/>
      <c r="AD35" s="3540"/>
      <c r="AE35" s="3540"/>
      <c r="AF35" s="3540"/>
      <c r="AG35" s="3540"/>
      <c r="AH35" s="3540"/>
      <c r="AI35" s="3540"/>
    </row>
    <row r="36" spans="1:42" ht="14.25" customHeight="1">
      <c r="Q36" s="283"/>
      <c r="R36" s="283"/>
      <c r="S36" s="3401" t="s">
        <v>560</v>
      </c>
      <c r="T36" s="3401"/>
      <c r="U36" s="3401"/>
      <c r="V36" s="3401"/>
      <c r="W36" s="3401"/>
      <c r="X36" s="3401"/>
      <c r="Y36" s="3401"/>
      <c r="Z36" s="3401"/>
      <c r="AA36" s="3401"/>
      <c r="AB36" s="3401"/>
      <c r="AC36" s="3401"/>
      <c r="AD36" s="3401"/>
      <c r="AE36" s="3401"/>
      <c r="AF36" s="3401"/>
      <c r="AG36" s="3401"/>
      <c r="AH36" s="3401"/>
      <c r="AI36" s="3401"/>
      <c r="AJ36" s="3401"/>
      <c r="AK36" s="3401" t="s">
        <v>561</v>
      </c>
    </row>
    <row r="37" spans="1:42" ht="14.25" customHeight="1">
      <c r="Q37" s="283"/>
      <c r="R37" s="283"/>
      <c r="S37" s="3541" t="s">
        <v>85</v>
      </c>
      <c r="T37" s="3489" t="s">
        <v>690</v>
      </c>
      <c r="U37" s="212"/>
      <c r="V37" s="3542" t="s">
        <v>691</v>
      </c>
      <c r="W37" s="3543"/>
      <c r="X37" s="3543"/>
      <c r="Y37" s="3543"/>
      <c r="Z37" s="3543"/>
      <c r="AA37" s="3544"/>
      <c r="AB37" s="3545" t="s">
        <v>692</v>
      </c>
      <c r="AC37" s="3542" t="s">
        <v>691</v>
      </c>
      <c r="AD37" s="3543"/>
      <c r="AE37" s="3543"/>
      <c r="AF37" s="3543"/>
      <c r="AG37" s="3543"/>
      <c r="AH37" s="3544"/>
      <c r="AI37" s="3545" t="s">
        <v>693</v>
      </c>
      <c r="AJ37" s="3548" t="s">
        <v>694</v>
      </c>
      <c r="AK37" s="3401"/>
    </row>
    <row r="38" spans="1:42" ht="33.75" customHeight="1">
      <c r="Q38" s="283"/>
      <c r="R38" s="283"/>
      <c r="S38" s="3541"/>
      <c r="T38" s="3489"/>
      <c r="U38" s="901"/>
      <c r="V38" s="1310" t="s">
        <v>752</v>
      </c>
      <c r="W38" s="3383" t="s">
        <v>697</v>
      </c>
      <c r="X38" s="3382"/>
      <c r="Y38" s="3383" t="s">
        <v>698</v>
      </c>
      <c r="Z38" s="3388"/>
      <c r="AA38" s="3382"/>
      <c r="AB38" s="3546"/>
      <c r="AC38" s="1310" t="s">
        <v>752</v>
      </c>
      <c r="AD38" s="3383" t="s">
        <v>697</v>
      </c>
      <c r="AE38" s="3382"/>
      <c r="AF38" s="3383" t="s">
        <v>698</v>
      </c>
      <c r="AG38" s="3388"/>
      <c r="AH38" s="3382"/>
      <c r="AI38" s="3546"/>
      <c r="AJ38" s="3549"/>
      <c r="AK38" s="3401"/>
    </row>
    <row r="39" spans="1:42" ht="33.75" customHeight="1">
      <c r="A39" s="1231"/>
      <c r="B39" s="1231" t="s">
        <v>403</v>
      </c>
      <c r="C39" s="1231" t="s">
        <v>404</v>
      </c>
      <c r="D39" s="1231" t="s">
        <v>405</v>
      </c>
      <c r="E39" s="1225" t="s">
        <v>699</v>
      </c>
      <c r="F39" s="1225" t="s">
        <v>700</v>
      </c>
      <c r="G39" s="1225" t="s">
        <v>701</v>
      </c>
      <c r="H39" s="1225"/>
      <c r="I39" s="1225" t="s">
        <v>753</v>
      </c>
      <c r="J39" s="1225" t="s">
        <v>704</v>
      </c>
      <c r="K39" s="1225" t="s">
        <v>754</v>
      </c>
      <c r="L39" s="1225" t="s">
        <v>680</v>
      </c>
      <c r="Q39" s="283"/>
      <c r="R39" s="283"/>
      <c r="S39" s="3541"/>
      <c r="T39" s="3489"/>
      <c r="U39" s="213"/>
      <c r="V39" s="1310" t="s">
        <v>755</v>
      </c>
      <c r="W39" s="1088" t="s">
        <v>756</v>
      </c>
      <c r="X39" s="1088" t="s">
        <v>757</v>
      </c>
      <c r="Y39" s="1313" t="s">
        <v>708</v>
      </c>
      <c r="Z39" s="3494" t="s">
        <v>709</v>
      </c>
      <c r="AA39" s="3508"/>
      <c r="AB39" s="3547"/>
      <c r="AC39" s="1310" t="s">
        <v>755</v>
      </c>
      <c r="AD39" s="1088" t="s">
        <v>756</v>
      </c>
      <c r="AE39" s="1088" t="s">
        <v>757</v>
      </c>
      <c r="AF39" s="1313" t="s">
        <v>708</v>
      </c>
      <c r="AG39" s="3494" t="s">
        <v>709</v>
      </c>
      <c r="AH39" s="3508"/>
      <c r="AI39" s="3547"/>
      <c r="AJ39" s="3550"/>
      <c r="AK39" s="3401"/>
    </row>
    <row r="40" spans="1:42" s="1838" customFormat="1" ht="0" hidden="1" customHeight="1">
      <c r="A40" s="1231"/>
      <c r="B40" s="1231"/>
      <c r="C40" s="1231"/>
      <c r="D40" s="1231"/>
      <c r="E40" s="1231"/>
      <c r="F40" s="1231"/>
      <c r="G40" s="1231"/>
      <c r="H40" s="1231"/>
      <c r="I40" s="1231"/>
      <c r="J40" s="1231"/>
      <c r="K40" s="1231"/>
      <c r="L40" s="1225"/>
      <c r="M40" s="1223"/>
      <c r="N40" s="1223"/>
      <c r="O40" s="1223"/>
      <c r="P40" s="1112"/>
      <c r="Q40" s="1113"/>
      <c r="R40" s="1120">
        <v>1</v>
      </c>
      <c r="S40" s="1143" t="s">
        <v>106</v>
      </c>
      <c r="T40" s="1121" t="s">
        <v>107</v>
      </c>
      <c r="U40" s="1111" t="str">
        <f ca="1">OFFSET(U40,0,-1)</f>
        <v>2</v>
      </c>
      <c r="V40" s="1309">
        <f ca="1">OFFSET(V40,0,-1)+1</f>
        <v>3</v>
      </c>
      <c r="W40" s="1309">
        <f ca="1">OFFSET(W40,0,-1)+1</f>
        <v>4</v>
      </c>
      <c r="X40" s="1309">
        <f ca="1">OFFSET(X40,0,-1)+1</f>
        <v>5</v>
      </c>
      <c r="Y40" s="1309">
        <f ca="1">OFFSET(Y40,0,-1)+1</f>
        <v>6</v>
      </c>
      <c r="Z40" s="3539">
        <f ca="1">OFFSET(Z40,0,-1)+1</f>
        <v>7</v>
      </c>
      <c r="AA40" s="3539"/>
      <c r="AB40" s="1309">
        <f ca="1">OFFSET(AB40,0,-2)+1</f>
        <v>8</v>
      </c>
      <c r="AC40" s="1309">
        <f ca="1">OFFSET(AC40,0,-1)+1</f>
        <v>9</v>
      </c>
      <c r="AD40" s="1309">
        <f ca="1">OFFSET(AD40,0,-1)+1</f>
        <v>10</v>
      </c>
      <c r="AE40" s="1309">
        <f ca="1">OFFSET(AE40,0,-1)+1</f>
        <v>11</v>
      </c>
      <c r="AF40" s="1309">
        <f ca="1">OFFSET(AF40,0,-1)+1</f>
        <v>12</v>
      </c>
      <c r="AG40" s="3539">
        <f ca="1">OFFSET(AG40,0,-1)+1</f>
        <v>13</v>
      </c>
      <c r="AH40" s="3539"/>
      <c r="AI40" s="1309">
        <f ca="1">OFFSET(AI40,0,-2)+1</f>
        <v>14</v>
      </c>
      <c r="AJ40" s="1111">
        <f ca="1">OFFSET(AJ40,0,-1)</f>
        <v>14</v>
      </c>
      <c r="AK40" s="1309">
        <f ca="1">OFFSET(AK40,0,-1)+1</f>
        <v>15</v>
      </c>
      <c r="AL40" s="409"/>
      <c r="AM40" s="409"/>
      <c r="AN40" s="409"/>
      <c r="AO40" s="409"/>
      <c r="AP40" s="409"/>
    </row>
    <row r="41" spans="1:42" ht="23.25" customHeight="1">
      <c r="A41" s="1224" t="s">
        <v>491</v>
      </c>
      <c r="B41" s="1224"/>
      <c r="C41" s="1224"/>
      <c r="D41" s="1224"/>
      <c r="E41" s="3528">
        <v>1</v>
      </c>
      <c r="F41" s="1224"/>
      <c r="G41" s="1224"/>
      <c r="H41" s="1224"/>
      <c r="I41" s="1224"/>
      <c r="J41" s="1224"/>
      <c r="K41" s="1224"/>
      <c r="L41" s="1225"/>
      <c r="M41" s="1226"/>
      <c r="N41" s="1226"/>
      <c r="O41" s="1226"/>
      <c r="P41" s="270"/>
      <c r="Q41" s="269"/>
      <c r="R41" s="264"/>
      <c r="S41" s="1315">
        <f>INDEX(PT_DIFFERENTIATION_NUM_NTAR,MATCH(A41,PT_DIFFERENTIATION_NTAR_ID,0))</f>
        <v>0</v>
      </c>
      <c r="T41" s="209" t="s">
        <v>391</v>
      </c>
      <c r="U41" s="211"/>
      <c r="V41" s="3522"/>
      <c r="W41" s="3523"/>
      <c r="X41" s="3523"/>
      <c r="Y41" s="3523"/>
      <c r="Z41" s="3523"/>
      <c r="AA41" s="3523"/>
      <c r="AB41" s="3524"/>
      <c r="AC41" s="3522" t="str">
        <f>INDEX(PT_DIFFERENTIATION_NTAR,MATCH(A41,PT_DIFFERENTIATION_NTAR_ID,0))</f>
        <v/>
      </c>
      <c r="AD41" s="3523"/>
      <c r="AE41" s="3523"/>
      <c r="AF41" s="3523"/>
      <c r="AG41" s="3523"/>
      <c r="AH41" s="3523"/>
      <c r="AI41" s="3523"/>
      <c r="AJ41" s="3524"/>
      <c r="AK41" s="112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398"/>
      <c r="AN41" s="398" t="str">
        <f t="shared" ref="AN41:AN53" si="1">IF(T41="","",T41)</f>
        <v>Наименование тарифа</v>
      </c>
      <c r="AO41" s="398"/>
      <c r="AP41" s="398"/>
    </row>
    <row r="42" spans="1:42" ht="23.25" customHeight="1">
      <c r="A42" s="1224" t="s">
        <v>491</v>
      </c>
      <c r="B42" s="1224" t="s">
        <v>492</v>
      </c>
      <c r="C42" s="1224"/>
      <c r="D42" s="1224"/>
      <c r="E42" s="3529"/>
      <c r="F42" s="3528">
        <v>1</v>
      </c>
      <c r="G42" s="1224"/>
      <c r="H42" s="1224"/>
      <c r="I42" s="1224"/>
      <c r="J42" s="1224"/>
      <c r="K42" s="1224"/>
      <c r="L42" s="1225"/>
      <c r="M42" s="1226"/>
      <c r="N42" s="1226"/>
      <c r="O42" s="1226"/>
      <c r="P42" s="1311"/>
      <c r="Q42" s="261"/>
      <c r="R42" s="262"/>
      <c r="S42" s="1315" t="str">
        <f>INDEX(PT_DIFFERENTIATION_NUM_TER,MATCH(B42,PT_DIFFERENTIATION_TER_ID,0))</f>
        <v>.</v>
      </c>
      <c r="T42" s="219" t="s">
        <v>659</v>
      </c>
      <c r="U42" s="211"/>
      <c r="V42" s="3522"/>
      <c r="W42" s="3523"/>
      <c r="X42" s="3523"/>
      <c r="Y42" s="3523"/>
      <c r="Z42" s="3523"/>
      <c r="AA42" s="3523"/>
      <c r="AB42" s="3524"/>
      <c r="AC42" s="3522" t="str">
        <f>INDEX(PT_DIFFERENTIATION_TER,MATCH(B42,PT_DIFFERENTIATION_TER_ID,0))</f>
        <v/>
      </c>
      <c r="AD42" s="3523"/>
      <c r="AE42" s="3523"/>
      <c r="AF42" s="3523"/>
      <c r="AG42" s="3523"/>
      <c r="AH42" s="3523"/>
      <c r="AI42" s="3523"/>
      <c r="AJ42" s="3524"/>
      <c r="AK42" s="1124" t="s">
        <v>660</v>
      </c>
      <c r="AM42" s="398"/>
      <c r="AN42" s="398" t="str">
        <f t="shared" si="1"/>
        <v>Территория действия тарифа</v>
      </c>
      <c r="AO42" s="398"/>
      <c r="AP42" s="398"/>
    </row>
    <row r="43" spans="1:42" ht="23.25" customHeight="1">
      <c r="A43" s="1224" t="s">
        <v>491</v>
      </c>
      <c r="B43" s="1224" t="s">
        <v>492</v>
      </c>
      <c r="C43" s="1224" t="s">
        <v>493</v>
      </c>
      <c r="D43" s="1224"/>
      <c r="E43" s="3529"/>
      <c r="F43" s="3529"/>
      <c r="G43" s="3528">
        <v>1</v>
      </c>
      <c r="H43" s="1224"/>
      <c r="I43" s="1224"/>
      <c r="J43" s="1224"/>
      <c r="K43" s="1224"/>
      <c r="L43" s="1225"/>
      <c r="M43" s="1226"/>
      <c r="N43" s="1226"/>
      <c r="O43" s="1226"/>
      <c r="P43" s="263"/>
      <c r="Q43" s="261"/>
      <c r="R43" s="262"/>
      <c r="S43" s="1315" t="str">
        <f>INDEX(PT_DIFFERENTIATION_NUM_CS,MATCH(C43,PT_DIFFERENTIATION_CS_ID,0))</f>
        <v>..</v>
      </c>
      <c r="T43" s="220" t="s">
        <v>744</v>
      </c>
      <c r="U43" s="211"/>
      <c r="V43" s="3522"/>
      <c r="W43" s="3523"/>
      <c r="X43" s="3523"/>
      <c r="Y43" s="3523"/>
      <c r="Z43" s="3523"/>
      <c r="AA43" s="3523"/>
      <c r="AB43" s="3524"/>
      <c r="AC43" s="3522" t="str">
        <f>INDEX(PT_DIFFERENTIATION_CS,MATCH(C43,PT_DIFFERENTIATION_CS_ID,0))</f>
        <v/>
      </c>
      <c r="AD43" s="3523"/>
      <c r="AE43" s="3523"/>
      <c r="AF43" s="3523"/>
      <c r="AG43" s="3523"/>
      <c r="AH43" s="3523"/>
      <c r="AI43" s="3523"/>
      <c r="AJ43" s="3524"/>
      <c r="AK43" s="1124" t="s">
        <v>745</v>
      </c>
      <c r="AM43" s="398"/>
      <c r="AN43" s="398" t="str">
        <f t="shared" si="1"/>
        <v>Наименование централизованной системы холодного водоснабжения</v>
      </c>
      <c r="AO43" s="398"/>
      <c r="AP43" s="398"/>
    </row>
    <row r="44" spans="1:42" ht="23.25" customHeight="1">
      <c r="A44" s="1224" t="s">
        <v>491</v>
      </c>
      <c r="B44" s="1224" t="s">
        <v>492</v>
      </c>
      <c r="C44" s="1224" t="s">
        <v>493</v>
      </c>
      <c r="D44" s="1224" t="s">
        <v>759</v>
      </c>
      <c r="E44" s="3529"/>
      <c r="F44" s="3529"/>
      <c r="G44" s="3529"/>
      <c r="H44" s="3529"/>
      <c r="I44" s="3530" t="str">
        <f>S43&amp;".1"</f>
        <v>...1</v>
      </c>
      <c r="J44" s="1224"/>
      <c r="K44" s="1224"/>
      <c r="L44" s="1225"/>
      <c r="P44" s="3532">
        <v>1</v>
      </c>
      <c r="Q44" s="1308"/>
      <c r="R44" s="265"/>
      <c r="S44" s="1315" t="str">
        <f>$I44</f>
        <v>...1</v>
      </c>
      <c r="T44" s="197" t="s">
        <v>746</v>
      </c>
      <c r="U44" s="211"/>
      <c r="V44" s="3588"/>
      <c r="W44" s="3589"/>
      <c r="X44" s="3589"/>
      <c r="Y44" s="3589"/>
      <c r="Z44" s="3589"/>
      <c r="AA44" s="3589"/>
      <c r="AB44" s="3590"/>
      <c r="AC44" s="3591"/>
      <c r="AD44" s="3592"/>
      <c r="AE44" s="3592"/>
      <c r="AF44" s="3592"/>
      <c r="AG44" s="3592"/>
      <c r="AH44" s="3592"/>
      <c r="AI44" s="3592"/>
      <c r="AJ44" s="3593"/>
      <c r="AK44" s="1124" t="s">
        <v>747</v>
      </c>
      <c r="AM44" s="398"/>
      <c r="AN44" s="398" t="str">
        <f t="shared" si="1"/>
        <v>Наименование признака дифференциации</v>
      </c>
      <c r="AO44" s="398"/>
      <c r="AP44" s="398"/>
    </row>
    <row r="45" spans="1:42" ht="23.25" customHeight="1">
      <c r="A45" s="1224" t="s">
        <v>491</v>
      </c>
      <c r="B45" s="1224" t="s">
        <v>492</v>
      </c>
      <c r="C45" s="1224" t="s">
        <v>493</v>
      </c>
      <c r="D45" s="1224" t="s">
        <v>759</v>
      </c>
      <c r="E45" s="3529"/>
      <c r="F45" s="3529"/>
      <c r="G45" s="3529"/>
      <c r="H45" s="3529"/>
      <c r="I45" s="3531"/>
      <c r="J45" s="3530" t="str">
        <f>I44&amp;".1"</f>
        <v>...1.1</v>
      </c>
      <c r="K45" s="1224"/>
      <c r="L45" s="1225" t="s">
        <v>668</v>
      </c>
      <c r="P45" s="3532"/>
      <c r="Q45" s="3532">
        <v>1</v>
      </c>
      <c r="R45" s="266"/>
      <c r="S45" s="1315" t="str">
        <f>$J45</f>
        <v>...1.1</v>
      </c>
      <c r="T45" s="198" t="s">
        <v>669</v>
      </c>
      <c r="U45" s="211"/>
      <c r="V45" s="3516"/>
      <c r="W45" s="3517"/>
      <c r="X45" s="3517"/>
      <c r="Y45" s="3517"/>
      <c r="Z45" s="3517"/>
      <c r="AA45" s="3517"/>
      <c r="AB45" s="3518"/>
      <c r="AC45" s="3516"/>
      <c r="AD45" s="3517"/>
      <c r="AE45" s="3517"/>
      <c r="AF45" s="3517"/>
      <c r="AG45" s="3517"/>
      <c r="AH45" s="3517"/>
      <c r="AI45" s="3517"/>
      <c r="AJ45" s="3518"/>
      <c r="AK45" s="1171" t="s">
        <v>748</v>
      </c>
      <c r="AM45" s="398"/>
      <c r="AN45" s="398" t="str">
        <f t="shared" si="1"/>
        <v>Группа потребителей</v>
      </c>
      <c r="AO45" s="398"/>
      <c r="AP45" s="398"/>
    </row>
    <row r="46" spans="1:42" ht="23.25" customHeight="1">
      <c r="A46" s="1224" t="s">
        <v>491</v>
      </c>
      <c r="B46" s="1224" t="s">
        <v>492</v>
      </c>
      <c r="C46" s="1224" t="s">
        <v>493</v>
      </c>
      <c r="D46" s="1224" t="s">
        <v>759</v>
      </c>
      <c r="E46" s="3529"/>
      <c r="F46" s="3529"/>
      <c r="G46" s="3529"/>
      <c r="H46" s="3529"/>
      <c r="I46" s="3531"/>
      <c r="J46" s="3531"/>
      <c r="K46" s="3530" t="str">
        <f>J45&amp;".1"</f>
        <v>...1.1.1</v>
      </c>
      <c r="L46" s="1225"/>
      <c r="P46" s="3532"/>
      <c r="Q46" s="3532"/>
      <c r="R46" s="266">
        <v>1</v>
      </c>
      <c r="S46" s="1315" t="str">
        <f>$K46</f>
        <v>...1.1.1</v>
      </c>
      <c r="T46" s="1297"/>
      <c r="U46" s="211"/>
      <c r="V46" s="639"/>
      <c r="W46" s="639"/>
      <c r="X46" s="1123"/>
      <c r="Y46" s="3533"/>
      <c r="Z46" s="3412" t="s">
        <v>64</v>
      </c>
      <c r="AA46" s="3533"/>
      <c r="AB46" s="3412" t="s">
        <v>64</v>
      </c>
      <c r="AC46" s="639"/>
      <c r="AD46" s="639"/>
      <c r="AE46" s="1123"/>
      <c r="AF46" s="3533"/>
      <c r="AG46" s="3412" t="s">
        <v>64</v>
      </c>
      <c r="AH46" s="3535"/>
      <c r="AI46" s="3412" t="s">
        <v>64</v>
      </c>
      <c r="AJ46" s="1298"/>
      <c r="AK46" s="35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09" t="e">
        <f ca="1">STRCHECKDATE(V47:AJ47)</f>
        <v>#NAME?</v>
      </c>
      <c r="AM46" s="398"/>
      <c r="AN46" s="398" t="str">
        <f t="shared" si="1"/>
        <v/>
      </c>
      <c r="AO46" s="398"/>
      <c r="AP46" s="398"/>
    </row>
    <row r="47" spans="1:42" ht="0" hidden="1" customHeight="1">
      <c r="A47" s="1224" t="s">
        <v>491</v>
      </c>
      <c r="B47" s="1224" t="s">
        <v>492</v>
      </c>
      <c r="C47" s="1224" t="s">
        <v>493</v>
      </c>
      <c r="D47" s="1224" t="s">
        <v>759</v>
      </c>
      <c r="E47" s="3529"/>
      <c r="F47" s="3529"/>
      <c r="G47" s="3529"/>
      <c r="H47" s="3529"/>
      <c r="I47" s="3531"/>
      <c r="J47" s="3531"/>
      <c r="K47" s="3530"/>
      <c r="L47" s="1225"/>
      <c r="P47" s="3532"/>
      <c r="Q47" s="3532"/>
      <c r="R47" s="266"/>
      <c r="S47" s="1314"/>
      <c r="T47" s="211"/>
      <c r="U47" s="211"/>
      <c r="V47" s="236"/>
      <c r="W47" s="236"/>
      <c r="X47" s="239" t="str">
        <f>Y46&amp;"-"&amp;AA46</f>
        <v>-</v>
      </c>
      <c r="Y47" s="3534"/>
      <c r="Z47" s="3412"/>
      <c r="AA47" s="3534"/>
      <c r="AB47" s="3412"/>
      <c r="AC47" s="236"/>
      <c r="AD47" s="236"/>
      <c r="AE47" s="239" t="str">
        <f>AF46&amp;"-"&amp;AH46</f>
        <v>-</v>
      </c>
      <c r="AF47" s="3534"/>
      <c r="AG47" s="3412"/>
      <c r="AH47" s="3536"/>
      <c r="AI47" s="3412"/>
      <c r="AJ47" s="1299"/>
      <c r="AK47" s="3594"/>
      <c r="AM47" s="398"/>
      <c r="AN47" s="398" t="str">
        <f t="shared" si="1"/>
        <v/>
      </c>
      <c r="AO47" s="398"/>
      <c r="AP47" s="398"/>
    </row>
    <row r="48" spans="1:42" ht="21" customHeight="1">
      <c r="A48" s="1224" t="s">
        <v>491</v>
      </c>
      <c r="B48" s="1224" t="s">
        <v>492</v>
      </c>
      <c r="C48" s="1224" t="s">
        <v>493</v>
      </c>
      <c r="D48" s="1224" t="s">
        <v>759</v>
      </c>
      <c r="E48" s="3529"/>
      <c r="F48" s="3529"/>
      <c r="G48" s="3529"/>
      <c r="H48" s="3529"/>
      <c r="I48" s="3531"/>
      <c r="J48" s="3530"/>
      <c r="K48" s="1224"/>
      <c r="L48" s="1225"/>
      <c r="P48" s="3532"/>
      <c r="Q48" s="3532"/>
      <c r="R48" s="265"/>
      <c r="S48" s="1144"/>
      <c r="T48" s="199" t="s">
        <v>749</v>
      </c>
      <c r="U48" s="275"/>
      <c r="V48" s="275"/>
      <c r="W48" s="275"/>
      <c r="X48" s="275"/>
      <c r="Y48" s="275"/>
      <c r="Z48" s="275"/>
      <c r="AA48" s="275"/>
      <c r="AB48" s="275"/>
      <c r="AC48" s="275"/>
      <c r="AD48" s="275"/>
      <c r="AE48" s="275"/>
      <c r="AF48" s="275"/>
      <c r="AG48" s="275"/>
      <c r="AH48" s="275"/>
      <c r="AI48" s="275"/>
      <c r="AJ48" s="275"/>
      <c r="AK48" s="1124" t="s">
        <v>750</v>
      </c>
      <c r="AM48" s="398"/>
      <c r="AN48" s="398" t="str">
        <f t="shared" si="1"/>
        <v>Добавить значение признака дифференциации</v>
      </c>
      <c r="AO48" s="398"/>
      <c r="AP48" s="398"/>
    </row>
    <row r="49" spans="1:42" ht="21" customHeight="1">
      <c r="A49" s="1224" t="s">
        <v>491</v>
      </c>
      <c r="B49" s="1224" t="s">
        <v>492</v>
      </c>
      <c r="C49" s="1224" t="s">
        <v>493</v>
      </c>
      <c r="D49" s="1224" t="s">
        <v>759</v>
      </c>
      <c r="E49" s="3529"/>
      <c r="F49" s="3529"/>
      <c r="G49" s="3529"/>
      <c r="H49" s="3529"/>
      <c r="I49" s="3530"/>
      <c r="J49" s="1224"/>
      <c r="K49" s="1224"/>
      <c r="L49" s="1225"/>
      <c r="P49" s="3532"/>
      <c r="Q49" s="1308"/>
      <c r="R49" s="265"/>
      <c r="S49" s="1144"/>
      <c r="T49" s="273" t="s">
        <v>674</v>
      </c>
      <c r="U49" s="275"/>
      <c r="V49" s="275"/>
      <c r="W49" s="275"/>
      <c r="X49" s="275"/>
      <c r="Y49" s="275"/>
      <c r="Z49" s="275"/>
      <c r="AA49" s="275"/>
      <c r="AB49" s="274"/>
      <c r="AC49" s="275"/>
      <c r="AD49" s="275"/>
      <c r="AE49" s="275"/>
      <c r="AF49" s="275"/>
      <c r="AG49" s="275"/>
      <c r="AH49" s="275"/>
      <c r="AI49" s="274"/>
      <c r="AJ49" s="275"/>
      <c r="AK49" s="1300"/>
      <c r="AM49" s="398"/>
      <c r="AN49" s="398" t="str">
        <f t="shared" si="1"/>
        <v>Добавить группу потребителей</v>
      </c>
      <c r="AO49" s="398"/>
      <c r="AP49" s="398"/>
    </row>
    <row r="50" spans="1:42" ht="21" customHeight="1">
      <c r="A50" s="1224" t="s">
        <v>491</v>
      </c>
      <c r="B50" s="1224" t="s">
        <v>492</v>
      </c>
      <c r="C50" s="1224" t="s">
        <v>493</v>
      </c>
      <c r="D50" s="1224" t="s">
        <v>759</v>
      </c>
      <c r="E50" s="3529"/>
      <c r="F50" s="3529"/>
      <c r="G50" s="3529"/>
      <c r="H50" s="3528"/>
      <c r="I50" s="1224"/>
      <c r="J50" s="1224"/>
      <c r="K50" s="1224"/>
      <c r="L50" s="1225"/>
      <c r="M50" s="1226"/>
      <c r="N50" s="1226"/>
      <c r="O50" s="434"/>
      <c r="P50" s="269"/>
      <c r="Q50" s="282"/>
      <c r="R50" s="264"/>
      <c r="S50" s="1144"/>
      <c r="T50" s="280" t="s">
        <v>751</v>
      </c>
      <c r="U50" s="275"/>
      <c r="V50" s="275"/>
      <c r="W50" s="275"/>
      <c r="X50" s="275"/>
      <c r="Y50" s="275"/>
      <c r="Z50" s="275"/>
      <c r="AA50" s="275"/>
      <c r="AB50" s="274"/>
      <c r="AC50" s="275"/>
      <c r="AD50" s="275"/>
      <c r="AE50" s="275"/>
      <c r="AF50" s="275"/>
      <c r="AG50" s="275"/>
      <c r="AH50" s="275"/>
      <c r="AI50" s="274"/>
      <c r="AJ50" s="275"/>
      <c r="AK50" s="214"/>
      <c r="AM50" s="398"/>
      <c r="AN50" s="398" t="str">
        <f t="shared" si="1"/>
        <v>Добавить наименование признака дифференциации</v>
      </c>
      <c r="AO50" s="398"/>
      <c r="AP50" s="398"/>
    </row>
    <row r="51" spans="1:42" s="1866" customFormat="1" ht="0" hidden="1" customHeight="1">
      <c r="A51" s="1205" t="s">
        <v>491</v>
      </c>
      <c r="B51" s="1205" t="s">
        <v>492</v>
      </c>
      <c r="C51" s="1177"/>
      <c r="D51" s="1177"/>
      <c r="E51" s="3529"/>
      <c r="F51" s="3528"/>
      <c r="G51" s="1177"/>
      <c r="H51" s="1177"/>
      <c r="I51" s="1177"/>
      <c r="J51" s="1177"/>
      <c r="K51" s="1177"/>
      <c r="L51" s="1316"/>
      <c r="M51" s="1184"/>
      <c r="N51" s="1184"/>
      <c r="P51" s="1179"/>
      <c r="Q51" s="1180"/>
      <c r="R51" s="1179"/>
      <c r="S51" s="1185"/>
      <c r="T51" s="1188" t="s">
        <v>677</v>
      </c>
      <c r="U51" s="1187"/>
      <c r="V51" s="1187"/>
      <c r="W51" s="1187"/>
      <c r="X51" s="1187"/>
      <c r="Y51" s="1187"/>
      <c r="Z51" s="1187"/>
      <c r="AA51" s="1187"/>
      <c r="AB51" s="1187"/>
      <c r="AC51" s="1187"/>
      <c r="AD51" s="1187"/>
      <c r="AE51" s="1187"/>
      <c r="AF51" s="1187"/>
      <c r="AG51" s="1187"/>
      <c r="AH51" s="1187"/>
      <c r="AI51" s="1187"/>
      <c r="AJ51" s="1187"/>
      <c r="AK51" s="1187"/>
      <c r="AM51" s="670"/>
      <c r="AN51" s="670" t="str">
        <f t="shared" si="1"/>
        <v>Добавить централизованную систему для дифференциации</v>
      </c>
      <c r="AO51" s="670"/>
      <c r="AP51" s="670"/>
    </row>
    <row r="52" spans="1:42" s="1866" customFormat="1" ht="0" hidden="1" customHeight="1">
      <c r="A52" s="1205" t="s">
        <v>491</v>
      </c>
      <c r="B52" s="1205"/>
      <c r="C52" s="1205"/>
      <c r="D52" s="1205"/>
      <c r="E52" s="3528"/>
      <c r="F52" s="1205"/>
      <c r="G52" s="1205"/>
      <c r="H52" s="1205"/>
      <c r="I52" s="1205"/>
      <c r="J52" s="1205"/>
      <c r="K52" s="1205"/>
      <c r="L52" s="1208"/>
      <c r="M52" s="1184"/>
      <c r="N52" s="1184"/>
      <c r="O52" s="416"/>
      <c r="P52" s="287"/>
      <c r="Q52" s="1206"/>
      <c r="R52" s="287"/>
      <c r="S52" s="1185"/>
      <c r="T52" s="1188" t="s">
        <v>678</v>
      </c>
      <c r="U52" s="1187"/>
      <c r="V52" s="1187"/>
      <c r="W52" s="1187"/>
      <c r="X52" s="1187"/>
      <c r="Y52" s="1187"/>
      <c r="Z52" s="1187"/>
      <c r="AA52" s="1187"/>
      <c r="AB52" s="1187"/>
      <c r="AC52" s="1187"/>
      <c r="AD52" s="1187"/>
      <c r="AE52" s="1187"/>
      <c r="AF52" s="1187"/>
      <c r="AG52" s="1187"/>
      <c r="AH52" s="1187"/>
      <c r="AI52" s="1187"/>
      <c r="AJ52" s="1187"/>
      <c r="AK52" s="1187"/>
      <c r="AM52" s="398"/>
      <c r="AN52" s="398" t="str">
        <f t="shared" si="1"/>
        <v>Добавить территорию для дифференциации</v>
      </c>
      <c r="AO52" s="398"/>
      <c r="AP52" s="398"/>
    </row>
    <row r="53" spans="1:42" s="1866" customFormat="1" ht="0" hidden="1" customHeight="1">
      <c r="A53" s="1177"/>
      <c r="B53" s="1177"/>
      <c r="C53" s="1177"/>
      <c r="D53" s="1177"/>
      <c r="E53" s="1205"/>
      <c r="F53" s="1177"/>
      <c r="G53" s="1177"/>
      <c r="H53" s="1177"/>
      <c r="I53" s="1177"/>
      <c r="J53" s="1177"/>
      <c r="K53" s="1177"/>
      <c r="L53" s="1316"/>
      <c r="M53" s="1184"/>
      <c r="N53" s="1184"/>
      <c r="P53" s="1179"/>
      <c r="Q53" s="1180"/>
      <c r="R53" s="1179"/>
      <c r="S53" s="1185"/>
      <c r="T53" s="1188" t="s">
        <v>710</v>
      </c>
      <c r="U53" s="1187"/>
      <c r="V53" s="1187"/>
      <c r="W53" s="1187"/>
      <c r="X53" s="1187"/>
      <c r="Y53" s="1187"/>
      <c r="Z53" s="1187"/>
      <c r="AA53" s="1187"/>
      <c r="AB53" s="1187"/>
      <c r="AC53" s="1187"/>
      <c r="AD53" s="1187"/>
      <c r="AE53" s="1187"/>
      <c r="AF53" s="1187"/>
      <c r="AG53" s="1187"/>
      <c r="AH53" s="1187"/>
      <c r="AI53" s="1187"/>
      <c r="AJ53" s="1187"/>
      <c r="AK53" s="1187"/>
      <c r="AM53" s="670"/>
      <c r="AN53" s="670" t="str">
        <f t="shared" si="1"/>
        <v>Добавить наименование тарифа</v>
      </c>
      <c r="AO53" s="670"/>
      <c r="AP53" s="670"/>
    </row>
    <row r="54" spans="1:42" ht="11.25" customHeight="1">
      <c r="M54" s="1023"/>
      <c r="N54" s="1023"/>
      <c r="O54" s="434"/>
      <c r="P54" s="1018"/>
      <c r="Q54" s="1018"/>
      <c r="R54" s="1018"/>
      <c r="S54" s="1018"/>
      <c r="AL54" s="1018"/>
      <c r="AM54" s="1018"/>
      <c r="AN54" s="1018"/>
      <c r="AO54" s="1018"/>
      <c r="AP54" s="1018"/>
    </row>
    <row r="55" spans="1:42" ht="14.25" customHeight="1">
      <c r="O55" s="434"/>
      <c r="S55" s="1119"/>
      <c r="T55" s="3527"/>
      <c r="U55" s="3527"/>
      <c r="V55" s="3527"/>
      <c r="W55" s="3527"/>
      <c r="X55" s="3527"/>
      <c r="Y55" s="3527"/>
      <c r="Z55" s="3527"/>
      <c r="AA55" s="3527"/>
      <c r="AB55" s="3527"/>
      <c r="AC55" s="3527"/>
      <c r="AD55" s="3527"/>
      <c r="AE55" s="3527"/>
      <c r="AF55" s="3527"/>
      <c r="AG55" s="3527"/>
      <c r="AH55" s="3527"/>
      <c r="AI55" s="3527"/>
      <c r="AJ55" s="3527"/>
      <c r="AK55" s="3527"/>
    </row>
    <row r="56" spans="1:42" ht="14.25" customHeight="1">
      <c r="O56" s="434"/>
    </row>
    <row r="57" spans="1:42" ht="14.25" customHeight="1">
      <c r="O57" s="434"/>
      <c r="S57" s="1119"/>
      <c r="T57" s="3527"/>
      <c r="U57" s="3527"/>
      <c r="V57" s="3527"/>
      <c r="W57" s="3527"/>
      <c r="X57" s="3527"/>
      <c r="Y57" s="3527"/>
      <c r="Z57" s="3527"/>
      <c r="AA57" s="3527"/>
      <c r="AB57" s="3527"/>
      <c r="AC57" s="3527"/>
      <c r="AD57" s="3527"/>
      <c r="AE57" s="3527"/>
      <c r="AF57" s="3527"/>
      <c r="AG57" s="3527"/>
      <c r="AH57" s="3527"/>
      <c r="AI57" s="3527"/>
      <c r="AJ57" s="3527"/>
      <c r="AK57" s="3527"/>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037A1-518F-D02D-EE7F-936552D5106E}">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03" hidden="1"/>
    <col min="2" max="2" width="11" style="1903" hidden="1" customWidth="1"/>
    <col min="3" max="3" width="10.5703125" style="1903" hidden="1"/>
    <col min="4" max="4" width="11.85546875" style="1903" hidden="1" customWidth="1"/>
    <col min="5" max="5" width="10" style="1903" hidden="1" customWidth="1"/>
    <col min="6" max="6" width="8.7109375" style="1903" hidden="1" customWidth="1"/>
    <col min="7" max="7" width="7.5703125" style="1903" hidden="1" customWidth="1"/>
    <col min="8" max="8" width="11.42578125" style="1903" hidden="1" customWidth="1"/>
    <col min="9" max="9" width="14.140625" style="1903" hidden="1" customWidth="1"/>
    <col min="10" max="10" width="9.85546875" style="1903" hidden="1" customWidth="1"/>
    <col min="11" max="11" width="14.7109375" style="1903" hidden="1" customWidth="1"/>
    <col min="12" max="12" width="19.140625" style="1953" hidden="1" customWidth="1"/>
    <col min="13" max="14" width="12.28515625" style="1839" hidden="1" customWidth="1"/>
    <col min="15" max="15" width="23.42578125" style="1839" hidden="1" customWidth="1"/>
    <col min="16" max="16" width="3.7109375" style="1957" customWidth="1"/>
    <col min="17" max="18" width="3.7109375" style="1906" customWidth="1"/>
    <col min="19" max="19" width="12.7109375" style="1951" customWidth="1"/>
    <col min="20" max="20" width="35.7109375" style="1910" customWidth="1"/>
    <col min="21" max="21" width="0.140625" style="1910" customWidth="1"/>
    <col min="22" max="24" width="24.7109375" style="1910" hidden="1" customWidth="1"/>
    <col min="25" max="25" width="11.7109375" style="1910" hidden="1" customWidth="1"/>
    <col min="26" max="26" width="3.7109375" style="1910" hidden="1" customWidth="1"/>
    <col min="27" max="27" width="11.7109375" style="1910" hidden="1" customWidth="1"/>
    <col min="28" max="28" width="8.5703125" style="1910" hidden="1" customWidth="1"/>
    <col min="29" max="31" width="24.7109375" style="1910" customWidth="1"/>
    <col min="32" max="32" width="11.7109375" style="1910" customWidth="1"/>
    <col min="33" max="33" width="3.7109375" style="1910" customWidth="1"/>
    <col min="34" max="34" width="11.7109375" style="1910" customWidth="1"/>
    <col min="35" max="35" width="8.5703125" style="1910" hidden="1" customWidth="1"/>
    <col min="36" max="36" width="4.7109375" style="1910" customWidth="1"/>
    <col min="37" max="37" width="115.7109375" style="1910" customWidth="1"/>
    <col min="38" max="39" width="10.5703125" style="1866"/>
    <col min="40" max="40" width="11.140625" style="1866" customWidth="1"/>
    <col min="41" max="42" width="10.5703125" style="1866"/>
  </cols>
  <sheetData>
    <row r="1" spans="1:42" ht="14.25" hidden="1" customHeight="1">
      <c r="X1" s="238"/>
      <c r="Y1" s="238"/>
      <c r="AE1" s="238"/>
      <c r="AF1" s="238"/>
    </row>
    <row r="2" spans="1:42" ht="23.25" hidden="1" customHeight="1">
      <c r="A2" s="1224"/>
      <c r="B2" s="1224"/>
      <c r="C2" s="1224"/>
      <c r="D2" s="1224"/>
      <c r="E2" s="3528">
        <v>1</v>
      </c>
      <c r="F2" s="1224"/>
      <c r="G2" s="1224"/>
      <c r="H2" s="1224"/>
      <c r="I2" s="1224"/>
      <c r="J2" s="1224"/>
      <c r="K2" s="1224"/>
      <c r="L2" s="1225"/>
      <c r="M2" s="1226"/>
      <c r="N2" s="1226"/>
      <c r="O2" s="1226"/>
      <c r="P2" s="270"/>
      <c r="Q2" s="269"/>
      <c r="R2" s="264"/>
      <c r="S2" s="1315" t="e">
        <f>INDEX(PT_DIFFERENTIATION_NUM_NTAR,MATCH(A2,PT_DIFFERENTIATION_NTAR_ID,0))</f>
        <v>#N/A</v>
      </c>
      <c r="T2" s="209" t="s">
        <v>391</v>
      </c>
      <c r="U2" s="211"/>
      <c r="V2" s="3522"/>
      <c r="W2" s="3523"/>
      <c r="X2" s="3523"/>
      <c r="Y2" s="3523"/>
      <c r="Z2" s="3523"/>
      <c r="AA2" s="3523"/>
      <c r="AB2" s="3524"/>
      <c r="AC2" s="3522" t="e">
        <f>INDEX(PT_DIFFERENTIATION_NTAR,MATCH(A2,PT_DIFFERENTIATION_NTAR_ID,0))</f>
        <v>#N/A</v>
      </c>
      <c r="AD2" s="3523"/>
      <c r="AE2" s="3523"/>
      <c r="AF2" s="3523"/>
      <c r="AG2" s="3523"/>
      <c r="AH2" s="3523"/>
      <c r="AI2" s="3523"/>
      <c r="AJ2" s="3524"/>
      <c r="AK2" s="112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398"/>
      <c r="AN2" s="398" t="str">
        <f t="shared" ref="AN2:AN13" si="0">IF(T2="","",T2)</f>
        <v>Наименование тарифа</v>
      </c>
      <c r="AO2" s="398"/>
      <c r="AP2" s="398"/>
    </row>
    <row r="3" spans="1:42" ht="23.25" hidden="1" customHeight="1">
      <c r="A3" s="1224"/>
      <c r="B3" s="1224"/>
      <c r="C3" s="1224"/>
      <c r="D3" s="1224"/>
      <c r="E3" s="3529"/>
      <c r="F3" s="3528">
        <v>1</v>
      </c>
      <c r="G3" s="1224"/>
      <c r="H3" s="1224"/>
      <c r="I3" s="1224"/>
      <c r="J3" s="1224"/>
      <c r="K3" s="1224"/>
      <c r="L3" s="1225"/>
      <c r="M3" s="1226"/>
      <c r="N3" s="1226"/>
      <c r="O3" s="1226"/>
      <c r="P3" s="1311"/>
      <c r="Q3" s="261"/>
      <c r="R3" s="262"/>
      <c r="S3" s="1315" t="e">
        <f>INDEX(PT_DIFFERENTIATION_NUM_TER,MATCH(B3,PT_DIFFERENTIATION_TER_ID,0))</f>
        <v>#N/A</v>
      </c>
      <c r="T3" s="219" t="s">
        <v>659</v>
      </c>
      <c r="U3" s="211"/>
      <c r="V3" s="3522"/>
      <c r="W3" s="3523"/>
      <c r="X3" s="3523"/>
      <c r="Y3" s="3523"/>
      <c r="Z3" s="3523"/>
      <c r="AA3" s="3523"/>
      <c r="AB3" s="3524"/>
      <c r="AC3" s="3522" t="e">
        <f>INDEX(PT_DIFFERENTIATION_TER,MATCH(B3,PT_DIFFERENTIATION_TER_ID,0))</f>
        <v>#N/A</v>
      </c>
      <c r="AD3" s="3523"/>
      <c r="AE3" s="3523"/>
      <c r="AF3" s="3523"/>
      <c r="AG3" s="3523"/>
      <c r="AH3" s="3523"/>
      <c r="AI3" s="3523"/>
      <c r="AJ3" s="3524"/>
      <c r="AK3" s="1124" t="s">
        <v>660</v>
      </c>
      <c r="AM3" s="398"/>
      <c r="AN3" s="398" t="str">
        <f t="shared" si="0"/>
        <v>Территория действия тарифа</v>
      </c>
      <c r="AO3" s="398"/>
      <c r="AP3" s="398"/>
    </row>
    <row r="4" spans="1:42" ht="23.25" hidden="1" customHeight="1">
      <c r="A4" s="1224"/>
      <c r="B4" s="1224"/>
      <c r="C4" s="1224"/>
      <c r="D4" s="1224"/>
      <c r="E4" s="3529"/>
      <c r="F4" s="3529"/>
      <c r="G4" s="3528">
        <v>1</v>
      </c>
      <c r="H4" s="1224"/>
      <c r="I4" s="1224"/>
      <c r="J4" s="1224"/>
      <c r="K4" s="1224"/>
      <c r="L4" s="1225"/>
      <c r="M4" s="1226"/>
      <c r="N4" s="1226"/>
      <c r="O4" s="1226"/>
      <c r="P4" s="263"/>
      <c r="Q4" s="261"/>
      <c r="R4" s="262"/>
      <c r="S4" s="1315" t="e">
        <f>INDEX(PT_DIFFERENTIATION_NUM_CS,MATCH(C4,PT_DIFFERENTIATION_CS_ID,0))</f>
        <v>#N/A</v>
      </c>
      <c r="T4" s="220" t="s">
        <v>744</v>
      </c>
      <c r="U4" s="211"/>
      <c r="V4" s="3522"/>
      <c r="W4" s="3523"/>
      <c r="X4" s="3523"/>
      <c r="Y4" s="3523"/>
      <c r="Z4" s="3523"/>
      <c r="AA4" s="3523"/>
      <c r="AB4" s="3524"/>
      <c r="AC4" s="3522" t="e">
        <f>INDEX(PT_DIFFERENTIATION_CS,MATCH(C4,PT_DIFFERENTIATION_CS_ID,0))</f>
        <v>#N/A</v>
      </c>
      <c r="AD4" s="3523"/>
      <c r="AE4" s="3523"/>
      <c r="AF4" s="3523"/>
      <c r="AG4" s="3523"/>
      <c r="AH4" s="3523"/>
      <c r="AI4" s="3523"/>
      <c r="AJ4" s="3524"/>
      <c r="AK4" s="1124" t="s">
        <v>745</v>
      </c>
      <c r="AM4" s="398"/>
      <c r="AN4" s="398" t="str">
        <f t="shared" si="0"/>
        <v>Наименование централизованной системы холодного водоснабжения</v>
      </c>
      <c r="AO4" s="398"/>
      <c r="AP4" s="398"/>
    </row>
    <row r="5" spans="1:42" ht="23.25" hidden="1" customHeight="1">
      <c r="A5" s="1224"/>
      <c r="B5" s="1224"/>
      <c r="C5" s="1224"/>
      <c r="D5" s="1224"/>
      <c r="E5" s="3529"/>
      <c r="F5" s="3529"/>
      <c r="G5" s="3529"/>
      <c r="H5" s="3529"/>
      <c r="I5" s="3530" t="e">
        <f>S4&amp;".1"</f>
        <v>#N/A</v>
      </c>
      <c r="J5" s="1224"/>
      <c r="K5" s="1224"/>
      <c r="L5" s="1225"/>
      <c r="P5" s="3532">
        <v>1</v>
      </c>
      <c r="Q5" s="1308"/>
      <c r="R5" s="265"/>
      <c r="S5" s="1315" t="e">
        <f>$I5</f>
        <v>#N/A</v>
      </c>
      <c r="T5" s="197" t="s">
        <v>746</v>
      </c>
      <c r="U5" s="211"/>
      <c r="V5" s="3588"/>
      <c r="W5" s="3589"/>
      <c r="X5" s="3589"/>
      <c r="Y5" s="3589"/>
      <c r="Z5" s="3589"/>
      <c r="AA5" s="3589"/>
      <c r="AB5" s="3590"/>
      <c r="AC5" s="3591"/>
      <c r="AD5" s="3592"/>
      <c r="AE5" s="3592"/>
      <c r="AF5" s="3592"/>
      <c r="AG5" s="3592"/>
      <c r="AH5" s="3592"/>
      <c r="AI5" s="3592"/>
      <c r="AJ5" s="3593"/>
      <c r="AK5" s="1124" t="s">
        <v>747</v>
      </c>
      <c r="AM5" s="398"/>
      <c r="AN5" s="398" t="str">
        <f t="shared" si="0"/>
        <v>Наименование признака дифференциации</v>
      </c>
      <c r="AO5" s="398"/>
      <c r="AP5" s="398"/>
    </row>
    <row r="6" spans="1:42" ht="23.25" hidden="1" customHeight="1">
      <c r="A6" s="1224"/>
      <c r="B6" s="1224"/>
      <c r="C6" s="1224"/>
      <c r="D6" s="1224"/>
      <c r="E6" s="3529"/>
      <c r="F6" s="3529"/>
      <c r="G6" s="3529"/>
      <c r="H6" s="3529"/>
      <c r="I6" s="3531"/>
      <c r="J6" s="3530" t="e">
        <f>I5&amp;".1"</f>
        <v>#N/A</v>
      </c>
      <c r="K6" s="1224"/>
      <c r="L6" s="1225" t="s">
        <v>668</v>
      </c>
      <c r="P6" s="3532"/>
      <c r="Q6" s="3532">
        <v>1</v>
      </c>
      <c r="R6" s="266"/>
      <c r="S6" s="1315" t="e">
        <f>$J6</f>
        <v>#N/A</v>
      </c>
      <c r="T6" s="198" t="s">
        <v>669</v>
      </c>
      <c r="U6" s="211"/>
      <c r="V6" s="3516"/>
      <c r="W6" s="3517"/>
      <c r="X6" s="3517"/>
      <c r="Y6" s="3517"/>
      <c r="Z6" s="3517"/>
      <c r="AA6" s="3517"/>
      <c r="AB6" s="3518"/>
      <c r="AC6" s="3516"/>
      <c r="AD6" s="3517"/>
      <c r="AE6" s="3517"/>
      <c r="AF6" s="3517"/>
      <c r="AG6" s="3517"/>
      <c r="AH6" s="3517"/>
      <c r="AI6" s="3517"/>
      <c r="AJ6" s="3518"/>
      <c r="AK6" s="1171" t="s">
        <v>748</v>
      </c>
      <c r="AM6" s="398"/>
      <c r="AN6" s="398" t="str">
        <f t="shared" si="0"/>
        <v>Группа потребителей</v>
      </c>
      <c r="AO6" s="398"/>
      <c r="AP6" s="398"/>
    </row>
    <row r="7" spans="1:42" ht="23.25" hidden="1" customHeight="1">
      <c r="A7" s="1224"/>
      <c r="B7" s="1224"/>
      <c r="C7" s="1224"/>
      <c r="D7" s="1224"/>
      <c r="E7" s="3529"/>
      <c r="F7" s="3529"/>
      <c r="G7" s="3529"/>
      <c r="H7" s="3529"/>
      <c r="I7" s="3531"/>
      <c r="J7" s="3531"/>
      <c r="K7" s="3530" t="e">
        <f>J6&amp;".1"</f>
        <v>#N/A</v>
      </c>
      <c r="L7" s="1225"/>
      <c r="P7" s="3532"/>
      <c r="Q7" s="3532"/>
      <c r="R7" s="266">
        <v>1</v>
      </c>
      <c r="S7" s="1315" t="e">
        <f>$K7</f>
        <v>#N/A</v>
      </c>
      <c r="T7" s="1297"/>
      <c r="U7" s="211"/>
      <c r="V7" s="639"/>
      <c r="W7" s="639"/>
      <c r="X7" s="1123"/>
      <c r="Y7" s="3533"/>
      <c r="Z7" s="3412" t="s">
        <v>64</v>
      </c>
      <c r="AA7" s="3533"/>
      <c r="AB7" s="3412" t="s">
        <v>64</v>
      </c>
      <c r="AC7" s="639"/>
      <c r="AD7" s="639"/>
      <c r="AE7" s="1123"/>
      <c r="AF7" s="3533"/>
      <c r="AG7" s="3412" t="s">
        <v>64</v>
      </c>
      <c r="AH7" s="3535"/>
      <c r="AI7" s="3412" t="s">
        <v>64</v>
      </c>
      <c r="AJ7" s="1298"/>
      <c r="AK7" s="35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09" t="e">
        <f ca="1">STRCHECKDATE(V8:AJ8)</f>
        <v>#NAME?</v>
      </c>
      <c r="AM7" s="398"/>
      <c r="AN7" s="398" t="str">
        <f t="shared" si="0"/>
        <v/>
      </c>
      <c r="AO7" s="398"/>
      <c r="AP7" s="398"/>
    </row>
    <row r="8" spans="1:42" ht="14.25" hidden="1" customHeight="1">
      <c r="A8" s="1224"/>
      <c r="B8" s="1224"/>
      <c r="C8" s="1224"/>
      <c r="D8" s="1224"/>
      <c r="E8" s="3529"/>
      <c r="F8" s="3529"/>
      <c r="G8" s="3529"/>
      <c r="H8" s="3529"/>
      <c r="I8" s="3531"/>
      <c r="J8" s="3531"/>
      <c r="K8" s="3530"/>
      <c r="L8" s="1225"/>
      <c r="P8" s="3532"/>
      <c r="Q8" s="3532"/>
      <c r="R8" s="266"/>
      <c r="S8" s="1314"/>
      <c r="T8" s="211"/>
      <c r="U8" s="211"/>
      <c r="V8" s="236"/>
      <c r="W8" s="236"/>
      <c r="X8" s="239" t="str">
        <f>Y7&amp;"-"&amp;AA7</f>
        <v>-</v>
      </c>
      <c r="Y8" s="3534"/>
      <c r="Z8" s="3412"/>
      <c r="AA8" s="3534"/>
      <c r="AB8" s="3412"/>
      <c r="AC8" s="236"/>
      <c r="AD8" s="236"/>
      <c r="AE8" s="239" t="str">
        <f>AF7&amp;"-"&amp;AH7</f>
        <v>-</v>
      </c>
      <c r="AF8" s="3534"/>
      <c r="AG8" s="3412"/>
      <c r="AH8" s="3536"/>
      <c r="AI8" s="3412"/>
      <c r="AJ8" s="1299"/>
      <c r="AK8" s="3594"/>
      <c r="AM8" s="398"/>
      <c r="AN8" s="398" t="str">
        <f t="shared" si="0"/>
        <v/>
      </c>
      <c r="AO8" s="398"/>
      <c r="AP8" s="398"/>
    </row>
    <row r="9" spans="1:42" ht="21" hidden="1" customHeight="1">
      <c r="A9" s="1224"/>
      <c r="B9" s="1224"/>
      <c r="C9" s="1224"/>
      <c r="D9" s="1224"/>
      <c r="E9" s="3529"/>
      <c r="F9" s="3529"/>
      <c r="G9" s="3529"/>
      <c r="H9" s="3529"/>
      <c r="I9" s="3531"/>
      <c r="J9" s="3530"/>
      <c r="K9" s="1224"/>
      <c r="L9" s="1225"/>
      <c r="P9" s="3532"/>
      <c r="Q9" s="3532"/>
      <c r="R9" s="265"/>
      <c r="S9" s="1144"/>
      <c r="T9" s="199" t="s">
        <v>749</v>
      </c>
      <c r="U9" s="275"/>
      <c r="V9" s="275"/>
      <c r="W9" s="275"/>
      <c r="X9" s="275"/>
      <c r="Y9" s="275"/>
      <c r="Z9" s="275"/>
      <c r="AA9" s="275"/>
      <c r="AB9" s="275"/>
      <c r="AC9" s="275"/>
      <c r="AD9" s="275"/>
      <c r="AE9" s="275"/>
      <c r="AF9" s="275"/>
      <c r="AG9" s="275"/>
      <c r="AH9" s="275"/>
      <c r="AI9" s="275"/>
      <c r="AJ9" s="275"/>
      <c r="AK9" s="1124" t="s">
        <v>750</v>
      </c>
      <c r="AM9" s="398"/>
      <c r="AN9" s="398" t="str">
        <f t="shared" si="0"/>
        <v>Добавить значение признака дифференциации</v>
      </c>
      <c r="AO9" s="398"/>
      <c r="AP9" s="398"/>
    </row>
    <row r="10" spans="1:42" ht="21" hidden="1" customHeight="1">
      <c r="A10" s="1224"/>
      <c r="B10" s="1224"/>
      <c r="C10" s="1224"/>
      <c r="D10" s="1224"/>
      <c r="E10" s="3529"/>
      <c r="F10" s="3529"/>
      <c r="G10" s="3529"/>
      <c r="H10" s="3529"/>
      <c r="I10" s="3530"/>
      <c r="J10" s="1224"/>
      <c r="K10" s="1224"/>
      <c r="L10" s="1225"/>
      <c r="P10" s="3532"/>
      <c r="Q10" s="1308"/>
      <c r="R10" s="265"/>
      <c r="S10" s="1144"/>
      <c r="T10" s="273" t="s">
        <v>674</v>
      </c>
      <c r="U10" s="275"/>
      <c r="V10" s="275"/>
      <c r="W10" s="275"/>
      <c r="X10" s="275"/>
      <c r="Y10" s="275"/>
      <c r="Z10" s="275"/>
      <c r="AA10" s="275"/>
      <c r="AB10" s="274"/>
      <c r="AC10" s="275"/>
      <c r="AD10" s="275"/>
      <c r="AE10" s="275"/>
      <c r="AF10" s="275"/>
      <c r="AG10" s="275"/>
      <c r="AH10" s="275"/>
      <c r="AI10" s="274"/>
      <c r="AJ10" s="275"/>
      <c r="AK10" s="1300"/>
      <c r="AM10" s="398"/>
      <c r="AN10" s="398" t="str">
        <f t="shared" si="0"/>
        <v>Добавить группу потребителей</v>
      </c>
      <c r="AO10" s="398"/>
      <c r="AP10" s="398"/>
    </row>
    <row r="11" spans="1:42" ht="21" hidden="1" customHeight="1">
      <c r="A11" s="1224"/>
      <c r="B11" s="1224"/>
      <c r="C11" s="1224"/>
      <c r="D11" s="1224"/>
      <c r="E11" s="3529"/>
      <c r="F11" s="3529"/>
      <c r="G11" s="3529"/>
      <c r="H11" s="3528"/>
      <c r="I11" s="1224"/>
      <c r="J11" s="1224"/>
      <c r="K11" s="1224"/>
      <c r="L11" s="1225"/>
      <c r="M11" s="1226"/>
      <c r="N11" s="1226"/>
      <c r="O11" s="434"/>
      <c r="P11" s="269"/>
      <c r="Q11" s="282"/>
      <c r="R11" s="264"/>
      <c r="S11" s="1144"/>
      <c r="T11" s="280" t="s">
        <v>751</v>
      </c>
      <c r="U11" s="275"/>
      <c r="V11" s="275"/>
      <c r="W11" s="275"/>
      <c r="X11" s="275"/>
      <c r="Y11" s="275"/>
      <c r="Z11" s="275"/>
      <c r="AA11" s="275"/>
      <c r="AB11" s="274"/>
      <c r="AC11" s="275"/>
      <c r="AD11" s="275"/>
      <c r="AE11" s="275"/>
      <c r="AF11" s="275"/>
      <c r="AG11" s="275"/>
      <c r="AH11" s="275"/>
      <c r="AI11" s="274"/>
      <c r="AJ11" s="275"/>
      <c r="AK11" s="214"/>
      <c r="AM11" s="398"/>
      <c r="AN11" s="398" t="str">
        <f t="shared" si="0"/>
        <v>Добавить наименование признака дифференциации</v>
      </c>
      <c r="AO11" s="398"/>
      <c r="AP11" s="398"/>
    </row>
    <row r="12" spans="1:42" s="1866" customFormat="1" ht="14.25" hidden="1" customHeight="1">
      <c r="A12" s="1205"/>
      <c r="B12" s="1205"/>
      <c r="C12" s="1177"/>
      <c r="D12" s="1177"/>
      <c r="E12" s="3529"/>
      <c r="F12" s="3528"/>
      <c r="G12" s="1177"/>
      <c r="H12" s="1177"/>
      <c r="I12" s="1177"/>
      <c r="J12" s="1177"/>
      <c r="K12" s="1177"/>
      <c r="L12" s="1316"/>
      <c r="M12" s="1184"/>
      <c r="N12" s="1184"/>
      <c r="P12" s="1179"/>
      <c r="Q12" s="1180"/>
      <c r="R12" s="1179"/>
      <c r="S12" s="1185"/>
      <c r="T12" s="1188" t="s">
        <v>677</v>
      </c>
      <c r="U12" s="1187"/>
      <c r="V12" s="1187"/>
      <c r="W12" s="1187"/>
      <c r="X12" s="1187"/>
      <c r="Y12" s="1187"/>
      <c r="Z12" s="1187"/>
      <c r="AA12" s="1187"/>
      <c r="AB12" s="1187"/>
      <c r="AC12" s="1187"/>
      <c r="AD12" s="1187"/>
      <c r="AE12" s="1187"/>
      <c r="AF12" s="1187"/>
      <c r="AG12" s="1187"/>
      <c r="AH12" s="1187"/>
      <c r="AI12" s="1187"/>
      <c r="AJ12" s="1187"/>
      <c r="AK12" s="1187"/>
      <c r="AM12" s="670"/>
      <c r="AN12" s="670" t="str">
        <f t="shared" si="0"/>
        <v>Добавить централизованную систему для дифференциации</v>
      </c>
      <c r="AO12" s="670"/>
      <c r="AP12" s="670"/>
    </row>
    <row r="13" spans="1:42" s="1866" customFormat="1" ht="14.25" hidden="1" customHeight="1">
      <c r="A13" s="1205"/>
      <c r="B13" s="1205"/>
      <c r="C13" s="1205"/>
      <c r="D13" s="1205"/>
      <c r="E13" s="3528"/>
      <c r="F13" s="1205"/>
      <c r="G13" s="1205"/>
      <c r="H13" s="1205"/>
      <c r="I13" s="1205"/>
      <c r="J13" s="1205"/>
      <c r="K13" s="1205"/>
      <c r="L13" s="1208"/>
      <c r="M13" s="1184"/>
      <c r="N13" s="1184"/>
      <c r="O13" s="416"/>
      <c r="P13" s="287"/>
      <c r="Q13" s="1206"/>
      <c r="R13" s="287"/>
      <c r="S13" s="1185"/>
      <c r="T13" s="1188" t="s">
        <v>678</v>
      </c>
      <c r="U13" s="1187"/>
      <c r="V13" s="1187"/>
      <c r="W13" s="1187"/>
      <c r="X13" s="1187"/>
      <c r="Y13" s="1187"/>
      <c r="Z13" s="1187"/>
      <c r="AA13" s="1187"/>
      <c r="AB13" s="1187"/>
      <c r="AC13" s="1187"/>
      <c r="AD13" s="1187"/>
      <c r="AE13" s="1187"/>
      <c r="AF13" s="1187"/>
      <c r="AG13" s="1187"/>
      <c r="AH13" s="1187"/>
      <c r="AI13" s="1187"/>
      <c r="AJ13" s="1187"/>
      <c r="AK13" s="1187"/>
      <c r="AM13" s="398"/>
      <c r="AN13" s="398" t="str">
        <f t="shared" si="0"/>
        <v>Добавить территорию для дифференциации</v>
      </c>
      <c r="AO13" s="398"/>
      <c r="AP13" s="398"/>
    </row>
    <row r="14" spans="1:42" ht="14.25" hidden="1" customHeight="1">
      <c r="AB14" s="238"/>
      <c r="AI14" s="238"/>
    </row>
    <row r="15" spans="1:42" ht="14.25" hidden="1" customHeight="1">
      <c r="AC15" s="1221"/>
      <c r="AD15" s="1221"/>
      <c r="AE15" s="1222"/>
      <c r="AF15" s="3526"/>
      <c r="AG15" s="3525" t="s">
        <v>64</v>
      </c>
      <c r="AH15" s="3526"/>
      <c r="AI15" s="3525" t="s">
        <v>64</v>
      </c>
    </row>
    <row r="16" spans="1:42" ht="14.25" hidden="1" customHeight="1">
      <c r="AC16" s="1221"/>
      <c r="AD16" s="1221"/>
      <c r="AE16" s="239" t="str">
        <f>AF15&amp;"-"&amp;AH15</f>
        <v>-</v>
      </c>
      <c r="AF16" s="3525"/>
      <c r="AG16" s="3525"/>
      <c r="AH16" s="3525"/>
      <c r="AI16" s="3525"/>
    </row>
    <row r="17" spans="1:42" ht="14.25" hidden="1" customHeight="1">
      <c r="AI17" s="238"/>
    </row>
    <row r="18" spans="1:42" s="1903" customFormat="1" ht="22.5" hidden="1" customHeight="1">
      <c r="L18" s="1305"/>
      <c r="M18" s="1223"/>
      <c r="N18" s="1223"/>
      <c r="O18" s="1228" t="s">
        <v>679</v>
      </c>
      <c r="P18" s="1223"/>
      <c r="Q18" s="1232"/>
      <c r="R18" s="1232"/>
      <c r="S18" s="619"/>
      <c r="Y18" s="1228"/>
      <c r="AA18" s="1228"/>
      <c r="AB18" s="1227"/>
      <c r="AF18" s="1228"/>
      <c r="AH18" s="1228"/>
      <c r="AI18" s="1227"/>
      <c r="AL18" s="409"/>
      <c r="AM18" s="409"/>
      <c r="AN18" s="409"/>
      <c r="AO18" s="409"/>
      <c r="AP18" s="409"/>
    </row>
    <row r="19" spans="1:42" s="1903" customFormat="1" ht="14.25" hidden="1" customHeight="1">
      <c r="L19" s="1305"/>
      <c r="M19" s="1223"/>
      <c r="N19" s="1223"/>
      <c r="O19" s="1223"/>
      <c r="P19" s="1223"/>
      <c r="Q19" s="1232"/>
      <c r="R19" s="1232"/>
      <c r="S19" s="619"/>
      <c r="AB19" s="1227"/>
      <c r="AI19" s="1227"/>
      <c r="AL19" s="409"/>
      <c r="AM19" s="409"/>
      <c r="AN19" s="409"/>
      <c r="AO19" s="409"/>
      <c r="AP19" s="409"/>
    </row>
    <row r="20" spans="1:42" s="1903" customFormat="1" ht="12" hidden="1" customHeight="1">
      <c r="L20" s="1305"/>
      <c r="M20" s="1223"/>
      <c r="N20" s="1223"/>
      <c r="O20" s="1225" t="s">
        <v>680</v>
      </c>
      <c r="P20" s="1223"/>
      <c r="Q20" s="1301"/>
      <c r="R20" s="1301"/>
      <c r="S20" s="619"/>
      <c r="T20" s="1023" t="s">
        <v>681</v>
      </c>
      <c r="Z20" s="103" t="s">
        <v>682</v>
      </c>
      <c r="AB20" s="103" t="s">
        <v>683</v>
      </c>
      <c r="AC20" s="1023" t="s">
        <v>681</v>
      </c>
      <c r="AG20" s="103" t="s">
        <v>684</v>
      </c>
      <c r="AI20" s="103" t="s">
        <v>683</v>
      </c>
    </row>
    <row r="21" spans="1:42" ht="14.25" hidden="1" customHeight="1">
      <c r="O21" s="1225"/>
    </row>
    <row r="22" spans="1:42" ht="14.25" hidden="1" customHeight="1">
      <c r="O22" s="1225"/>
    </row>
    <row r="23" spans="1:42" ht="14.25" customHeight="1">
      <c r="Q23" s="283"/>
      <c r="R23" s="283"/>
      <c r="S23" s="1141"/>
      <c r="T23" s="272"/>
      <c r="U23" s="272"/>
      <c r="V23" s="407"/>
      <c r="W23" s="407"/>
      <c r="X23" s="407"/>
      <c r="Y23" s="407"/>
      <c r="Z23" s="407"/>
      <c r="AA23" s="407"/>
      <c r="AB23" s="407"/>
      <c r="AC23" s="407"/>
      <c r="AD23" s="407"/>
      <c r="AE23" s="407"/>
      <c r="AF23" s="407"/>
      <c r="AG23" s="407"/>
      <c r="AH23" s="407"/>
      <c r="AI23" s="407"/>
    </row>
    <row r="24" spans="1:42" ht="14.25" customHeight="1">
      <c r="Q24" s="283"/>
      <c r="R24" s="283"/>
      <c r="S24" s="350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509"/>
      <c r="U24" s="3509"/>
      <c r="V24" s="3509"/>
      <c r="W24" s="3509"/>
      <c r="X24" s="3509"/>
      <c r="Y24" s="3509"/>
      <c r="Z24" s="3509"/>
      <c r="AA24" s="3509"/>
      <c r="AB24" s="3509"/>
      <c r="AC24" s="3509"/>
      <c r="AD24" s="3509"/>
      <c r="AE24" s="3509"/>
      <c r="AF24" s="3509"/>
      <c r="AG24" s="3509"/>
      <c r="AH24" s="3509"/>
      <c r="AI24" s="1109"/>
    </row>
    <row r="25" spans="1:42" ht="14.25" customHeight="1">
      <c r="Q25" s="283"/>
      <c r="R25" s="283"/>
      <c r="S25" s="3480" t="str">
        <f>IF(org=0,"Не определено",org)</f>
        <v>АО "Орелгортеплоэнерго"</v>
      </c>
      <c r="T25" s="3480"/>
      <c r="U25" s="3480"/>
      <c r="V25" s="3480"/>
      <c r="W25" s="3480"/>
      <c r="X25" s="3480"/>
      <c r="Y25" s="3480"/>
      <c r="Z25" s="3480"/>
      <c r="AA25" s="3480"/>
      <c r="AB25" s="3480"/>
      <c r="AC25" s="3480"/>
      <c r="AD25" s="3480"/>
      <c r="AE25" s="3480"/>
      <c r="AF25" s="3480"/>
      <c r="AG25" s="3480"/>
      <c r="AH25" s="3480"/>
      <c r="AI25" s="1109"/>
    </row>
    <row r="26" spans="1:42" ht="14.25" hidden="1" customHeight="1">
      <c r="Q26" s="283"/>
      <c r="R26" s="283"/>
      <c r="S26" s="1141"/>
      <c r="T26" s="272"/>
      <c r="U26" s="272"/>
      <c r="V26" s="233"/>
      <c r="W26" s="233"/>
      <c r="X26" s="233"/>
      <c r="Y26" s="233"/>
      <c r="Z26" s="233"/>
      <c r="AA26" s="233"/>
      <c r="AB26" s="233"/>
      <c r="AC26" s="233"/>
      <c r="AD26" s="233"/>
      <c r="AE26" s="233"/>
      <c r="AF26" s="233"/>
      <c r="AG26" s="233"/>
      <c r="AH26" s="233"/>
      <c r="AI26" s="233"/>
      <c r="AJ26" s="407"/>
    </row>
    <row r="27" spans="1:42" s="1944" customFormat="1" ht="25.5" hidden="1" customHeight="1">
      <c r="A27" s="1229"/>
      <c r="B27" s="1229"/>
      <c r="C27" s="1229"/>
      <c r="D27" s="1229"/>
      <c r="E27" s="1229"/>
      <c r="F27" s="1229"/>
      <c r="G27" s="1229"/>
      <c r="H27" s="1229"/>
      <c r="I27" s="1229"/>
      <c r="J27" s="1229"/>
      <c r="K27" s="1229"/>
      <c r="L27" s="1230"/>
      <c r="M27" s="1229"/>
      <c r="N27" s="1229"/>
      <c r="O27" s="1229"/>
      <c r="S27" s="3519" t="s">
        <v>38</v>
      </c>
      <c r="T27" s="3519"/>
      <c r="U27" s="1233"/>
      <c r="V27" s="3521" t="str">
        <f>IF(TITLE_NAME_OR_PR_CHANGE="",IF(TITLE_NAME_OR_PR="","",TITLE_NAME_OR_PR),TITLE_NAME_OR_PR_CHANGE)</f>
        <v/>
      </c>
      <c r="W27" s="3521"/>
      <c r="X27" s="3521"/>
      <c r="Y27" s="3521"/>
      <c r="Z27" s="3521"/>
      <c r="AA27" s="3521"/>
      <c r="AB27" s="237"/>
      <c r="AC27" s="3521" t="str">
        <f>IF(TITLE_NAME_OR_PR_CHANGE="",IF(TITLE_NAME_OR_PR="","",TITLE_NAME_OR_PR),TITLE_NAME_OR_PR_CHANGE)</f>
        <v/>
      </c>
      <c r="AD27" s="3521"/>
      <c r="AE27" s="3521"/>
      <c r="AF27" s="3521"/>
      <c r="AG27" s="3521"/>
      <c r="AH27" s="3521"/>
      <c r="AI27" s="237"/>
      <c r="AJ27" s="237"/>
      <c r="AK27" s="193"/>
      <c r="AL27" s="276"/>
      <c r="AM27" s="276"/>
      <c r="AN27" s="276"/>
      <c r="AO27" s="276"/>
      <c r="AP27" s="276"/>
    </row>
    <row r="28" spans="1:42" s="1944" customFormat="1" ht="18.75" hidden="1" customHeight="1">
      <c r="A28" s="1229"/>
      <c r="B28" s="1229"/>
      <c r="C28" s="1229"/>
      <c r="D28" s="1229"/>
      <c r="E28" s="1229"/>
      <c r="F28" s="1229"/>
      <c r="G28" s="1229"/>
      <c r="H28" s="1229"/>
      <c r="I28" s="1229"/>
      <c r="J28" s="1229"/>
      <c r="K28" s="1229"/>
      <c r="L28" s="1230"/>
      <c r="M28" s="1229"/>
      <c r="N28" s="1229"/>
      <c r="O28" s="1229"/>
      <c r="S28" s="3519" t="s">
        <v>685</v>
      </c>
      <c r="T28" s="3519"/>
      <c r="U28" s="1233"/>
      <c r="V28" s="3520" t="str">
        <f>IF(TITLE_DATE_PR_CHANGE="",IF(TITLE_DATE_PR="","",TITLE_DATE_PR),TITLE_DATE_PR_CHANGE)</f>
        <v/>
      </c>
      <c r="W28" s="3520"/>
      <c r="X28" s="3520"/>
      <c r="Y28" s="3520"/>
      <c r="Z28" s="3520"/>
      <c r="AA28" s="3520"/>
      <c r="AB28" s="237"/>
      <c r="AC28" s="3520" t="str">
        <f>IF(TITLE_DATE_PR_CHANGE="",IF(TITLE_DATE_PR="","",TITLE_DATE_PR),TITLE_DATE_PR_CHANGE)</f>
        <v/>
      </c>
      <c r="AD28" s="3520"/>
      <c r="AE28" s="3520"/>
      <c r="AF28" s="3520"/>
      <c r="AG28" s="3520"/>
      <c r="AH28" s="3520"/>
      <c r="AI28" s="237"/>
      <c r="AJ28" s="237"/>
      <c r="AK28" s="193"/>
      <c r="AL28" s="276"/>
      <c r="AM28" s="276"/>
      <c r="AN28" s="276"/>
      <c r="AO28" s="276"/>
      <c r="AP28" s="276"/>
    </row>
    <row r="29" spans="1:42" s="1944" customFormat="1" ht="18.75" hidden="1" customHeight="1">
      <c r="A29" s="1229"/>
      <c r="B29" s="1229"/>
      <c r="C29" s="1229"/>
      <c r="D29" s="1229"/>
      <c r="E29" s="1229"/>
      <c r="F29" s="1229"/>
      <c r="G29" s="1229"/>
      <c r="H29" s="1229"/>
      <c r="I29" s="1229"/>
      <c r="J29" s="1229"/>
      <c r="K29" s="1229"/>
      <c r="L29" s="1230"/>
      <c r="M29" s="1229"/>
      <c r="N29" s="1229"/>
      <c r="O29" s="1229"/>
      <c r="S29" s="3519" t="s">
        <v>686</v>
      </c>
      <c r="T29" s="3519"/>
      <c r="U29" s="1233"/>
      <c r="V29" s="3521" t="str">
        <f>IF(TITLE_NUMBER_PR_CHANGE="",IF(TITLE_NUMBER_PR="","",TITLE_NUMBER_PR),TITLE_NUMBER_PR_CHANGE)</f>
        <v/>
      </c>
      <c r="W29" s="3521"/>
      <c r="X29" s="3521"/>
      <c r="Y29" s="3521"/>
      <c r="Z29" s="3521"/>
      <c r="AA29" s="3521"/>
      <c r="AB29" s="237"/>
      <c r="AC29" s="3521" t="str">
        <f>IF(TITLE_NUMBER_PR_CHANGE="",IF(TITLE_NUMBER_PR="","",TITLE_NUMBER_PR),TITLE_NUMBER_PR_CHANGE)</f>
        <v/>
      </c>
      <c r="AD29" s="3521"/>
      <c r="AE29" s="3521"/>
      <c r="AF29" s="3521"/>
      <c r="AG29" s="3521"/>
      <c r="AH29" s="3521"/>
      <c r="AI29" s="237"/>
      <c r="AJ29" s="237"/>
      <c r="AK29" s="193"/>
      <c r="AL29" s="276"/>
      <c r="AM29" s="276"/>
      <c r="AN29" s="276"/>
      <c r="AO29" s="276"/>
      <c r="AP29" s="276"/>
    </row>
    <row r="30" spans="1:42" s="1944" customFormat="1" ht="18.75" hidden="1" customHeight="1">
      <c r="A30" s="1229"/>
      <c r="B30" s="1229"/>
      <c r="C30" s="1229"/>
      <c r="D30" s="1229"/>
      <c r="E30" s="1229"/>
      <c r="F30" s="1229"/>
      <c r="G30" s="1229"/>
      <c r="H30" s="1229"/>
      <c r="I30" s="1229"/>
      <c r="J30" s="1229"/>
      <c r="K30" s="1229"/>
      <c r="L30" s="1230"/>
      <c r="M30" s="1229"/>
      <c r="N30" s="1229"/>
      <c r="O30" s="1229"/>
      <c r="S30" s="3519" t="s">
        <v>39</v>
      </c>
      <c r="T30" s="3519"/>
      <c r="U30" s="1233"/>
      <c r="V30" s="3521" t="str">
        <f>IF(TITLE_IST_PUB_CHANGE="",IF(TITLE_IST_PUB="","",TITLE_IST_PUB),TITLE_IST_PUB_CHANGE)</f>
        <v/>
      </c>
      <c r="W30" s="3521"/>
      <c r="X30" s="3521"/>
      <c r="Y30" s="3521"/>
      <c r="Z30" s="3521"/>
      <c r="AA30" s="3521"/>
      <c r="AB30" s="237"/>
      <c r="AC30" s="3521" t="str">
        <f>IF(TITLE_IST_PUB_CHANGE="",IF(TITLE_IST_PUB="","",TITLE_IST_PUB),TITLE_IST_PUB_CHANGE)</f>
        <v/>
      </c>
      <c r="AD30" s="3521"/>
      <c r="AE30" s="3521"/>
      <c r="AF30" s="3521"/>
      <c r="AG30" s="3521"/>
      <c r="AH30" s="3521"/>
      <c r="AI30" s="237"/>
      <c r="AJ30" s="237"/>
      <c r="AK30" s="193"/>
      <c r="AL30" s="276"/>
      <c r="AM30" s="276"/>
      <c r="AN30" s="276"/>
      <c r="AO30" s="276"/>
      <c r="AP30" s="276"/>
    </row>
    <row r="31" spans="1:42" ht="14.25" hidden="1" customHeight="1">
      <c r="Q31" s="283"/>
      <c r="R31" s="283"/>
      <c r="S31" s="1141"/>
      <c r="T31" s="272"/>
      <c r="U31" s="272"/>
      <c r="V31" s="233"/>
      <c r="W31" s="233"/>
      <c r="X31" s="233"/>
      <c r="Y31" s="233"/>
      <c r="Z31" s="233"/>
      <c r="AA31" s="233"/>
      <c r="AB31" s="233"/>
      <c r="AC31" s="233"/>
      <c r="AD31" s="233"/>
      <c r="AE31" s="233"/>
      <c r="AF31" s="233"/>
      <c r="AG31" s="233"/>
      <c r="AH31" s="233"/>
      <c r="AI31" s="233"/>
      <c r="AJ31" s="407"/>
    </row>
    <row r="32" spans="1:42" s="1944" customFormat="1" ht="18.75" hidden="1" customHeight="1">
      <c r="A32" s="1229"/>
      <c r="B32" s="1229"/>
      <c r="C32" s="1229"/>
      <c r="D32" s="1229"/>
      <c r="E32" s="1229"/>
      <c r="F32" s="1229"/>
      <c r="G32" s="1229"/>
      <c r="H32" s="1229"/>
      <c r="I32" s="1229"/>
      <c r="J32" s="1229"/>
      <c r="K32" s="1229"/>
      <c r="L32" s="1230"/>
      <c r="M32" s="1229"/>
      <c r="N32" s="1229"/>
      <c r="O32" s="1229"/>
      <c r="S32" s="3519" t="s">
        <v>687</v>
      </c>
      <c r="T32" s="3519"/>
      <c r="U32" s="1233"/>
      <c r="V32" s="3520" t="str">
        <f>IF(TITLE_DATE_PR_CHANGE="",IF(TITLE_DATE_PR="","",TITLE_DATE_PR),TITLE_DATE_PR_CHANGE)</f>
        <v/>
      </c>
      <c r="W32" s="3520"/>
      <c r="X32" s="3520"/>
      <c r="Y32" s="3520"/>
      <c r="Z32" s="3520"/>
      <c r="AA32" s="3520"/>
      <c r="AB32" s="237"/>
      <c r="AC32" s="3520" t="str">
        <f>IF(TITLE_DATE_PR_CHANGE="",IF(TITLE_DATE_PR="","",TITLE_DATE_PR),TITLE_DATE_PR_CHANGE)</f>
        <v/>
      </c>
      <c r="AD32" s="3520"/>
      <c r="AE32" s="3520"/>
      <c r="AF32" s="3520"/>
      <c r="AG32" s="3520"/>
      <c r="AH32" s="3520"/>
      <c r="AI32" s="237"/>
      <c r="AJ32" s="237"/>
      <c r="AK32" s="193"/>
      <c r="AL32" s="276"/>
      <c r="AM32" s="276"/>
      <c r="AN32" s="276"/>
      <c r="AO32" s="276"/>
      <c r="AP32" s="276"/>
    </row>
    <row r="33" spans="1:42" s="1944" customFormat="1" ht="18.75" hidden="1" customHeight="1">
      <c r="A33" s="1229"/>
      <c r="B33" s="1229"/>
      <c r="C33" s="1229"/>
      <c r="D33" s="1229"/>
      <c r="E33" s="1229"/>
      <c r="F33" s="1229"/>
      <c r="G33" s="1229"/>
      <c r="H33" s="1229"/>
      <c r="I33" s="1229"/>
      <c r="J33" s="1229"/>
      <c r="K33" s="1229"/>
      <c r="L33" s="1230"/>
      <c r="M33" s="1229"/>
      <c r="N33" s="1229"/>
      <c r="O33" s="1229"/>
      <c r="S33" s="3519" t="s">
        <v>688</v>
      </c>
      <c r="T33" s="3519"/>
      <c r="U33" s="1233"/>
      <c r="V33" s="3521" t="str">
        <f>IF(TITLE_NUMBER_PR_CHANGE="",IF(TITLE_NUMBER_PR="","",TITLE_NUMBER_PR),TITLE_NUMBER_PR_CHANGE)</f>
        <v/>
      </c>
      <c r="W33" s="3521"/>
      <c r="X33" s="3521"/>
      <c r="Y33" s="3521"/>
      <c r="Z33" s="3521"/>
      <c r="AA33" s="3521"/>
      <c r="AB33" s="237"/>
      <c r="AC33" s="3521" t="str">
        <f>IF(TITLE_NUMBER_PR_CHANGE="",IF(TITLE_NUMBER_PR="","",TITLE_NUMBER_PR),TITLE_NUMBER_PR_CHANGE)</f>
        <v/>
      </c>
      <c r="AD33" s="3521"/>
      <c r="AE33" s="3521"/>
      <c r="AF33" s="3521"/>
      <c r="AG33" s="3521"/>
      <c r="AH33" s="3521"/>
      <c r="AI33" s="237"/>
      <c r="AJ33" s="237"/>
      <c r="AK33" s="193"/>
      <c r="AL33" s="276"/>
      <c r="AM33" s="276"/>
      <c r="AN33" s="276"/>
      <c r="AO33" s="276"/>
      <c r="AP33" s="276"/>
    </row>
    <row r="34" spans="1:42" s="1944" customFormat="1" ht="0.75" customHeight="1">
      <c r="A34" s="1229"/>
      <c r="B34" s="1229"/>
      <c r="C34" s="1229"/>
      <c r="D34" s="1229"/>
      <c r="E34" s="1229"/>
      <c r="F34" s="1229"/>
      <c r="G34" s="1229"/>
      <c r="H34" s="1229"/>
      <c r="I34" s="1229"/>
      <c r="J34" s="1229"/>
      <c r="K34" s="1229"/>
      <c r="L34" s="1230"/>
      <c r="M34" s="1229"/>
      <c r="N34" s="1229"/>
      <c r="O34" s="1229"/>
      <c r="S34" s="234"/>
      <c r="T34" s="234"/>
      <c r="U34" s="1312"/>
      <c r="V34" s="237"/>
      <c r="W34" s="237"/>
      <c r="X34" s="237"/>
      <c r="Y34" s="237"/>
      <c r="Z34" s="237"/>
      <c r="AA34" s="237"/>
      <c r="AB34" s="191" t="s">
        <v>689</v>
      </c>
      <c r="AC34" s="237"/>
      <c r="AD34" s="237"/>
      <c r="AE34" s="237"/>
      <c r="AF34" s="237"/>
      <c r="AG34" s="237"/>
      <c r="AH34" s="237"/>
      <c r="AI34" s="191" t="s">
        <v>689</v>
      </c>
      <c r="AL34" s="276"/>
      <c r="AM34" s="276"/>
      <c r="AN34" s="276"/>
      <c r="AO34" s="276"/>
      <c r="AP34" s="276"/>
    </row>
    <row r="35" spans="1:42" ht="14.25" customHeight="1">
      <c r="Q35" s="283"/>
      <c r="R35" s="283"/>
      <c r="S35" s="1141"/>
      <c r="T35" s="272"/>
      <c r="U35" s="1110"/>
      <c r="V35" s="3540"/>
      <c r="W35" s="3540"/>
      <c r="X35" s="3540"/>
      <c r="Y35" s="3540"/>
      <c r="Z35" s="3540"/>
      <c r="AA35" s="3540"/>
      <c r="AB35" s="3540"/>
      <c r="AC35" s="3540"/>
      <c r="AD35" s="3540"/>
      <c r="AE35" s="3540"/>
      <c r="AF35" s="3540"/>
      <c r="AG35" s="3540"/>
      <c r="AH35" s="3540"/>
      <c r="AI35" s="3540"/>
    </row>
    <row r="36" spans="1:42" ht="14.25" customHeight="1">
      <c r="Q36" s="283"/>
      <c r="R36" s="283"/>
      <c r="S36" s="3401" t="s">
        <v>560</v>
      </c>
      <c r="T36" s="3401"/>
      <c r="U36" s="3401"/>
      <c r="V36" s="3401"/>
      <c r="W36" s="3401"/>
      <c r="X36" s="3401"/>
      <c r="Y36" s="3401"/>
      <c r="Z36" s="3401"/>
      <c r="AA36" s="3401"/>
      <c r="AB36" s="3401"/>
      <c r="AC36" s="3401"/>
      <c r="AD36" s="3401"/>
      <c r="AE36" s="3401"/>
      <c r="AF36" s="3401"/>
      <c r="AG36" s="3401"/>
      <c r="AH36" s="3401"/>
      <c r="AI36" s="3401"/>
      <c r="AJ36" s="3401"/>
      <c r="AK36" s="3401" t="s">
        <v>561</v>
      </c>
    </row>
    <row r="37" spans="1:42" ht="14.25" customHeight="1">
      <c r="Q37" s="283"/>
      <c r="R37" s="283"/>
      <c r="S37" s="3541" t="s">
        <v>85</v>
      </c>
      <c r="T37" s="3489" t="s">
        <v>690</v>
      </c>
      <c r="U37" s="212"/>
      <c r="V37" s="3542" t="s">
        <v>691</v>
      </c>
      <c r="W37" s="3543"/>
      <c r="X37" s="3543"/>
      <c r="Y37" s="3543"/>
      <c r="Z37" s="3543"/>
      <c r="AA37" s="3544"/>
      <c r="AB37" s="3545" t="s">
        <v>692</v>
      </c>
      <c r="AC37" s="3542" t="s">
        <v>691</v>
      </c>
      <c r="AD37" s="3543"/>
      <c r="AE37" s="3543"/>
      <c r="AF37" s="3543"/>
      <c r="AG37" s="3543"/>
      <c r="AH37" s="3544"/>
      <c r="AI37" s="3545" t="s">
        <v>693</v>
      </c>
      <c r="AJ37" s="3548" t="s">
        <v>694</v>
      </c>
      <c r="AK37" s="3401"/>
    </row>
    <row r="38" spans="1:42" ht="33.75" customHeight="1">
      <c r="Q38" s="283"/>
      <c r="R38" s="283"/>
      <c r="S38" s="3541"/>
      <c r="T38" s="3489"/>
      <c r="U38" s="901"/>
      <c r="V38" s="1310" t="s">
        <v>752</v>
      </c>
      <c r="W38" s="3383" t="s">
        <v>697</v>
      </c>
      <c r="X38" s="3382"/>
      <c r="Y38" s="3383" t="s">
        <v>698</v>
      </c>
      <c r="Z38" s="3388"/>
      <c r="AA38" s="3382"/>
      <c r="AB38" s="3546"/>
      <c r="AC38" s="1310" t="s">
        <v>752</v>
      </c>
      <c r="AD38" s="3383" t="s">
        <v>697</v>
      </c>
      <c r="AE38" s="3382"/>
      <c r="AF38" s="3383" t="s">
        <v>698</v>
      </c>
      <c r="AG38" s="3388"/>
      <c r="AH38" s="3382"/>
      <c r="AI38" s="3546"/>
      <c r="AJ38" s="3549"/>
      <c r="AK38" s="3401"/>
    </row>
    <row r="39" spans="1:42" ht="33.75" customHeight="1">
      <c r="A39" s="1231"/>
      <c r="B39" s="1231" t="s">
        <v>403</v>
      </c>
      <c r="C39" s="1231" t="s">
        <v>404</v>
      </c>
      <c r="D39" s="1231" t="s">
        <v>405</v>
      </c>
      <c r="E39" s="1225" t="s">
        <v>699</v>
      </c>
      <c r="F39" s="1225" t="s">
        <v>700</v>
      </c>
      <c r="G39" s="1225" t="s">
        <v>701</v>
      </c>
      <c r="H39" s="1225"/>
      <c r="I39" s="1225" t="s">
        <v>753</v>
      </c>
      <c r="J39" s="1225" t="s">
        <v>704</v>
      </c>
      <c r="K39" s="1225" t="s">
        <v>754</v>
      </c>
      <c r="L39" s="1225" t="s">
        <v>680</v>
      </c>
      <c r="Q39" s="283"/>
      <c r="R39" s="283"/>
      <c r="S39" s="3541"/>
      <c r="T39" s="3489"/>
      <c r="U39" s="213"/>
      <c r="V39" s="1310" t="s">
        <v>755</v>
      </c>
      <c r="W39" s="1088" t="s">
        <v>756</v>
      </c>
      <c r="X39" s="1088" t="s">
        <v>757</v>
      </c>
      <c r="Y39" s="1313" t="s">
        <v>708</v>
      </c>
      <c r="Z39" s="3494" t="s">
        <v>709</v>
      </c>
      <c r="AA39" s="3508"/>
      <c r="AB39" s="3547"/>
      <c r="AC39" s="1310" t="s">
        <v>755</v>
      </c>
      <c r="AD39" s="1088" t="s">
        <v>756</v>
      </c>
      <c r="AE39" s="1088" t="s">
        <v>757</v>
      </c>
      <c r="AF39" s="1313" t="s">
        <v>708</v>
      </c>
      <c r="AG39" s="3494" t="s">
        <v>709</v>
      </c>
      <c r="AH39" s="3508"/>
      <c r="AI39" s="3547"/>
      <c r="AJ39" s="3550"/>
      <c r="AK39" s="3401"/>
    </row>
    <row r="40" spans="1:42" s="1838" customFormat="1" ht="0" hidden="1" customHeight="1">
      <c r="A40" s="1231"/>
      <c r="B40" s="1231"/>
      <c r="C40" s="1231"/>
      <c r="D40" s="1231"/>
      <c r="E40" s="1231"/>
      <c r="F40" s="1231"/>
      <c r="G40" s="1231"/>
      <c r="H40" s="1231"/>
      <c r="I40" s="1231"/>
      <c r="J40" s="1231"/>
      <c r="K40" s="1231"/>
      <c r="L40" s="1225"/>
      <c r="M40" s="1223"/>
      <c r="N40" s="1223"/>
      <c r="O40" s="1223"/>
      <c r="P40" s="1112"/>
      <c r="Q40" s="1113"/>
      <c r="R40" s="1120">
        <v>1</v>
      </c>
      <c r="S40" s="1143" t="s">
        <v>106</v>
      </c>
      <c r="T40" s="1121" t="s">
        <v>107</v>
      </c>
      <c r="U40" s="1111" t="str">
        <f ca="1">OFFSET(U40,0,-1)</f>
        <v>2</v>
      </c>
      <c r="V40" s="1309">
        <f ca="1">OFFSET(V40,0,-1)+1</f>
        <v>3</v>
      </c>
      <c r="W40" s="1309">
        <f ca="1">OFFSET(W40,0,-1)+1</f>
        <v>4</v>
      </c>
      <c r="X40" s="1309">
        <f ca="1">OFFSET(X40,0,-1)+1</f>
        <v>5</v>
      </c>
      <c r="Y40" s="1309">
        <f ca="1">OFFSET(Y40,0,-1)+1</f>
        <v>6</v>
      </c>
      <c r="Z40" s="3539">
        <f ca="1">OFFSET(Z40,0,-1)+1</f>
        <v>7</v>
      </c>
      <c r="AA40" s="3539"/>
      <c r="AB40" s="1309">
        <f ca="1">OFFSET(AB40,0,-2)+1</f>
        <v>8</v>
      </c>
      <c r="AC40" s="1309">
        <f ca="1">OFFSET(AC40,0,-1)+1</f>
        <v>9</v>
      </c>
      <c r="AD40" s="1309">
        <f ca="1">OFFSET(AD40,0,-1)+1</f>
        <v>10</v>
      </c>
      <c r="AE40" s="1309">
        <f ca="1">OFFSET(AE40,0,-1)+1</f>
        <v>11</v>
      </c>
      <c r="AF40" s="1309">
        <f ca="1">OFFSET(AF40,0,-1)+1</f>
        <v>12</v>
      </c>
      <c r="AG40" s="3539">
        <f ca="1">OFFSET(AG40,0,-1)+1</f>
        <v>13</v>
      </c>
      <c r="AH40" s="3539"/>
      <c r="AI40" s="1309">
        <f ca="1">OFFSET(AI40,0,-2)+1</f>
        <v>14</v>
      </c>
      <c r="AJ40" s="1111">
        <f ca="1">OFFSET(AJ40,0,-1)</f>
        <v>14</v>
      </c>
      <c r="AK40" s="1309">
        <f ca="1">OFFSET(AK40,0,-1)+1</f>
        <v>15</v>
      </c>
      <c r="AL40" s="409"/>
      <c r="AM40" s="409"/>
      <c r="AN40" s="409"/>
      <c r="AO40" s="409"/>
      <c r="AP40" s="409"/>
    </row>
    <row r="41" spans="1:42" ht="23.25" customHeight="1">
      <c r="A41" s="1224" t="s">
        <v>496</v>
      </c>
      <c r="B41" s="1224"/>
      <c r="C41" s="1224"/>
      <c r="D41" s="1224"/>
      <c r="E41" s="3528">
        <v>1</v>
      </c>
      <c r="F41" s="1224"/>
      <c r="G41" s="1224"/>
      <c r="H41" s="1224"/>
      <c r="I41" s="1224"/>
      <c r="J41" s="1224"/>
      <c r="K41" s="1224"/>
      <c r="L41" s="1225"/>
      <c r="M41" s="1226"/>
      <c r="N41" s="1226"/>
      <c r="O41" s="1226"/>
      <c r="P41" s="270"/>
      <c r="Q41" s="269"/>
      <c r="R41" s="264"/>
      <c r="S41" s="1315">
        <f>INDEX(PT_DIFFERENTIATION_NUM_NTAR,MATCH(A41,PT_DIFFERENTIATION_NTAR_ID,0))</f>
        <v>0</v>
      </c>
      <c r="T41" s="209" t="s">
        <v>391</v>
      </c>
      <c r="U41" s="211"/>
      <c r="V41" s="3522"/>
      <c r="W41" s="3523"/>
      <c r="X41" s="3523"/>
      <c r="Y41" s="3523"/>
      <c r="Z41" s="3523"/>
      <c r="AA41" s="3523"/>
      <c r="AB41" s="3524"/>
      <c r="AC41" s="3522" t="str">
        <f>INDEX(PT_DIFFERENTIATION_NTAR,MATCH(A41,PT_DIFFERENTIATION_NTAR_ID,0))</f>
        <v/>
      </c>
      <c r="AD41" s="3523"/>
      <c r="AE41" s="3523"/>
      <c r="AF41" s="3523"/>
      <c r="AG41" s="3523"/>
      <c r="AH41" s="3523"/>
      <c r="AI41" s="3523"/>
      <c r="AJ41" s="3524"/>
      <c r="AK41" s="112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398"/>
      <c r="AN41" s="398" t="str">
        <f t="shared" ref="AN41:AN53" si="1">IF(T41="","",T41)</f>
        <v>Наименование тарифа</v>
      </c>
      <c r="AO41" s="398"/>
      <c r="AP41" s="398"/>
    </row>
    <row r="42" spans="1:42" ht="23.25" customHeight="1">
      <c r="A42" s="1224" t="s">
        <v>496</v>
      </c>
      <c r="B42" s="1224" t="s">
        <v>497</v>
      </c>
      <c r="C42" s="1224"/>
      <c r="D42" s="1224"/>
      <c r="E42" s="3529"/>
      <c r="F42" s="3528">
        <v>1</v>
      </c>
      <c r="G42" s="1224"/>
      <c r="H42" s="1224"/>
      <c r="I42" s="1224"/>
      <c r="J42" s="1224"/>
      <c r="K42" s="1224"/>
      <c r="L42" s="1225"/>
      <c r="M42" s="1226"/>
      <c r="N42" s="1226"/>
      <c r="O42" s="1226"/>
      <c r="P42" s="1311"/>
      <c r="Q42" s="261"/>
      <c r="R42" s="262"/>
      <c r="S42" s="1315" t="str">
        <f>INDEX(PT_DIFFERENTIATION_NUM_TER,MATCH(B42,PT_DIFFERENTIATION_TER_ID,0))</f>
        <v>.</v>
      </c>
      <c r="T42" s="219" t="s">
        <v>659</v>
      </c>
      <c r="U42" s="211"/>
      <c r="V42" s="3522"/>
      <c r="W42" s="3523"/>
      <c r="X42" s="3523"/>
      <c r="Y42" s="3523"/>
      <c r="Z42" s="3523"/>
      <c r="AA42" s="3523"/>
      <c r="AB42" s="3524"/>
      <c r="AC42" s="3522" t="str">
        <f>INDEX(PT_DIFFERENTIATION_TER,MATCH(B42,PT_DIFFERENTIATION_TER_ID,0))</f>
        <v/>
      </c>
      <c r="AD42" s="3523"/>
      <c r="AE42" s="3523"/>
      <c r="AF42" s="3523"/>
      <c r="AG42" s="3523"/>
      <c r="AH42" s="3523"/>
      <c r="AI42" s="3523"/>
      <c r="AJ42" s="3524"/>
      <c r="AK42" s="1124" t="s">
        <v>660</v>
      </c>
      <c r="AM42" s="398"/>
      <c r="AN42" s="398" t="str">
        <f t="shared" si="1"/>
        <v>Территория действия тарифа</v>
      </c>
      <c r="AO42" s="398"/>
      <c r="AP42" s="398"/>
    </row>
    <row r="43" spans="1:42" ht="23.25" customHeight="1">
      <c r="A43" s="1224" t="s">
        <v>496</v>
      </c>
      <c r="B43" s="1224" t="s">
        <v>497</v>
      </c>
      <c r="C43" s="1224" t="s">
        <v>498</v>
      </c>
      <c r="D43" s="1224"/>
      <c r="E43" s="3529"/>
      <c r="F43" s="3529"/>
      <c r="G43" s="3528">
        <v>1</v>
      </c>
      <c r="H43" s="1224"/>
      <c r="I43" s="1224"/>
      <c r="J43" s="1224"/>
      <c r="K43" s="1224"/>
      <c r="L43" s="1225"/>
      <c r="M43" s="1226"/>
      <c r="N43" s="1226"/>
      <c r="O43" s="1226"/>
      <c r="P43" s="263"/>
      <c r="Q43" s="261"/>
      <c r="R43" s="262"/>
      <c r="S43" s="1315" t="str">
        <f>INDEX(PT_DIFFERENTIATION_NUM_CS,MATCH(C43,PT_DIFFERENTIATION_CS_ID,0))</f>
        <v>..</v>
      </c>
      <c r="T43" s="220" t="s">
        <v>744</v>
      </c>
      <c r="U43" s="211"/>
      <c r="V43" s="3522"/>
      <c r="W43" s="3523"/>
      <c r="X43" s="3523"/>
      <c r="Y43" s="3523"/>
      <c r="Z43" s="3523"/>
      <c r="AA43" s="3523"/>
      <c r="AB43" s="3524"/>
      <c r="AC43" s="3522" t="str">
        <f>INDEX(PT_DIFFERENTIATION_CS,MATCH(C43,PT_DIFFERENTIATION_CS_ID,0))</f>
        <v/>
      </c>
      <c r="AD43" s="3523"/>
      <c r="AE43" s="3523"/>
      <c r="AF43" s="3523"/>
      <c r="AG43" s="3523"/>
      <c r="AH43" s="3523"/>
      <c r="AI43" s="3523"/>
      <c r="AJ43" s="3524"/>
      <c r="AK43" s="1124" t="s">
        <v>745</v>
      </c>
      <c r="AM43" s="398"/>
      <c r="AN43" s="398" t="str">
        <f t="shared" si="1"/>
        <v>Наименование централизованной системы холодного водоснабжения</v>
      </c>
      <c r="AO43" s="398"/>
      <c r="AP43" s="398"/>
    </row>
    <row r="44" spans="1:42" ht="23.25" customHeight="1">
      <c r="A44" s="1224" t="s">
        <v>496</v>
      </c>
      <c r="B44" s="1224" t="s">
        <v>497</v>
      </c>
      <c r="C44" s="1224" t="s">
        <v>498</v>
      </c>
      <c r="D44" s="1224" t="s">
        <v>760</v>
      </c>
      <c r="E44" s="3529"/>
      <c r="F44" s="3529"/>
      <c r="G44" s="3529"/>
      <c r="H44" s="3529"/>
      <c r="I44" s="3530" t="str">
        <f>S43&amp;".1"</f>
        <v>...1</v>
      </c>
      <c r="J44" s="1224"/>
      <c r="K44" s="1224"/>
      <c r="L44" s="1225"/>
      <c r="P44" s="3532">
        <v>1</v>
      </c>
      <c r="Q44" s="1308"/>
      <c r="R44" s="265"/>
      <c r="S44" s="1315" t="str">
        <f>$I44</f>
        <v>...1</v>
      </c>
      <c r="T44" s="197" t="s">
        <v>746</v>
      </c>
      <c r="U44" s="211"/>
      <c r="V44" s="3588"/>
      <c r="W44" s="3589"/>
      <c r="X44" s="3589"/>
      <c r="Y44" s="3589"/>
      <c r="Z44" s="3589"/>
      <c r="AA44" s="3589"/>
      <c r="AB44" s="3590"/>
      <c r="AC44" s="3591"/>
      <c r="AD44" s="3592"/>
      <c r="AE44" s="3592"/>
      <c r="AF44" s="3592"/>
      <c r="AG44" s="3592"/>
      <c r="AH44" s="3592"/>
      <c r="AI44" s="3592"/>
      <c r="AJ44" s="3593"/>
      <c r="AK44" s="1124" t="s">
        <v>747</v>
      </c>
      <c r="AM44" s="398"/>
      <c r="AN44" s="398" t="str">
        <f t="shared" si="1"/>
        <v>Наименование признака дифференциации</v>
      </c>
      <c r="AO44" s="398"/>
      <c r="AP44" s="398"/>
    </row>
    <row r="45" spans="1:42" ht="23.25" customHeight="1">
      <c r="A45" s="1224" t="s">
        <v>496</v>
      </c>
      <c r="B45" s="1224" t="s">
        <v>497</v>
      </c>
      <c r="C45" s="1224" t="s">
        <v>498</v>
      </c>
      <c r="D45" s="1224" t="s">
        <v>760</v>
      </c>
      <c r="E45" s="3529"/>
      <c r="F45" s="3529"/>
      <c r="G45" s="3529"/>
      <c r="H45" s="3529"/>
      <c r="I45" s="3531"/>
      <c r="J45" s="3530" t="str">
        <f>I44&amp;".1"</f>
        <v>...1.1</v>
      </c>
      <c r="K45" s="1224"/>
      <c r="L45" s="1225" t="s">
        <v>668</v>
      </c>
      <c r="P45" s="3532"/>
      <c r="Q45" s="3532">
        <v>1</v>
      </c>
      <c r="R45" s="266"/>
      <c r="S45" s="1315" t="str">
        <f>$J45</f>
        <v>...1.1</v>
      </c>
      <c r="T45" s="198" t="s">
        <v>669</v>
      </c>
      <c r="U45" s="211"/>
      <c r="V45" s="3516"/>
      <c r="W45" s="3517"/>
      <c r="X45" s="3517"/>
      <c r="Y45" s="3517"/>
      <c r="Z45" s="3517"/>
      <c r="AA45" s="3517"/>
      <c r="AB45" s="3518"/>
      <c r="AC45" s="3516"/>
      <c r="AD45" s="3517"/>
      <c r="AE45" s="3517"/>
      <c r="AF45" s="3517"/>
      <c r="AG45" s="3517"/>
      <c r="AH45" s="3517"/>
      <c r="AI45" s="3517"/>
      <c r="AJ45" s="3518"/>
      <c r="AK45" s="1171" t="s">
        <v>748</v>
      </c>
      <c r="AM45" s="398"/>
      <c r="AN45" s="398" t="str">
        <f t="shared" si="1"/>
        <v>Группа потребителей</v>
      </c>
      <c r="AO45" s="398"/>
      <c r="AP45" s="398"/>
    </row>
    <row r="46" spans="1:42" ht="23.25" customHeight="1">
      <c r="A46" s="1224" t="s">
        <v>496</v>
      </c>
      <c r="B46" s="1224" t="s">
        <v>497</v>
      </c>
      <c r="C46" s="1224" t="s">
        <v>498</v>
      </c>
      <c r="D46" s="1224" t="s">
        <v>760</v>
      </c>
      <c r="E46" s="3529"/>
      <c r="F46" s="3529"/>
      <c r="G46" s="3529"/>
      <c r="H46" s="3529"/>
      <c r="I46" s="3531"/>
      <c r="J46" s="3531"/>
      <c r="K46" s="3530" t="str">
        <f>J45&amp;".1"</f>
        <v>...1.1.1</v>
      </c>
      <c r="L46" s="1225"/>
      <c r="P46" s="3532"/>
      <c r="Q46" s="3532"/>
      <c r="R46" s="266">
        <v>1</v>
      </c>
      <c r="S46" s="1315" t="str">
        <f>$K46</f>
        <v>...1.1.1</v>
      </c>
      <c r="T46" s="1297"/>
      <c r="U46" s="211"/>
      <c r="V46" s="639"/>
      <c r="W46" s="639"/>
      <c r="X46" s="1123"/>
      <c r="Y46" s="3533"/>
      <c r="Z46" s="3412" t="s">
        <v>64</v>
      </c>
      <c r="AA46" s="3533"/>
      <c r="AB46" s="3412" t="s">
        <v>64</v>
      </c>
      <c r="AC46" s="639"/>
      <c r="AD46" s="639"/>
      <c r="AE46" s="1123"/>
      <c r="AF46" s="3533"/>
      <c r="AG46" s="3412" t="s">
        <v>64</v>
      </c>
      <c r="AH46" s="3535"/>
      <c r="AI46" s="3412" t="s">
        <v>64</v>
      </c>
      <c r="AJ46" s="1298"/>
      <c r="AK46" s="35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09" t="e">
        <f ca="1">STRCHECKDATE(V47:AJ47)</f>
        <v>#NAME?</v>
      </c>
      <c r="AM46" s="398"/>
      <c r="AN46" s="398" t="str">
        <f t="shared" si="1"/>
        <v/>
      </c>
      <c r="AO46" s="398"/>
      <c r="AP46" s="398"/>
    </row>
    <row r="47" spans="1:42" ht="0" hidden="1" customHeight="1">
      <c r="A47" s="1224" t="s">
        <v>496</v>
      </c>
      <c r="B47" s="1224" t="s">
        <v>497</v>
      </c>
      <c r="C47" s="1224" t="s">
        <v>498</v>
      </c>
      <c r="D47" s="1224" t="s">
        <v>760</v>
      </c>
      <c r="E47" s="3529"/>
      <c r="F47" s="3529"/>
      <c r="G47" s="3529"/>
      <c r="H47" s="3529"/>
      <c r="I47" s="3531"/>
      <c r="J47" s="3531"/>
      <c r="K47" s="3530"/>
      <c r="L47" s="1225"/>
      <c r="P47" s="3532"/>
      <c r="Q47" s="3532"/>
      <c r="R47" s="266"/>
      <c r="S47" s="1314"/>
      <c r="T47" s="211"/>
      <c r="U47" s="211"/>
      <c r="V47" s="236"/>
      <c r="W47" s="236"/>
      <c r="X47" s="239" t="str">
        <f>Y46&amp;"-"&amp;AA46</f>
        <v>-</v>
      </c>
      <c r="Y47" s="3534"/>
      <c r="Z47" s="3412"/>
      <c r="AA47" s="3534"/>
      <c r="AB47" s="3412"/>
      <c r="AC47" s="236"/>
      <c r="AD47" s="236"/>
      <c r="AE47" s="239" t="str">
        <f>AF46&amp;"-"&amp;AH46</f>
        <v>-</v>
      </c>
      <c r="AF47" s="3534"/>
      <c r="AG47" s="3412"/>
      <c r="AH47" s="3536"/>
      <c r="AI47" s="3412"/>
      <c r="AJ47" s="1299"/>
      <c r="AK47" s="3594"/>
      <c r="AM47" s="398"/>
      <c r="AN47" s="398" t="str">
        <f t="shared" si="1"/>
        <v/>
      </c>
      <c r="AO47" s="398"/>
      <c r="AP47" s="398"/>
    </row>
    <row r="48" spans="1:42" ht="21" customHeight="1">
      <c r="A48" s="1224" t="s">
        <v>496</v>
      </c>
      <c r="B48" s="1224" t="s">
        <v>497</v>
      </c>
      <c r="C48" s="1224" t="s">
        <v>498</v>
      </c>
      <c r="D48" s="1224" t="s">
        <v>760</v>
      </c>
      <c r="E48" s="3529"/>
      <c r="F48" s="3529"/>
      <c r="G48" s="3529"/>
      <c r="H48" s="3529"/>
      <c r="I48" s="3531"/>
      <c r="J48" s="3530"/>
      <c r="K48" s="1224"/>
      <c r="L48" s="1225"/>
      <c r="P48" s="3532"/>
      <c r="Q48" s="3532"/>
      <c r="R48" s="265"/>
      <c r="S48" s="1144"/>
      <c r="T48" s="199" t="s">
        <v>749</v>
      </c>
      <c r="U48" s="275"/>
      <c r="V48" s="275"/>
      <c r="W48" s="275"/>
      <c r="X48" s="275"/>
      <c r="Y48" s="275"/>
      <c r="Z48" s="275"/>
      <c r="AA48" s="275"/>
      <c r="AB48" s="275"/>
      <c r="AC48" s="275"/>
      <c r="AD48" s="275"/>
      <c r="AE48" s="275"/>
      <c r="AF48" s="275"/>
      <c r="AG48" s="275"/>
      <c r="AH48" s="275"/>
      <c r="AI48" s="275"/>
      <c r="AJ48" s="275"/>
      <c r="AK48" s="1124" t="s">
        <v>750</v>
      </c>
      <c r="AM48" s="398"/>
      <c r="AN48" s="398" t="str">
        <f t="shared" si="1"/>
        <v>Добавить значение признака дифференциации</v>
      </c>
      <c r="AO48" s="398"/>
      <c r="AP48" s="398"/>
    </row>
    <row r="49" spans="1:42" ht="21" customHeight="1">
      <c r="A49" s="1224" t="s">
        <v>496</v>
      </c>
      <c r="B49" s="1224" t="s">
        <v>497</v>
      </c>
      <c r="C49" s="1224" t="s">
        <v>498</v>
      </c>
      <c r="D49" s="1224" t="s">
        <v>760</v>
      </c>
      <c r="E49" s="3529"/>
      <c r="F49" s="3529"/>
      <c r="G49" s="3529"/>
      <c r="H49" s="3529"/>
      <c r="I49" s="3530"/>
      <c r="J49" s="1224"/>
      <c r="K49" s="1224"/>
      <c r="L49" s="1225"/>
      <c r="P49" s="3532"/>
      <c r="Q49" s="1308"/>
      <c r="R49" s="265"/>
      <c r="S49" s="1144"/>
      <c r="T49" s="273" t="s">
        <v>674</v>
      </c>
      <c r="U49" s="275"/>
      <c r="V49" s="275"/>
      <c r="W49" s="275"/>
      <c r="X49" s="275"/>
      <c r="Y49" s="275"/>
      <c r="Z49" s="275"/>
      <c r="AA49" s="275"/>
      <c r="AB49" s="274"/>
      <c r="AC49" s="275"/>
      <c r="AD49" s="275"/>
      <c r="AE49" s="275"/>
      <c r="AF49" s="275"/>
      <c r="AG49" s="275"/>
      <c r="AH49" s="275"/>
      <c r="AI49" s="274"/>
      <c r="AJ49" s="275"/>
      <c r="AK49" s="1300"/>
      <c r="AM49" s="398"/>
      <c r="AN49" s="398" t="str">
        <f t="shared" si="1"/>
        <v>Добавить группу потребителей</v>
      </c>
      <c r="AO49" s="398"/>
      <c r="AP49" s="398"/>
    </row>
    <row r="50" spans="1:42" ht="21" customHeight="1">
      <c r="A50" s="1224" t="s">
        <v>496</v>
      </c>
      <c r="B50" s="1224" t="s">
        <v>497</v>
      </c>
      <c r="C50" s="1224" t="s">
        <v>498</v>
      </c>
      <c r="D50" s="1224" t="s">
        <v>760</v>
      </c>
      <c r="E50" s="3529"/>
      <c r="F50" s="3529"/>
      <c r="G50" s="3529"/>
      <c r="H50" s="3528"/>
      <c r="I50" s="1224"/>
      <c r="J50" s="1224"/>
      <c r="K50" s="1224"/>
      <c r="L50" s="1225"/>
      <c r="M50" s="1226"/>
      <c r="N50" s="1226"/>
      <c r="O50" s="434"/>
      <c r="P50" s="269"/>
      <c r="Q50" s="282"/>
      <c r="R50" s="264"/>
      <c r="S50" s="1144"/>
      <c r="T50" s="280" t="s">
        <v>751</v>
      </c>
      <c r="U50" s="275"/>
      <c r="V50" s="275"/>
      <c r="W50" s="275"/>
      <c r="X50" s="275"/>
      <c r="Y50" s="275"/>
      <c r="Z50" s="275"/>
      <c r="AA50" s="275"/>
      <c r="AB50" s="274"/>
      <c r="AC50" s="275"/>
      <c r="AD50" s="275"/>
      <c r="AE50" s="275"/>
      <c r="AF50" s="275"/>
      <c r="AG50" s="275"/>
      <c r="AH50" s="275"/>
      <c r="AI50" s="274"/>
      <c r="AJ50" s="275"/>
      <c r="AK50" s="214"/>
      <c r="AM50" s="398"/>
      <c r="AN50" s="398" t="str">
        <f t="shared" si="1"/>
        <v>Добавить наименование признака дифференциации</v>
      </c>
      <c r="AO50" s="398"/>
      <c r="AP50" s="398"/>
    </row>
    <row r="51" spans="1:42" s="1866" customFormat="1" ht="0" hidden="1" customHeight="1">
      <c r="A51" s="1205" t="s">
        <v>496</v>
      </c>
      <c r="B51" s="1205" t="s">
        <v>497</v>
      </c>
      <c r="C51" s="1177"/>
      <c r="D51" s="1177"/>
      <c r="E51" s="3529"/>
      <c r="F51" s="3528"/>
      <c r="G51" s="1177"/>
      <c r="H51" s="1177"/>
      <c r="I51" s="1177"/>
      <c r="J51" s="1177"/>
      <c r="K51" s="1177"/>
      <c r="L51" s="1316"/>
      <c r="M51" s="1184"/>
      <c r="N51" s="1184"/>
      <c r="P51" s="1179"/>
      <c r="Q51" s="1180"/>
      <c r="R51" s="1179"/>
      <c r="S51" s="1185"/>
      <c r="T51" s="1188" t="s">
        <v>677</v>
      </c>
      <c r="U51" s="1187"/>
      <c r="V51" s="1187"/>
      <c r="W51" s="1187"/>
      <c r="X51" s="1187"/>
      <c r="Y51" s="1187"/>
      <c r="Z51" s="1187"/>
      <c r="AA51" s="1187"/>
      <c r="AB51" s="1187"/>
      <c r="AC51" s="1187"/>
      <c r="AD51" s="1187"/>
      <c r="AE51" s="1187"/>
      <c r="AF51" s="1187"/>
      <c r="AG51" s="1187"/>
      <c r="AH51" s="1187"/>
      <c r="AI51" s="1187"/>
      <c r="AJ51" s="1187"/>
      <c r="AK51" s="1187"/>
      <c r="AM51" s="670"/>
      <c r="AN51" s="670" t="str">
        <f t="shared" si="1"/>
        <v>Добавить централизованную систему для дифференциации</v>
      </c>
      <c r="AO51" s="670"/>
      <c r="AP51" s="670"/>
    </row>
    <row r="52" spans="1:42" s="1866" customFormat="1" ht="0" hidden="1" customHeight="1">
      <c r="A52" s="1205" t="s">
        <v>496</v>
      </c>
      <c r="B52" s="1205"/>
      <c r="C52" s="1205"/>
      <c r="D52" s="1205"/>
      <c r="E52" s="3528"/>
      <c r="F52" s="1205"/>
      <c r="G52" s="1205"/>
      <c r="H52" s="1205"/>
      <c r="I52" s="1205"/>
      <c r="J52" s="1205"/>
      <c r="K52" s="1205"/>
      <c r="L52" s="1208"/>
      <c r="M52" s="1184"/>
      <c r="N52" s="1184"/>
      <c r="O52" s="416"/>
      <c r="P52" s="287"/>
      <c r="Q52" s="1206"/>
      <c r="R52" s="287"/>
      <c r="S52" s="1185"/>
      <c r="T52" s="1188" t="s">
        <v>678</v>
      </c>
      <c r="U52" s="1187"/>
      <c r="V52" s="1187"/>
      <c r="W52" s="1187"/>
      <c r="X52" s="1187"/>
      <c r="Y52" s="1187"/>
      <c r="Z52" s="1187"/>
      <c r="AA52" s="1187"/>
      <c r="AB52" s="1187"/>
      <c r="AC52" s="1187"/>
      <c r="AD52" s="1187"/>
      <c r="AE52" s="1187"/>
      <c r="AF52" s="1187"/>
      <c r="AG52" s="1187"/>
      <c r="AH52" s="1187"/>
      <c r="AI52" s="1187"/>
      <c r="AJ52" s="1187"/>
      <c r="AK52" s="1187"/>
      <c r="AM52" s="398"/>
      <c r="AN52" s="398" t="str">
        <f t="shared" si="1"/>
        <v>Добавить территорию для дифференциации</v>
      </c>
      <c r="AO52" s="398"/>
      <c r="AP52" s="398"/>
    </row>
    <row r="53" spans="1:42" s="1866" customFormat="1" ht="0" hidden="1" customHeight="1">
      <c r="A53" s="1177"/>
      <c r="B53" s="1177"/>
      <c r="C53" s="1177"/>
      <c r="D53" s="1177"/>
      <c r="E53" s="1205"/>
      <c r="F53" s="1177"/>
      <c r="G53" s="1177"/>
      <c r="H53" s="1177"/>
      <c r="I53" s="1177"/>
      <c r="J53" s="1177"/>
      <c r="K53" s="1177"/>
      <c r="L53" s="1316"/>
      <c r="M53" s="1184"/>
      <c r="N53" s="1184"/>
      <c r="P53" s="1179"/>
      <c r="Q53" s="1180"/>
      <c r="R53" s="1179"/>
      <c r="S53" s="1185"/>
      <c r="T53" s="1188" t="s">
        <v>710</v>
      </c>
      <c r="U53" s="1187"/>
      <c r="V53" s="1187"/>
      <c r="W53" s="1187"/>
      <c r="X53" s="1187"/>
      <c r="Y53" s="1187"/>
      <c r="Z53" s="1187"/>
      <c r="AA53" s="1187"/>
      <c r="AB53" s="1187"/>
      <c r="AC53" s="1187"/>
      <c r="AD53" s="1187"/>
      <c r="AE53" s="1187"/>
      <c r="AF53" s="1187"/>
      <c r="AG53" s="1187"/>
      <c r="AH53" s="1187"/>
      <c r="AI53" s="1187"/>
      <c r="AJ53" s="1187"/>
      <c r="AK53" s="1187"/>
      <c r="AM53" s="670"/>
      <c r="AN53" s="670" t="str">
        <f t="shared" si="1"/>
        <v>Добавить наименование тарифа</v>
      </c>
      <c r="AO53" s="670"/>
      <c r="AP53" s="670"/>
    </row>
    <row r="54" spans="1:42" ht="11.25" customHeight="1">
      <c r="M54" s="1023"/>
      <c r="N54" s="1023"/>
      <c r="O54" s="434"/>
      <c r="P54" s="1018"/>
      <c r="Q54" s="1018"/>
      <c r="R54" s="1018"/>
      <c r="S54" s="1018"/>
      <c r="AL54" s="1018"/>
      <c r="AM54" s="1018"/>
      <c r="AN54" s="1018"/>
      <c r="AO54" s="1018"/>
      <c r="AP54" s="1018"/>
    </row>
    <row r="55" spans="1:42" ht="14.25" customHeight="1">
      <c r="O55" s="434"/>
      <c r="S55" s="1119"/>
      <c r="T55" s="3527"/>
      <c r="U55" s="3527"/>
      <c r="V55" s="3527"/>
      <c r="W55" s="3527"/>
      <c r="X55" s="3527"/>
      <c r="Y55" s="3527"/>
      <c r="Z55" s="3527"/>
      <c r="AA55" s="3527"/>
      <c r="AB55" s="3527"/>
      <c r="AC55" s="3527"/>
      <c r="AD55" s="3527"/>
      <c r="AE55" s="3527"/>
      <c r="AF55" s="3527"/>
      <c r="AG55" s="3527"/>
      <c r="AH55" s="3527"/>
      <c r="AI55" s="3527"/>
      <c r="AJ55" s="3527"/>
      <c r="AK55" s="3527"/>
    </row>
    <row r="56" spans="1:42" ht="14.25" customHeight="1">
      <c r="O56" s="434"/>
    </row>
    <row r="57" spans="1:42" ht="14.25" customHeight="1">
      <c r="O57" s="434"/>
      <c r="S57" s="1119"/>
      <c r="T57" s="3527"/>
      <c r="U57" s="3527"/>
      <c r="V57" s="3527"/>
      <c r="W57" s="3527"/>
      <c r="X57" s="3527"/>
      <c r="Y57" s="3527"/>
      <c r="Z57" s="3527"/>
      <c r="AA57" s="3527"/>
      <c r="AB57" s="3527"/>
      <c r="AC57" s="3527"/>
      <c r="AD57" s="3527"/>
      <c r="AE57" s="3527"/>
      <c r="AF57" s="3527"/>
      <c r="AG57" s="3527"/>
      <c r="AH57" s="3527"/>
      <c r="AI57" s="3527"/>
      <c r="AJ57" s="3527"/>
      <c r="AK57" s="3527"/>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94394-6255-C809-26CB-5C78BE0A51E5}">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03" hidden="1"/>
    <col min="2" max="2" width="11" style="1903" hidden="1" customWidth="1"/>
    <col min="3" max="3" width="10.5703125" style="1903" hidden="1"/>
    <col min="4" max="4" width="11.85546875" style="1903" hidden="1" customWidth="1"/>
    <col min="5" max="5" width="10" style="1903" hidden="1" customWidth="1"/>
    <col min="6" max="6" width="8.7109375" style="1903" hidden="1" customWidth="1"/>
    <col min="7" max="7" width="7.5703125" style="1903" hidden="1" customWidth="1"/>
    <col min="8" max="8" width="11.42578125" style="1903" hidden="1" customWidth="1"/>
    <col min="9" max="9" width="14.140625" style="1903" hidden="1" customWidth="1"/>
    <col min="10" max="10" width="9.85546875" style="1903" hidden="1" customWidth="1"/>
    <col min="11" max="11" width="14.7109375" style="1903" hidden="1" customWidth="1"/>
    <col min="12" max="12" width="19.140625" style="1953" hidden="1" customWidth="1"/>
    <col min="13" max="14" width="12.28515625" style="1839" hidden="1" customWidth="1"/>
    <col min="15" max="15" width="23.42578125" style="1839" hidden="1" customWidth="1"/>
    <col min="16" max="16" width="3.7109375" style="1957" customWidth="1"/>
    <col min="17" max="18" width="3.7109375" style="1906" customWidth="1"/>
    <col min="19" max="19" width="12.7109375" style="1951" customWidth="1"/>
    <col min="20" max="20" width="35.7109375" style="1910" customWidth="1"/>
    <col min="21" max="21" width="0.140625" style="1910" customWidth="1"/>
    <col min="22" max="24" width="24.7109375" style="1910" hidden="1" customWidth="1"/>
    <col min="25" max="25" width="11.7109375" style="1910" hidden="1" customWidth="1"/>
    <col min="26" max="26" width="3.7109375" style="1910" hidden="1" customWidth="1"/>
    <col min="27" max="27" width="11.7109375" style="1910" hidden="1" customWidth="1"/>
    <col min="28" max="28" width="8.5703125" style="1910" hidden="1" customWidth="1"/>
    <col min="29" max="31" width="24.7109375" style="1910" customWidth="1"/>
    <col min="32" max="32" width="11.7109375" style="1910" customWidth="1"/>
    <col min="33" max="33" width="3.7109375" style="1910" customWidth="1"/>
    <col min="34" max="34" width="11.7109375" style="1910" customWidth="1"/>
    <col min="35" max="35" width="8.5703125" style="1910" hidden="1" customWidth="1"/>
    <col min="36" max="36" width="4.7109375" style="1910" customWidth="1"/>
    <col min="37" max="37" width="115.7109375" style="1910" customWidth="1"/>
    <col min="38" max="39" width="10.5703125" style="1866"/>
    <col min="40" max="40" width="11.140625" style="1866" customWidth="1"/>
    <col min="41" max="42" width="10.5703125" style="1866"/>
  </cols>
  <sheetData>
    <row r="1" spans="1:42" ht="14.25" hidden="1" customHeight="1">
      <c r="X1" s="238"/>
      <c r="Y1" s="238"/>
      <c r="AE1" s="238"/>
      <c r="AF1" s="238"/>
    </row>
    <row r="2" spans="1:42" ht="23.25" hidden="1" customHeight="1">
      <c r="A2" s="1224"/>
      <c r="B2" s="1224"/>
      <c r="C2" s="1224"/>
      <c r="D2" s="1224"/>
      <c r="E2" s="3528">
        <v>1</v>
      </c>
      <c r="F2" s="1224"/>
      <c r="G2" s="1224"/>
      <c r="H2" s="1224"/>
      <c r="I2" s="1224"/>
      <c r="J2" s="1224"/>
      <c r="K2" s="1224"/>
      <c r="L2" s="1225"/>
      <c r="M2" s="1226"/>
      <c r="N2" s="1226"/>
      <c r="O2" s="1226"/>
      <c r="P2" s="270"/>
      <c r="Q2" s="269"/>
      <c r="R2" s="264"/>
      <c r="S2" s="1315" t="e">
        <f>INDEX(PT_DIFFERENTIATION_NUM_NTAR,MATCH(A2,PT_DIFFERENTIATION_NTAR_ID,0))</f>
        <v>#N/A</v>
      </c>
      <c r="T2" s="209" t="s">
        <v>391</v>
      </c>
      <c r="U2" s="211"/>
      <c r="V2" s="3522"/>
      <c r="W2" s="3523"/>
      <c r="X2" s="3523"/>
      <c r="Y2" s="3523"/>
      <c r="Z2" s="3523"/>
      <c r="AA2" s="3523"/>
      <c r="AB2" s="3524"/>
      <c r="AC2" s="3522" t="e">
        <f>INDEX(PT_DIFFERENTIATION_NTAR,MATCH(A2,PT_DIFFERENTIATION_NTAR_ID,0))</f>
        <v>#N/A</v>
      </c>
      <c r="AD2" s="3523"/>
      <c r="AE2" s="3523"/>
      <c r="AF2" s="3523"/>
      <c r="AG2" s="3523"/>
      <c r="AH2" s="3523"/>
      <c r="AI2" s="3523"/>
      <c r="AJ2" s="3524"/>
      <c r="AK2" s="112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398"/>
      <c r="AN2" s="398" t="str">
        <f t="shared" ref="AN2:AN13" si="0">IF(T2="","",T2)</f>
        <v>Наименование тарифа</v>
      </c>
      <c r="AO2" s="398"/>
      <c r="AP2" s="398"/>
    </row>
    <row r="3" spans="1:42" ht="23.25" hidden="1" customHeight="1">
      <c r="A3" s="1224"/>
      <c r="B3" s="1224"/>
      <c r="C3" s="1224"/>
      <c r="D3" s="1224"/>
      <c r="E3" s="3529"/>
      <c r="F3" s="3528">
        <v>1</v>
      </c>
      <c r="G3" s="1224"/>
      <c r="H3" s="1224"/>
      <c r="I3" s="1224"/>
      <c r="J3" s="1224"/>
      <c r="K3" s="1224"/>
      <c r="L3" s="1225"/>
      <c r="M3" s="1226"/>
      <c r="N3" s="1226"/>
      <c r="O3" s="1226"/>
      <c r="P3" s="1311"/>
      <c r="Q3" s="261"/>
      <c r="R3" s="262"/>
      <c r="S3" s="1315" t="e">
        <f>INDEX(PT_DIFFERENTIATION_NUM_TER,MATCH(B3,PT_DIFFERENTIATION_TER_ID,0))</f>
        <v>#N/A</v>
      </c>
      <c r="T3" s="219" t="s">
        <v>659</v>
      </c>
      <c r="U3" s="211"/>
      <c r="V3" s="3522"/>
      <c r="W3" s="3523"/>
      <c r="X3" s="3523"/>
      <c r="Y3" s="3523"/>
      <c r="Z3" s="3523"/>
      <c r="AA3" s="3523"/>
      <c r="AB3" s="3524"/>
      <c r="AC3" s="3522" t="e">
        <f>INDEX(PT_DIFFERENTIATION_TER,MATCH(B3,PT_DIFFERENTIATION_TER_ID,0))</f>
        <v>#N/A</v>
      </c>
      <c r="AD3" s="3523"/>
      <c r="AE3" s="3523"/>
      <c r="AF3" s="3523"/>
      <c r="AG3" s="3523"/>
      <c r="AH3" s="3523"/>
      <c r="AI3" s="3523"/>
      <c r="AJ3" s="3524"/>
      <c r="AK3" s="1124" t="s">
        <v>660</v>
      </c>
      <c r="AM3" s="398"/>
      <c r="AN3" s="398" t="str">
        <f t="shared" si="0"/>
        <v>Территория действия тарифа</v>
      </c>
      <c r="AO3" s="398"/>
      <c r="AP3" s="398"/>
    </row>
    <row r="4" spans="1:42" ht="23.25" hidden="1" customHeight="1">
      <c r="A4" s="1224"/>
      <c r="B4" s="1224"/>
      <c r="C4" s="1224"/>
      <c r="D4" s="1224"/>
      <c r="E4" s="3529"/>
      <c r="F4" s="3529"/>
      <c r="G4" s="3528">
        <v>1</v>
      </c>
      <c r="H4" s="1224"/>
      <c r="I4" s="1224"/>
      <c r="J4" s="1224"/>
      <c r="K4" s="1224"/>
      <c r="L4" s="1225"/>
      <c r="M4" s="1226"/>
      <c r="N4" s="1226"/>
      <c r="O4" s="1226"/>
      <c r="P4" s="263"/>
      <c r="Q4" s="261"/>
      <c r="R4" s="262"/>
      <c r="S4" s="1315" t="e">
        <f>INDEX(PT_DIFFERENTIATION_NUM_CS,MATCH(C4,PT_DIFFERENTIATION_CS_ID,0))</f>
        <v>#N/A</v>
      </c>
      <c r="T4" s="220" t="s">
        <v>744</v>
      </c>
      <c r="U4" s="211"/>
      <c r="V4" s="3522"/>
      <c r="W4" s="3523"/>
      <c r="X4" s="3523"/>
      <c r="Y4" s="3523"/>
      <c r="Z4" s="3523"/>
      <c r="AA4" s="3523"/>
      <c r="AB4" s="3524"/>
      <c r="AC4" s="3522" t="e">
        <f>INDEX(PT_DIFFERENTIATION_CS,MATCH(C4,PT_DIFFERENTIATION_CS_ID,0))</f>
        <v>#N/A</v>
      </c>
      <c r="AD4" s="3523"/>
      <c r="AE4" s="3523"/>
      <c r="AF4" s="3523"/>
      <c r="AG4" s="3523"/>
      <c r="AH4" s="3523"/>
      <c r="AI4" s="3523"/>
      <c r="AJ4" s="3524"/>
      <c r="AK4" s="1124" t="s">
        <v>745</v>
      </c>
      <c r="AM4" s="398"/>
      <c r="AN4" s="398" t="str">
        <f t="shared" si="0"/>
        <v>Наименование централизованной системы холодного водоснабжения</v>
      </c>
      <c r="AO4" s="398"/>
      <c r="AP4" s="398"/>
    </row>
    <row r="5" spans="1:42" ht="23.25" hidden="1" customHeight="1">
      <c r="A5" s="1224"/>
      <c r="B5" s="1224"/>
      <c r="C5" s="1224"/>
      <c r="D5" s="1224"/>
      <c r="E5" s="3529"/>
      <c r="F5" s="3529"/>
      <c r="G5" s="3529"/>
      <c r="H5" s="3529"/>
      <c r="I5" s="3530" t="e">
        <f>S4&amp;".1"</f>
        <v>#N/A</v>
      </c>
      <c r="J5" s="1224"/>
      <c r="K5" s="1224"/>
      <c r="L5" s="1225"/>
      <c r="P5" s="3532">
        <v>1</v>
      </c>
      <c r="Q5" s="1308"/>
      <c r="R5" s="265"/>
      <c r="S5" s="1315" t="e">
        <f>$I5</f>
        <v>#N/A</v>
      </c>
      <c r="T5" s="197" t="s">
        <v>746</v>
      </c>
      <c r="U5" s="211"/>
      <c r="V5" s="3588"/>
      <c r="W5" s="3589"/>
      <c r="X5" s="3589"/>
      <c r="Y5" s="3589"/>
      <c r="Z5" s="3589"/>
      <c r="AA5" s="3589"/>
      <c r="AB5" s="3590"/>
      <c r="AC5" s="3591"/>
      <c r="AD5" s="3592"/>
      <c r="AE5" s="3592"/>
      <c r="AF5" s="3592"/>
      <c r="AG5" s="3592"/>
      <c r="AH5" s="3592"/>
      <c r="AI5" s="3592"/>
      <c r="AJ5" s="3593"/>
      <c r="AK5" s="1124" t="s">
        <v>747</v>
      </c>
      <c r="AM5" s="398"/>
      <c r="AN5" s="398" t="str">
        <f t="shared" si="0"/>
        <v>Наименование признака дифференциации</v>
      </c>
      <c r="AO5" s="398"/>
      <c r="AP5" s="398"/>
    </row>
    <row r="6" spans="1:42" ht="23.25" hidden="1" customHeight="1">
      <c r="A6" s="1224"/>
      <c r="B6" s="1224"/>
      <c r="C6" s="1224"/>
      <c r="D6" s="1224"/>
      <c r="E6" s="3529"/>
      <c r="F6" s="3529"/>
      <c r="G6" s="3529"/>
      <c r="H6" s="3529"/>
      <c r="I6" s="3531"/>
      <c r="J6" s="3530" t="e">
        <f>I5&amp;".1"</f>
        <v>#N/A</v>
      </c>
      <c r="K6" s="1224"/>
      <c r="L6" s="1225" t="s">
        <v>668</v>
      </c>
      <c r="P6" s="3532"/>
      <c r="Q6" s="3532">
        <v>1</v>
      </c>
      <c r="R6" s="266"/>
      <c r="S6" s="1315" t="e">
        <f>$J6</f>
        <v>#N/A</v>
      </c>
      <c r="T6" s="198" t="s">
        <v>669</v>
      </c>
      <c r="U6" s="211"/>
      <c r="V6" s="3516"/>
      <c r="W6" s="3517"/>
      <c r="X6" s="3517"/>
      <c r="Y6" s="3517"/>
      <c r="Z6" s="3517"/>
      <c r="AA6" s="3517"/>
      <c r="AB6" s="3518"/>
      <c r="AC6" s="3516"/>
      <c r="AD6" s="3517"/>
      <c r="AE6" s="3517"/>
      <c r="AF6" s="3517"/>
      <c r="AG6" s="3517"/>
      <c r="AH6" s="3517"/>
      <c r="AI6" s="3517"/>
      <c r="AJ6" s="3518"/>
      <c r="AK6" s="1171" t="s">
        <v>748</v>
      </c>
      <c r="AM6" s="398"/>
      <c r="AN6" s="398" t="str">
        <f t="shared" si="0"/>
        <v>Группа потребителей</v>
      </c>
      <c r="AO6" s="398"/>
      <c r="AP6" s="398"/>
    </row>
    <row r="7" spans="1:42" ht="23.25" hidden="1" customHeight="1">
      <c r="A7" s="1224"/>
      <c r="B7" s="1224"/>
      <c r="C7" s="1224"/>
      <c r="D7" s="1224"/>
      <c r="E7" s="3529"/>
      <c r="F7" s="3529"/>
      <c r="G7" s="3529"/>
      <c r="H7" s="3529"/>
      <c r="I7" s="3531"/>
      <c r="J7" s="3531"/>
      <c r="K7" s="3530" t="e">
        <f>J6&amp;".1"</f>
        <v>#N/A</v>
      </c>
      <c r="L7" s="1225"/>
      <c r="P7" s="3532"/>
      <c r="Q7" s="3532"/>
      <c r="R7" s="266">
        <v>1</v>
      </c>
      <c r="S7" s="1315" t="e">
        <f>$K7</f>
        <v>#N/A</v>
      </c>
      <c r="T7" s="1297"/>
      <c r="U7" s="211"/>
      <c r="V7" s="639"/>
      <c r="W7" s="639"/>
      <c r="X7" s="1123"/>
      <c r="Y7" s="3533"/>
      <c r="Z7" s="3412" t="s">
        <v>64</v>
      </c>
      <c r="AA7" s="3533"/>
      <c r="AB7" s="3412" t="s">
        <v>64</v>
      </c>
      <c r="AC7" s="639"/>
      <c r="AD7" s="639"/>
      <c r="AE7" s="1123"/>
      <c r="AF7" s="3533"/>
      <c r="AG7" s="3412" t="s">
        <v>64</v>
      </c>
      <c r="AH7" s="3535"/>
      <c r="AI7" s="3412" t="s">
        <v>64</v>
      </c>
      <c r="AJ7" s="1298"/>
      <c r="AK7" s="35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09" t="e">
        <f ca="1">STRCHECKDATE(V8:AJ8)</f>
        <v>#NAME?</v>
      </c>
      <c r="AM7" s="398"/>
      <c r="AN7" s="398" t="str">
        <f t="shared" si="0"/>
        <v/>
      </c>
      <c r="AO7" s="398"/>
      <c r="AP7" s="398"/>
    </row>
    <row r="8" spans="1:42" ht="14.25" hidden="1" customHeight="1">
      <c r="A8" s="1224"/>
      <c r="B8" s="1224"/>
      <c r="C8" s="1224"/>
      <c r="D8" s="1224"/>
      <c r="E8" s="3529"/>
      <c r="F8" s="3529"/>
      <c r="G8" s="3529"/>
      <c r="H8" s="3529"/>
      <c r="I8" s="3531"/>
      <c r="J8" s="3531"/>
      <c r="K8" s="3530"/>
      <c r="L8" s="1225"/>
      <c r="P8" s="3532"/>
      <c r="Q8" s="3532"/>
      <c r="R8" s="266"/>
      <c r="S8" s="1314"/>
      <c r="T8" s="211"/>
      <c r="U8" s="211"/>
      <c r="V8" s="236"/>
      <c r="W8" s="236"/>
      <c r="X8" s="239" t="str">
        <f>Y7&amp;"-"&amp;AA7</f>
        <v>-</v>
      </c>
      <c r="Y8" s="3534"/>
      <c r="Z8" s="3412"/>
      <c r="AA8" s="3534"/>
      <c r="AB8" s="3412"/>
      <c r="AC8" s="236"/>
      <c r="AD8" s="236"/>
      <c r="AE8" s="239" t="str">
        <f>AF7&amp;"-"&amp;AH7</f>
        <v>-</v>
      </c>
      <c r="AF8" s="3534"/>
      <c r="AG8" s="3412"/>
      <c r="AH8" s="3536"/>
      <c r="AI8" s="3412"/>
      <c r="AJ8" s="1299"/>
      <c r="AK8" s="3594"/>
      <c r="AM8" s="398"/>
      <c r="AN8" s="398" t="str">
        <f t="shared" si="0"/>
        <v/>
      </c>
      <c r="AO8" s="398"/>
      <c r="AP8" s="398"/>
    </row>
    <row r="9" spans="1:42" ht="21" hidden="1" customHeight="1">
      <c r="A9" s="1224"/>
      <c r="B9" s="1224"/>
      <c r="C9" s="1224"/>
      <c r="D9" s="1224"/>
      <c r="E9" s="3529"/>
      <c r="F9" s="3529"/>
      <c r="G9" s="3529"/>
      <c r="H9" s="3529"/>
      <c r="I9" s="3531"/>
      <c r="J9" s="3530"/>
      <c r="K9" s="1224"/>
      <c r="L9" s="1225"/>
      <c r="P9" s="3532"/>
      <c r="Q9" s="3532"/>
      <c r="R9" s="265"/>
      <c r="S9" s="1144"/>
      <c r="T9" s="199" t="s">
        <v>749</v>
      </c>
      <c r="U9" s="275"/>
      <c r="V9" s="275"/>
      <c r="W9" s="275"/>
      <c r="X9" s="275"/>
      <c r="Y9" s="275"/>
      <c r="Z9" s="275"/>
      <c r="AA9" s="275"/>
      <c r="AB9" s="275"/>
      <c r="AC9" s="275"/>
      <c r="AD9" s="275"/>
      <c r="AE9" s="275"/>
      <c r="AF9" s="275"/>
      <c r="AG9" s="275"/>
      <c r="AH9" s="275"/>
      <c r="AI9" s="275"/>
      <c r="AJ9" s="275"/>
      <c r="AK9" s="1124" t="s">
        <v>750</v>
      </c>
      <c r="AM9" s="398"/>
      <c r="AN9" s="398" t="str">
        <f t="shared" si="0"/>
        <v>Добавить значение признака дифференциации</v>
      </c>
      <c r="AO9" s="398"/>
      <c r="AP9" s="398"/>
    </row>
    <row r="10" spans="1:42" ht="21" hidden="1" customHeight="1">
      <c r="A10" s="1224"/>
      <c r="B10" s="1224"/>
      <c r="C10" s="1224"/>
      <c r="D10" s="1224"/>
      <c r="E10" s="3529"/>
      <c r="F10" s="3529"/>
      <c r="G10" s="3529"/>
      <c r="H10" s="3529"/>
      <c r="I10" s="3530"/>
      <c r="J10" s="1224"/>
      <c r="K10" s="1224"/>
      <c r="L10" s="1225"/>
      <c r="P10" s="3532"/>
      <c r="Q10" s="1308"/>
      <c r="R10" s="265"/>
      <c r="S10" s="1144"/>
      <c r="T10" s="273" t="s">
        <v>674</v>
      </c>
      <c r="U10" s="275"/>
      <c r="V10" s="275"/>
      <c r="W10" s="275"/>
      <c r="X10" s="275"/>
      <c r="Y10" s="275"/>
      <c r="Z10" s="275"/>
      <c r="AA10" s="275"/>
      <c r="AB10" s="274"/>
      <c r="AC10" s="275"/>
      <c r="AD10" s="275"/>
      <c r="AE10" s="275"/>
      <c r="AF10" s="275"/>
      <c r="AG10" s="275"/>
      <c r="AH10" s="275"/>
      <c r="AI10" s="274"/>
      <c r="AJ10" s="275"/>
      <c r="AK10" s="1300"/>
      <c r="AM10" s="398"/>
      <c r="AN10" s="398" t="str">
        <f t="shared" si="0"/>
        <v>Добавить группу потребителей</v>
      </c>
      <c r="AO10" s="398"/>
      <c r="AP10" s="398"/>
    </row>
    <row r="11" spans="1:42" ht="21" hidden="1" customHeight="1">
      <c r="A11" s="1224"/>
      <c r="B11" s="1224"/>
      <c r="C11" s="1224"/>
      <c r="D11" s="1224"/>
      <c r="E11" s="3529"/>
      <c r="F11" s="3529"/>
      <c r="G11" s="3529"/>
      <c r="H11" s="3528"/>
      <c r="I11" s="1224"/>
      <c r="J11" s="1224"/>
      <c r="K11" s="1224"/>
      <c r="L11" s="1225"/>
      <c r="M11" s="1226"/>
      <c r="N11" s="1226"/>
      <c r="O11" s="434"/>
      <c r="P11" s="269"/>
      <c r="Q11" s="282"/>
      <c r="R11" s="264"/>
      <c r="S11" s="1144"/>
      <c r="T11" s="280" t="s">
        <v>751</v>
      </c>
      <c r="U11" s="275"/>
      <c r="V11" s="275"/>
      <c r="W11" s="275"/>
      <c r="X11" s="275"/>
      <c r="Y11" s="275"/>
      <c r="Z11" s="275"/>
      <c r="AA11" s="275"/>
      <c r="AB11" s="274"/>
      <c r="AC11" s="275"/>
      <c r="AD11" s="275"/>
      <c r="AE11" s="275"/>
      <c r="AF11" s="275"/>
      <c r="AG11" s="275"/>
      <c r="AH11" s="275"/>
      <c r="AI11" s="274"/>
      <c r="AJ11" s="275"/>
      <c r="AK11" s="214"/>
      <c r="AM11" s="398"/>
      <c r="AN11" s="398" t="str">
        <f t="shared" si="0"/>
        <v>Добавить наименование признака дифференциации</v>
      </c>
      <c r="AO11" s="398"/>
      <c r="AP11" s="398"/>
    </row>
    <row r="12" spans="1:42" s="1866" customFormat="1" ht="14.25" hidden="1" customHeight="1">
      <c r="A12" s="1205"/>
      <c r="B12" s="1205"/>
      <c r="C12" s="1177"/>
      <c r="D12" s="1177"/>
      <c r="E12" s="3529"/>
      <c r="F12" s="3528"/>
      <c r="G12" s="1177"/>
      <c r="H12" s="1177"/>
      <c r="I12" s="1177"/>
      <c r="J12" s="1177"/>
      <c r="K12" s="1177"/>
      <c r="L12" s="1316"/>
      <c r="M12" s="1184"/>
      <c r="N12" s="1184"/>
      <c r="P12" s="1179"/>
      <c r="Q12" s="1180"/>
      <c r="R12" s="1179"/>
      <c r="S12" s="1185"/>
      <c r="T12" s="1188" t="s">
        <v>677</v>
      </c>
      <c r="U12" s="1187"/>
      <c r="V12" s="1187"/>
      <c r="W12" s="1187"/>
      <c r="X12" s="1187"/>
      <c r="Y12" s="1187"/>
      <c r="Z12" s="1187"/>
      <c r="AA12" s="1187"/>
      <c r="AB12" s="1187"/>
      <c r="AC12" s="1187"/>
      <c r="AD12" s="1187"/>
      <c r="AE12" s="1187"/>
      <c r="AF12" s="1187"/>
      <c r="AG12" s="1187"/>
      <c r="AH12" s="1187"/>
      <c r="AI12" s="1187"/>
      <c r="AJ12" s="1187"/>
      <c r="AK12" s="1187"/>
      <c r="AM12" s="670"/>
      <c r="AN12" s="670" t="str">
        <f t="shared" si="0"/>
        <v>Добавить централизованную систему для дифференциации</v>
      </c>
      <c r="AO12" s="670"/>
      <c r="AP12" s="670"/>
    </row>
    <row r="13" spans="1:42" s="1866" customFormat="1" ht="14.25" hidden="1" customHeight="1">
      <c r="A13" s="1205"/>
      <c r="B13" s="1205"/>
      <c r="C13" s="1205"/>
      <c r="D13" s="1205"/>
      <c r="E13" s="3528"/>
      <c r="F13" s="1205"/>
      <c r="G13" s="1205"/>
      <c r="H13" s="1205"/>
      <c r="I13" s="1205"/>
      <c r="J13" s="1205"/>
      <c r="K13" s="1205"/>
      <c r="L13" s="1208"/>
      <c r="M13" s="1184"/>
      <c r="N13" s="1184"/>
      <c r="O13" s="416"/>
      <c r="P13" s="287"/>
      <c r="Q13" s="1206"/>
      <c r="R13" s="287"/>
      <c r="S13" s="1185"/>
      <c r="T13" s="1188" t="s">
        <v>678</v>
      </c>
      <c r="U13" s="1187"/>
      <c r="V13" s="1187"/>
      <c r="W13" s="1187"/>
      <c r="X13" s="1187"/>
      <c r="Y13" s="1187"/>
      <c r="Z13" s="1187"/>
      <c r="AA13" s="1187"/>
      <c r="AB13" s="1187"/>
      <c r="AC13" s="1187"/>
      <c r="AD13" s="1187"/>
      <c r="AE13" s="1187"/>
      <c r="AF13" s="1187"/>
      <c r="AG13" s="1187"/>
      <c r="AH13" s="1187"/>
      <c r="AI13" s="1187"/>
      <c r="AJ13" s="1187"/>
      <c r="AK13" s="1187"/>
      <c r="AM13" s="398"/>
      <c r="AN13" s="398" t="str">
        <f t="shared" si="0"/>
        <v>Добавить территорию для дифференциации</v>
      </c>
      <c r="AO13" s="398"/>
      <c r="AP13" s="398"/>
    </row>
    <row r="14" spans="1:42" ht="14.25" hidden="1" customHeight="1">
      <c r="AB14" s="238"/>
      <c r="AI14" s="238"/>
    </row>
    <row r="15" spans="1:42" ht="14.25" hidden="1" customHeight="1">
      <c r="AC15" s="1221"/>
      <c r="AD15" s="1221"/>
      <c r="AE15" s="1222"/>
      <c r="AF15" s="3526"/>
      <c r="AG15" s="3525" t="s">
        <v>64</v>
      </c>
      <c r="AH15" s="3526"/>
      <c r="AI15" s="3525" t="s">
        <v>64</v>
      </c>
    </row>
    <row r="16" spans="1:42" ht="14.25" hidden="1" customHeight="1">
      <c r="AC16" s="1221"/>
      <c r="AD16" s="1221"/>
      <c r="AE16" s="239" t="str">
        <f>AF15&amp;"-"&amp;AH15</f>
        <v>-</v>
      </c>
      <c r="AF16" s="3525"/>
      <c r="AG16" s="3525"/>
      <c r="AH16" s="3525"/>
      <c r="AI16" s="3525"/>
    </row>
    <row r="17" spans="1:42" ht="14.25" hidden="1" customHeight="1">
      <c r="AI17" s="238"/>
    </row>
    <row r="18" spans="1:42" s="1903" customFormat="1" ht="22.5" hidden="1" customHeight="1">
      <c r="L18" s="1305"/>
      <c r="M18" s="1223"/>
      <c r="N18" s="1223"/>
      <c r="O18" s="1228" t="s">
        <v>679</v>
      </c>
      <c r="P18" s="1223"/>
      <c r="Q18" s="1232"/>
      <c r="R18" s="1232"/>
      <c r="S18" s="619"/>
      <c r="Y18" s="1228"/>
      <c r="AA18" s="1228"/>
      <c r="AB18" s="1227"/>
      <c r="AF18" s="1228"/>
      <c r="AH18" s="1228"/>
      <c r="AI18" s="1227"/>
      <c r="AL18" s="409"/>
      <c r="AM18" s="409"/>
      <c r="AN18" s="409"/>
      <c r="AO18" s="409"/>
      <c r="AP18" s="409"/>
    </row>
    <row r="19" spans="1:42" s="1903" customFormat="1" ht="14.25" hidden="1" customHeight="1">
      <c r="L19" s="1305"/>
      <c r="M19" s="1223"/>
      <c r="N19" s="1223"/>
      <c r="O19" s="1223"/>
      <c r="P19" s="1223"/>
      <c r="Q19" s="1232"/>
      <c r="R19" s="1232"/>
      <c r="S19" s="619"/>
      <c r="AB19" s="1227"/>
      <c r="AI19" s="1227"/>
      <c r="AL19" s="409"/>
      <c r="AM19" s="409"/>
      <c r="AN19" s="409"/>
      <c r="AO19" s="409"/>
      <c r="AP19" s="409"/>
    </row>
    <row r="20" spans="1:42" s="1903" customFormat="1" ht="12" hidden="1" customHeight="1">
      <c r="L20" s="1305"/>
      <c r="M20" s="1223"/>
      <c r="N20" s="1223"/>
      <c r="O20" s="1225" t="s">
        <v>680</v>
      </c>
      <c r="P20" s="1223"/>
      <c r="Q20" s="1301"/>
      <c r="R20" s="1301"/>
      <c r="S20" s="619"/>
      <c r="T20" s="1023" t="s">
        <v>681</v>
      </c>
      <c r="Z20" s="103" t="s">
        <v>682</v>
      </c>
      <c r="AB20" s="103" t="s">
        <v>683</v>
      </c>
      <c r="AC20" s="1023" t="s">
        <v>681</v>
      </c>
      <c r="AG20" s="103" t="s">
        <v>684</v>
      </c>
      <c r="AI20" s="103" t="s">
        <v>683</v>
      </c>
    </row>
    <row r="21" spans="1:42" ht="14.25" hidden="1" customHeight="1">
      <c r="O21" s="1225"/>
    </row>
    <row r="22" spans="1:42" ht="14.25" hidden="1" customHeight="1">
      <c r="O22" s="1225"/>
    </row>
    <row r="23" spans="1:42" ht="14.25" customHeight="1">
      <c r="Q23" s="283"/>
      <c r="R23" s="283"/>
      <c r="S23" s="1141"/>
      <c r="T23" s="272"/>
      <c r="U23" s="272"/>
      <c r="V23" s="407"/>
      <c r="W23" s="407"/>
      <c r="X23" s="407"/>
      <c r="Y23" s="407"/>
      <c r="Z23" s="407"/>
      <c r="AA23" s="407"/>
      <c r="AB23" s="407"/>
      <c r="AC23" s="407"/>
      <c r="AD23" s="407"/>
      <c r="AE23" s="407"/>
      <c r="AF23" s="407"/>
      <c r="AG23" s="407"/>
      <c r="AH23" s="407"/>
      <c r="AI23" s="407"/>
    </row>
    <row r="24" spans="1:42" ht="14.25" customHeight="1">
      <c r="Q24" s="283"/>
      <c r="R24" s="283"/>
      <c r="S24" s="350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509"/>
      <c r="U24" s="3509"/>
      <c r="V24" s="3509"/>
      <c r="W24" s="3509"/>
      <c r="X24" s="3509"/>
      <c r="Y24" s="3509"/>
      <c r="Z24" s="3509"/>
      <c r="AA24" s="3509"/>
      <c r="AB24" s="3509"/>
      <c r="AC24" s="3509"/>
      <c r="AD24" s="3509"/>
      <c r="AE24" s="3509"/>
      <c r="AF24" s="3509"/>
      <c r="AG24" s="3509"/>
      <c r="AH24" s="3509"/>
      <c r="AI24" s="1109"/>
    </row>
    <row r="25" spans="1:42" ht="14.25" customHeight="1">
      <c r="Q25" s="283"/>
      <c r="R25" s="283"/>
      <c r="S25" s="3480" t="str">
        <f>IF(org=0,"Не определено",org)</f>
        <v>АО "Орелгортеплоэнерго"</v>
      </c>
      <c r="T25" s="3480"/>
      <c r="U25" s="3480"/>
      <c r="V25" s="3480"/>
      <c r="W25" s="3480"/>
      <c r="X25" s="3480"/>
      <c r="Y25" s="3480"/>
      <c r="Z25" s="3480"/>
      <c r="AA25" s="3480"/>
      <c r="AB25" s="3480"/>
      <c r="AC25" s="3480"/>
      <c r="AD25" s="3480"/>
      <c r="AE25" s="3480"/>
      <c r="AF25" s="3480"/>
      <c r="AG25" s="3480"/>
      <c r="AH25" s="3480"/>
      <c r="AI25" s="1109"/>
    </row>
    <row r="26" spans="1:42" ht="14.25" hidden="1" customHeight="1">
      <c r="Q26" s="283"/>
      <c r="R26" s="283"/>
      <c r="S26" s="1141"/>
      <c r="T26" s="272"/>
      <c r="U26" s="272"/>
      <c r="V26" s="233"/>
      <c r="W26" s="233"/>
      <c r="X26" s="233"/>
      <c r="Y26" s="233"/>
      <c r="Z26" s="233"/>
      <c r="AA26" s="233"/>
      <c r="AB26" s="233"/>
      <c r="AC26" s="233"/>
      <c r="AD26" s="233"/>
      <c r="AE26" s="233"/>
      <c r="AF26" s="233"/>
      <c r="AG26" s="233"/>
      <c r="AH26" s="233"/>
      <c r="AI26" s="233"/>
      <c r="AJ26" s="407"/>
    </row>
    <row r="27" spans="1:42" s="1944" customFormat="1" ht="25.5" hidden="1" customHeight="1">
      <c r="A27" s="1229"/>
      <c r="B27" s="1229"/>
      <c r="C27" s="1229"/>
      <c r="D27" s="1229"/>
      <c r="E27" s="1229"/>
      <c r="F27" s="1229"/>
      <c r="G27" s="1229"/>
      <c r="H27" s="1229"/>
      <c r="I27" s="1229"/>
      <c r="J27" s="1229"/>
      <c r="K27" s="1229"/>
      <c r="L27" s="1230"/>
      <c r="M27" s="1229"/>
      <c r="N27" s="1229"/>
      <c r="O27" s="1229"/>
      <c r="S27" s="3519" t="s">
        <v>38</v>
      </c>
      <c r="T27" s="3519"/>
      <c r="U27" s="1233"/>
      <c r="V27" s="3521" t="str">
        <f>IF(TITLE_NAME_OR_PR_CHANGE="",IF(TITLE_NAME_OR_PR="","",TITLE_NAME_OR_PR),TITLE_NAME_OR_PR_CHANGE)</f>
        <v/>
      </c>
      <c r="W27" s="3521"/>
      <c r="X27" s="3521"/>
      <c r="Y27" s="3521"/>
      <c r="Z27" s="3521"/>
      <c r="AA27" s="3521"/>
      <c r="AB27" s="237"/>
      <c r="AC27" s="3521" t="str">
        <f>IF(TITLE_NAME_OR_PR_CHANGE="",IF(TITLE_NAME_OR_PR="","",TITLE_NAME_OR_PR),TITLE_NAME_OR_PR_CHANGE)</f>
        <v/>
      </c>
      <c r="AD27" s="3521"/>
      <c r="AE27" s="3521"/>
      <c r="AF27" s="3521"/>
      <c r="AG27" s="3521"/>
      <c r="AH27" s="3521"/>
      <c r="AI27" s="237"/>
      <c r="AJ27" s="237"/>
      <c r="AK27" s="193"/>
      <c r="AL27" s="276"/>
      <c r="AM27" s="276"/>
      <c r="AN27" s="276"/>
      <c r="AO27" s="276"/>
      <c r="AP27" s="276"/>
    </row>
    <row r="28" spans="1:42" s="1944" customFormat="1" ht="18.75" hidden="1" customHeight="1">
      <c r="A28" s="1229"/>
      <c r="B28" s="1229"/>
      <c r="C28" s="1229"/>
      <c r="D28" s="1229"/>
      <c r="E28" s="1229"/>
      <c r="F28" s="1229"/>
      <c r="G28" s="1229"/>
      <c r="H28" s="1229"/>
      <c r="I28" s="1229"/>
      <c r="J28" s="1229"/>
      <c r="K28" s="1229"/>
      <c r="L28" s="1230"/>
      <c r="M28" s="1229"/>
      <c r="N28" s="1229"/>
      <c r="O28" s="1229"/>
      <c r="S28" s="3519" t="s">
        <v>685</v>
      </c>
      <c r="T28" s="3519"/>
      <c r="U28" s="1233"/>
      <c r="V28" s="3520" t="str">
        <f>IF(TITLE_DATE_PR_CHANGE="",IF(TITLE_DATE_PR="","",TITLE_DATE_PR),TITLE_DATE_PR_CHANGE)</f>
        <v/>
      </c>
      <c r="W28" s="3520"/>
      <c r="X28" s="3520"/>
      <c r="Y28" s="3520"/>
      <c r="Z28" s="3520"/>
      <c r="AA28" s="3520"/>
      <c r="AB28" s="237"/>
      <c r="AC28" s="3520" t="str">
        <f>IF(TITLE_DATE_PR_CHANGE="",IF(TITLE_DATE_PR="","",TITLE_DATE_PR),TITLE_DATE_PR_CHANGE)</f>
        <v/>
      </c>
      <c r="AD28" s="3520"/>
      <c r="AE28" s="3520"/>
      <c r="AF28" s="3520"/>
      <c r="AG28" s="3520"/>
      <c r="AH28" s="3520"/>
      <c r="AI28" s="237"/>
      <c r="AJ28" s="237"/>
      <c r="AK28" s="193"/>
      <c r="AL28" s="276"/>
      <c r="AM28" s="276"/>
      <c r="AN28" s="276"/>
      <c r="AO28" s="276"/>
      <c r="AP28" s="276"/>
    </row>
    <row r="29" spans="1:42" s="1944" customFormat="1" ht="18.75" hidden="1" customHeight="1">
      <c r="A29" s="1229"/>
      <c r="B29" s="1229"/>
      <c r="C29" s="1229"/>
      <c r="D29" s="1229"/>
      <c r="E29" s="1229"/>
      <c r="F29" s="1229"/>
      <c r="G29" s="1229"/>
      <c r="H29" s="1229"/>
      <c r="I29" s="1229"/>
      <c r="J29" s="1229"/>
      <c r="K29" s="1229"/>
      <c r="L29" s="1230"/>
      <c r="M29" s="1229"/>
      <c r="N29" s="1229"/>
      <c r="O29" s="1229"/>
      <c r="S29" s="3519" t="s">
        <v>686</v>
      </c>
      <c r="T29" s="3519"/>
      <c r="U29" s="1233"/>
      <c r="V29" s="3521" t="str">
        <f>IF(TITLE_NUMBER_PR_CHANGE="",IF(TITLE_NUMBER_PR="","",TITLE_NUMBER_PR),TITLE_NUMBER_PR_CHANGE)</f>
        <v/>
      </c>
      <c r="W29" s="3521"/>
      <c r="X29" s="3521"/>
      <c r="Y29" s="3521"/>
      <c r="Z29" s="3521"/>
      <c r="AA29" s="3521"/>
      <c r="AB29" s="237"/>
      <c r="AC29" s="3521" t="str">
        <f>IF(TITLE_NUMBER_PR_CHANGE="",IF(TITLE_NUMBER_PR="","",TITLE_NUMBER_PR),TITLE_NUMBER_PR_CHANGE)</f>
        <v/>
      </c>
      <c r="AD29" s="3521"/>
      <c r="AE29" s="3521"/>
      <c r="AF29" s="3521"/>
      <c r="AG29" s="3521"/>
      <c r="AH29" s="3521"/>
      <c r="AI29" s="237"/>
      <c r="AJ29" s="237"/>
      <c r="AK29" s="193"/>
      <c r="AL29" s="276"/>
      <c r="AM29" s="276"/>
      <c r="AN29" s="276"/>
      <c r="AO29" s="276"/>
      <c r="AP29" s="276"/>
    </row>
    <row r="30" spans="1:42" s="1944" customFormat="1" ht="18.75" hidden="1" customHeight="1">
      <c r="A30" s="1229"/>
      <c r="B30" s="1229"/>
      <c r="C30" s="1229"/>
      <c r="D30" s="1229"/>
      <c r="E30" s="1229"/>
      <c r="F30" s="1229"/>
      <c r="G30" s="1229"/>
      <c r="H30" s="1229"/>
      <c r="I30" s="1229"/>
      <c r="J30" s="1229"/>
      <c r="K30" s="1229"/>
      <c r="L30" s="1230"/>
      <c r="M30" s="1229"/>
      <c r="N30" s="1229"/>
      <c r="O30" s="1229"/>
      <c r="S30" s="3519" t="s">
        <v>39</v>
      </c>
      <c r="T30" s="3519"/>
      <c r="U30" s="1233"/>
      <c r="V30" s="3521" t="str">
        <f>IF(TITLE_IST_PUB_CHANGE="",IF(TITLE_IST_PUB="","",TITLE_IST_PUB),TITLE_IST_PUB_CHANGE)</f>
        <v/>
      </c>
      <c r="W30" s="3521"/>
      <c r="X30" s="3521"/>
      <c r="Y30" s="3521"/>
      <c r="Z30" s="3521"/>
      <c r="AA30" s="3521"/>
      <c r="AB30" s="237"/>
      <c r="AC30" s="3521" t="str">
        <f>IF(TITLE_IST_PUB_CHANGE="",IF(TITLE_IST_PUB="","",TITLE_IST_PUB),TITLE_IST_PUB_CHANGE)</f>
        <v/>
      </c>
      <c r="AD30" s="3521"/>
      <c r="AE30" s="3521"/>
      <c r="AF30" s="3521"/>
      <c r="AG30" s="3521"/>
      <c r="AH30" s="3521"/>
      <c r="AI30" s="237"/>
      <c r="AJ30" s="237"/>
      <c r="AK30" s="193"/>
      <c r="AL30" s="276"/>
      <c r="AM30" s="276"/>
      <c r="AN30" s="276"/>
      <c r="AO30" s="276"/>
      <c r="AP30" s="276"/>
    </row>
    <row r="31" spans="1:42" ht="14.25" hidden="1" customHeight="1">
      <c r="Q31" s="283"/>
      <c r="R31" s="283"/>
      <c r="S31" s="1141"/>
      <c r="T31" s="272"/>
      <c r="U31" s="272"/>
      <c r="V31" s="233"/>
      <c r="W31" s="233"/>
      <c r="X31" s="233"/>
      <c r="Y31" s="233"/>
      <c r="Z31" s="233"/>
      <c r="AA31" s="233"/>
      <c r="AB31" s="233"/>
      <c r="AC31" s="233"/>
      <c r="AD31" s="233"/>
      <c r="AE31" s="233"/>
      <c r="AF31" s="233"/>
      <c r="AG31" s="233"/>
      <c r="AH31" s="233"/>
      <c r="AI31" s="233"/>
      <c r="AJ31" s="407"/>
    </row>
    <row r="32" spans="1:42" s="1944" customFormat="1" ht="18.75" hidden="1" customHeight="1">
      <c r="A32" s="1229"/>
      <c r="B32" s="1229"/>
      <c r="C32" s="1229"/>
      <c r="D32" s="1229"/>
      <c r="E32" s="1229"/>
      <c r="F32" s="1229"/>
      <c r="G32" s="1229"/>
      <c r="H32" s="1229"/>
      <c r="I32" s="1229"/>
      <c r="J32" s="1229"/>
      <c r="K32" s="1229"/>
      <c r="L32" s="1230"/>
      <c r="M32" s="1229"/>
      <c r="N32" s="1229"/>
      <c r="O32" s="1229"/>
      <c r="S32" s="3519" t="s">
        <v>687</v>
      </c>
      <c r="T32" s="3519"/>
      <c r="U32" s="1233"/>
      <c r="V32" s="3520" t="str">
        <f>IF(TITLE_DATE_PR_CHANGE="",IF(TITLE_DATE_PR="","",TITLE_DATE_PR),TITLE_DATE_PR_CHANGE)</f>
        <v/>
      </c>
      <c r="W32" s="3520"/>
      <c r="X32" s="3520"/>
      <c r="Y32" s="3520"/>
      <c r="Z32" s="3520"/>
      <c r="AA32" s="3520"/>
      <c r="AB32" s="237"/>
      <c r="AC32" s="3520" t="str">
        <f>IF(TITLE_DATE_PR_CHANGE="",IF(TITLE_DATE_PR="","",TITLE_DATE_PR),TITLE_DATE_PR_CHANGE)</f>
        <v/>
      </c>
      <c r="AD32" s="3520"/>
      <c r="AE32" s="3520"/>
      <c r="AF32" s="3520"/>
      <c r="AG32" s="3520"/>
      <c r="AH32" s="3520"/>
      <c r="AI32" s="237"/>
      <c r="AJ32" s="237"/>
      <c r="AK32" s="193"/>
      <c r="AL32" s="276"/>
      <c r="AM32" s="276"/>
      <c r="AN32" s="276"/>
      <c r="AO32" s="276"/>
      <c r="AP32" s="276"/>
    </row>
    <row r="33" spans="1:42" s="1944" customFormat="1" ht="18.75" hidden="1" customHeight="1">
      <c r="A33" s="1229"/>
      <c r="B33" s="1229"/>
      <c r="C33" s="1229"/>
      <c r="D33" s="1229"/>
      <c r="E33" s="1229"/>
      <c r="F33" s="1229"/>
      <c r="G33" s="1229"/>
      <c r="H33" s="1229"/>
      <c r="I33" s="1229"/>
      <c r="J33" s="1229"/>
      <c r="K33" s="1229"/>
      <c r="L33" s="1230"/>
      <c r="M33" s="1229"/>
      <c r="N33" s="1229"/>
      <c r="O33" s="1229"/>
      <c r="S33" s="3519" t="s">
        <v>688</v>
      </c>
      <c r="T33" s="3519"/>
      <c r="U33" s="1233"/>
      <c r="V33" s="3521" t="str">
        <f>IF(TITLE_NUMBER_PR_CHANGE="",IF(TITLE_NUMBER_PR="","",TITLE_NUMBER_PR),TITLE_NUMBER_PR_CHANGE)</f>
        <v/>
      </c>
      <c r="W33" s="3521"/>
      <c r="X33" s="3521"/>
      <c r="Y33" s="3521"/>
      <c r="Z33" s="3521"/>
      <c r="AA33" s="3521"/>
      <c r="AB33" s="237"/>
      <c r="AC33" s="3521" t="str">
        <f>IF(TITLE_NUMBER_PR_CHANGE="",IF(TITLE_NUMBER_PR="","",TITLE_NUMBER_PR),TITLE_NUMBER_PR_CHANGE)</f>
        <v/>
      </c>
      <c r="AD33" s="3521"/>
      <c r="AE33" s="3521"/>
      <c r="AF33" s="3521"/>
      <c r="AG33" s="3521"/>
      <c r="AH33" s="3521"/>
      <c r="AI33" s="237"/>
      <c r="AJ33" s="237"/>
      <c r="AK33" s="193"/>
      <c r="AL33" s="276"/>
      <c r="AM33" s="276"/>
      <c r="AN33" s="276"/>
      <c r="AO33" s="276"/>
      <c r="AP33" s="276"/>
    </row>
    <row r="34" spans="1:42" s="1944" customFormat="1" ht="0.75" customHeight="1">
      <c r="A34" s="1229"/>
      <c r="B34" s="1229"/>
      <c r="C34" s="1229"/>
      <c r="D34" s="1229"/>
      <c r="E34" s="1229"/>
      <c r="F34" s="1229"/>
      <c r="G34" s="1229"/>
      <c r="H34" s="1229"/>
      <c r="I34" s="1229"/>
      <c r="J34" s="1229"/>
      <c r="K34" s="1229"/>
      <c r="L34" s="1230"/>
      <c r="M34" s="1229"/>
      <c r="N34" s="1229"/>
      <c r="O34" s="1229"/>
      <c r="S34" s="234"/>
      <c r="T34" s="234"/>
      <c r="U34" s="1312"/>
      <c r="V34" s="237"/>
      <c r="W34" s="237"/>
      <c r="X34" s="237"/>
      <c r="Y34" s="237"/>
      <c r="Z34" s="237"/>
      <c r="AA34" s="237"/>
      <c r="AB34" s="191" t="s">
        <v>689</v>
      </c>
      <c r="AC34" s="237"/>
      <c r="AD34" s="237"/>
      <c r="AE34" s="237"/>
      <c r="AF34" s="237"/>
      <c r="AG34" s="237"/>
      <c r="AH34" s="237"/>
      <c r="AI34" s="191" t="s">
        <v>689</v>
      </c>
      <c r="AL34" s="276"/>
      <c r="AM34" s="276"/>
      <c r="AN34" s="276"/>
      <c r="AO34" s="276"/>
      <c r="AP34" s="276"/>
    </row>
    <row r="35" spans="1:42" ht="14.25" customHeight="1">
      <c r="Q35" s="283"/>
      <c r="R35" s="283"/>
      <c r="S35" s="1141"/>
      <c r="T35" s="272"/>
      <c r="U35" s="1110"/>
      <c r="V35" s="3540"/>
      <c r="W35" s="3540"/>
      <c r="X35" s="3540"/>
      <c r="Y35" s="3540"/>
      <c r="Z35" s="3540"/>
      <c r="AA35" s="3540"/>
      <c r="AB35" s="3540"/>
      <c r="AC35" s="3540"/>
      <c r="AD35" s="3540"/>
      <c r="AE35" s="3540"/>
      <c r="AF35" s="3540"/>
      <c r="AG35" s="3540"/>
      <c r="AH35" s="3540"/>
      <c r="AI35" s="3540"/>
    </row>
    <row r="36" spans="1:42" ht="14.25" customHeight="1">
      <c r="Q36" s="283"/>
      <c r="R36" s="283"/>
      <c r="S36" s="3401" t="s">
        <v>560</v>
      </c>
      <c r="T36" s="3401"/>
      <c r="U36" s="3401"/>
      <c r="V36" s="3401"/>
      <c r="W36" s="3401"/>
      <c r="X36" s="3401"/>
      <c r="Y36" s="3401"/>
      <c r="Z36" s="3401"/>
      <c r="AA36" s="3401"/>
      <c r="AB36" s="3401"/>
      <c r="AC36" s="3401"/>
      <c r="AD36" s="3401"/>
      <c r="AE36" s="3401"/>
      <c r="AF36" s="3401"/>
      <c r="AG36" s="3401"/>
      <c r="AH36" s="3401"/>
      <c r="AI36" s="3401"/>
      <c r="AJ36" s="3401"/>
      <c r="AK36" s="3401" t="s">
        <v>561</v>
      </c>
    </row>
    <row r="37" spans="1:42" ht="14.25" customHeight="1">
      <c r="Q37" s="283"/>
      <c r="R37" s="283"/>
      <c r="S37" s="3541" t="s">
        <v>85</v>
      </c>
      <c r="T37" s="3489" t="s">
        <v>690</v>
      </c>
      <c r="U37" s="212"/>
      <c r="V37" s="3542" t="s">
        <v>691</v>
      </c>
      <c r="W37" s="3543"/>
      <c r="X37" s="3543"/>
      <c r="Y37" s="3543"/>
      <c r="Z37" s="3543"/>
      <c r="AA37" s="3544"/>
      <c r="AB37" s="3545" t="s">
        <v>692</v>
      </c>
      <c r="AC37" s="3542" t="s">
        <v>691</v>
      </c>
      <c r="AD37" s="3543"/>
      <c r="AE37" s="3543"/>
      <c r="AF37" s="3543"/>
      <c r="AG37" s="3543"/>
      <c r="AH37" s="3544"/>
      <c r="AI37" s="3545" t="s">
        <v>693</v>
      </c>
      <c r="AJ37" s="3548" t="s">
        <v>694</v>
      </c>
      <c r="AK37" s="3401"/>
    </row>
    <row r="38" spans="1:42" ht="33.75" customHeight="1">
      <c r="Q38" s="283"/>
      <c r="R38" s="283"/>
      <c r="S38" s="3541"/>
      <c r="T38" s="3489"/>
      <c r="U38" s="901"/>
      <c r="V38" s="1310" t="s">
        <v>752</v>
      </c>
      <c r="W38" s="3383" t="s">
        <v>697</v>
      </c>
      <c r="X38" s="3382"/>
      <c r="Y38" s="3383" t="s">
        <v>698</v>
      </c>
      <c r="Z38" s="3388"/>
      <c r="AA38" s="3382"/>
      <c r="AB38" s="3546"/>
      <c r="AC38" s="1310" t="s">
        <v>752</v>
      </c>
      <c r="AD38" s="3383" t="s">
        <v>697</v>
      </c>
      <c r="AE38" s="3382"/>
      <c r="AF38" s="3383" t="s">
        <v>698</v>
      </c>
      <c r="AG38" s="3388"/>
      <c r="AH38" s="3382"/>
      <c r="AI38" s="3546"/>
      <c r="AJ38" s="3549"/>
      <c r="AK38" s="3401"/>
    </row>
    <row r="39" spans="1:42" ht="33.75" customHeight="1">
      <c r="A39" s="1231"/>
      <c r="B39" s="1231" t="s">
        <v>403</v>
      </c>
      <c r="C39" s="1231" t="s">
        <v>404</v>
      </c>
      <c r="D39" s="1231" t="s">
        <v>405</v>
      </c>
      <c r="E39" s="1225" t="s">
        <v>699</v>
      </c>
      <c r="F39" s="1225" t="s">
        <v>700</v>
      </c>
      <c r="G39" s="1225" t="s">
        <v>701</v>
      </c>
      <c r="H39" s="1225"/>
      <c r="I39" s="1225" t="s">
        <v>753</v>
      </c>
      <c r="J39" s="1225" t="s">
        <v>704</v>
      </c>
      <c r="K39" s="1225" t="s">
        <v>754</v>
      </c>
      <c r="L39" s="1225" t="s">
        <v>680</v>
      </c>
      <c r="Q39" s="283"/>
      <c r="R39" s="283"/>
      <c r="S39" s="3541"/>
      <c r="T39" s="3489"/>
      <c r="U39" s="213"/>
      <c r="V39" s="1310" t="s">
        <v>755</v>
      </c>
      <c r="W39" s="1088" t="s">
        <v>756</v>
      </c>
      <c r="X39" s="1088" t="s">
        <v>757</v>
      </c>
      <c r="Y39" s="1313" t="s">
        <v>708</v>
      </c>
      <c r="Z39" s="3494" t="s">
        <v>709</v>
      </c>
      <c r="AA39" s="3508"/>
      <c r="AB39" s="3547"/>
      <c r="AC39" s="1310" t="s">
        <v>755</v>
      </c>
      <c r="AD39" s="1088" t="s">
        <v>756</v>
      </c>
      <c r="AE39" s="1088" t="s">
        <v>757</v>
      </c>
      <c r="AF39" s="1313" t="s">
        <v>708</v>
      </c>
      <c r="AG39" s="3494" t="s">
        <v>709</v>
      </c>
      <c r="AH39" s="3508"/>
      <c r="AI39" s="3547"/>
      <c r="AJ39" s="3550"/>
      <c r="AK39" s="3401"/>
    </row>
    <row r="40" spans="1:42" s="1838" customFormat="1" ht="0" hidden="1" customHeight="1">
      <c r="A40" s="1231"/>
      <c r="B40" s="1231"/>
      <c r="C40" s="1231"/>
      <c r="D40" s="1231"/>
      <c r="E40" s="1231"/>
      <c r="F40" s="1231"/>
      <c r="G40" s="1231"/>
      <c r="H40" s="1231"/>
      <c r="I40" s="1231"/>
      <c r="J40" s="1231"/>
      <c r="K40" s="1231"/>
      <c r="L40" s="1225"/>
      <c r="M40" s="1223"/>
      <c r="N40" s="1223"/>
      <c r="O40" s="1223"/>
      <c r="P40" s="1112"/>
      <c r="Q40" s="1113"/>
      <c r="R40" s="1120">
        <v>1</v>
      </c>
      <c r="S40" s="1143" t="s">
        <v>106</v>
      </c>
      <c r="T40" s="1121" t="s">
        <v>107</v>
      </c>
      <c r="U40" s="1111" t="str">
        <f ca="1">OFFSET(U40,0,-1)</f>
        <v>2</v>
      </c>
      <c r="V40" s="1309">
        <f ca="1">OFFSET(V40,0,-1)+1</f>
        <v>3</v>
      </c>
      <c r="W40" s="1309">
        <f ca="1">OFFSET(W40,0,-1)+1</f>
        <v>4</v>
      </c>
      <c r="X40" s="1309">
        <f ca="1">OFFSET(X40,0,-1)+1</f>
        <v>5</v>
      </c>
      <c r="Y40" s="1309">
        <f ca="1">OFFSET(Y40,0,-1)+1</f>
        <v>6</v>
      </c>
      <c r="Z40" s="3539">
        <f ca="1">OFFSET(Z40,0,-1)+1</f>
        <v>7</v>
      </c>
      <c r="AA40" s="3539"/>
      <c r="AB40" s="1309">
        <f ca="1">OFFSET(AB40,0,-2)+1</f>
        <v>8</v>
      </c>
      <c r="AC40" s="1309">
        <f ca="1">OFFSET(AC40,0,-1)+1</f>
        <v>9</v>
      </c>
      <c r="AD40" s="1309">
        <f ca="1">OFFSET(AD40,0,-1)+1</f>
        <v>10</v>
      </c>
      <c r="AE40" s="1309">
        <f ca="1">OFFSET(AE40,0,-1)+1</f>
        <v>11</v>
      </c>
      <c r="AF40" s="1309">
        <f ca="1">OFFSET(AF40,0,-1)+1</f>
        <v>12</v>
      </c>
      <c r="AG40" s="3539">
        <f ca="1">OFFSET(AG40,0,-1)+1</f>
        <v>13</v>
      </c>
      <c r="AH40" s="3539"/>
      <c r="AI40" s="1309">
        <f ca="1">OFFSET(AI40,0,-2)+1</f>
        <v>14</v>
      </c>
      <c r="AJ40" s="1111">
        <f ca="1">OFFSET(AJ40,0,-1)</f>
        <v>14</v>
      </c>
      <c r="AK40" s="1309">
        <f ca="1">OFFSET(AK40,0,-1)+1</f>
        <v>15</v>
      </c>
      <c r="AL40" s="409"/>
      <c r="AM40" s="409"/>
      <c r="AN40" s="409"/>
      <c r="AO40" s="409"/>
      <c r="AP40" s="409"/>
    </row>
    <row r="41" spans="1:42" ht="23.25" customHeight="1">
      <c r="A41" s="1224" t="s">
        <v>501</v>
      </c>
      <c r="B41" s="1224"/>
      <c r="C41" s="1224"/>
      <c r="D41" s="1224"/>
      <c r="E41" s="3528">
        <v>1</v>
      </c>
      <c r="F41" s="1224"/>
      <c r="G41" s="1224"/>
      <c r="H41" s="1224"/>
      <c r="I41" s="1224"/>
      <c r="J41" s="1224"/>
      <c r="K41" s="1224"/>
      <c r="L41" s="1225"/>
      <c r="M41" s="1226"/>
      <c r="N41" s="1226"/>
      <c r="O41" s="1226"/>
      <c r="P41" s="270"/>
      <c r="Q41" s="269"/>
      <c r="R41" s="264"/>
      <c r="S41" s="1315">
        <f>INDEX(PT_DIFFERENTIATION_NUM_NTAR,MATCH(A41,PT_DIFFERENTIATION_NTAR_ID,0))</f>
        <v>0</v>
      </c>
      <c r="T41" s="209" t="s">
        <v>391</v>
      </c>
      <c r="U41" s="211"/>
      <c r="V41" s="3522"/>
      <c r="W41" s="3523"/>
      <c r="X41" s="3523"/>
      <c r="Y41" s="3523"/>
      <c r="Z41" s="3523"/>
      <c r="AA41" s="3523"/>
      <c r="AB41" s="3524"/>
      <c r="AC41" s="3522" t="str">
        <f>INDEX(PT_DIFFERENTIATION_NTAR,MATCH(A41,PT_DIFFERENTIATION_NTAR_ID,0))</f>
        <v/>
      </c>
      <c r="AD41" s="3523"/>
      <c r="AE41" s="3523"/>
      <c r="AF41" s="3523"/>
      <c r="AG41" s="3523"/>
      <c r="AH41" s="3523"/>
      <c r="AI41" s="3523"/>
      <c r="AJ41" s="3524"/>
      <c r="AK41" s="112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398"/>
      <c r="AN41" s="398" t="str">
        <f t="shared" ref="AN41:AN53" si="1">IF(T41="","",T41)</f>
        <v>Наименование тарифа</v>
      </c>
      <c r="AO41" s="398"/>
      <c r="AP41" s="398"/>
    </row>
    <row r="42" spans="1:42" ht="23.25" customHeight="1">
      <c r="A42" s="1224" t="s">
        <v>501</v>
      </c>
      <c r="B42" s="1224" t="s">
        <v>502</v>
      </c>
      <c r="C42" s="1224"/>
      <c r="D42" s="1224"/>
      <c r="E42" s="3529"/>
      <c r="F42" s="3528">
        <v>1</v>
      </c>
      <c r="G42" s="1224"/>
      <c r="H42" s="1224"/>
      <c r="I42" s="1224"/>
      <c r="J42" s="1224"/>
      <c r="K42" s="1224"/>
      <c r="L42" s="1225"/>
      <c r="M42" s="1226"/>
      <c r="N42" s="1226"/>
      <c r="O42" s="1226"/>
      <c r="P42" s="1311"/>
      <c r="Q42" s="261"/>
      <c r="R42" s="262"/>
      <c r="S42" s="1315" t="str">
        <f>INDEX(PT_DIFFERENTIATION_NUM_TER,MATCH(B42,PT_DIFFERENTIATION_TER_ID,0))</f>
        <v>.</v>
      </c>
      <c r="T42" s="219" t="s">
        <v>659</v>
      </c>
      <c r="U42" s="211"/>
      <c r="V42" s="3522"/>
      <c r="W42" s="3523"/>
      <c r="X42" s="3523"/>
      <c r="Y42" s="3523"/>
      <c r="Z42" s="3523"/>
      <c r="AA42" s="3523"/>
      <c r="AB42" s="3524"/>
      <c r="AC42" s="3522" t="str">
        <f>INDEX(PT_DIFFERENTIATION_TER,MATCH(B42,PT_DIFFERENTIATION_TER_ID,0))</f>
        <v/>
      </c>
      <c r="AD42" s="3523"/>
      <c r="AE42" s="3523"/>
      <c r="AF42" s="3523"/>
      <c r="AG42" s="3523"/>
      <c r="AH42" s="3523"/>
      <c r="AI42" s="3523"/>
      <c r="AJ42" s="3524"/>
      <c r="AK42" s="1124" t="s">
        <v>660</v>
      </c>
      <c r="AM42" s="398"/>
      <c r="AN42" s="398" t="str">
        <f t="shared" si="1"/>
        <v>Территория действия тарифа</v>
      </c>
      <c r="AO42" s="398"/>
      <c r="AP42" s="398"/>
    </row>
    <row r="43" spans="1:42" ht="23.25" customHeight="1">
      <c r="A43" s="1224" t="s">
        <v>501</v>
      </c>
      <c r="B43" s="1224" t="s">
        <v>502</v>
      </c>
      <c r="C43" s="1224" t="s">
        <v>503</v>
      </c>
      <c r="D43" s="1224"/>
      <c r="E43" s="3529"/>
      <c r="F43" s="3529"/>
      <c r="G43" s="3528">
        <v>1</v>
      </c>
      <c r="H43" s="1224"/>
      <c r="I43" s="1224"/>
      <c r="J43" s="1224"/>
      <c r="K43" s="1224"/>
      <c r="L43" s="1225"/>
      <c r="M43" s="1226"/>
      <c r="N43" s="1226"/>
      <c r="O43" s="1226"/>
      <c r="P43" s="263"/>
      <c r="Q43" s="261"/>
      <c r="R43" s="262"/>
      <c r="S43" s="1315" t="str">
        <f>INDEX(PT_DIFFERENTIATION_NUM_CS,MATCH(C43,PT_DIFFERENTIATION_CS_ID,0))</f>
        <v>..</v>
      </c>
      <c r="T43" s="220" t="s">
        <v>744</v>
      </c>
      <c r="U43" s="211"/>
      <c r="V43" s="3522"/>
      <c r="W43" s="3523"/>
      <c r="X43" s="3523"/>
      <c r="Y43" s="3523"/>
      <c r="Z43" s="3523"/>
      <c r="AA43" s="3523"/>
      <c r="AB43" s="3524"/>
      <c r="AC43" s="3522" t="str">
        <f>INDEX(PT_DIFFERENTIATION_CS,MATCH(C43,PT_DIFFERENTIATION_CS_ID,0))</f>
        <v/>
      </c>
      <c r="AD43" s="3523"/>
      <c r="AE43" s="3523"/>
      <c r="AF43" s="3523"/>
      <c r="AG43" s="3523"/>
      <c r="AH43" s="3523"/>
      <c r="AI43" s="3523"/>
      <c r="AJ43" s="3524"/>
      <c r="AK43" s="1124" t="s">
        <v>745</v>
      </c>
      <c r="AM43" s="398"/>
      <c r="AN43" s="398" t="str">
        <f t="shared" si="1"/>
        <v>Наименование централизованной системы холодного водоснабжения</v>
      </c>
      <c r="AO43" s="398"/>
      <c r="AP43" s="398"/>
    </row>
    <row r="44" spans="1:42" ht="23.25" customHeight="1">
      <c r="A44" s="1224" t="s">
        <v>501</v>
      </c>
      <c r="B44" s="1224" t="s">
        <v>502</v>
      </c>
      <c r="C44" s="1224" t="s">
        <v>503</v>
      </c>
      <c r="D44" s="1224" t="s">
        <v>761</v>
      </c>
      <c r="E44" s="3529"/>
      <c r="F44" s="3529"/>
      <c r="G44" s="3529"/>
      <c r="H44" s="3529"/>
      <c r="I44" s="3530" t="str">
        <f>S43&amp;".1"</f>
        <v>...1</v>
      </c>
      <c r="J44" s="1224"/>
      <c r="K44" s="1224"/>
      <c r="L44" s="1225"/>
      <c r="P44" s="3532">
        <v>1</v>
      </c>
      <c r="Q44" s="1308"/>
      <c r="R44" s="265"/>
      <c r="S44" s="1315" t="str">
        <f>$I44</f>
        <v>...1</v>
      </c>
      <c r="T44" s="197" t="s">
        <v>746</v>
      </c>
      <c r="U44" s="211"/>
      <c r="V44" s="3588"/>
      <c r="W44" s="3589"/>
      <c r="X44" s="3589"/>
      <c r="Y44" s="3589"/>
      <c r="Z44" s="3589"/>
      <c r="AA44" s="3589"/>
      <c r="AB44" s="3590"/>
      <c r="AC44" s="3591"/>
      <c r="AD44" s="3592"/>
      <c r="AE44" s="3592"/>
      <c r="AF44" s="3592"/>
      <c r="AG44" s="3592"/>
      <c r="AH44" s="3592"/>
      <c r="AI44" s="3592"/>
      <c r="AJ44" s="3593"/>
      <c r="AK44" s="1124" t="s">
        <v>747</v>
      </c>
      <c r="AM44" s="398"/>
      <c r="AN44" s="398" t="str">
        <f t="shared" si="1"/>
        <v>Наименование признака дифференциации</v>
      </c>
      <c r="AO44" s="398"/>
      <c r="AP44" s="398"/>
    </row>
    <row r="45" spans="1:42" ht="23.25" customHeight="1">
      <c r="A45" s="1224" t="s">
        <v>501</v>
      </c>
      <c r="B45" s="1224" t="s">
        <v>502</v>
      </c>
      <c r="C45" s="1224" t="s">
        <v>503</v>
      </c>
      <c r="D45" s="1224" t="s">
        <v>761</v>
      </c>
      <c r="E45" s="3529"/>
      <c r="F45" s="3529"/>
      <c r="G45" s="3529"/>
      <c r="H45" s="3529"/>
      <c r="I45" s="3531"/>
      <c r="J45" s="3530" t="str">
        <f>I44&amp;".1"</f>
        <v>...1.1</v>
      </c>
      <c r="K45" s="1224"/>
      <c r="L45" s="1225" t="s">
        <v>668</v>
      </c>
      <c r="P45" s="3532"/>
      <c r="Q45" s="3532">
        <v>1</v>
      </c>
      <c r="R45" s="266"/>
      <c r="S45" s="1315" t="str">
        <f>$J45</f>
        <v>...1.1</v>
      </c>
      <c r="T45" s="198" t="s">
        <v>669</v>
      </c>
      <c r="U45" s="211"/>
      <c r="V45" s="3516"/>
      <c r="W45" s="3517"/>
      <c r="X45" s="3517"/>
      <c r="Y45" s="3517"/>
      <c r="Z45" s="3517"/>
      <c r="AA45" s="3517"/>
      <c r="AB45" s="3518"/>
      <c r="AC45" s="3516"/>
      <c r="AD45" s="3517"/>
      <c r="AE45" s="3517"/>
      <c r="AF45" s="3517"/>
      <c r="AG45" s="3517"/>
      <c r="AH45" s="3517"/>
      <c r="AI45" s="3517"/>
      <c r="AJ45" s="3518"/>
      <c r="AK45" s="1171" t="s">
        <v>748</v>
      </c>
      <c r="AM45" s="398"/>
      <c r="AN45" s="398" t="str">
        <f t="shared" si="1"/>
        <v>Группа потребителей</v>
      </c>
      <c r="AO45" s="398"/>
      <c r="AP45" s="398"/>
    </row>
    <row r="46" spans="1:42" ht="23.25" customHeight="1">
      <c r="A46" s="1224" t="s">
        <v>501</v>
      </c>
      <c r="B46" s="1224" t="s">
        <v>502</v>
      </c>
      <c r="C46" s="1224" t="s">
        <v>503</v>
      </c>
      <c r="D46" s="1224" t="s">
        <v>761</v>
      </c>
      <c r="E46" s="3529"/>
      <c r="F46" s="3529"/>
      <c r="G46" s="3529"/>
      <c r="H46" s="3529"/>
      <c r="I46" s="3531"/>
      <c r="J46" s="3531"/>
      <c r="K46" s="3530" t="str">
        <f>J45&amp;".1"</f>
        <v>...1.1.1</v>
      </c>
      <c r="L46" s="1225"/>
      <c r="P46" s="3532"/>
      <c r="Q46" s="3532"/>
      <c r="R46" s="266">
        <v>1</v>
      </c>
      <c r="S46" s="1315" t="str">
        <f>$K46</f>
        <v>...1.1.1</v>
      </c>
      <c r="T46" s="1297"/>
      <c r="U46" s="211"/>
      <c r="V46" s="639"/>
      <c r="W46" s="639"/>
      <c r="X46" s="1123"/>
      <c r="Y46" s="3533"/>
      <c r="Z46" s="3412" t="s">
        <v>64</v>
      </c>
      <c r="AA46" s="3533"/>
      <c r="AB46" s="3412" t="s">
        <v>64</v>
      </c>
      <c r="AC46" s="639"/>
      <c r="AD46" s="639"/>
      <c r="AE46" s="1123"/>
      <c r="AF46" s="3533"/>
      <c r="AG46" s="3412" t="s">
        <v>64</v>
      </c>
      <c r="AH46" s="3535"/>
      <c r="AI46" s="3412" t="s">
        <v>64</v>
      </c>
      <c r="AJ46" s="1298"/>
      <c r="AK46" s="35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09" t="e">
        <f ca="1">STRCHECKDATE(V47:AJ47)</f>
        <v>#NAME?</v>
      </c>
      <c r="AM46" s="398"/>
      <c r="AN46" s="398" t="str">
        <f t="shared" si="1"/>
        <v/>
      </c>
      <c r="AO46" s="398"/>
      <c r="AP46" s="398"/>
    </row>
    <row r="47" spans="1:42" ht="0" hidden="1" customHeight="1">
      <c r="A47" s="1224" t="s">
        <v>501</v>
      </c>
      <c r="B47" s="1224" t="s">
        <v>502</v>
      </c>
      <c r="C47" s="1224" t="s">
        <v>503</v>
      </c>
      <c r="D47" s="1224" t="s">
        <v>761</v>
      </c>
      <c r="E47" s="3529"/>
      <c r="F47" s="3529"/>
      <c r="G47" s="3529"/>
      <c r="H47" s="3529"/>
      <c r="I47" s="3531"/>
      <c r="J47" s="3531"/>
      <c r="K47" s="3530"/>
      <c r="L47" s="1225"/>
      <c r="P47" s="3532"/>
      <c r="Q47" s="3532"/>
      <c r="R47" s="266"/>
      <c r="S47" s="1314"/>
      <c r="T47" s="211"/>
      <c r="U47" s="211"/>
      <c r="V47" s="236"/>
      <c r="W47" s="236"/>
      <c r="X47" s="239" t="str">
        <f>Y46&amp;"-"&amp;AA46</f>
        <v>-</v>
      </c>
      <c r="Y47" s="3534"/>
      <c r="Z47" s="3412"/>
      <c r="AA47" s="3534"/>
      <c r="AB47" s="3412"/>
      <c r="AC47" s="236"/>
      <c r="AD47" s="236"/>
      <c r="AE47" s="239" t="str">
        <f>AF46&amp;"-"&amp;AH46</f>
        <v>-</v>
      </c>
      <c r="AF47" s="3534"/>
      <c r="AG47" s="3412"/>
      <c r="AH47" s="3536"/>
      <c r="AI47" s="3412"/>
      <c r="AJ47" s="1299"/>
      <c r="AK47" s="3594"/>
      <c r="AM47" s="398"/>
      <c r="AN47" s="398" t="str">
        <f t="shared" si="1"/>
        <v/>
      </c>
      <c r="AO47" s="398"/>
      <c r="AP47" s="398"/>
    </row>
    <row r="48" spans="1:42" ht="21" customHeight="1">
      <c r="A48" s="1224" t="s">
        <v>501</v>
      </c>
      <c r="B48" s="1224" t="s">
        <v>502</v>
      </c>
      <c r="C48" s="1224" t="s">
        <v>503</v>
      </c>
      <c r="D48" s="1224" t="s">
        <v>761</v>
      </c>
      <c r="E48" s="3529"/>
      <c r="F48" s="3529"/>
      <c r="G48" s="3529"/>
      <c r="H48" s="3529"/>
      <c r="I48" s="3531"/>
      <c r="J48" s="3530"/>
      <c r="K48" s="1224"/>
      <c r="L48" s="1225"/>
      <c r="P48" s="3532"/>
      <c r="Q48" s="3532"/>
      <c r="R48" s="265"/>
      <c r="S48" s="1144"/>
      <c r="T48" s="199" t="s">
        <v>749</v>
      </c>
      <c r="U48" s="275"/>
      <c r="V48" s="275"/>
      <c r="W48" s="275"/>
      <c r="X48" s="275"/>
      <c r="Y48" s="275"/>
      <c r="Z48" s="275"/>
      <c r="AA48" s="275"/>
      <c r="AB48" s="275"/>
      <c r="AC48" s="275"/>
      <c r="AD48" s="275"/>
      <c r="AE48" s="275"/>
      <c r="AF48" s="275"/>
      <c r="AG48" s="275"/>
      <c r="AH48" s="275"/>
      <c r="AI48" s="275"/>
      <c r="AJ48" s="275"/>
      <c r="AK48" s="1124" t="s">
        <v>750</v>
      </c>
      <c r="AM48" s="398"/>
      <c r="AN48" s="398" t="str">
        <f t="shared" si="1"/>
        <v>Добавить значение признака дифференциации</v>
      </c>
      <c r="AO48" s="398"/>
      <c r="AP48" s="398"/>
    </row>
    <row r="49" spans="1:42" ht="21" customHeight="1">
      <c r="A49" s="1224" t="s">
        <v>501</v>
      </c>
      <c r="B49" s="1224" t="s">
        <v>502</v>
      </c>
      <c r="C49" s="1224" t="s">
        <v>503</v>
      </c>
      <c r="D49" s="1224" t="s">
        <v>761</v>
      </c>
      <c r="E49" s="3529"/>
      <c r="F49" s="3529"/>
      <c r="G49" s="3529"/>
      <c r="H49" s="3529"/>
      <c r="I49" s="3530"/>
      <c r="J49" s="1224"/>
      <c r="K49" s="1224"/>
      <c r="L49" s="1225"/>
      <c r="P49" s="3532"/>
      <c r="Q49" s="1308"/>
      <c r="R49" s="265"/>
      <c r="S49" s="1144"/>
      <c r="T49" s="273" t="s">
        <v>674</v>
      </c>
      <c r="U49" s="275"/>
      <c r="V49" s="275"/>
      <c r="W49" s="275"/>
      <c r="X49" s="275"/>
      <c r="Y49" s="275"/>
      <c r="Z49" s="275"/>
      <c r="AA49" s="275"/>
      <c r="AB49" s="274"/>
      <c r="AC49" s="275"/>
      <c r="AD49" s="275"/>
      <c r="AE49" s="275"/>
      <c r="AF49" s="275"/>
      <c r="AG49" s="275"/>
      <c r="AH49" s="275"/>
      <c r="AI49" s="274"/>
      <c r="AJ49" s="275"/>
      <c r="AK49" s="1300"/>
      <c r="AM49" s="398"/>
      <c r="AN49" s="398" t="str">
        <f t="shared" si="1"/>
        <v>Добавить группу потребителей</v>
      </c>
      <c r="AO49" s="398"/>
      <c r="AP49" s="398"/>
    </row>
    <row r="50" spans="1:42" ht="21" customHeight="1">
      <c r="A50" s="1224" t="s">
        <v>501</v>
      </c>
      <c r="B50" s="1224" t="s">
        <v>502</v>
      </c>
      <c r="C50" s="1224" t="s">
        <v>503</v>
      </c>
      <c r="D50" s="1224" t="s">
        <v>761</v>
      </c>
      <c r="E50" s="3529"/>
      <c r="F50" s="3529"/>
      <c r="G50" s="3529"/>
      <c r="H50" s="3528"/>
      <c r="I50" s="1224"/>
      <c r="J50" s="1224"/>
      <c r="K50" s="1224"/>
      <c r="L50" s="1225"/>
      <c r="M50" s="1226"/>
      <c r="N50" s="1226"/>
      <c r="O50" s="434"/>
      <c r="P50" s="269"/>
      <c r="Q50" s="282"/>
      <c r="R50" s="264"/>
      <c r="S50" s="1144"/>
      <c r="T50" s="280" t="s">
        <v>751</v>
      </c>
      <c r="U50" s="275"/>
      <c r="V50" s="275"/>
      <c r="W50" s="275"/>
      <c r="X50" s="275"/>
      <c r="Y50" s="275"/>
      <c r="Z50" s="275"/>
      <c r="AA50" s="275"/>
      <c r="AB50" s="274"/>
      <c r="AC50" s="275"/>
      <c r="AD50" s="275"/>
      <c r="AE50" s="275"/>
      <c r="AF50" s="275"/>
      <c r="AG50" s="275"/>
      <c r="AH50" s="275"/>
      <c r="AI50" s="274"/>
      <c r="AJ50" s="275"/>
      <c r="AK50" s="214"/>
      <c r="AM50" s="398"/>
      <c r="AN50" s="398" t="str">
        <f t="shared" si="1"/>
        <v>Добавить наименование признака дифференциации</v>
      </c>
      <c r="AO50" s="398"/>
      <c r="AP50" s="398"/>
    </row>
    <row r="51" spans="1:42" s="1866" customFormat="1" ht="0" hidden="1" customHeight="1">
      <c r="A51" s="1205" t="s">
        <v>501</v>
      </c>
      <c r="B51" s="1205" t="s">
        <v>502</v>
      </c>
      <c r="C51" s="1177"/>
      <c r="D51" s="1177"/>
      <c r="E51" s="3529"/>
      <c r="F51" s="3528"/>
      <c r="G51" s="1177"/>
      <c r="H51" s="1177"/>
      <c r="I51" s="1177"/>
      <c r="J51" s="1177"/>
      <c r="K51" s="1177"/>
      <c r="L51" s="1316"/>
      <c r="M51" s="1184"/>
      <c r="N51" s="1184"/>
      <c r="P51" s="1179"/>
      <c r="Q51" s="1180"/>
      <c r="R51" s="1179"/>
      <c r="S51" s="1185"/>
      <c r="T51" s="1188" t="s">
        <v>677</v>
      </c>
      <c r="U51" s="1187"/>
      <c r="V51" s="1187"/>
      <c r="W51" s="1187"/>
      <c r="X51" s="1187"/>
      <c r="Y51" s="1187"/>
      <c r="Z51" s="1187"/>
      <c r="AA51" s="1187"/>
      <c r="AB51" s="1187"/>
      <c r="AC51" s="1187"/>
      <c r="AD51" s="1187"/>
      <c r="AE51" s="1187"/>
      <c r="AF51" s="1187"/>
      <c r="AG51" s="1187"/>
      <c r="AH51" s="1187"/>
      <c r="AI51" s="1187"/>
      <c r="AJ51" s="1187"/>
      <c r="AK51" s="1187"/>
      <c r="AM51" s="670"/>
      <c r="AN51" s="670" t="str">
        <f t="shared" si="1"/>
        <v>Добавить централизованную систему для дифференциации</v>
      </c>
      <c r="AO51" s="670"/>
      <c r="AP51" s="670"/>
    </row>
    <row r="52" spans="1:42" s="1866" customFormat="1" ht="0" hidden="1" customHeight="1">
      <c r="A52" s="1205" t="s">
        <v>501</v>
      </c>
      <c r="B52" s="1205"/>
      <c r="C52" s="1205"/>
      <c r="D52" s="1205"/>
      <c r="E52" s="3528"/>
      <c r="F52" s="1205"/>
      <c r="G52" s="1205"/>
      <c r="H52" s="1205"/>
      <c r="I52" s="1205"/>
      <c r="J52" s="1205"/>
      <c r="K52" s="1205"/>
      <c r="L52" s="1208"/>
      <c r="M52" s="1184"/>
      <c r="N52" s="1184"/>
      <c r="O52" s="416"/>
      <c r="P52" s="287"/>
      <c r="Q52" s="1206"/>
      <c r="R52" s="287"/>
      <c r="S52" s="1185"/>
      <c r="T52" s="1188" t="s">
        <v>678</v>
      </c>
      <c r="U52" s="1187"/>
      <c r="V52" s="1187"/>
      <c r="W52" s="1187"/>
      <c r="X52" s="1187"/>
      <c r="Y52" s="1187"/>
      <c r="Z52" s="1187"/>
      <c r="AA52" s="1187"/>
      <c r="AB52" s="1187"/>
      <c r="AC52" s="1187"/>
      <c r="AD52" s="1187"/>
      <c r="AE52" s="1187"/>
      <c r="AF52" s="1187"/>
      <c r="AG52" s="1187"/>
      <c r="AH52" s="1187"/>
      <c r="AI52" s="1187"/>
      <c r="AJ52" s="1187"/>
      <c r="AK52" s="1187"/>
      <c r="AM52" s="398"/>
      <c r="AN52" s="398" t="str">
        <f t="shared" si="1"/>
        <v>Добавить территорию для дифференциации</v>
      </c>
      <c r="AO52" s="398"/>
      <c r="AP52" s="398"/>
    </row>
    <row r="53" spans="1:42" s="1866" customFormat="1" ht="0" hidden="1" customHeight="1">
      <c r="A53" s="1177"/>
      <c r="B53" s="1177"/>
      <c r="C53" s="1177"/>
      <c r="D53" s="1177"/>
      <c r="E53" s="1205"/>
      <c r="F53" s="1177"/>
      <c r="G53" s="1177"/>
      <c r="H53" s="1177"/>
      <c r="I53" s="1177"/>
      <c r="J53" s="1177"/>
      <c r="K53" s="1177"/>
      <c r="L53" s="1316"/>
      <c r="M53" s="1184"/>
      <c r="N53" s="1184"/>
      <c r="P53" s="1179"/>
      <c r="Q53" s="1180"/>
      <c r="R53" s="1179"/>
      <c r="S53" s="1185"/>
      <c r="T53" s="1188" t="s">
        <v>710</v>
      </c>
      <c r="U53" s="1187"/>
      <c r="V53" s="1187"/>
      <c r="W53" s="1187"/>
      <c r="X53" s="1187"/>
      <c r="Y53" s="1187"/>
      <c r="Z53" s="1187"/>
      <c r="AA53" s="1187"/>
      <c r="AB53" s="1187"/>
      <c r="AC53" s="1187"/>
      <c r="AD53" s="1187"/>
      <c r="AE53" s="1187"/>
      <c r="AF53" s="1187"/>
      <c r="AG53" s="1187"/>
      <c r="AH53" s="1187"/>
      <c r="AI53" s="1187"/>
      <c r="AJ53" s="1187"/>
      <c r="AK53" s="1187"/>
      <c r="AM53" s="670"/>
      <c r="AN53" s="670" t="str">
        <f t="shared" si="1"/>
        <v>Добавить наименование тарифа</v>
      </c>
      <c r="AO53" s="670"/>
      <c r="AP53" s="670"/>
    </row>
    <row r="54" spans="1:42" ht="11.25" customHeight="1">
      <c r="M54" s="1023"/>
      <c r="N54" s="1023"/>
      <c r="O54" s="434"/>
      <c r="P54" s="1018"/>
      <c r="Q54" s="1018"/>
      <c r="R54" s="1018"/>
      <c r="S54" s="1018"/>
      <c r="AL54" s="1018"/>
      <c r="AM54" s="1018"/>
      <c r="AN54" s="1018"/>
      <c r="AO54" s="1018"/>
      <c r="AP54" s="1018"/>
    </row>
    <row r="55" spans="1:42" ht="14.25" customHeight="1">
      <c r="O55" s="434"/>
      <c r="S55" s="1119"/>
      <c r="T55" s="3527"/>
      <c r="U55" s="3527"/>
      <c r="V55" s="3527"/>
      <c r="W55" s="3527"/>
      <c r="X55" s="3527"/>
      <c r="Y55" s="3527"/>
      <c r="Z55" s="3527"/>
      <c r="AA55" s="3527"/>
      <c r="AB55" s="3527"/>
      <c r="AC55" s="3527"/>
      <c r="AD55" s="3527"/>
      <c r="AE55" s="3527"/>
      <c r="AF55" s="3527"/>
      <c r="AG55" s="3527"/>
      <c r="AH55" s="3527"/>
      <c r="AI55" s="3527"/>
      <c r="AJ55" s="3527"/>
      <c r="AK55" s="3527"/>
    </row>
    <row r="56" spans="1:42" ht="14.25" customHeight="1">
      <c r="O56" s="434"/>
    </row>
    <row r="57" spans="1:42" ht="14.25" customHeight="1">
      <c r="O57" s="434"/>
      <c r="S57" s="1119"/>
      <c r="T57" s="3527"/>
      <c r="U57" s="3527"/>
      <c r="V57" s="3527"/>
      <c r="W57" s="3527"/>
      <c r="X57" s="3527"/>
      <c r="Y57" s="3527"/>
      <c r="Z57" s="3527"/>
      <c r="AA57" s="3527"/>
      <c r="AB57" s="3527"/>
      <c r="AC57" s="3527"/>
      <c r="AD57" s="3527"/>
      <c r="AE57" s="3527"/>
      <c r="AF57" s="3527"/>
      <c r="AG57" s="3527"/>
      <c r="AH57" s="3527"/>
      <c r="AI57" s="3527"/>
      <c r="AJ57" s="3527"/>
      <c r="AK57" s="3527"/>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27EF6-EAC7-4F2E-6AA6-27B6623E5905}">
  <sheetPr>
    <tabColor theme="6" tint="0.39997558519241921"/>
  </sheetPr>
  <dimension ref="A1:AP66"/>
  <sheetViews>
    <sheetView showGridLines="0" topLeftCell="R26" zoomScale="90" workbookViewId="0"/>
  </sheetViews>
  <sheetFormatPr defaultColWidth="10.5703125" defaultRowHeight="14.25" customHeight="1"/>
  <cols>
    <col min="1" max="3" width="10.140625" style="1910" hidden="1" customWidth="1"/>
    <col min="4" max="4" width="11.85546875" style="1910" hidden="1" customWidth="1"/>
    <col min="5" max="11" width="10.140625" style="1910" hidden="1" customWidth="1"/>
    <col min="12" max="12" width="10.140625" style="1952" hidden="1" customWidth="1"/>
    <col min="13" max="15" width="10.140625" style="1957" hidden="1" customWidth="1"/>
    <col min="16" max="16" width="3.7109375" style="1839" hidden="1" customWidth="1"/>
    <col min="17" max="17" width="3.7109375" style="1833" hidden="1" customWidth="1"/>
    <col min="18" max="18" width="3.7109375" style="1906" customWidth="1"/>
    <col min="19" max="19" width="12.7109375" style="1951" customWidth="1"/>
    <col min="20" max="20" width="32" style="1910" customWidth="1"/>
    <col min="21" max="21" width="0.140625" style="1910" customWidth="1"/>
    <col min="22" max="23" width="21.7109375" style="1910" hidden="1" customWidth="1"/>
    <col min="24" max="24" width="11.7109375" style="1910" hidden="1" customWidth="1"/>
    <col min="25" max="25" width="3.7109375" style="1910" hidden="1" customWidth="1"/>
    <col min="26" max="26" width="11.7109375" style="1910" hidden="1" customWidth="1"/>
    <col min="27" max="27" width="8.5703125" style="1910" hidden="1" customWidth="1"/>
    <col min="28" max="28" width="28" style="1910" customWidth="1"/>
    <col min="29" max="29" width="24.5703125" style="1910" customWidth="1"/>
    <col min="30" max="31" width="21.7109375" style="1910" customWidth="1"/>
    <col min="32" max="32" width="11.7109375" style="1910" customWidth="1"/>
    <col min="33" max="33" width="3.7109375" style="1910" customWidth="1"/>
    <col min="34" max="34" width="11.7109375" style="1910" customWidth="1"/>
    <col min="35" max="35" width="8.5703125" style="1910" customWidth="1"/>
    <col min="36" max="36" width="4.7109375" style="1910" customWidth="1"/>
    <col min="37" max="37" width="115.7109375" style="1910" customWidth="1"/>
    <col min="38" max="39" width="10.5703125" style="1866"/>
    <col min="40" max="40" width="11.140625" style="1866" customWidth="1"/>
    <col min="41" max="42" width="10.5703125" style="1866"/>
  </cols>
  <sheetData>
    <row r="1" spans="1:42" ht="14.25" hidden="1" customHeight="1"/>
    <row r="2" spans="1:42" ht="21" hidden="1" customHeight="1">
      <c r="A2" s="1133"/>
      <c r="B2" s="1133"/>
      <c r="C2" s="1133"/>
      <c r="D2" s="1133"/>
      <c r="E2" s="3554">
        <v>1</v>
      </c>
      <c r="F2" s="1133"/>
      <c r="G2" s="1133"/>
      <c r="H2" s="1133"/>
      <c r="I2" s="1133"/>
      <c r="J2" s="1133"/>
      <c r="K2" s="1133"/>
      <c r="L2" s="1173"/>
      <c r="M2" s="1458"/>
      <c r="N2" s="1458"/>
      <c r="O2" s="1458"/>
      <c r="P2" s="1270"/>
      <c r="Q2" s="750"/>
      <c r="R2" s="264"/>
      <c r="S2" s="1794" t="e">
        <f>INDEX(PT_DIFFERENTIATION_NUM_NTAR,MATCH(A2,PT_DIFFERENTIATION_NTAR_ID,0))</f>
        <v>#N/A</v>
      </c>
      <c r="T2" s="1380" t="s">
        <v>391</v>
      </c>
      <c r="U2" s="211"/>
      <c r="V2" s="3523"/>
      <c r="W2" s="3523"/>
      <c r="X2" s="3523"/>
      <c r="Y2" s="3523"/>
      <c r="Z2" s="3523"/>
      <c r="AA2" s="3524"/>
      <c r="AB2" s="1788"/>
      <c r="AC2" s="3523"/>
      <c r="AD2" s="3523"/>
      <c r="AE2" s="3523"/>
      <c r="AF2" s="3523"/>
      <c r="AG2" s="3523"/>
      <c r="AH2" s="3523"/>
      <c r="AI2" s="3523"/>
      <c r="AJ2" s="3524"/>
      <c r="AK2" s="1124" t="s">
        <v>658</v>
      </c>
      <c r="AM2" s="1469"/>
      <c r="AN2" s="1469" t="str">
        <f t="shared" ref="AN2:AN8" si="0">IF(T2="","",T2)</f>
        <v>Наименование тарифа</v>
      </c>
      <c r="AO2" s="1469"/>
      <c r="AP2" s="1469"/>
    </row>
    <row r="3" spans="1:42" ht="21" hidden="1" customHeight="1">
      <c r="A3" s="1133"/>
      <c r="B3" s="1133"/>
      <c r="C3" s="1133"/>
      <c r="D3" s="1133"/>
      <c r="E3" s="3555"/>
      <c r="F3" s="3554">
        <v>1</v>
      </c>
      <c r="G3" s="1133"/>
      <c r="H3" s="1133"/>
      <c r="I3" s="1133"/>
      <c r="J3" s="1133"/>
      <c r="K3" s="1133"/>
      <c r="L3" s="1173"/>
      <c r="M3" s="1458"/>
      <c r="N3" s="1458"/>
      <c r="O3" s="1458"/>
      <c r="P3" s="1808"/>
      <c r="Q3" s="1272"/>
      <c r="R3" s="262"/>
      <c r="S3" s="1794" t="e">
        <f>INDEX(PT_DIFFERENTIATION_NUM_TER,MATCH(B3,PT_DIFFERENTIATION_TER_ID,0))</f>
        <v>#N/A</v>
      </c>
      <c r="T3" s="1377" t="s">
        <v>659</v>
      </c>
      <c r="U3" s="211"/>
      <c r="V3" s="3523"/>
      <c r="W3" s="3523"/>
      <c r="X3" s="3523"/>
      <c r="Y3" s="3523"/>
      <c r="Z3" s="3523"/>
      <c r="AA3" s="3524"/>
      <c r="AB3" s="1788"/>
      <c r="AC3" s="3523"/>
      <c r="AD3" s="3523"/>
      <c r="AE3" s="3523"/>
      <c r="AF3" s="3523"/>
      <c r="AG3" s="3523"/>
      <c r="AH3" s="3523"/>
      <c r="AI3" s="3523"/>
      <c r="AJ3" s="3524"/>
      <c r="AK3" s="1124" t="s">
        <v>660</v>
      </c>
      <c r="AM3" s="1469"/>
      <c r="AN3" s="1469" t="str">
        <f t="shared" si="0"/>
        <v>Территория действия тарифа</v>
      </c>
      <c r="AO3" s="1469"/>
      <c r="AP3" s="1469"/>
    </row>
    <row r="4" spans="1:42" ht="22.5" hidden="1" customHeight="1">
      <c r="A4" s="1133"/>
      <c r="B4" s="1133"/>
      <c r="C4" s="1133"/>
      <c r="D4" s="1133"/>
      <c r="E4" s="3555"/>
      <c r="F4" s="3555"/>
      <c r="G4" s="3554">
        <v>1</v>
      </c>
      <c r="H4" s="1133"/>
      <c r="I4" s="1133"/>
      <c r="J4" s="1133"/>
      <c r="K4" s="1133"/>
      <c r="L4" s="1173"/>
      <c r="M4" s="1458"/>
      <c r="N4" s="1458"/>
      <c r="O4" s="1458"/>
      <c r="P4" s="1273"/>
      <c r="Q4" s="1272"/>
      <c r="R4" s="262"/>
      <c r="S4" s="1794" t="e">
        <f>INDEX(PT_DIFFERENTIATION_NUM_CS,MATCH(C4,PT_DIFFERENTIATION_CS_ID,0))</f>
        <v>#N/A</v>
      </c>
      <c r="T4" s="220" t="s">
        <v>661</v>
      </c>
      <c r="U4" s="211"/>
      <c r="V4" s="3523"/>
      <c r="W4" s="3523"/>
      <c r="X4" s="3523"/>
      <c r="Y4" s="3523"/>
      <c r="Z4" s="3523"/>
      <c r="AA4" s="3524"/>
      <c r="AB4" s="1788"/>
      <c r="AC4" s="3523"/>
      <c r="AD4" s="3523"/>
      <c r="AE4" s="3523"/>
      <c r="AF4" s="3523"/>
      <c r="AG4" s="3523"/>
      <c r="AH4" s="3523"/>
      <c r="AI4" s="3523"/>
      <c r="AJ4" s="3524"/>
      <c r="AK4" s="1124" t="s">
        <v>662</v>
      </c>
      <c r="AM4" s="1469"/>
      <c r="AN4" s="1469" t="str">
        <f t="shared" si="0"/>
        <v xml:space="preserve">Наименование системы теплоснабжения </v>
      </c>
      <c r="AO4" s="1469"/>
      <c r="AP4" s="1469"/>
    </row>
    <row r="5" spans="1:42" ht="21" hidden="1" customHeight="1">
      <c r="A5" s="1133"/>
      <c r="B5" s="1133"/>
      <c r="C5" s="1133"/>
      <c r="D5" s="1133"/>
      <c r="E5" s="3555"/>
      <c r="F5" s="3555"/>
      <c r="G5" s="3555"/>
      <c r="H5" s="3554">
        <v>1</v>
      </c>
      <c r="I5" s="1133"/>
      <c r="J5" s="1133"/>
      <c r="K5" s="1133"/>
      <c r="L5" s="1173"/>
      <c r="M5" s="1458"/>
      <c r="N5" s="1458"/>
      <c r="O5" s="1458"/>
      <c r="P5" s="1273"/>
      <c r="Q5" s="1272"/>
      <c r="R5" s="262"/>
      <c r="S5" s="1794" t="e">
        <f>INDEX(PT_DIFFERENTIATION_NUM_IST_TE,MATCH(D5,PT_DIFFERENTIATION_IST_TE_ID,0))</f>
        <v>#N/A</v>
      </c>
      <c r="T5" s="221" t="s">
        <v>663</v>
      </c>
      <c r="U5" s="211"/>
      <c r="V5" s="3523"/>
      <c r="W5" s="3523"/>
      <c r="X5" s="3523"/>
      <c r="Y5" s="3523"/>
      <c r="Z5" s="3523"/>
      <c r="AA5" s="3524"/>
      <c r="AB5" s="1788"/>
      <c r="AC5" s="3523"/>
      <c r="AD5" s="3523"/>
      <c r="AE5" s="3523"/>
      <c r="AF5" s="3523"/>
      <c r="AG5" s="3523"/>
      <c r="AH5" s="3523"/>
      <c r="AI5" s="3523"/>
      <c r="AJ5" s="3524"/>
      <c r="AK5" s="1124" t="s">
        <v>664</v>
      </c>
      <c r="AM5" s="1469"/>
      <c r="AN5" s="1469" t="str">
        <f t="shared" si="0"/>
        <v xml:space="preserve">Источник тепловой энергии  </v>
      </c>
      <c r="AO5" s="1469"/>
      <c r="AP5" s="1469"/>
    </row>
    <row r="6" spans="1:42" s="1866" customFormat="1" ht="14.25" hidden="1" customHeight="1">
      <c r="A6" s="1236"/>
      <c r="B6" s="1236"/>
      <c r="C6" s="1236"/>
      <c r="D6" s="1236"/>
      <c r="E6" s="3555"/>
      <c r="F6" s="3555"/>
      <c r="G6" s="3555"/>
      <c r="H6" s="3555"/>
      <c r="I6" s="3401" t="e">
        <f>S5&amp;".1"</f>
        <v>#N/A</v>
      </c>
      <c r="J6" s="1236"/>
      <c r="K6" s="1236"/>
      <c r="L6" s="1242" t="s">
        <v>665</v>
      </c>
      <c r="M6" s="1112"/>
      <c r="N6" s="1112"/>
      <c r="O6" s="1112"/>
      <c r="P6" s="3532">
        <v>1</v>
      </c>
      <c r="Q6" s="1790"/>
      <c r="R6" s="265"/>
      <c r="S6" s="912"/>
      <c r="T6" s="1244"/>
      <c r="U6" s="1245"/>
      <c r="V6" s="3560"/>
      <c r="W6" s="3560"/>
      <c r="X6" s="3560"/>
      <c r="Y6" s="3560"/>
      <c r="Z6" s="3560"/>
      <c r="AA6" s="3561"/>
      <c r="AB6" s="1798"/>
      <c r="AC6" s="3560"/>
      <c r="AD6" s="3560"/>
      <c r="AE6" s="3560"/>
      <c r="AF6" s="3560"/>
      <c r="AG6" s="3560"/>
      <c r="AH6" s="3560"/>
      <c r="AI6" s="3560"/>
      <c r="AJ6" s="3561"/>
      <c r="AK6" s="1246"/>
      <c r="AM6" s="1469"/>
      <c r="AN6" s="1469" t="str">
        <f t="shared" si="0"/>
        <v/>
      </c>
      <c r="AO6" s="1469"/>
      <c r="AP6" s="1469"/>
    </row>
    <row r="7" spans="1:42" s="1866" customFormat="1" ht="14.25" hidden="1" customHeight="1">
      <c r="A7" s="1236"/>
      <c r="B7" s="1236"/>
      <c r="C7" s="1236"/>
      <c r="D7" s="1236"/>
      <c r="E7" s="3555"/>
      <c r="F7" s="3555"/>
      <c r="G7" s="3555"/>
      <c r="H7" s="3555"/>
      <c r="I7" s="3383"/>
      <c r="J7" s="3401" t="e">
        <f>S5&amp;".1"</f>
        <v>#N/A</v>
      </c>
      <c r="K7" s="1236"/>
      <c r="L7" s="1242"/>
      <c r="M7" s="1112"/>
      <c r="N7" s="1112"/>
      <c r="O7" s="1112"/>
      <c r="P7" s="3532"/>
      <c r="Q7" s="3532">
        <v>1</v>
      </c>
      <c r="R7" s="266"/>
      <c r="S7" s="912"/>
      <c r="T7" s="1260"/>
      <c r="U7" s="1245"/>
      <c r="V7" s="3560"/>
      <c r="W7" s="3560"/>
      <c r="X7" s="3560"/>
      <c r="Y7" s="3560"/>
      <c r="Z7" s="3560"/>
      <c r="AA7" s="3561"/>
      <c r="AB7" s="1798"/>
      <c r="AC7" s="3560"/>
      <c r="AD7" s="3560"/>
      <c r="AE7" s="3560"/>
      <c r="AF7" s="3560"/>
      <c r="AG7" s="3560"/>
      <c r="AH7" s="3560"/>
      <c r="AI7" s="3560"/>
      <c r="AJ7" s="3561"/>
      <c r="AK7" s="1246"/>
      <c r="AM7" s="1469"/>
      <c r="AN7" s="1469" t="str">
        <f t="shared" si="0"/>
        <v/>
      </c>
      <c r="AO7" s="1469"/>
      <c r="AP7" s="1469"/>
    </row>
    <row r="8" spans="1:42" ht="21" hidden="1" customHeight="1">
      <c r="A8" s="1133"/>
      <c r="B8" s="1133"/>
      <c r="C8" s="1133"/>
      <c r="D8" s="1133"/>
      <c r="E8" s="3555"/>
      <c r="F8" s="3555"/>
      <c r="G8" s="3555"/>
      <c r="H8" s="3555"/>
      <c r="I8" s="3383"/>
      <c r="J8" s="3383"/>
      <c r="K8" s="3401" t="e">
        <f>S5&amp;".1"</f>
        <v>#N/A</v>
      </c>
      <c r="L8" s="1173"/>
      <c r="P8" s="3532"/>
      <c r="Q8" s="3532"/>
      <c r="R8" s="3581">
        <v>1</v>
      </c>
      <c r="S8" s="3578" t="e">
        <f>$K8</f>
        <v>#N/A</v>
      </c>
      <c r="T8" s="3575"/>
      <c r="U8" s="211"/>
      <c r="V8" s="639"/>
      <c r="W8" s="1123"/>
      <c r="X8" s="3533"/>
      <c r="Y8" s="3412" t="s">
        <v>64</v>
      </c>
      <c r="Z8" s="3533"/>
      <c r="AA8" s="3412" t="s">
        <v>64</v>
      </c>
      <c r="AB8" s="1778"/>
      <c r="AC8" s="3587"/>
      <c r="AD8" s="639"/>
      <c r="AE8" s="1123"/>
      <c r="AF8" s="1791"/>
      <c r="AG8" s="1778" t="s">
        <v>64</v>
      </c>
      <c r="AH8" s="1791"/>
      <c r="AI8" s="1778" t="s">
        <v>64</v>
      </c>
      <c r="AJ8" s="1210"/>
      <c r="AK8" s="3551" t="s">
        <v>726</v>
      </c>
      <c r="AL8" s="1481" t="e">
        <f ca="1">STRCHECKDATE(V11:AJ11)</f>
        <v>#NAME?</v>
      </c>
      <c r="AM8" s="1469"/>
      <c r="AN8" s="1469" t="str">
        <f t="shared" si="0"/>
        <v/>
      </c>
      <c r="AO8" s="1469"/>
      <c r="AP8" s="1469"/>
    </row>
    <row r="9" spans="1:42" ht="11.25" hidden="1" customHeight="1">
      <c r="A9" s="1133"/>
      <c r="B9" s="1133"/>
      <c r="C9" s="1133"/>
      <c r="D9" s="1133"/>
      <c r="E9" s="3555"/>
      <c r="F9" s="3555"/>
      <c r="G9" s="3555"/>
      <c r="H9" s="3555"/>
      <c r="I9" s="3383"/>
      <c r="J9" s="3383"/>
      <c r="K9" s="3401"/>
      <c r="L9" s="1173"/>
      <c r="P9" s="3532"/>
      <c r="Q9" s="3532"/>
      <c r="R9" s="3581"/>
      <c r="S9" s="3579"/>
      <c r="T9" s="3576"/>
      <c r="U9" s="211"/>
      <c r="V9" s="1254"/>
      <c r="W9" s="1258"/>
      <c r="X9" s="3533"/>
      <c r="Y9" s="3412"/>
      <c r="Z9" s="3533"/>
      <c r="AA9" s="3412"/>
      <c r="AB9" s="1778"/>
      <c r="AC9" s="3587"/>
      <c r="AD9" s="1254"/>
      <c r="AE9" s="1351"/>
      <c r="AF9" s="1254"/>
      <c r="AG9" s="1254"/>
      <c r="AH9" s="1254"/>
      <c r="AI9" s="1254"/>
      <c r="AJ9" s="1251"/>
      <c r="AK9" s="3552"/>
      <c r="AM9" s="1469"/>
      <c r="AN9" s="1469"/>
      <c r="AO9" s="1469"/>
      <c r="AP9" s="1469"/>
    </row>
    <row r="10" spans="1:42" ht="11.25" hidden="1" customHeight="1">
      <c r="A10" s="1133"/>
      <c r="B10" s="1133"/>
      <c r="C10" s="1133"/>
      <c r="D10" s="1133"/>
      <c r="E10" s="3555"/>
      <c r="F10" s="3555"/>
      <c r="G10" s="3555"/>
      <c r="H10" s="3555"/>
      <c r="I10" s="3383"/>
      <c r="J10" s="3383"/>
      <c r="K10" s="3401"/>
      <c r="L10" s="1173"/>
      <c r="P10" s="3532"/>
      <c r="Q10" s="3532"/>
      <c r="R10" s="3581"/>
      <c r="S10" s="3579"/>
      <c r="T10" s="3576"/>
      <c r="U10" s="211"/>
      <c r="V10" s="1254"/>
      <c r="W10" s="1258"/>
      <c r="X10" s="3533"/>
      <c r="Y10" s="3412"/>
      <c r="Z10" s="3533"/>
      <c r="AA10" s="3412"/>
      <c r="AB10" s="1778"/>
      <c r="AC10" s="3587"/>
      <c r="AD10" s="1254"/>
      <c r="AE10" s="1351"/>
      <c r="AF10" s="1254"/>
      <c r="AG10" s="1254"/>
      <c r="AH10" s="1254"/>
      <c r="AI10" s="1254"/>
      <c r="AJ10" s="1251"/>
      <c r="AK10" s="3552"/>
      <c r="AM10" s="1469"/>
      <c r="AN10" s="1469"/>
      <c r="AO10" s="1469"/>
      <c r="AP10" s="1469"/>
    </row>
    <row r="11" spans="1:42" ht="11.25" hidden="1" customHeight="1">
      <c r="A11" s="1133"/>
      <c r="B11" s="1133"/>
      <c r="C11" s="1133"/>
      <c r="D11" s="1133"/>
      <c r="E11" s="3555"/>
      <c r="F11" s="3555"/>
      <c r="G11" s="3555"/>
      <c r="H11" s="3555"/>
      <c r="I11" s="3383"/>
      <c r="J11" s="3383"/>
      <c r="K11" s="3401"/>
      <c r="L11" s="1173"/>
      <c r="P11" s="3532"/>
      <c r="Q11" s="3532"/>
      <c r="R11" s="3581"/>
      <c r="S11" s="3580"/>
      <c r="T11" s="3577"/>
      <c r="U11" s="211"/>
      <c r="V11" s="1254"/>
      <c r="W11" s="1257" t="str">
        <f>X8&amp;"-"&amp;Z8</f>
        <v>-</v>
      </c>
      <c r="X11" s="3534"/>
      <c r="Y11" s="3412"/>
      <c r="Z11" s="3534"/>
      <c r="AA11" s="3412"/>
      <c r="AB11" s="1810"/>
      <c r="AC11" s="1031" t="s">
        <v>729</v>
      </c>
      <c r="AD11" s="1254"/>
      <c r="AE11" s="1255" t="str">
        <f>AF8&amp;"-"&amp;AH8</f>
        <v>-</v>
      </c>
      <c r="AF11" s="1254"/>
      <c r="AG11" s="1254"/>
      <c r="AH11" s="1254"/>
      <c r="AI11" s="1254"/>
      <c r="AJ11" s="1211"/>
      <c r="AK11" s="3552"/>
      <c r="AM11" s="1469"/>
      <c r="AN11" s="1469" t="str">
        <f t="shared" ref="AN11:AN17" si="1">IF(T11="","",T11)</f>
        <v/>
      </c>
      <c r="AO11" s="1469"/>
      <c r="AP11" s="1469"/>
    </row>
    <row r="12" spans="1:42" ht="11.25" hidden="1" customHeight="1">
      <c r="A12" s="1133"/>
      <c r="B12" s="1133"/>
      <c r="C12" s="1133"/>
      <c r="D12" s="1133"/>
      <c r="E12" s="3555"/>
      <c r="F12" s="3555"/>
      <c r="G12" s="3555"/>
      <c r="H12" s="3555"/>
      <c r="I12" s="3383"/>
      <c r="J12" s="3401"/>
      <c r="K12" s="1133"/>
      <c r="L12" s="1173"/>
      <c r="P12" s="3532"/>
      <c r="Q12" s="3532"/>
      <c r="R12" s="265"/>
      <c r="S12" s="1144"/>
      <c r="T12" s="199" t="s">
        <v>730</v>
      </c>
      <c r="U12" s="494"/>
      <c r="V12" s="494"/>
      <c r="W12" s="494"/>
      <c r="X12" s="494"/>
      <c r="Y12" s="494"/>
      <c r="Z12" s="494"/>
      <c r="AA12" s="494"/>
      <c r="AB12" s="494"/>
      <c r="AC12" s="494"/>
      <c r="AD12" s="494"/>
      <c r="AE12" s="494"/>
      <c r="AF12" s="494"/>
      <c r="AG12" s="494"/>
      <c r="AH12" s="494"/>
      <c r="AI12" s="494"/>
      <c r="AJ12" s="235"/>
      <c r="AK12" s="3553"/>
      <c r="AM12" s="1469"/>
      <c r="AN12" s="1469" t="str">
        <f t="shared" si="1"/>
        <v>Добавить строку</v>
      </c>
      <c r="AO12" s="1469"/>
      <c r="AP12" s="1469"/>
    </row>
    <row r="13" spans="1:42" s="1866" customFormat="1" ht="14.25" hidden="1" customHeight="1">
      <c r="A13" s="1236"/>
      <c r="B13" s="1236"/>
      <c r="C13" s="1236"/>
      <c r="D13" s="1236"/>
      <c r="E13" s="3555"/>
      <c r="F13" s="3555"/>
      <c r="G13" s="3555"/>
      <c r="H13" s="3555"/>
      <c r="I13" s="3401"/>
      <c r="J13" s="1236"/>
      <c r="K13" s="1236"/>
      <c r="L13" s="1242"/>
      <c r="M13" s="1112"/>
      <c r="N13" s="1112"/>
      <c r="O13" s="1112"/>
      <c r="P13" s="3532"/>
      <c r="Q13" s="1790"/>
      <c r="R13" s="265"/>
      <c r="S13" s="1247"/>
      <c r="T13" s="1248"/>
      <c r="U13" s="1249"/>
      <c r="V13" s="1249"/>
      <c r="W13" s="1249"/>
      <c r="X13" s="1249"/>
      <c r="Y13" s="1249"/>
      <c r="Z13" s="1249"/>
      <c r="AA13" s="1249"/>
      <c r="AB13" s="1249"/>
      <c r="AC13" s="1249"/>
      <c r="AD13" s="1249"/>
      <c r="AE13" s="1249"/>
      <c r="AF13" s="1249"/>
      <c r="AG13" s="1249"/>
      <c r="AH13" s="1249"/>
      <c r="AI13" s="1249"/>
      <c r="AJ13" s="1249"/>
      <c r="AK13" s="1250"/>
      <c r="AM13" s="1469"/>
      <c r="AN13" s="1469" t="str">
        <f t="shared" si="1"/>
        <v/>
      </c>
      <c r="AO13" s="1469"/>
      <c r="AP13" s="1469"/>
    </row>
    <row r="14" spans="1:42" s="1866" customFormat="1" ht="14.25" hidden="1" customHeight="1">
      <c r="A14" s="1236"/>
      <c r="B14" s="1236"/>
      <c r="C14" s="1236"/>
      <c r="D14" s="1236"/>
      <c r="E14" s="3555"/>
      <c r="F14" s="3555"/>
      <c r="G14" s="3555"/>
      <c r="H14" s="3554"/>
      <c r="I14" s="1236"/>
      <c r="J14" s="1236"/>
      <c r="K14" s="1236"/>
      <c r="L14" s="1242"/>
      <c r="M14" s="1239"/>
      <c r="N14" s="1239"/>
      <c r="O14" s="260"/>
      <c r="P14" s="287"/>
      <c r="Q14" s="1206"/>
      <c r="R14" s="1262"/>
      <c r="S14" s="1247"/>
      <c r="T14" s="1248"/>
      <c r="U14" s="1249"/>
      <c r="V14" s="1249"/>
      <c r="W14" s="1249"/>
      <c r="X14" s="1249"/>
      <c r="Y14" s="1249"/>
      <c r="Z14" s="1249"/>
      <c r="AA14" s="1249"/>
      <c r="AB14" s="1249"/>
      <c r="AC14" s="1249"/>
      <c r="AD14" s="1249"/>
      <c r="AE14" s="1249"/>
      <c r="AF14" s="1249"/>
      <c r="AG14" s="1249"/>
      <c r="AH14" s="1249"/>
      <c r="AI14" s="1249"/>
      <c r="AJ14" s="1249"/>
      <c r="AK14" s="1250"/>
      <c r="AM14" s="1469"/>
      <c r="AN14" s="1469" t="str">
        <f t="shared" si="1"/>
        <v/>
      </c>
      <c r="AO14" s="1469"/>
      <c r="AP14" s="1469"/>
    </row>
    <row r="15" spans="1:42" s="1866" customFormat="1" ht="14.25" hidden="1" customHeight="1">
      <c r="A15" s="1236"/>
      <c r="B15" s="1236"/>
      <c r="C15" s="1236"/>
      <c r="D15" s="1235"/>
      <c r="E15" s="3555"/>
      <c r="F15" s="3555"/>
      <c r="G15" s="3554"/>
      <c r="H15" s="1235"/>
      <c r="I15" s="1235"/>
      <c r="J15" s="1235"/>
      <c r="K15" s="1235"/>
      <c r="L15" s="1238"/>
      <c r="M15" s="1239"/>
      <c r="N15" s="1239"/>
      <c r="O15" s="260"/>
      <c r="P15" s="1179"/>
      <c r="Q15" s="1180"/>
      <c r="R15" s="1179"/>
      <c r="S15" s="1185"/>
      <c r="T15" s="1188" t="s">
        <v>676</v>
      </c>
      <c r="U15" s="1187"/>
      <c r="V15" s="1187"/>
      <c r="W15" s="1187"/>
      <c r="X15" s="1187"/>
      <c r="Y15" s="1187"/>
      <c r="Z15" s="1187"/>
      <c r="AA15" s="1187"/>
      <c r="AB15" s="1187"/>
      <c r="AC15" s="1187"/>
      <c r="AD15" s="1187"/>
      <c r="AE15" s="1187"/>
      <c r="AF15" s="1187"/>
      <c r="AG15" s="1187"/>
      <c r="AH15" s="1187"/>
      <c r="AI15" s="1187"/>
      <c r="AJ15" s="1187"/>
      <c r="AK15" s="1187"/>
      <c r="AM15" s="1117"/>
      <c r="AN15" s="1117" t="str">
        <f t="shared" si="1"/>
        <v>Добавить источник для дифференциации</v>
      </c>
      <c r="AO15" s="1117"/>
      <c r="AP15" s="1117"/>
    </row>
    <row r="16" spans="1:42" s="1866" customFormat="1" ht="14.25" hidden="1" customHeight="1">
      <c r="A16" s="1236"/>
      <c r="B16" s="1236"/>
      <c r="C16" s="1235"/>
      <c r="D16" s="1235"/>
      <c r="E16" s="3555"/>
      <c r="F16" s="3554"/>
      <c r="G16" s="1235"/>
      <c r="H16" s="1235"/>
      <c r="I16" s="1235"/>
      <c r="J16" s="1235"/>
      <c r="K16" s="1235"/>
      <c r="L16" s="1238"/>
      <c r="M16" s="1240"/>
      <c r="N16" s="1240"/>
      <c r="O16" s="260"/>
      <c r="P16" s="1179"/>
      <c r="Q16" s="1180"/>
      <c r="R16" s="1179"/>
      <c r="S16" s="1185"/>
      <c r="T16" s="1188" t="s">
        <v>677</v>
      </c>
      <c r="U16" s="1187"/>
      <c r="V16" s="1187"/>
      <c r="W16" s="1187"/>
      <c r="X16" s="1187"/>
      <c r="Y16" s="1187"/>
      <c r="Z16" s="1187"/>
      <c r="AA16" s="1187"/>
      <c r="AB16" s="1187"/>
      <c r="AC16" s="1187"/>
      <c r="AD16" s="1187"/>
      <c r="AE16" s="1187"/>
      <c r="AF16" s="1187"/>
      <c r="AG16" s="1187"/>
      <c r="AH16" s="1187"/>
      <c r="AI16" s="1187"/>
      <c r="AJ16" s="1187"/>
      <c r="AK16" s="1187"/>
      <c r="AM16" s="1117"/>
      <c r="AN16" s="1117" t="str">
        <f t="shared" si="1"/>
        <v>Добавить централизованную систему для дифференциации</v>
      </c>
      <c r="AO16" s="1117"/>
      <c r="AP16" s="1117"/>
    </row>
    <row r="17" spans="1:42" s="1866" customFormat="1" ht="14.25" hidden="1" customHeight="1">
      <c r="A17" s="1236"/>
      <c r="B17" s="1236"/>
      <c r="C17" s="1236"/>
      <c r="D17" s="1236"/>
      <c r="E17" s="3554"/>
      <c r="F17" s="1236"/>
      <c r="G17" s="1236"/>
      <c r="H17" s="1236"/>
      <c r="I17" s="1236"/>
      <c r="J17" s="1236"/>
      <c r="K17" s="1236"/>
      <c r="L17" s="1242"/>
      <c r="M17" s="1240"/>
      <c r="N17" s="1240"/>
      <c r="O17" s="260"/>
      <c r="P17" s="287"/>
      <c r="Q17" s="1206"/>
      <c r="R17" s="287"/>
      <c r="S17" s="1185"/>
      <c r="T17" s="1188" t="s">
        <v>678</v>
      </c>
      <c r="U17" s="1187"/>
      <c r="V17" s="1187"/>
      <c r="W17" s="1187"/>
      <c r="X17" s="1187"/>
      <c r="Y17" s="1187"/>
      <c r="Z17" s="1187"/>
      <c r="AA17" s="1187"/>
      <c r="AB17" s="1187"/>
      <c r="AC17" s="1187"/>
      <c r="AD17" s="1187"/>
      <c r="AE17" s="1187"/>
      <c r="AF17" s="1187"/>
      <c r="AG17" s="1187"/>
      <c r="AH17" s="1187"/>
      <c r="AI17" s="1187"/>
      <c r="AJ17" s="1187"/>
      <c r="AK17" s="1187"/>
      <c r="AM17" s="1469"/>
      <c r="AN17" s="1469" t="str">
        <f t="shared" si="1"/>
        <v>Добавить территорию для дифференциации</v>
      </c>
      <c r="AO17" s="1469"/>
      <c r="AP17" s="1469"/>
    </row>
    <row r="18" spans="1:42" ht="14.25" hidden="1" customHeight="1"/>
    <row r="19" spans="1:42" ht="14.25" hidden="1" customHeight="1">
      <c r="AC19" s="1357"/>
      <c r="AD19" s="1264"/>
      <c r="AE19" s="1265"/>
      <c r="AF19" s="1579"/>
      <c r="AG19" s="1805" t="s">
        <v>64</v>
      </c>
      <c r="AH19" s="1579"/>
      <c r="AI19" s="1805" t="s">
        <v>64</v>
      </c>
    </row>
    <row r="20" spans="1:42" ht="14.25" hidden="1" customHeight="1">
      <c r="AL20" s="1486"/>
      <c r="AM20" s="1486"/>
      <c r="AN20" s="1486"/>
      <c r="AO20" s="1486"/>
      <c r="AP20" s="1486"/>
    </row>
    <row r="21" spans="1:42" ht="14.25" hidden="1" customHeight="1">
      <c r="O21" s="1207" t="s">
        <v>679</v>
      </c>
      <c r="X21" s="1207"/>
      <c r="Z21" s="1207"/>
      <c r="AF21" s="1207"/>
      <c r="AH21" s="1207"/>
      <c r="AL21" s="1486"/>
      <c r="AM21" s="1486"/>
      <c r="AN21" s="1486"/>
      <c r="AO21" s="1486"/>
      <c r="AP21" s="1486"/>
    </row>
    <row r="22" spans="1:42" ht="14.25" hidden="1" customHeight="1">
      <c r="AL22" s="1486"/>
      <c r="AM22" s="1486"/>
      <c r="AN22" s="1486"/>
      <c r="AO22" s="1486"/>
      <c r="AP22" s="1486"/>
    </row>
    <row r="23" spans="1:42" s="1841" customFormat="1" ht="14.25" hidden="1" customHeight="1">
      <c r="A23" s="1811"/>
      <c r="B23" s="1811"/>
      <c r="C23" s="1811"/>
      <c r="D23" s="1811"/>
      <c r="E23" s="1811"/>
      <c r="F23" s="1811"/>
      <c r="G23" s="1811"/>
      <c r="H23" s="1811"/>
      <c r="I23" s="1811"/>
      <c r="J23" s="1811"/>
      <c r="K23" s="1811"/>
      <c r="L23" s="1811"/>
      <c r="M23" s="1812"/>
      <c r="N23" s="1812"/>
      <c r="O23" s="1813" t="s">
        <v>680</v>
      </c>
      <c r="P23" s="1363"/>
      <c r="Q23" s="1365"/>
      <c r="R23" s="1365"/>
      <c r="Y23" s="1362" t="s">
        <v>682</v>
      </c>
      <c r="AA23" s="1362" t="s">
        <v>683</v>
      </c>
      <c r="AC23" s="1362" t="s">
        <v>732</v>
      </c>
      <c r="AG23" s="1362" t="s">
        <v>682</v>
      </c>
      <c r="AI23" s="1362" t="s">
        <v>683</v>
      </c>
      <c r="AL23" s="1366"/>
      <c r="AM23" s="1366"/>
      <c r="AN23" s="1366"/>
      <c r="AO23" s="1366"/>
      <c r="AP23" s="1366"/>
    </row>
    <row r="24" spans="1:42" ht="14.25" hidden="1" customHeight="1">
      <c r="O24" s="1173"/>
      <c r="AL24" s="1486"/>
      <c r="AM24" s="1486"/>
      <c r="AN24" s="1486"/>
      <c r="AO24" s="1486"/>
      <c r="AP24" s="1486"/>
    </row>
    <row r="25" spans="1:42" ht="14.25" hidden="1" customHeight="1">
      <c r="O25" s="1173"/>
      <c r="AL25" s="1486"/>
      <c r="AM25" s="1486"/>
      <c r="AN25" s="1486"/>
      <c r="AO25" s="1486"/>
      <c r="AP25" s="1486"/>
    </row>
    <row r="26" spans="1:42" ht="14.25" customHeight="1">
      <c r="Q26" s="203"/>
      <c r="R26" s="283"/>
      <c r="S26" s="1141"/>
      <c r="T26" s="357"/>
      <c r="U26" s="357"/>
      <c r="V26" s="1480"/>
      <c r="W26" s="1480"/>
      <c r="X26" s="1480"/>
      <c r="Y26" s="1480"/>
      <c r="Z26" s="1480"/>
      <c r="AA26" s="1480"/>
      <c r="AB26" s="1480"/>
      <c r="AC26" s="1480"/>
      <c r="AD26" s="1480"/>
      <c r="AE26" s="1480"/>
      <c r="AF26" s="1480"/>
      <c r="AG26" s="1480"/>
      <c r="AH26" s="1480"/>
      <c r="AI26" s="1480"/>
    </row>
    <row r="27" spans="1:42" ht="38.25" customHeight="1">
      <c r="Q27" s="203"/>
      <c r="R27" s="283"/>
      <c r="S27" s="350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509"/>
      <c r="U27" s="3509"/>
      <c r="V27" s="3509"/>
      <c r="W27" s="3509"/>
      <c r="X27" s="3509"/>
      <c r="Y27" s="3509"/>
      <c r="Z27" s="3509"/>
      <c r="AA27" s="3509"/>
      <c r="AB27" s="3509"/>
      <c r="AC27" s="3509"/>
      <c r="AD27" s="3509"/>
      <c r="AE27" s="3509"/>
      <c r="AF27" s="3509"/>
      <c r="AG27" s="3509"/>
      <c r="AH27" s="3509"/>
      <c r="AI27" s="1109"/>
    </row>
    <row r="28" spans="1:42" ht="14.25" customHeight="1">
      <c r="Q28" s="203"/>
      <c r="R28" s="283"/>
      <c r="S28" s="3480" t="str">
        <f>IF(org=0,"Не определено",org)</f>
        <v>АО "Орелгортеплоэнерго"</v>
      </c>
      <c r="T28" s="3480"/>
      <c r="U28" s="3480"/>
      <c r="V28" s="3480"/>
      <c r="W28" s="3480"/>
      <c r="X28" s="3480"/>
      <c r="Y28" s="3480"/>
      <c r="Z28" s="3480"/>
      <c r="AA28" s="3480"/>
      <c r="AB28" s="3480"/>
      <c r="AC28" s="3480"/>
      <c r="AD28" s="3480"/>
      <c r="AE28" s="3480"/>
      <c r="AF28" s="3480"/>
      <c r="AG28" s="3480"/>
      <c r="AH28" s="3480"/>
      <c r="AI28" s="1109"/>
    </row>
    <row r="29" spans="1:42" ht="14.25" hidden="1" customHeight="1">
      <c r="Q29" s="203"/>
      <c r="R29" s="283"/>
      <c r="S29" s="1141"/>
      <c r="T29" s="357"/>
      <c r="U29" s="357"/>
      <c r="V29" s="233"/>
      <c r="W29" s="233"/>
      <c r="X29" s="233"/>
      <c r="Y29" s="233"/>
      <c r="Z29" s="233"/>
      <c r="AA29" s="233"/>
      <c r="AB29" s="233"/>
      <c r="AC29" s="233"/>
      <c r="AD29" s="233"/>
      <c r="AE29" s="233"/>
      <c r="AF29" s="233"/>
      <c r="AG29" s="233"/>
      <c r="AH29" s="233"/>
      <c r="AI29" s="233"/>
      <c r="AJ29" s="1480"/>
    </row>
    <row r="30" spans="1:42" s="1944" customFormat="1" ht="25.5" hidden="1" customHeight="1">
      <c r="A30" s="1114"/>
      <c r="B30" s="1114"/>
      <c r="C30" s="1114"/>
      <c r="D30" s="1114"/>
      <c r="E30" s="1114"/>
      <c r="F30" s="1114"/>
      <c r="G30" s="1114"/>
      <c r="H30" s="1114"/>
      <c r="I30" s="1114"/>
      <c r="J30" s="1114"/>
      <c r="K30" s="1114"/>
      <c r="L30" s="1241"/>
      <c r="M30" s="1114"/>
      <c r="N30" s="1114"/>
      <c r="O30" s="1114"/>
      <c r="P30" s="1229"/>
      <c r="Q30" s="1229"/>
      <c r="S30" s="3519" t="s">
        <v>38</v>
      </c>
      <c r="T30" s="3519"/>
      <c r="U30" s="1233"/>
      <c r="V30" s="3521" t="str">
        <f>IF(TITLE_NAME_OR_PR_CHANGE="",IF(TITLE_NAME_OR_PR="","",TITLE_NAME_OR_PR),TITLE_NAME_OR_PR_CHANGE)</f>
        <v/>
      </c>
      <c r="W30" s="3521"/>
      <c r="X30" s="3521"/>
      <c r="Y30" s="3521"/>
      <c r="Z30" s="3521"/>
      <c r="AA30" s="1480"/>
      <c r="AB30" s="1480"/>
      <c r="AC30" s="3521"/>
      <c r="AD30" s="3521"/>
      <c r="AE30" s="3521"/>
      <c r="AF30" s="3521"/>
      <c r="AG30" s="3521"/>
      <c r="AH30" s="3521"/>
      <c r="AI30" s="1480"/>
      <c r="AJ30" s="1480"/>
      <c r="AK30" s="193"/>
      <c r="AL30" s="276"/>
      <c r="AM30" s="276"/>
      <c r="AN30" s="276"/>
      <c r="AO30" s="276"/>
      <c r="AP30" s="276"/>
    </row>
    <row r="31" spans="1:42" s="1944" customFormat="1" ht="18.75" hidden="1" customHeight="1">
      <c r="A31" s="1114"/>
      <c r="B31" s="1114"/>
      <c r="C31" s="1114"/>
      <c r="D31" s="1114"/>
      <c r="E31" s="1114"/>
      <c r="F31" s="1114"/>
      <c r="G31" s="1114"/>
      <c r="H31" s="1114"/>
      <c r="I31" s="1114"/>
      <c r="J31" s="1114"/>
      <c r="K31" s="1114"/>
      <c r="L31" s="1241"/>
      <c r="M31" s="1114"/>
      <c r="N31" s="1114"/>
      <c r="O31" s="1114"/>
      <c r="P31" s="1229"/>
      <c r="Q31" s="1229"/>
      <c r="S31" s="3519" t="s">
        <v>685</v>
      </c>
      <c r="T31" s="3519"/>
      <c r="U31" s="1233"/>
      <c r="V31" s="3520" t="str">
        <f>IF(TITLE_DATE_PR_CHANGE="",IF(TITLE_DATE_PR="","",TITLE_DATE_PR),TITLE_DATE_PR_CHANGE)</f>
        <v/>
      </c>
      <c r="W31" s="3520"/>
      <c r="X31" s="3520"/>
      <c r="Y31" s="3520"/>
      <c r="Z31" s="3520"/>
      <c r="AA31" s="1480"/>
      <c r="AB31" s="1480"/>
      <c r="AC31" s="3520"/>
      <c r="AD31" s="3520"/>
      <c r="AE31" s="3520"/>
      <c r="AF31" s="3520"/>
      <c r="AG31" s="3520"/>
      <c r="AH31" s="3520"/>
      <c r="AI31" s="1480"/>
      <c r="AJ31" s="1480"/>
      <c r="AK31" s="193"/>
      <c r="AL31" s="276"/>
      <c r="AM31" s="276"/>
      <c r="AN31" s="276"/>
      <c r="AO31" s="276"/>
      <c r="AP31" s="276"/>
    </row>
    <row r="32" spans="1:42" s="1944" customFormat="1" ht="18.75" hidden="1" customHeight="1">
      <c r="A32" s="1114"/>
      <c r="B32" s="1114"/>
      <c r="C32" s="1114"/>
      <c r="D32" s="1114"/>
      <c r="E32" s="1114"/>
      <c r="F32" s="1114"/>
      <c r="G32" s="1114"/>
      <c r="H32" s="1114"/>
      <c r="I32" s="1114"/>
      <c r="J32" s="1114"/>
      <c r="K32" s="1114"/>
      <c r="L32" s="1241"/>
      <c r="M32" s="1114"/>
      <c r="N32" s="1114"/>
      <c r="O32" s="1114"/>
      <c r="P32" s="1229"/>
      <c r="Q32" s="1229"/>
      <c r="S32" s="3519" t="s">
        <v>686</v>
      </c>
      <c r="T32" s="3519"/>
      <c r="U32" s="1233"/>
      <c r="V32" s="3521" t="str">
        <f>IF(TITLE_NUMBER_PR_CHANGE="",IF(TITLE_NUMBER_PR="","",TITLE_NUMBER_PR),TITLE_NUMBER_PR_CHANGE)</f>
        <v/>
      </c>
      <c r="W32" s="3521"/>
      <c r="X32" s="3521"/>
      <c r="Y32" s="3521"/>
      <c r="Z32" s="3521"/>
      <c r="AA32" s="1480"/>
      <c r="AB32" s="1480"/>
      <c r="AC32" s="3521"/>
      <c r="AD32" s="3521"/>
      <c r="AE32" s="3521"/>
      <c r="AF32" s="3521"/>
      <c r="AG32" s="3521"/>
      <c r="AH32" s="3521"/>
      <c r="AI32" s="1480"/>
      <c r="AJ32" s="1480"/>
      <c r="AK32" s="193"/>
      <c r="AL32" s="276"/>
      <c r="AM32" s="276"/>
      <c r="AN32" s="276"/>
      <c r="AO32" s="276"/>
      <c r="AP32" s="276"/>
    </row>
    <row r="33" spans="1:42" s="1944" customFormat="1" ht="18.75" hidden="1" customHeight="1">
      <c r="A33" s="1114"/>
      <c r="B33" s="1114"/>
      <c r="C33" s="1114"/>
      <c r="D33" s="1114"/>
      <c r="E33" s="1114"/>
      <c r="F33" s="1114"/>
      <c r="G33" s="1114"/>
      <c r="H33" s="1114"/>
      <c r="I33" s="1114"/>
      <c r="J33" s="1114"/>
      <c r="K33" s="1114"/>
      <c r="L33" s="1241"/>
      <c r="M33" s="1114"/>
      <c r="N33" s="1114"/>
      <c r="O33" s="1114"/>
      <c r="P33" s="1229"/>
      <c r="Q33" s="1229"/>
      <c r="S33" s="3519" t="s">
        <v>39</v>
      </c>
      <c r="T33" s="3519"/>
      <c r="U33" s="1233"/>
      <c r="V33" s="3521" t="str">
        <f>IF(TITLE_IST_PUB_CHANGE="",IF(TITLE_IST_PUB="","",TITLE_IST_PUB),TITLE_IST_PUB_CHANGE)</f>
        <v/>
      </c>
      <c r="W33" s="3521"/>
      <c r="X33" s="3521"/>
      <c r="Y33" s="3521"/>
      <c r="Z33" s="3521"/>
      <c r="AA33" s="1480"/>
      <c r="AB33" s="1480"/>
      <c r="AC33" s="3521"/>
      <c r="AD33" s="3521"/>
      <c r="AE33" s="3521"/>
      <c r="AF33" s="3521"/>
      <c r="AG33" s="3521"/>
      <c r="AH33" s="3521"/>
      <c r="AI33" s="1480"/>
      <c r="AJ33" s="1480"/>
      <c r="AK33" s="193"/>
      <c r="AL33" s="276"/>
      <c r="AM33" s="276"/>
      <c r="AN33" s="276"/>
      <c r="AO33" s="276"/>
      <c r="AP33" s="276"/>
    </row>
    <row r="34" spans="1:42" ht="14.25" hidden="1" customHeight="1">
      <c r="Q34" s="203"/>
      <c r="R34" s="283"/>
      <c r="S34" s="1141"/>
      <c r="T34" s="357"/>
      <c r="U34" s="357"/>
      <c r="V34" s="233"/>
      <c r="W34" s="233"/>
      <c r="X34" s="233"/>
      <c r="Y34" s="233"/>
      <c r="Z34" s="233"/>
      <c r="AA34" s="233"/>
      <c r="AB34" s="233"/>
      <c r="AC34" s="233"/>
      <c r="AD34" s="233"/>
      <c r="AE34" s="233"/>
      <c r="AF34" s="233"/>
      <c r="AG34" s="233"/>
      <c r="AH34" s="233"/>
      <c r="AI34" s="233"/>
      <c r="AJ34" s="1480"/>
    </row>
    <row r="35" spans="1:42" s="1944" customFormat="1" ht="18.75" hidden="1" customHeight="1">
      <c r="A35" s="1114"/>
      <c r="B35" s="1114"/>
      <c r="C35" s="1114"/>
      <c r="D35" s="1114"/>
      <c r="E35" s="1114"/>
      <c r="F35" s="1114"/>
      <c r="G35" s="1114"/>
      <c r="H35" s="1114"/>
      <c r="I35" s="1114"/>
      <c r="J35" s="1114"/>
      <c r="K35" s="1114"/>
      <c r="L35" s="1241"/>
      <c r="M35" s="1114"/>
      <c r="N35" s="1114"/>
      <c r="O35" s="1114"/>
      <c r="P35" s="1229"/>
      <c r="Q35" s="1229"/>
      <c r="S35" s="3519" t="s">
        <v>685</v>
      </c>
      <c r="T35" s="3519"/>
      <c r="U35" s="1233"/>
      <c r="V35" s="3520" t="str">
        <f>IF(TITLE_DATE_PR_CHANGE="",IF(TITLE_DATE_PR="","",TITLE_DATE_PR),TITLE_DATE_PR_CHANGE)</f>
        <v/>
      </c>
      <c r="W35" s="3520"/>
      <c r="X35" s="3520"/>
      <c r="Y35" s="3520"/>
      <c r="Z35" s="3520"/>
      <c r="AA35" s="1480"/>
      <c r="AB35" s="1480"/>
      <c r="AC35" s="3520"/>
      <c r="AD35" s="3520"/>
      <c r="AE35" s="3520"/>
      <c r="AF35" s="3520"/>
      <c r="AG35" s="3520"/>
      <c r="AH35" s="3520"/>
      <c r="AI35" s="1480"/>
      <c r="AJ35" s="1480"/>
      <c r="AK35" s="193"/>
      <c r="AL35" s="276"/>
      <c r="AM35" s="276"/>
      <c r="AN35" s="276"/>
      <c r="AO35" s="276"/>
      <c r="AP35" s="276"/>
    </row>
    <row r="36" spans="1:42" s="1944" customFormat="1" ht="18" hidden="1" customHeight="1">
      <c r="A36" s="1114"/>
      <c r="B36" s="1114"/>
      <c r="C36" s="1114"/>
      <c r="D36" s="1114"/>
      <c r="E36" s="1114"/>
      <c r="F36" s="1114"/>
      <c r="G36" s="1114"/>
      <c r="H36" s="1114"/>
      <c r="I36" s="1114"/>
      <c r="J36" s="1114"/>
      <c r="K36" s="1114"/>
      <c r="L36" s="1241"/>
      <c r="M36" s="1114"/>
      <c r="N36" s="1114"/>
      <c r="O36" s="1114"/>
      <c r="P36" s="1229"/>
      <c r="Q36" s="1229"/>
      <c r="S36" s="3519" t="s">
        <v>686</v>
      </c>
      <c r="T36" s="3519"/>
      <c r="U36" s="1233"/>
      <c r="V36" s="3521" t="str">
        <f>IF(TITLE_NUMBER_PR_CHANGE="",IF(TITLE_NUMBER_PR="","",TITLE_NUMBER_PR),TITLE_NUMBER_PR_CHANGE)</f>
        <v/>
      </c>
      <c r="W36" s="3521"/>
      <c r="X36" s="3521"/>
      <c r="Y36" s="3521"/>
      <c r="Z36" s="3521"/>
      <c r="AA36" s="1480"/>
      <c r="AB36" s="1480"/>
      <c r="AC36" s="3521"/>
      <c r="AD36" s="3521"/>
      <c r="AE36" s="3521"/>
      <c r="AF36" s="3521"/>
      <c r="AG36" s="3521"/>
      <c r="AH36" s="3521"/>
      <c r="AI36" s="1480"/>
      <c r="AJ36" s="1480"/>
      <c r="AK36" s="193"/>
      <c r="AL36" s="276"/>
      <c r="AM36" s="276"/>
      <c r="AN36" s="276"/>
      <c r="AO36" s="276"/>
      <c r="AP36" s="276"/>
    </row>
    <row r="37" spans="1:42" s="1944" customFormat="1" ht="0.75" customHeight="1">
      <c r="A37" s="1114"/>
      <c r="B37" s="1114"/>
      <c r="C37" s="1114"/>
      <c r="D37" s="1114"/>
      <c r="E37" s="1114"/>
      <c r="F37" s="1114"/>
      <c r="G37" s="1114"/>
      <c r="H37" s="1114"/>
      <c r="I37" s="1114"/>
      <c r="J37" s="1114"/>
      <c r="K37" s="1114"/>
      <c r="L37" s="1241"/>
      <c r="M37" s="1114"/>
      <c r="N37" s="1114"/>
      <c r="O37" s="1114"/>
      <c r="P37" s="1229"/>
      <c r="Q37" s="1229"/>
      <c r="S37" s="1480"/>
      <c r="T37" s="1480"/>
      <c r="U37" s="1809"/>
      <c r="V37" s="1480"/>
      <c r="W37" s="1480"/>
      <c r="X37" s="1480"/>
      <c r="Y37" s="1480"/>
      <c r="Z37" s="1480"/>
      <c r="AA37" s="1487" t="s">
        <v>689</v>
      </c>
      <c r="AB37" s="1487"/>
      <c r="AC37" s="1480"/>
      <c r="AD37" s="1480"/>
      <c r="AE37" s="1480"/>
      <c r="AF37" s="1480"/>
      <c r="AG37" s="1480"/>
      <c r="AH37" s="1480"/>
      <c r="AI37" s="1487" t="s">
        <v>689</v>
      </c>
      <c r="AL37" s="276"/>
      <c r="AM37" s="276"/>
      <c r="AN37" s="276"/>
      <c r="AO37" s="276"/>
      <c r="AP37" s="276"/>
    </row>
    <row r="38" spans="1:42" ht="14.25" customHeight="1">
      <c r="Q38" s="203"/>
      <c r="R38" s="283"/>
      <c r="S38" s="1141"/>
      <c r="T38" s="357"/>
      <c r="U38" s="1110"/>
      <c r="V38" s="3540"/>
      <c r="W38" s="3540"/>
      <c r="X38" s="3540"/>
      <c r="Y38" s="3540"/>
      <c r="Z38" s="3540"/>
      <c r="AA38" s="3540"/>
      <c r="AB38" s="1793"/>
      <c r="AC38" s="3540"/>
      <c r="AD38" s="3540"/>
      <c r="AE38" s="3540"/>
      <c r="AF38" s="3540"/>
      <c r="AG38" s="3540"/>
      <c r="AH38" s="3540"/>
      <c r="AI38" s="3540"/>
    </row>
    <row r="39" spans="1:42" ht="14.25" customHeight="1">
      <c r="Q39" s="203"/>
      <c r="R39" s="283"/>
      <c r="S39" s="3401" t="s">
        <v>560</v>
      </c>
      <c r="T39" s="3401"/>
      <c r="U39" s="3401"/>
      <c r="V39" s="3401"/>
      <c r="W39" s="3401"/>
      <c r="X39" s="3401"/>
      <c r="Y39" s="3401"/>
      <c r="Z39" s="3401"/>
      <c r="AA39" s="3458"/>
      <c r="AB39" s="3458"/>
      <c r="AC39" s="3458"/>
      <c r="AD39" s="3401"/>
      <c r="AE39" s="3401"/>
      <c r="AF39" s="3401"/>
      <c r="AG39" s="3401"/>
      <c r="AH39" s="3401"/>
      <c r="AI39" s="3401"/>
      <c r="AJ39" s="3401"/>
      <c r="AK39" s="3401" t="s">
        <v>561</v>
      </c>
    </row>
    <row r="40" spans="1:42" ht="14.25" customHeight="1">
      <c r="Q40" s="203"/>
      <c r="R40" s="283"/>
      <c r="S40" s="3541" t="s">
        <v>85</v>
      </c>
      <c r="T40" s="3489" t="s">
        <v>762</v>
      </c>
      <c r="U40" s="248"/>
      <c r="V40" s="3543"/>
      <c r="W40" s="3543"/>
      <c r="X40" s="3543"/>
      <c r="Y40" s="3543"/>
      <c r="Z40" s="3543"/>
      <c r="AA40" s="3489" t="s">
        <v>692</v>
      </c>
      <c r="AB40" s="3488" t="s">
        <v>763</v>
      </c>
      <c r="AC40" s="3488" t="s">
        <v>736</v>
      </c>
      <c r="AD40" s="3558" t="s">
        <v>691</v>
      </c>
      <c r="AE40" s="3558"/>
      <c r="AF40" s="3543"/>
      <c r="AG40" s="3543"/>
      <c r="AH40" s="3544"/>
      <c r="AI40" s="3545" t="s">
        <v>692</v>
      </c>
      <c r="AJ40" s="3548" t="s">
        <v>694</v>
      </c>
      <c r="AK40" s="3401"/>
    </row>
    <row r="41" spans="1:42" ht="33.75" customHeight="1">
      <c r="Q41" s="203"/>
      <c r="R41" s="283"/>
      <c r="S41" s="3541"/>
      <c r="T41" s="3489"/>
      <c r="U41" s="901"/>
      <c r="V41" s="3459" t="s">
        <v>739</v>
      </c>
      <c r="W41" s="3460"/>
      <c r="X41" s="3459" t="s">
        <v>698</v>
      </c>
      <c r="Y41" s="3563"/>
      <c r="Z41" s="3563"/>
      <c r="AA41" s="3489"/>
      <c r="AB41" s="3488"/>
      <c r="AC41" s="3488"/>
      <c r="AD41" s="3382" t="s">
        <v>740</v>
      </c>
      <c r="AE41" s="3401"/>
      <c r="AF41" s="3563" t="s">
        <v>698</v>
      </c>
      <c r="AG41" s="3563"/>
      <c r="AH41" s="3460"/>
      <c r="AI41" s="3546"/>
      <c r="AJ41" s="3549"/>
      <c r="AK41" s="3401"/>
    </row>
    <row r="42" spans="1:42" ht="14.25" customHeight="1">
      <c r="Q42" s="203"/>
      <c r="R42" s="283"/>
      <c r="S42" s="3541"/>
      <c r="T42" s="3489"/>
      <c r="U42" s="901"/>
      <c r="V42" s="3464"/>
      <c r="W42" s="3465"/>
      <c r="X42" s="3464"/>
      <c r="Y42" s="3564"/>
      <c r="Z42" s="3564"/>
      <c r="AA42" s="3489"/>
      <c r="AB42" s="3488"/>
      <c r="AC42" s="3488"/>
      <c r="AD42" s="3595"/>
      <c r="AE42" s="3586"/>
      <c r="AF42" s="3564"/>
      <c r="AG42" s="3564"/>
      <c r="AH42" s="3465"/>
      <c r="AI42" s="3546"/>
      <c r="AJ42" s="3549"/>
      <c r="AK42" s="3401"/>
    </row>
    <row r="43" spans="1:42" ht="14.25" customHeight="1">
      <c r="A43" s="1132"/>
      <c r="B43" s="1132" t="s">
        <v>403</v>
      </c>
      <c r="C43" s="1132" t="s">
        <v>404</v>
      </c>
      <c r="D43" s="1132" t="s">
        <v>405</v>
      </c>
      <c r="E43" s="1173" t="s">
        <v>699</v>
      </c>
      <c r="F43" s="1173" t="s">
        <v>700</v>
      </c>
      <c r="G43" s="1173" t="s">
        <v>701</v>
      </c>
      <c r="H43" s="1173" t="s">
        <v>702</v>
      </c>
      <c r="I43" s="1173" t="s">
        <v>703</v>
      </c>
      <c r="J43" s="1173" t="s">
        <v>704</v>
      </c>
      <c r="K43" s="1173" t="s">
        <v>705</v>
      </c>
      <c r="L43" s="1173" t="s">
        <v>680</v>
      </c>
      <c r="Q43" s="203"/>
      <c r="R43" s="283"/>
      <c r="S43" s="3541"/>
      <c r="T43" s="3489"/>
      <c r="U43" s="213"/>
      <c r="V43" s="1786" t="s">
        <v>741</v>
      </c>
      <c r="W43" s="1786" t="s">
        <v>742</v>
      </c>
      <c r="X43" s="1774" t="s">
        <v>708</v>
      </c>
      <c r="Y43" s="3494" t="s">
        <v>709</v>
      </c>
      <c r="Z43" s="3507"/>
      <c r="AA43" s="3489"/>
      <c r="AB43" s="3488"/>
      <c r="AC43" s="3488"/>
      <c r="AD43" s="1807" t="s">
        <v>741</v>
      </c>
      <c r="AE43" s="1795" t="s">
        <v>742</v>
      </c>
      <c r="AF43" s="1774" t="s">
        <v>708</v>
      </c>
      <c r="AG43" s="3494" t="s">
        <v>709</v>
      </c>
      <c r="AH43" s="3508"/>
      <c r="AI43" s="3547"/>
      <c r="AJ43" s="3550"/>
      <c r="AK43" s="3401"/>
    </row>
    <row r="44" spans="1:42" s="1838" customFormat="1" ht="11.25" hidden="1" customHeight="1">
      <c r="A44" s="1132"/>
      <c r="B44" s="1132"/>
      <c r="C44" s="1132"/>
      <c r="D44" s="1132"/>
      <c r="E44" s="1132"/>
      <c r="F44" s="1132"/>
      <c r="G44" s="1132"/>
      <c r="H44" s="1132"/>
      <c r="I44" s="1132"/>
      <c r="J44" s="1132"/>
      <c r="K44" s="1132"/>
      <c r="L44" s="1173"/>
      <c r="M44" s="1804"/>
      <c r="N44" s="1804"/>
      <c r="O44" s="1804"/>
      <c r="P44" s="408"/>
      <c r="Q44" s="1120"/>
      <c r="R44" s="1120">
        <v>1</v>
      </c>
      <c r="S44" s="1143" t="s">
        <v>106</v>
      </c>
      <c r="T44" s="1121" t="s">
        <v>107</v>
      </c>
      <c r="U44" s="1111" t="str">
        <f ca="1">OFFSET(U44,0,-1)</f>
        <v>2</v>
      </c>
      <c r="V44" s="1792">
        <f ca="1">OFFSET(V44,0,-1)+1</f>
        <v>3</v>
      </c>
      <c r="W44" s="1792">
        <f ca="1">OFFSET(W44,0,-1)+1</f>
        <v>4</v>
      </c>
      <c r="X44" s="1792">
        <f ca="1">OFFSET(X44,0,-1)+1</f>
        <v>5</v>
      </c>
      <c r="Y44" s="3539">
        <f ca="1">OFFSET(Y44,0,-1)+1</f>
        <v>6</v>
      </c>
      <c r="Z44" s="3539"/>
      <c r="AA44" s="1203">
        <f ca="1">OFFSET(AA44,0,-2)+1</f>
        <v>7</v>
      </c>
      <c r="AB44" s="1203"/>
      <c r="AC44" s="1203"/>
      <c r="AD44" s="1792">
        <f ca="1">OFFSET(AD44,0,-1)+1</f>
        <v>1</v>
      </c>
      <c r="AE44" s="1792">
        <f ca="1">OFFSET(AE44,0,-1)+1</f>
        <v>2</v>
      </c>
      <c r="AF44" s="1792">
        <f ca="1">OFFSET(AF44,0,-1)+1</f>
        <v>3</v>
      </c>
      <c r="AG44" s="3539">
        <f ca="1">OFFSET(AG44,0,-1)+1</f>
        <v>4</v>
      </c>
      <c r="AH44" s="3539"/>
      <c r="AI44" s="1792">
        <f ca="1">OFFSET(AI44,0,-2)+1</f>
        <v>5</v>
      </c>
      <c r="AJ44" s="1111">
        <f ca="1">OFFSET(AJ44,0,-1)</f>
        <v>5</v>
      </c>
      <c r="AK44" s="1792">
        <f ca="1">OFFSET(AK44,0,-1)+1</f>
        <v>6</v>
      </c>
      <c r="AL44" s="1481"/>
      <c r="AM44" s="1481"/>
      <c r="AN44" s="1481"/>
      <c r="AO44" s="1481"/>
      <c r="AP44" s="1481"/>
    </row>
    <row r="45" spans="1:42" ht="102" customHeight="1">
      <c r="A45" s="1133" t="s">
        <v>466</v>
      </c>
      <c r="B45" s="1133"/>
      <c r="C45" s="1133"/>
      <c r="D45" s="1133"/>
      <c r="E45" s="3554">
        <v>1</v>
      </c>
      <c r="F45" s="1133"/>
      <c r="G45" s="1133"/>
      <c r="H45" s="1133"/>
      <c r="I45" s="1133"/>
      <c r="J45" s="1133"/>
      <c r="K45" s="1133"/>
      <c r="L45" s="1173"/>
      <c r="M45" s="1458"/>
      <c r="N45" s="1458"/>
      <c r="O45" s="1458"/>
      <c r="P45" s="1270"/>
      <c r="Q45" s="750"/>
      <c r="R45" s="264"/>
      <c r="S45" s="1794">
        <f>INDEX(PT_DIFFERENTIATION_NUM_NTAR,MATCH(A45,PT_DIFFERENTIATION_NTAR_ID,0))</f>
        <v>0</v>
      </c>
      <c r="T45" s="1380" t="s">
        <v>391</v>
      </c>
      <c r="U45" s="211"/>
      <c r="V45" s="3523"/>
      <c r="W45" s="3523"/>
      <c r="X45" s="3523"/>
      <c r="Y45" s="3523"/>
      <c r="Z45" s="3523"/>
      <c r="AA45" s="3524"/>
      <c r="AB45" s="1788"/>
      <c r="AC45" s="3523"/>
      <c r="AD45" s="3523"/>
      <c r="AE45" s="3523"/>
      <c r="AF45" s="3523"/>
      <c r="AG45" s="3523"/>
      <c r="AH45" s="3523"/>
      <c r="AI45" s="3523"/>
      <c r="AJ45" s="3524"/>
      <c r="AK45" s="112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5" s="1469"/>
      <c r="AN45" s="1469" t="str">
        <f t="shared" ref="AN45:AN59" si="2">IF(T45="","",T45)</f>
        <v>Наименование тарифа</v>
      </c>
      <c r="AO45" s="1469"/>
      <c r="AP45" s="1469"/>
    </row>
    <row r="46" spans="1:42" ht="21" customHeight="1">
      <c r="A46" s="1133" t="s">
        <v>466</v>
      </c>
      <c r="B46" s="1133" t="s">
        <v>467</v>
      </c>
      <c r="C46" s="1133"/>
      <c r="D46" s="1133"/>
      <c r="E46" s="3555"/>
      <c r="F46" s="3554">
        <v>1</v>
      </c>
      <c r="G46" s="1133"/>
      <c r="H46" s="1133"/>
      <c r="I46" s="1133"/>
      <c r="J46" s="1133"/>
      <c r="K46" s="1133"/>
      <c r="L46" s="1173"/>
      <c r="M46" s="1458"/>
      <c r="N46" s="1458"/>
      <c r="O46" s="1458"/>
      <c r="P46" s="1808"/>
      <c r="Q46" s="1272"/>
      <c r="R46" s="262"/>
      <c r="S46" s="1794" t="str">
        <f>INDEX(PT_DIFFERENTIATION_NUM_TER,MATCH(B46,PT_DIFFERENTIATION_TER_ID,0))</f>
        <v>.</v>
      </c>
      <c r="T46" s="1377" t="s">
        <v>659</v>
      </c>
      <c r="U46" s="211"/>
      <c r="V46" s="3523"/>
      <c r="W46" s="3523"/>
      <c r="X46" s="3523"/>
      <c r="Y46" s="3523"/>
      <c r="Z46" s="3523"/>
      <c r="AA46" s="3524"/>
      <c r="AB46" s="1788"/>
      <c r="AC46" s="3523"/>
      <c r="AD46" s="3523"/>
      <c r="AE46" s="3523"/>
      <c r="AF46" s="3523"/>
      <c r="AG46" s="3523"/>
      <c r="AH46" s="3523"/>
      <c r="AI46" s="3523"/>
      <c r="AJ46" s="3524"/>
      <c r="AK46" s="1124" t="s">
        <v>660</v>
      </c>
      <c r="AM46" s="1469"/>
      <c r="AN46" s="1469" t="str">
        <f t="shared" si="2"/>
        <v>Территория действия тарифа</v>
      </c>
      <c r="AO46" s="1469"/>
      <c r="AP46" s="1469"/>
    </row>
    <row r="47" spans="1:42" ht="23.25" customHeight="1">
      <c r="A47" s="1133" t="s">
        <v>466</v>
      </c>
      <c r="B47" s="1133" t="s">
        <v>467</v>
      </c>
      <c r="C47" s="1133" t="s">
        <v>468</v>
      </c>
      <c r="D47" s="1133"/>
      <c r="E47" s="3555"/>
      <c r="F47" s="3555"/>
      <c r="G47" s="3554">
        <v>1</v>
      </c>
      <c r="H47" s="1133"/>
      <c r="I47" s="1133"/>
      <c r="J47" s="1133"/>
      <c r="K47" s="1133"/>
      <c r="L47" s="1173"/>
      <c r="M47" s="1458"/>
      <c r="N47" s="1458"/>
      <c r="O47" s="1458"/>
      <c r="P47" s="1273"/>
      <c r="Q47" s="1272"/>
      <c r="R47" s="262"/>
      <c r="S47" s="1794" t="str">
        <f>INDEX(PT_DIFFERENTIATION_NUM_CS,MATCH(C47,PT_DIFFERENTIATION_CS_ID,0))</f>
        <v>..</v>
      </c>
      <c r="T47" s="220" t="s">
        <v>661</v>
      </c>
      <c r="U47" s="211"/>
      <c r="V47" s="3523"/>
      <c r="W47" s="3523"/>
      <c r="X47" s="3523"/>
      <c r="Y47" s="3523"/>
      <c r="Z47" s="3523"/>
      <c r="AA47" s="3524"/>
      <c r="AB47" s="1788"/>
      <c r="AC47" s="3523"/>
      <c r="AD47" s="3523"/>
      <c r="AE47" s="3523"/>
      <c r="AF47" s="3523"/>
      <c r="AG47" s="3523"/>
      <c r="AH47" s="3523"/>
      <c r="AI47" s="3523"/>
      <c r="AJ47" s="3524"/>
      <c r="AK47" s="1124" t="s">
        <v>662</v>
      </c>
      <c r="AM47" s="1469"/>
      <c r="AN47" s="1469" t="str">
        <f t="shared" si="2"/>
        <v xml:space="preserve">Наименование системы теплоснабжения </v>
      </c>
      <c r="AO47" s="1469"/>
      <c r="AP47" s="1469"/>
    </row>
    <row r="48" spans="1:42" ht="21" customHeight="1">
      <c r="A48" s="1133" t="s">
        <v>466</v>
      </c>
      <c r="B48" s="1133" t="s">
        <v>467</v>
      </c>
      <c r="C48" s="1133" t="s">
        <v>468</v>
      </c>
      <c r="D48" s="1133" t="s">
        <v>469</v>
      </c>
      <c r="E48" s="3555"/>
      <c r="F48" s="3555"/>
      <c r="G48" s="3555"/>
      <c r="H48" s="3554">
        <v>1</v>
      </c>
      <c r="I48" s="1133"/>
      <c r="J48" s="1133"/>
      <c r="K48" s="1133"/>
      <c r="L48" s="1173"/>
      <c r="M48" s="1458"/>
      <c r="N48" s="1458"/>
      <c r="O48" s="1458"/>
      <c r="P48" s="1273"/>
      <c r="Q48" s="1272"/>
      <c r="R48" s="262"/>
      <c r="S48" s="1794" t="str">
        <f>INDEX(PT_DIFFERENTIATION_NUM_IST_TE,MATCH(D48,PT_DIFFERENTIATION_IST_TE_ID,0))</f>
        <v>...</v>
      </c>
      <c r="T48" s="221" t="s">
        <v>663</v>
      </c>
      <c r="U48" s="211"/>
      <c r="V48" s="3523"/>
      <c r="W48" s="3523"/>
      <c r="X48" s="3523"/>
      <c r="Y48" s="3523"/>
      <c r="Z48" s="3523"/>
      <c r="AA48" s="3524"/>
      <c r="AB48" s="1788"/>
      <c r="AC48" s="3523"/>
      <c r="AD48" s="3523"/>
      <c r="AE48" s="3523"/>
      <c r="AF48" s="3523"/>
      <c r="AG48" s="3523"/>
      <c r="AH48" s="3523"/>
      <c r="AI48" s="3523"/>
      <c r="AJ48" s="3524"/>
      <c r="AK48" s="1124" t="s">
        <v>664</v>
      </c>
      <c r="AM48" s="1469"/>
      <c r="AN48" s="1469" t="str">
        <f t="shared" si="2"/>
        <v xml:space="preserve">Источник тепловой энергии  </v>
      </c>
      <c r="AO48" s="1469"/>
      <c r="AP48" s="1469"/>
    </row>
    <row r="49" spans="1:42" s="1866" customFormat="1" ht="0" hidden="1" customHeight="1">
      <c r="A49" s="1236" t="s">
        <v>466</v>
      </c>
      <c r="B49" s="1236" t="s">
        <v>467</v>
      </c>
      <c r="C49" s="1236" t="s">
        <v>468</v>
      </c>
      <c r="D49" s="1236" t="s">
        <v>469</v>
      </c>
      <c r="E49" s="3555"/>
      <c r="F49" s="3555"/>
      <c r="G49" s="3555"/>
      <c r="H49" s="3555"/>
      <c r="I49" s="3401" t="str">
        <f>S48&amp;".1"</f>
        <v>....1</v>
      </c>
      <c r="J49" s="1236"/>
      <c r="K49" s="1236"/>
      <c r="L49" s="1242" t="s">
        <v>665</v>
      </c>
      <c r="M49" s="1112"/>
      <c r="N49" s="1112"/>
      <c r="O49" s="1112"/>
      <c r="P49" s="3532">
        <v>1</v>
      </c>
      <c r="Q49" s="1790"/>
      <c r="R49" s="265"/>
      <c r="S49" s="912"/>
      <c r="T49" s="1244"/>
      <c r="U49" s="1245"/>
      <c r="V49" s="3560"/>
      <c r="W49" s="3560"/>
      <c r="X49" s="3560"/>
      <c r="Y49" s="3560"/>
      <c r="Z49" s="3560"/>
      <c r="AA49" s="3561"/>
      <c r="AB49" s="1798"/>
      <c r="AC49" s="3560"/>
      <c r="AD49" s="3560"/>
      <c r="AE49" s="3560"/>
      <c r="AF49" s="3560"/>
      <c r="AG49" s="3560"/>
      <c r="AH49" s="3560"/>
      <c r="AI49" s="3560"/>
      <c r="AJ49" s="3561"/>
      <c r="AK49" s="1246"/>
      <c r="AM49" s="1469"/>
      <c r="AN49" s="1469" t="str">
        <f t="shared" si="2"/>
        <v/>
      </c>
      <c r="AO49" s="1469"/>
      <c r="AP49" s="1469"/>
    </row>
    <row r="50" spans="1:42" s="1866" customFormat="1" ht="0" hidden="1" customHeight="1">
      <c r="A50" s="1236" t="s">
        <v>466</v>
      </c>
      <c r="B50" s="1236" t="s">
        <v>467</v>
      </c>
      <c r="C50" s="1236" t="s">
        <v>468</v>
      </c>
      <c r="D50" s="1236" t="s">
        <v>469</v>
      </c>
      <c r="E50" s="3555"/>
      <c r="F50" s="3555"/>
      <c r="G50" s="3555"/>
      <c r="H50" s="3555"/>
      <c r="I50" s="3383"/>
      <c r="J50" s="3401" t="str">
        <f>S48&amp;".1"</f>
        <v>....1</v>
      </c>
      <c r="K50" s="1236"/>
      <c r="L50" s="1242"/>
      <c r="M50" s="1112"/>
      <c r="N50" s="1112"/>
      <c r="O50" s="1112"/>
      <c r="P50" s="3532"/>
      <c r="Q50" s="3532">
        <v>1</v>
      </c>
      <c r="R50" s="266"/>
      <c r="S50" s="912"/>
      <c r="T50" s="1260"/>
      <c r="U50" s="1245"/>
      <c r="V50" s="3560"/>
      <c r="W50" s="3560"/>
      <c r="X50" s="3560"/>
      <c r="Y50" s="3560"/>
      <c r="Z50" s="3560"/>
      <c r="AA50" s="3561"/>
      <c r="AB50" s="1798"/>
      <c r="AC50" s="3560"/>
      <c r="AD50" s="3560"/>
      <c r="AE50" s="3560"/>
      <c r="AF50" s="3560"/>
      <c r="AG50" s="3560"/>
      <c r="AH50" s="3560"/>
      <c r="AI50" s="3560"/>
      <c r="AJ50" s="3561"/>
      <c r="AK50" s="1246"/>
      <c r="AM50" s="1469"/>
      <c r="AN50" s="1469" t="str">
        <f t="shared" si="2"/>
        <v/>
      </c>
      <c r="AO50" s="1469"/>
      <c r="AP50" s="1469"/>
    </row>
    <row r="51" spans="1:42" ht="21" customHeight="1">
      <c r="A51" s="1133" t="s">
        <v>466</v>
      </c>
      <c r="B51" s="1133" t="s">
        <v>467</v>
      </c>
      <c r="C51" s="1133" t="s">
        <v>468</v>
      </c>
      <c r="D51" s="1133" t="s">
        <v>469</v>
      </c>
      <c r="E51" s="3555"/>
      <c r="F51" s="3555"/>
      <c r="G51" s="3555"/>
      <c r="H51" s="3555"/>
      <c r="I51" s="3383"/>
      <c r="J51" s="3383"/>
      <c r="K51" s="1777" t="str">
        <f>S48&amp;".1"</f>
        <v>....1</v>
      </c>
      <c r="L51" s="1173"/>
      <c r="P51" s="3532"/>
      <c r="Q51" s="3532"/>
      <c r="R51" s="266">
        <v>1</v>
      </c>
      <c r="S51" s="1801" t="str">
        <f>$K51</f>
        <v>....1</v>
      </c>
      <c r="T51" s="1800"/>
      <c r="U51" s="211"/>
      <c r="V51" s="639"/>
      <c r="W51" s="1123"/>
      <c r="X51" s="1791"/>
      <c r="Y51" s="1778" t="s">
        <v>64</v>
      </c>
      <c r="Z51" s="1791"/>
      <c r="AA51" s="1778" t="s">
        <v>64</v>
      </c>
      <c r="AB51" s="1803"/>
      <c r="AC51" s="1802" t="s">
        <v>18</v>
      </c>
      <c r="AD51" s="639"/>
      <c r="AE51" s="1123"/>
      <c r="AF51" s="1791"/>
      <c r="AG51" s="1778" t="s">
        <v>64</v>
      </c>
      <c r="AH51" s="1791"/>
      <c r="AI51" s="1778" t="s">
        <v>64</v>
      </c>
      <c r="AJ51" s="1210"/>
      <c r="AK51" s="3551" t="s">
        <v>743</v>
      </c>
      <c r="AL51" s="1481" t="e">
        <f ca="1">STRCHECKDATE(#REF!)</f>
        <v>#NAME?</v>
      </c>
      <c r="AM51" s="1469"/>
      <c r="AN51" s="1469" t="str">
        <f t="shared" si="2"/>
        <v/>
      </c>
      <c r="AO51" s="1469"/>
      <c r="AP51" s="1469"/>
    </row>
    <row r="52" spans="1:42" ht="11.25" customHeight="1">
      <c r="A52" s="1133" t="s">
        <v>466</v>
      </c>
      <c r="B52" s="1133" t="s">
        <v>467</v>
      </c>
      <c r="C52" s="1133" t="s">
        <v>468</v>
      </c>
      <c r="D52" s="1133" t="s">
        <v>469</v>
      </c>
      <c r="E52" s="3555"/>
      <c r="F52" s="3555"/>
      <c r="G52" s="3555"/>
      <c r="H52" s="3555"/>
      <c r="I52" s="3383"/>
      <c r="J52" s="3401"/>
      <c r="K52" s="1133"/>
      <c r="L52" s="1173"/>
      <c r="P52" s="3532"/>
      <c r="Q52" s="3532"/>
      <c r="R52" s="265"/>
      <c r="S52" s="1144"/>
      <c r="T52" s="199" t="s">
        <v>730</v>
      </c>
      <c r="U52" s="494"/>
      <c r="V52" s="494"/>
      <c r="W52" s="494"/>
      <c r="X52" s="494"/>
      <c r="Y52" s="494"/>
      <c r="Z52" s="494"/>
      <c r="AA52" s="235"/>
      <c r="AB52" s="494"/>
      <c r="AC52" s="494"/>
      <c r="AD52" s="494"/>
      <c r="AE52" s="494"/>
      <c r="AF52" s="494"/>
      <c r="AG52" s="494"/>
      <c r="AH52" s="494"/>
      <c r="AI52" s="494"/>
      <c r="AJ52" s="235"/>
      <c r="AK52" s="3553"/>
      <c r="AM52" s="1469"/>
      <c r="AN52" s="1469" t="str">
        <f t="shared" si="2"/>
        <v>Добавить строку</v>
      </c>
      <c r="AO52" s="1469"/>
      <c r="AP52" s="1469"/>
    </row>
    <row r="53" spans="1:42" s="1866" customFormat="1" ht="0" hidden="1" customHeight="1">
      <c r="A53" s="1236" t="s">
        <v>466</v>
      </c>
      <c r="B53" s="1236" t="s">
        <v>467</v>
      </c>
      <c r="C53" s="1236" t="s">
        <v>468</v>
      </c>
      <c r="D53" s="1236" t="s">
        <v>469</v>
      </c>
      <c r="E53" s="3555"/>
      <c r="F53" s="3555"/>
      <c r="G53" s="3555"/>
      <c r="H53" s="3555"/>
      <c r="I53" s="3401"/>
      <c r="J53" s="1236"/>
      <c r="K53" s="1236"/>
      <c r="L53" s="1242"/>
      <c r="M53" s="1112"/>
      <c r="N53" s="1112"/>
      <c r="O53" s="1112"/>
      <c r="P53" s="3532"/>
      <c r="Q53" s="1790"/>
      <c r="R53" s="265"/>
      <c r="S53" s="1247"/>
      <c r="T53" s="1248" t="s">
        <v>674</v>
      </c>
      <c r="U53" s="1249"/>
      <c r="V53" s="1249"/>
      <c r="W53" s="1249"/>
      <c r="X53" s="1249"/>
      <c r="Y53" s="1249"/>
      <c r="Z53" s="1249"/>
      <c r="AA53" s="1249"/>
      <c r="AB53" s="1249"/>
      <c r="AC53" s="1249"/>
      <c r="AD53" s="1249"/>
      <c r="AE53" s="1249"/>
      <c r="AF53" s="1249"/>
      <c r="AG53" s="1249"/>
      <c r="AH53" s="1249"/>
      <c r="AI53" s="1249"/>
      <c r="AJ53" s="1249"/>
      <c r="AK53" s="1250"/>
      <c r="AM53" s="1469"/>
      <c r="AN53" s="1469" t="str">
        <f t="shared" si="2"/>
        <v>Добавить группу потребителей</v>
      </c>
      <c r="AO53" s="1469"/>
      <c r="AP53" s="1469"/>
    </row>
    <row r="54" spans="1:42" s="1838" customFormat="1" ht="0" hidden="1" customHeight="1">
      <c r="A54" s="1236" t="s">
        <v>466</v>
      </c>
      <c r="B54" s="1236" t="s">
        <v>467</v>
      </c>
      <c r="C54" s="1236" t="s">
        <v>468</v>
      </c>
      <c r="D54" s="1236" t="s">
        <v>469</v>
      </c>
      <c r="E54" s="3555"/>
      <c r="F54" s="3555"/>
      <c r="G54" s="3555"/>
      <c r="H54" s="3554"/>
      <c r="I54" s="1236"/>
      <c r="J54" s="1236"/>
      <c r="K54" s="1236"/>
      <c r="L54" s="1242"/>
      <c r="M54" s="1239"/>
      <c r="N54" s="1239"/>
      <c r="O54" s="260"/>
      <c r="P54" s="287"/>
      <c r="Q54" s="1206"/>
      <c r="R54" s="1261"/>
      <c r="S54" s="1247"/>
      <c r="T54" s="1248"/>
      <c r="U54" s="1249"/>
      <c r="V54" s="1249"/>
      <c r="W54" s="1249"/>
      <c r="X54" s="1249"/>
      <c r="Y54" s="1249"/>
      <c r="Z54" s="1249"/>
      <c r="AA54" s="1249"/>
      <c r="AB54" s="1249"/>
      <c r="AC54" s="1249"/>
      <c r="AD54" s="1249"/>
      <c r="AE54" s="1249"/>
      <c r="AF54" s="1249"/>
      <c r="AG54" s="1249"/>
      <c r="AH54" s="1249"/>
      <c r="AI54" s="1249"/>
      <c r="AJ54" s="1249"/>
      <c r="AK54" s="1250"/>
      <c r="AL54" s="1481"/>
      <c r="AM54" s="1469"/>
      <c r="AN54" s="1469" t="str">
        <f t="shared" si="2"/>
        <v/>
      </c>
      <c r="AO54" s="1469"/>
      <c r="AP54" s="1469"/>
    </row>
    <row r="55" spans="1:42" s="1866" customFormat="1" ht="0" hidden="1" customHeight="1">
      <c r="A55" s="1236" t="s">
        <v>466</v>
      </c>
      <c r="B55" s="1236" t="s">
        <v>467</v>
      </c>
      <c r="C55" s="1236" t="s">
        <v>468</v>
      </c>
      <c r="D55" s="1235"/>
      <c r="E55" s="3555"/>
      <c r="F55" s="3555"/>
      <c r="G55" s="3554"/>
      <c r="H55" s="1235"/>
      <c r="I55" s="1235"/>
      <c r="J55" s="1235"/>
      <c r="K55" s="1235"/>
      <c r="L55" s="1238"/>
      <c r="M55" s="1239"/>
      <c r="N55" s="1239"/>
      <c r="O55" s="260"/>
      <c r="P55" s="1179"/>
      <c r="Q55" s="1180"/>
      <c r="R55" s="1179"/>
      <c r="S55" s="1185"/>
      <c r="T55" s="1188" t="s">
        <v>676</v>
      </c>
      <c r="U55" s="1187"/>
      <c r="V55" s="1187"/>
      <c r="W55" s="1187"/>
      <c r="X55" s="1187"/>
      <c r="Y55" s="1187"/>
      <c r="Z55" s="1187"/>
      <c r="AA55" s="1187"/>
      <c r="AB55" s="1187"/>
      <c r="AC55" s="1187"/>
      <c r="AD55" s="1187"/>
      <c r="AE55" s="1187"/>
      <c r="AF55" s="1187"/>
      <c r="AG55" s="1187"/>
      <c r="AH55" s="1187"/>
      <c r="AI55" s="1187"/>
      <c r="AJ55" s="1187"/>
      <c r="AK55" s="1187"/>
      <c r="AM55" s="1117"/>
      <c r="AN55" s="1117" t="str">
        <f t="shared" si="2"/>
        <v>Добавить источник для дифференциации</v>
      </c>
      <c r="AO55" s="1117"/>
      <c r="AP55" s="1117"/>
    </row>
    <row r="56" spans="1:42" s="1866" customFormat="1" ht="0" hidden="1" customHeight="1">
      <c r="A56" s="1236" t="s">
        <v>466</v>
      </c>
      <c r="B56" s="1236" t="s">
        <v>467</v>
      </c>
      <c r="C56" s="1235"/>
      <c r="D56" s="1235"/>
      <c r="E56" s="3555"/>
      <c r="F56" s="3554"/>
      <c r="G56" s="1235"/>
      <c r="H56" s="1235"/>
      <c r="I56" s="1235"/>
      <c r="J56" s="1235"/>
      <c r="K56" s="1235"/>
      <c r="L56" s="1238"/>
      <c r="M56" s="1240"/>
      <c r="N56" s="1240"/>
      <c r="O56" s="260"/>
      <c r="P56" s="1179"/>
      <c r="Q56" s="1180"/>
      <c r="R56" s="1179"/>
      <c r="S56" s="1185"/>
      <c r="T56" s="1188" t="s">
        <v>677</v>
      </c>
      <c r="U56" s="1187"/>
      <c r="V56" s="1187"/>
      <c r="W56" s="1187"/>
      <c r="X56" s="1187"/>
      <c r="Y56" s="1187"/>
      <c r="Z56" s="1187"/>
      <c r="AA56" s="1187"/>
      <c r="AB56" s="1187"/>
      <c r="AC56" s="1187"/>
      <c r="AD56" s="1187"/>
      <c r="AE56" s="1187"/>
      <c r="AF56" s="1187"/>
      <c r="AG56" s="1187"/>
      <c r="AH56" s="1187"/>
      <c r="AI56" s="1187"/>
      <c r="AJ56" s="1187"/>
      <c r="AK56" s="1187"/>
      <c r="AM56" s="1117"/>
      <c r="AN56" s="1117" t="str">
        <f t="shared" si="2"/>
        <v>Добавить централизованную систему для дифференциации</v>
      </c>
      <c r="AO56" s="1117"/>
      <c r="AP56" s="1117"/>
    </row>
    <row r="57" spans="1:42" s="1866" customFormat="1" ht="0" hidden="1" customHeight="1">
      <c r="A57" s="1236" t="s">
        <v>466</v>
      </c>
      <c r="B57" s="1236"/>
      <c r="C57" s="1236"/>
      <c r="D57" s="1236"/>
      <c r="E57" s="3555"/>
      <c r="F57" s="1236"/>
      <c r="G57" s="1236"/>
      <c r="H57" s="1236"/>
      <c r="I57" s="1236"/>
      <c r="J57" s="1236"/>
      <c r="K57" s="1236"/>
      <c r="L57" s="1242"/>
      <c r="M57" s="1240"/>
      <c r="N57" s="1240"/>
      <c r="O57" s="260"/>
      <c r="P57" s="287"/>
      <c r="Q57" s="1206"/>
      <c r="R57" s="287"/>
      <c r="S57" s="1185"/>
      <c r="T57" s="1188" t="s">
        <v>678</v>
      </c>
      <c r="U57" s="1187"/>
      <c r="V57" s="1187"/>
      <c r="W57" s="1187"/>
      <c r="X57" s="1187"/>
      <c r="Y57" s="1187"/>
      <c r="Z57" s="1187"/>
      <c r="AA57" s="1187"/>
      <c r="AB57" s="1187"/>
      <c r="AC57" s="1187"/>
      <c r="AD57" s="1187"/>
      <c r="AE57" s="1187"/>
      <c r="AF57" s="1187"/>
      <c r="AG57" s="1187"/>
      <c r="AH57" s="1187"/>
      <c r="AI57" s="1187"/>
      <c r="AJ57" s="1187"/>
      <c r="AK57" s="1187"/>
      <c r="AM57" s="1469"/>
      <c r="AN57" s="1469" t="str">
        <f t="shared" si="2"/>
        <v>Добавить территорию для дифференциации</v>
      </c>
      <c r="AO57" s="1469"/>
      <c r="AP57" s="1469"/>
    </row>
    <row r="58" spans="1:42" s="1866" customFormat="1" ht="0" hidden="1" customHeight="1">
      <c r="A58" s="1236" t="s">
        <v>466</v>
      </c>
      <c r="B58" s="1236"/>
      <c r="C58" s="1236"/>
      <c r="D58" s="1236"/>
      <c r="E58" s="3554"/>
      <c r="F58" s="1236"/>
      <c r="G58" s="1236"/>
      <c r="H58" s="1236"/>
      <c r="I58" s="1236"/>
      <c r="J58" s="1236"/>
      <c r="K58" s="1236"/>
      <c r="L58" s="1242"/>
      <c r="M58" s="1240"/>
      <c r="N58" s="1240"/>
      <c r="O58" s="260"/>
      <c r="P58" s="287"/>
      <c r="Q58" s="1206"/>
      <c r="R58" s="287"/>
      <c r="S58" s="1185"/>
      <c r="T58" s="1188" t="s">
        <v>678</v>
      </c>
      <c r="U58" s="1187"/>
      <c r="V58" s="1187"/>
      <c r="W58" s="1187"/>
      <c r="X58" s="1187"/>
      <c r="Y58" s="1187"/>
      <c r="Z58" s="1187"/>
      <c r="AA58" s="1187"/>
      <c r="AB58" s="1187"/>
      <c r="AC58" s="1187"/>
      <c r="AD58" s="1187"/>
      <c r="AE58" s="1187"/>
      <c r="AF58" s="1187"/>
      <c r="AG58" s="1187"/>
      <c r="AH58" s="1187"/>
      <c r="AI58" s="1187"/>
      <c r="AJ58" s="1187"/>
      <c r="AK58" s="1187"/>
      <c r="AM58" s="1469"/>
      <c r="AN58" s="1469" t="str">
        <f t="shared" si="2"/>
        <v>Добавить территорию для дифференциации</v>
      </c>
      <c r="AO58" s="1469"/>
      <c r="AP58" s="1469"/>
    </row>
    <row r="59" spans="1:42" s="1866" customFormat="1" ht="0" hidden="1" customHeight="1">
      <c r="A59" s="1235"/>
      <c r="B59" s="1235"/>
      <c r="C59" s="1235"/>
      <c r="D59" s="1235"/>
      <c r="E59" s="1236"/>
      <c r="F59" s="1235"/>
      <c r="G59" s="1235"/>
      <c r="H59" s="1235"/>
      <c r="I59" s="1235"/>
      <c r="J59" s="1235"/>
      <c r="K59" s="1235"/>
      <c r="L59" s="1238"/>
      <c r="M59" s="1240"/>
      <c r="N59" s="1240"/>
      <c r="O59" s="260"/>
      <c r="P59" s="1179"/>
      <c r="Q59" s="1180"/>
      <c r="R59" s="1179"/>
      <c r="S59" s="1185"/>
      <c r="T59" s="1188" t="s">
        <v>710</v>
      </c>
      <c r="U59" s="1187"/>
      <c r="V59" s="1187"/>
      <c r="W59" s="1187"/>
      <c r="X59" s="1187"/>
      <c r="Y59" s="1187"/>
      <c r="Z59" s="1187"/>
      <c r="AA59" s="1187"/>
      <c r="AB59" s="1187"/>
      <c r="AC59" s="1187"/>
      <c r="AD59" s="1187"/>
      <c r="AE59" s="1187"/>
      <c r="AF59" s="1187"/>
      <c r="AG59" s="1187"/>
      <c r="AH59" s="1187"/>
      <c r="AI59" s="1187"/>
      <c r="AJ59" s="1187"/>
      <c r="AK59" s="1187"/>
      <c r="AM59" s="1117"/>
      <c r="AN59" s="1117" t="str">
        <f t="shared" si="2"/>
        <v>Добавить наименование тарифа</v>
      </c>
      <c r="AO59" s="1117"/>
      <c r="AP59" s="1117"/>
    </row>
    <row r="60" spans="1:42" ht="11.25" customHeight="1">
      <c r="M60" s="1476"/>
      <c r="N60" s="1476"/>
      <c r="O60" s="1480"/>
      <c r="P60" s="1227"/>
      <c r="Q60" s="1227"/>
      <c r="R60" s="1476"/>
      <c r="S60" s="1476"/>
      <c r="AL60" s="1476"/>
      <c r="AM60" s="1476"/>
      <c r="AN60" s="1476"/>
      <c r="AO60" s="1476"/>
      <c r="AP60" s="1476"/>
    </row>
    <row r="61" spans="1:42" ht="18.75" customHeight="1">
      <c r="O61" s="1480"/>
      <c r="S61" s="1119"/>
      <c r="T61" s="3527"/>
      <c r="U61" s="3527"/>
      <c r="V61" s="3527"/>
      <c r="W61" s="3527"/>
      <c r="X61" s="3527"/>
      <c r="Y61" s="3527"/>
      <c r="Z61" s="3527"/>
      <c r="AA61" s="3527"/>
      <c r="AB61" s="3527"/>
      <c r="AC61" s="3527"/>
      <c r="AD61" s="3527"/>
      <c r="AE61" s="3527"/>
      <c r="AF61" s="3527"/>
      <c r="AG61" s="3527"/>
      <c r="AH61" s="3527"/>
      <c r="AI61" s="3527"/>
      <c r="AJ61" s="3527"/>
      <c r="AK61" s="3527"/>
    </row>
    <row r="62" spans="1:42" ht="19.5" customHeight="1">
      <c r="O62" s="1480"/>
      <c r="T62" s="3527"/>
      <c r="U62" s="3527"/>
      <c r="V62" s="3527"/>
      <c r="W62" s="3527"/>
      <c r="X62" s="3527"/>
      <c r="Y62" s="3527"/>
      <c r="Z62" s="3527"/>
      <c r="AA62" s="3527"/>
      <c r="AB62" s="3527"/>
      <c r="AC62" s="3527"/>
      <c r="AD62" s="3527"/>
      <c r="AE62" s="3527"/>
      <c r="AF62" s="3527"/>
      <c r="AG62" s="3527"/>
      <c r="AH62" s="3527"/>
      <c r="AI62" s="3527"/>
      <c r="AJ62" s="3527"/>
      <c r="AK62" s="3527"/>
    </row>
    <row r="63" spans="1:42" ht="14.25" customHeight="1">
      <c r="O63" s="1480"/>
      <c r="T63" s="1789"/>
      <c r="U63" s="1789"/>
      <c r="V63" s="1789"/>
      <c r="W63" s="1789"/>
      <c r="X63" s="1789"/>
      <c r="Y63" s="1789"/>
      <c r="Z63" s="1789"/>
      <c r="AA63" s="1789"/>
      <c r="AB63" s="1789"/>
      <c r="AC63" s="1789"/>
      <c r="AD63" s="1789"/>
      <c r="AE63" s="1789"/>
      <c r="AF63" s="1789"/>
      <c r="AG63" s="1789"/>
      <c r="AH63" s="1789"/>
      <c r="AI63" s="1789"/>
      <c r="AJ63" s="1789"/>
      <c r="AK63" s="1789"/>
    </row>
    <row r="64" spans="1:42" ht="18.75" customHeight="1">
      <c r="O64" s="1480"/>
      <c r="T64" s="3527"/>
      <c r="U64" s="3527"/>
      <c r="V64" s="3527"/>
      <c r="W64" s="3527"/>
      <c r="X64" s="3527"/>
      <c r="Y64" s="3527"/>
      <c r="Z64" s="3527"/>
      <c r="AA64" s="3527"/>
      <c r="AB64" s="3527"/>
      <c r="AC64" s="3527"/>
      <c r="AD64" s="3527"/>
      <c r="AE64" s="3527"/>
      <c r="AF64" s="3527"/>
      <c r="AG64" s="3527"/>
      <c r="AH64" s="3527"/>
      <c r="AI64" s="3527"/>
      <c r="AJ64" s="3527"/>
      <c r="AK64" s="3527"/>
    </row>
    <row r="65" spans="15:37" ht="15.75" customHeight="1">
      <c r="O65" s="1480"/>
      <c r="T65" s="3527"/>
      <c r="U65" s="3527"/>
      <c r="V65" s="3527"/>
      <c r="W65" s="3527"/>
      <c r="X65" s="3527"/>
      <c r="Y65" s="3527"/>
      <c r="Z65" s="3527"/>
      <c r="AA65" s="3527"/>
      <c r="AB65" s="3527"/>
      <c r="AC65" s="3527"/>
      <c r="AD65" s="3527"/>
      <c r="AE65" s="3527"/>
      <c r="AF65" s="3527"/>
      <c r="AG65" s="3527"/>
      <c r="AH65" s="3527"/>
      <c r="AI65" s="3527"/>
      <c r="AJ65" s="3527"/>
      <c r="AK65" s="3527"/>
    </row>
    <row r="66" spans="15:37" ht="14.25" customHeight="1">
      <c r="O66" s="1480"/>
    </row>
  </sheetData>
  <sheetProtection insertRows="0" deleteColumns="0" deleteRows="0" sort="0" autoFilter="0"/>
  <mergeCells count="97">
    <mergeCell ref="T65:AK65"/>
    <mergeCell ref="V50:AA50"/>
    <mergeCell ref="AC50:AJ50"/>
    <mergeCell ref="AK51:AK52"/>
    <mergeCell ref="T61:AK61"/>
    <mergeCell ref="T62:AK62"/>
    <mergeCell ref="T64:AK64"/>
    <mergeCell ref="I49:I53"/>
    <mergeCell ref="P49:P53"/>
    <mergeCell ref="V49:AA49"/>
    <mergeCell ref="AC49:AJ49"/>
    <mergeCell ref="J50:J52"/>
    <mergeCell ref="Q50:Q52"/>
    <mergeCell ref="Y43:Z43"/>
    <mergeCell ref="AG43:AH43"/>
    <mergeCell ref="Y44:Z44"/>
    <mergeCell ref="AG44:AH44"/>
    <mergeCell ref="E45:E58"/>
    <mergeCell ref="V45:AA45"/>
    <mergeCell ref="AC45:AJ45"/>
    <mergeCell ref="F46:F56"/>
    <mergeCell ref="V46:AA46"/>
    <mergeCell ref="AC46:AJ46"/>
    <mergeCell ref="G47:G55"/>
    <mergeCell ref="V47:AA47"/>
    <mergeCell ref="AC47:AJ47"/>
    <mergeCell ref="H48:H54"/>
    <mergeCell ref="V48:AA48"/>
    <mergeCell ref="AC48:AJ48"/>
    <mergeCell ref="S39:AJ39"/>
    <mergeCell ref="AK39:AK43"/>
    <mergeCell ref="S40:S43"/>
    <mergeCell ref="T40:T43"/>
    <mergeCell ref="V40:Z40"/>
    <mergeCell ref="AA40:AA43"/>
    <mergeCell ref="AB40:AB43"/>
    <mergeCell ref="AC40:AC43"/>
    <mergeCell ref="AD40:AH40"/>
    <mergeCell ref="AI40:AI43"/>
    <mergeCell ref="AJ40:AJ43"/>
    <mergeCell ref="V41:W42"/>
    <mergeCell ref="X41:Z42"/>
    <mergeCell ref="AD41:AE41"/>
    <mergeCell ref="AF41:AH42"/>
    <mergeCell ref="AD42:AE42"/>
    <mergeCell ref="S36:T36"/>
    <mergeCell ref="V36:Z36"/>
    <mergeCell ref="AC36:AH36"/>
    <mergeCell ref="V38:AA38"/>
    <mergeCell ref="AC38:AI38"/>
    <mergeCell ref="S33:T33"/>
    <mergeCell ref="V33:Z33"/>
    <mergeCell ref="AC33:AH33"/>
    <mergeCell ref="S35:T35"/>
    <mergeCell ref="V35:Z35"/>
    <mergeCell ref="AC35:AH35"/>
    <mergeCell ref="S31:T31"/>
    <mergeCell ref="V31:Z31"/>
    <mergeCell ref="AC31:AH31"/>
    <mergeCell ref="S32:T32"/>
    <mergeCell ref="V32:Z32"/>
    <mergeCell ref="AC32:AH32"/>
    <mergeCell ref="AK8:AK12"/>
    <mergeCell ref="S27:AH27"/>
    <mergeCell ref="S30:T30"/>
    <mergeCell ref="V30:Z30"/>
    <mergeCell ref="AC30:AH30"/>
    <mergeCell ref="J7:J12"/>
    <mergeCell ref="Q7:Q12"/>
    <mergeCell ref="V7:AA7"/>
    <mergeCell ref="AC7:AJ7"/>
    <mergeCell ref="S28:AH28"/>
    <mergeCell ref="K8:K11"/>
    <mergeCell ref="R8:R11"/>
    <mergeCell ref="S8:S11"/>
    <mergeCell ref="T8:T11"/>
    <mergeCell ref="X8:X11"/>
    <mergeCell ref="Y8:Y11"/>
    <mergeCell ref="Z8:Z11"/>
    <mergeCell ref="AA8:AA11"/>
    <mergeCell ref="AC8:AC10"/>
    <mergeCell ref="E2:E17"/>
    <mergeCell ref="V2:AA2"/>
    <mergeCell ref="AC2:AJ2"/>
    <mergeCell ref="F3:F16"/>
    <mergeCell ref="V3:AA3"/>
    <mergeCell ref="AC3:AJ3"/>
    <mergeCell ref="G4:G15"/>
    <mergeCell ref="V4:AA4"/>
    <mergeCell ref="AC4:AJ4"/>
    <mergeCell ref="H5:H14"/>
    <mergeCell ref="V5:AA5"/>
    <mergeCell ref="AC5:AJ5"/>
    <mergeCell ref="I6:I13"/>
    <mergeCell ref="P6:P13"/>
    <mergeCell ref="V6:AA6"/>
    <mergeCell ref="AC6:AJ6"/>
  </mergeCells>
  <dataValidations count="10">
    <dataValidation type="decimal" allowBlank="1" showErrorMessage="1" errorTitle="Ошибка" error="Допускается ввод только действительных чисел!" sqref="AC51" xr:uid="{00000000-0002-0000-1800-000000000000}">
      <formula1>-9.99999999999999E+23</formula1>
      <formula2>9.99999999999999E+23</formula2>
    </dataValidation>
    <dataValidation allowBlank="1" sqref="S131125:AK131131 S196661:AK196667 S262197:AK262203 S327733:AK327739 S393269:AK393275 S458805:AK458811 S524341:AK524347 S589877:AK589883 S655413:AK655419 S720949:AK720955 S786485:AK786491 S852021:AK852027 S917557:AK917563 S983093:AK983099 S65589:AK65595" xr:uid="{00000000-0002-0000-1800-000001000000}"/>
    <dataValidation type="list" allowBlank="1" showInputMessage="1" errorTitle="Ошибка" error="Выберите значение из списка" prompt="Выберите значение из списка" sqref="V917554:AJ917554 V983090:AJ983090 V65586:AJ65586 V131122:AJ131122 V196658:AJ196658 V262194:AJ262194 V327730:AJ327730 V393266:AJ393266 V458802:AJ458802 V524338:AJ524338 V589874:AJ589874 V655410:AJ655410 V720946:AJ720946 V786482:AJ786482 V852018:AJ852018" xr:uid="{00000000-0002-0000-1800-000002000000}">
      <formula1>kind_of_cons</formula1>
    </dataValidation>
    <dataValidation type="list" allowBlank="1" showInputMessage="1" showErrorMessage="1" errorTitle="Ошибка" error="Выберите значение из списка" sqref="AC983089 AC917553 AC852017 AC786481 AC720945 AC655409 AC589873 AC524337 AC458801 AC393265 AC327729 AC262193 AC196657 AC131121 AC65585"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7 Y131123 Y196659 Y262195 Y327731 Y393267 Y458803 Y524339 Y589875 Y655411 Y720947 Y786483 Y852019 Y917555 Y983091 AA131123:AB131123 AA458803:AB458803 AA196659:AB196659 AA262195:AB262195 AA327731:AB327731 AA393267:AB393267 AA524339:AB524339 AA589875:AB589875 AA655411:AB655411 AA720947:AB720947 AA786483:AB786483 AA852019:AB852019 AA917555:AB917555 AA983091:AB983091 AA65587:AB65587 AA8:AB10 Y8:Y10 AG65587 AG131123 AG196659 AG262195 AG327731 AG393267 AG458803 AG524339 AG589875 AG655411 AG720947 AG786483 AG852019 AG917555 AG983091 AI131123 AI458803 AI196659 AI262195 AI327731 AI393267 AI524339 AI589875 AI655411 AI720947 AI786483 AI852019 AI917555 AI983091 AI65587 AG8 AC8 AG19 AI51 AI19 AC19 Y51 AI8 AG51 AA51" xr:uid="{00000000-0002-0000-1800-000004000000}"/>
    <dataValidation type="textLength" operator="lessThanOrEqual" allowBlank="1" showInputMessage="1" showErrorMessage="1" errorTitle="Ошибка" error="Допускается ввод не более 900 символов!" sqref="AK65581:AK65588 AK131117:AK131124 AK196653:AK196660 AK262189:AK262196 AK327725:AK327732 AK393261:AK393268 AK458797:AK458804 AK524333:AK524340 AK589869:AK589876 AK655405:AK655412 AK720941:AK720948 AK786477:AK786484 AK852013:AK852020 AK917549:AK917556 AK983085:AK983092 T8:T11 T51 AB51" xr:uid="{00000000-0002-0000-1800-000005000000}">
      <formula1>900</formula1>
    </dataValidation>
    <dataValidation allowBlank="1" promptTitle="checkPeriodRange" sqref="W65588 W131124 W196660 W262196 W327732 W393268 W458804 W524340 W589876 W655412 W720948 W786484 W852020 W917556 W983092 W11 AE65588 AE131124 AE196660 AE262196 AE327732 AE393268 AE458804 AE524340 AE589876 AE655412 AE720948 AE786484 AE852020 AE917556 AE983092 AE11"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7 X131123 X196659 X262195 X327731 X393267 X458803 X524339 X589875 X655411 X720947 X786483 X852019 X917555 X983091 Z65587 Z131123 Z196659 Z262195 Z327731 Z393267 Z458803 Z524339 Z589875 Z655411 Z720947 Z786483 Z852019 Z917555 Z983091 X8:X10 Z8:Z10 AF65587 AF131123 AF196659 AF262195 AF327731 AF393267 AF458803 AF524339 AF589875 AF655411 AF720947 AF786483 AF852019 AF917555 AF983091 AH65587 AH131123 AH196659 AH262195 AH327731 AH393267 AH458803 AH524339 AH589875 AH655411 AH720947 AH786483 AH852019 AH917555 AH983091 AH8 AH51 AH19 AF19 AF8 AF51 Z51 X51" xr:uid="{00000000-0002-0000-1800-000007000000}"/>
    <dataValidation type="list" allowBlank="1" showInputMessage="1" showErrorMessage="1" errorTitle="Ошибка" error="Выберите значение из списка" sqref="T65587 T131123 T196659 T262195 T327731 T393267 T458803 T524339 T589875 T655411 T720947 T786483 T852019 T917555 T983091"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42:AE42" xr:uid="{00000000-0002-0000-1800-000009000000}">
      <formula1>UNIT_CONNECT_LIST</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C96FB-82AF-628F-E1F5-F3DAC34F226F}">
  <sheetPr>
    <tabColor theme="6" tint="0.39997558519241921"/>
  </sheetPr>
  <dimension ref="A1:BH68"/>
  <sheetViews>
    <sheetView showGridLines="0" topLeftCell="R27" zoomScale="90" workbookViewId="0">
      <selection activeCell="AS80" sqref="AS80"/>
    </sheetView>
  </sheetViews>
  <sheetFormatPr defaultColWidth="10.5703125" defaultRowHeight="14.25" customHeight="1"/>
  <cols>
    <col min="1" max="1" width="11.5703125" style="1903" hidden="1" customWidth="1"/>
    <col min="2" max="2" width="11" style="1903" hidden="1" customWidth="1"/>
    <col min="3" max="3" width="10.5703125" style="1903" hidden="1"/>
    <col min="4" max="4" width="12.85546875" style="1903" hidden="1" customWidth="1"/>
    <col min="5" max="5" width="10" style="1903" hidden="1" customWidth="1"/>
    <col min="6" max="6" width="8.7109375" style="1903" hidden="1" customWidth="1"/>
    <col min="7" max="7" width="7.5703125" style="1903" hidden="1" customWidth="1"/>
    <col min="8" max="8" width="11.42578125" style="1903" hidden="1" customWidth="1"/>
    <col min="9" max="9" width="12" style="1903" hidden="1" customWidth="1"/>
    <col min="10" max="10" width="9.85546875" style="1903" hidden="1" customWidth="1"/>
    <col min="11" max="11" width="11.42578125" style="1903" hidden="1" customWidth="1"/>
    <col min="12" max="12" width="19.140625" style="1953" hidden="1" customWidth="1"/>
    <col min="13" max="14" width="12.28515625" style="1839" hidden="1" customWidth="1"/>
    <col min="15" max="15" width="23.42578125" style="1839" hidden="1" customWidth="1"/>
    <col min="16" max="16" width="3.7109375" style="1839" hidden="1" customWidth="1"/>
    <col min="17" max="17" width="3.7109375" style="1833" hidden="1" customWidth="1"/>
    <col min="18" max="18" width="3.7109375" style="1906" customWidth="1"/>
    <col min="19" max="19" width="12.7109375" style="1951" customWidth="1"/>
    <col min="20" max="20" width="32" style="1910" customWidth="1"/>
    <col min="21" max="21" width="0.140625" style="1910" customWidth="1"/>
    <col min="22" max="25" width="21.7109375" style="1910" hidden="1" customWidth="1"/>
    <col min="26" max="26" width="11.7109375" style="1910" hidden="1" customWidth="1"/>
    <col min="27" max="27" width="3.7109375" style="1910" hidden="1" customWidth="1"/>
    <col min="28" max="28" width="11.7109375" style="1910" hidden="1" customWidth="1"/>
    <col min="29" max="29" width="8.5703125" style="1910" hidden="1" customWidth="1"/>
    <col min="30" max="32" width="3.7109375" style="1910" customWidth="1"/>
    <col min="33" max="33" width="24.7109375" style="1910" customWidth="1"/>
    <col min="34" max="36" width="3.7109375" style="1910" customWidth="1"/>
    <col min="37" max="37" width="24.7109375" style="1910" customWidth="1"/>
    <col min="38" max="40" width="3.7109375" style="1910" customWidth="1"/>
    <col min="41" max="41" width="18.85546875" style="1910" customWidth="1"/>
    <col min="42" max="44" width="3.7109375" style="1910" customWidth="1"/>
    <col min="45" max="45" width="18.85546875" style="1910" customWidth="1"/>
    <col min="46" max="49" width="21.7109375" style="1910" customWidth="1"/>
    <col min="50" max="50" width="11.7109375" style="1910" customWidth="1"/>
    <col min="51" max="51" width="3.7109375" style="1910" customWidth="1"/>
    <col min="52" max="52" width="11.7109375" style="1910" customWidth="1"/>
    <col min="53" max="53" width="8.5703125" style="1910" hidden="1" customWidth="1"/>
    <col min="54" max="54" width="4.7109375" style="1910" customWidth="1"/>
    <col min="55" max="55" width="115.7109375" style="1910" customWidth="1"/>
    <col min="56" max="57" width="10.5703125" style="1866"/>
    <col min="58" max="58" width="11.140625" style="1866" customWidth="1"/>
    <col min="59" max="60" width="10.5703125" style="1866"/>
  </cols>
  <sheetData>
    <row r="1" spans="1:60" ht="14.25" hidden="1" customHeight="1">
      <c r="W1" s="238"/>
      <c r="Y1" s="238"/>
      <c r="Z1" s="238"/>
      <c r="AW1" s="238"/>
      <c r="AX1" s="238"/>
    </row>
    <row r="2" spans="1:60" ht="21" hidden="1" customHeight="1">
      <c r="A2" s="1224"/>
      <c r="B2" s="1224"/>
      <c r="C2" s="1224"/>
      <c r="D2" s="1224"/>
      <c r="E2" s="3528">
        <v>1</v>
      </c>
      <c r="F2" s="1224"/>
      <c r="G2" s="1224"/>
      <c r="H2" s="1224"/>
      <c r="I2" s="1224"/>
      <c r="J2" s="1224"/>
      <c r="K2" s="1224"/>
      <c r="L2" s="1225"/>
      <c r="M2" s="1226"/>
      <c r="N2" s="1226"/>
      <c r="O2" s="1226"/>
      <c r="P2" s="1270"/>
      <c r="Q2" s="750"/>
      <c r="R2" s="264"/>
      <c r="S2" s="1322" t="e">
        <f>INDEX(PT_DIFFERENTIATION_NUM_NTAR,MATCH(A2,PT_DIFFERENTIATION_NTAR_ID,0))</f>
        <v>#N/A</v>
      </c>
      <c r="T2" s="209" t="s">
        <v>391</v>
      </c>
      <c r="U2" s="211"/>
      <c r="V2" s="3523"/>
      <c r="W2" s="3523"/>
      <c r="X2" s="3523"/>
      <c r="Y2" s="3523"/>
      <c r="Z2" s="3523"/>
      <c r="AA2" s="3523"/>
      <c r="AB2" s="3523"/>
      <c r="AC2" s="3524"/>
      <c r="AD2" s="3522" t="e">
        <f>INDEX(PT_DIFFERENTIATION_NTAR,MATCH(A2,PT_DIFFERENTIATION_NTAR_ID,0))</f>
        <v>#N/A</v>
      </c>
      <c r="AE2" s="3523"/>
      <c r="AF2" s="3523"/>
      <c r="AG2" s="3523"/>
      <c r="AH2" s="3523"/>
      <c r="AI2" s="3523"/>
      <c r="AJ2" s="3523"/>
      <c r="AK2" s="3523"/>
      <c r="AL2" s="3523"/>
      <c r="AM2" s="3523"/>
      <c r="AN2" s="3523"/>
      <c r="AO2" s="3523"/>
      <c r="AP2" s="3523"/>
      <c r="AQ2" s="3523"/>
      <c r="AR2" s="3523"/>
      <c r="AS2" s="3523"/>
      <c r="AT2" s="3523"/>
      <c r="AU2" s="3523"/>
      <c r="AV2" s="3523"/>
      <c r="AW2" s="3523"/>
      <c r="AX2" s="3523"/>
      <c r="AY2" s="3523"/>
      <c r="AZ2" s="3523"/>
      <c r="BA2" s="3523"/>
      <c r="BB2" s="3524"/>
      <c r="BC2" s="112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398"/>
      <c r="BF2" s="398" t="str">
        <f t="shared" ref="BF2:BF8" si="0">IF(T2="","",T2)</f>
        <v>Наименование тарифа</v>
      </c>
      <c r="BG2" s="398"/>
      <c r="BH2" s="398"/>
    </row>
    <row r="3" spans="1:60" ht="21" hidden="1" customHeight="1">
      <c r="A3" s="1224"/>
      <c r="B3" s="1224"/>
      <c r="C3" s="1224"/>
      <c r="D3" s="1224"/>
      <c r="E3" s="3529"/>
      <c r="F3" s="3528">
        <v>1</v>
      </c>
      <c r="G3" s="1224"/>
      <c r="H3" s="1224"/>
      <c r="I3" s="1224"/>
      <c r="J3" s="1224"/>
      <c r="K3" s="1224"/>
      <c r="L3" s="1225"/>
      <c r="M3" s="1226"/>
      <c r="N3" s="1226"/>
      <c r="O3" s="1226"/>
      <c r="P3" s="1271"/>
      <c r="Q3" s="1272"/>
      <c r="R3" s="262"/>
      <c r="S3" s="1322" t="e">
        <f>INDEX(PT_DIFFERENTIATION_NUM_TER,MATCH(B3,PT_DIFFERENTIATION_TER_ID,0))</f>
        <v>#N/A</v>
      </c>
      <c r="T3" s="219" t="s">
        <v>659</v>
      </c>
      <c r="U3" s="211"/>
      <c r="V3" s="3523"/>
      <c r="W3" s="3523"/>
      <c r="X3" s="3523"/>
      <c r="Y3" s="3523"/>
      <c r="Z3" s="3523"/>
      <c r="AA3" s="3523"/>
      <c r="AB3" s="3523"/>
      <c r="AC3" s="3524"/>
      <c r="AD3" s="3522" t="e">
        <f>INDEX(PT_DIFFERENTIATION_TER,MATCH(B3,PT_DIFFERENTIATION_TER_ID,0))</f>
        <v>#N/A</v>
      </c>
      <c r="AE3" s="3523"/>
      <c r="AF3" s="3523"/>
      <c r="AG3" s="3523"/>
      <c r="AH3" s="3523"/>
      <c r="AI3" s="3523"/>
      <c r="AJ3" s="3523"/>
      <c r="AK3" s="3523"/>
      <c r="AL3" s="3523"/>
      <c r="AM3" s="3523"/>
      <c r="AN3" s="3523"/>
      <c r="AO3" s="3523"/>
      <c r="AP3" s="3523"/>
      <c r="AQ3" s="3523"/>
      <c r="AR3" s="3523"/>
      <c r="AS3" s="3523"/>
      <c r="AT3" s="3523"/>
      <c r="AU3" s="3523"/>
      <c r="AV3" s="3523"/>
      <c r="AW3" s="3523"/>
      <c r="AX3" s="3523"/>
      <c r="AY3" s="3523"/>
      <c r="AZ3" s="3523"/>
      <c r="BA3" s="3523"/>
      <c r="BB3" s="3524"/>
      <c r="BC3" s="1124" t="s">
        <v>660</v>
      </c>
      <c r="BE3" s="398"/>
      <c r="BF3" s="398" t="str">
        <f t="shared" si="0"/>
        <v>Территория действия тарифа</v>
      </c>
      <c r="BG3" s="398"/>
      <c r="BH3" s="398"/>
    </row>
    <row r="4" spans="1:60" ht="42" hidden="1" customHeight="1">
      <c r="A4" s="1224"/>
      <c r="B4" s="1224"/>
      <c r="C4" s="1224"/>
      <c r="D4" s="1224"/>
      <c r="E4" s="3529"/>
      <c r="F4" s="3529"/>
      <c r="G4" s="3528">
        <v>1</v>
      </c>
      <c r="H4" s="1224"/>
      <c r="I4" s="1224"/>
      <c r="J4" s="1224"/>
      <c r="K4" s="1224"/>
      <c r="L4" s="1225"/>
      <c r="M4" s="1226"/>
      <c r="N4" s="1226"/>
      <c r="O4" s="1226"/>
      <c r="P4" s="1273"/>
      <c r="Q4" s="1272"/>
      <c r="R4" s="262"/>
      <c r="S4" s="1322" t="e">
        <f>INDEX(PT_DIFFERENTIATION_NUM_CS,MATCH(C4,PT_DIFFERENTIATION_CS_ID,0))</f>
        <v>#N/A</v>
      </c>
      <c r="T4" s="220" t="s">
        <v>744</v>
      </c>
      <c r="U4" s="211"/>
      <c r="V4" s="3523"/>
      <c r="W4" s="3523"/>
      <c r="X4" s="3523"/>
      <c r="Y4" s="3523"/>
      <c r="Z4" s="3523"/>
      <c r="AA4" s="3523"/>
      <c r="AB4" s="3523"/>
      <c r="AC4" s="3524"/>
      <c r="AD4" s="3522" t="e">
        <f>INDEX(PT_DIFFERENTIATION_CS,MATCH(C4,PT_DIFFERENTIATION_CS_ID,0))</f>
        <v>#N/A</v>
      </c>
      <c r="AE4" s="3523"/>
      <c r="AF4" s="3523"/>
      <c r="AG4" s="3523"/>
      <c r="AH4" s="3523"/>
      <c r="AI4" s="3523"/>
      <c r="AJ4" s="3523"/>
      <c r="AK4" s="3523"/>
      <c r="AL4" s="3523"/>
      <c r="AM4" s="3523"/>
      <c r="AN4" s="3523"/>
      <c r="AO4" s="3523"/>
      <c r="AP4" s="3523"/>
      <c r="AQ4" s="3523"/>
      <c r="AR4" s="3523"/>
      <c r="AS4" s="3523"/>
      <c r="AT4" s="3523"/>
      <c r="AU4" s="3523"/>
      <c r="AV4" s="3523"/>
      <c r="AW4" s="3523"/>
      <c r="AX4" s="3523"/>
      <c r="AY4" s="3523"/>
      <c r="AZ4" s="3523"/>
      <c r="BA4" s="3523"/>
      <c r="BB4" s="3524"/>
      <c r="BC4" s="1124" t="s">
        <v>745</v>
      </c>
      <c r="BE4" s="398"/>
      <c r="BF4" s="398" t="str">
        <f t="shared" si="0"/>
        <v>Наименование централизованной системы холодного водоснабжения</v>
      </c>
      <c r="BG4" s="398"/>
      <c r="BH4" s="398"/>
    </row>
    <row r="5" spans="1:60" s="1866" customFormat="1" ht="14.25" hidden="1" customHeight="1">
      <c r="A5" s="1205"/>
      <c r="B5" s="1205"/>
      <c r="C5" s="1205"/>
      <c r="D5" s="1205"/>
      <c r="E5" s="3529"/>
      <c r="F5" s="3529"/>
      <c r="G5" s="3529"/>
      <c r="H5" s="3528">
        <v>1</v>
      </c>
      <c r="I5" s="1205"/>
      <c r="J5" s="1205"/>
      <c r="K5" s="1205"/>
      <c r="L5" s="1208"/>
      <c r="M5" s="1178"/>
      <c r="N5" s="1178"/>
      <c r="O5" s="1178"/>
      <c r="P5" s="1352"/>
      <c r="Q5" s="1353"/>
      <c r="R5" s="266"/>
      <c r="S5" s="912"/>
      <c r="T5" s="1354"/>
      <c r="U5" s="1245"/>
      <c r="V5" s="3560"/>
      <c r="W5" s="3560"/>
      <c r="X5" s="3560"/>
      <c r="Y5" s="3560"/>
      <c r="Z5" s="3560"/>
      <c r="AA5" s="3560"/>
      <c r="AB5" s="3560"/>
      <c r="AC5" s="3561"/>
      <c r="AD5" s="3559"/>
      <c r="AE5" s="3560"/>
      <c r="AF5" s="3560"/>
      <c r="AG5" s="3560"/>
      <c r="AH5" s="3560"/>
      <c r="AI5" s="3560"/>
      <c r="AJ5" s="3560"/>
      <c r="AK5" s="3560"/>
      <c r="AL5" s="3560"/>
      <c r="AM5" s="3560"/>
      <c r="AN5" s="3560"/>
      <c r="AO5" s="3560"/>
      <c r="AP5" s="3560"/>
      <c r="AQ5" s="3560"/>
      <c r="AR5" s="3560"/>
      <c r="AS5" s="3560"/>
      <c r="AT5" s="3560"/>
      <c r="AU5" s="3560"/>
      <c r="AV5" s="3560"/>
      <c r="AW5" s="3560"/>
      <c r="AX5" s="3560"/>
      <c r="AY5" s="3560"/>
      <c r="AZ5" s="3560"/>
      <c r="BA5" s="3560"/>
      <c r="BB5" s="3561"/>
      <c r="BC5" s="1246" t="s">
        <v>664</v>
      </c>
      <c r="BE5" s="398"/>
      <c r="BF5" s="398" t="str">
        <f t="shared" si="0"/>
        <v/>
      </c>
      <c r="BG5" s="398"/>
      <c r="BH5" s="398"/>
    </row>
    <row r="6" spans="1:60" s="1866" customFormat="1" ht="14.25" hidden="1" customHeight="1">
      <c r="A6" s="1205"/>
      <c r="B6" s="1205"/>
      <c r="C6" s="1205"/>
      <c r="D6" s="1205"/>
      <c r="E6" s="3529"/>
      <c r="F6" s="3529"/>
      <c r="G6" s="3529"/>
      <c r="H6" s="3529"/>
      <c r="I6" s="3530" t="str">
        <f>S5&amp;".1"</f>
        <v>.1</v>
      </c>
      <c r="J6" s="1205"/>
      <c r="K6" s="1205"/>
      <c r="L6" s="1208" t="s">
        <v>665</v>
      </c>
      <c r="M6" s="408"/>
      <c r="N6" s="408"/>
      <c r="O6" s="408"/>
      <c r="P6" s="3532">
        <v>1</v>
      </c>
      <c r="Q6" s="1319"/>
      <c r="R6" s="265"/>
      <c r="S6" s="912"/>
      <c r="T6" s="1244"/>
      <c r="U6" s="1245"/>
      <c r="V6" s="3560"/>
      <c r="W6" s="3560"/>
      <c r="X6" s="3560"/>
      <c r="Y6" s="3560"/>
      <c r="Z6" s="3560"/>
      <c r="AA6" s="3560"/>
      <c r="AB6" s="3560"/>
      <c r="AC6" s="3561"/>
      <c r="AD6" s="3559"/>
      <c r="AE6" s="3560"/>
      <c r="AF6" s="3560"/>
      <c r="AG6" s="3560"/>
      <c r="AH6" s="3560"/>
      <c r="AI6" s="3560"/>
      <c r="AJ6" s="3560"/>
      <c r="AK6" s="3560"/>
      <c r="AL6" s="3560"/>
      <c r="AM6" s="3560"/>
      <c r="AN6" s="3560"/>
      <c r="AO6" s="3560"/>
      <c r="AP6" s="3560"/>
      <c r="AQ6" s="3560"/>
      <c r="AR6" s="3560"/>
      <c r="AS6" s="3560"/>
      <c r="AT6" s="3560"/>
      <c r="AU6" s="3560"/>
      <c r="AV6" s="3560"/>
      <c r="AW6" s="3560"/>
      <c r="AX6" s="3560"/>
      <c r="AY6" s="3560"/>
      <c r="AZ6" s="3560"/>
      <c r="BA6" s="3560"/>
      <c r="BB6" s="3561"/>
      <c r="BC6" s="1246"/>
      <c r="BE6" s="398"/>
      <c r="BF6" s="398" t="str">
        <f t="shared" si="0"/>
        <v/>
      </c>
      <c r="BG6" s="398"/>
      <c r="BH6" s="398"/>
    </row>
    <row r="7" spans="1:60" s="1866" customFormat="1" ht="14.25" hidden="1" customHeight="1">
      <c r="A7" s="1205"/>
      <c r="B7" s="1205"/>
      <c r="C7" s="1205"/>
      <c r="D7" s="1205"/>
      <c r="E7" s="3529"/>
      <c r="F7" s="3529"/>
      <c r="G7" s="3529"/>
      <c r="H7" s="3529"/>
      <c r="I7" s="3531"/>
      <c r="J7" s="3530" t="str">
        <f>S5&amp;".1"</f>
        <v>.1</v>
      </c>
      <c r="K7" s="1205"/>
      <c r="L7" s="1208"/>
      <c r="M7" s="408"/>
      <c r="N7" s="408"/>
      <c r="O7" s="408"/>
      <c r="P7" s="3532"/>
      <c r="Q7" s="3532">
        <v>1</v>
      </c>
      <c r="R7" s="266"/>
      <c r="S7" s="912"/>
      <c r="T7" s="1260"/>
      <c r="U7" s="1245"/>
      <c r="V7" s="3560"/>
      <c r="W7" s="3560"/>
      <c r="X7" s="3560"/>
      <c r="Y7" s="3560"/>
      <c r="Z7" s="3560"/>
      <c r="AA7" s="3560"/>
      <c r="AB7" s="3560"/>
      <c r="AC7" s="3561"/>
      <c r="AD7" s="3559"/>
      <c r="AE7" s="3560"/>
      <c r="AF7" s="3560"/>
      <c r="AG7" s="3560"/>
      <c r="AH7" s="3560"/>
      <c r="AI7" s="3560"/>
      <c r="AJ7" s="3560"/>
      <c r="AK7" s="3560"/>
      <c r="AL7" s="3560"/>
      <c r="AM7" s="3560"/>
      <c r="AN7" s="3560"/>
      <c r="AO7" s="3560"/>
      <c r="AP7" s="3560"/>
      <c r="AQ7" s="3560"/>
      <c r="AR7" s="3560"/>
      <c r="AS7" s="3560"/>
      <c r="AT7" s="3560"/>
      <c r="AU7" s="3560"/>
      <c r="AV7" s="3560"/>
      <c r="AW7" s="3560"/>
      <c r="AX7" s="3560"/>
      <c r="AY7" s="3560"/>
      <c r="AZ7" s="3560"/>
      <c r="BA7" s="3560"/>
      <c r="BB7" s="3561"/>
      <c r="BC7" s="1246"/>
      <c r="BE7" s="398"/>
      <c r="BF7" s="398" t="str">
        <f t="shared" si="0"/>
        <v/>
      </c>
      <c r="BG7" s="398"/>
      <c r="BH7" s="398"/>
    </row>
    <row r="8" spans="1:60" ht="11.25" hidden="1" customHeight="1">
      <c r="A8" s="1224"/>
      <c r="B8" s="1224"/>
      <c r="C8" s="1224"/>
      <c r="D8" s="1224"/>
      <c r="E8" s="3529"/>
      <c r="F8" s="3529"/>
      <c r="G8" s="3529"/>
      <c r="H8" s="3529"/>
      <c r="I8" s="3531"/>
      <c r="J8" s="3531"/>
      <c r="K8" s="3530" t="e">
        <f>S4&amp;".1"</f>
        <v>#N/A</v>
      </c>
      <c r="L8" s="1225"/>
      <c r="P8" s="3532"/>
      <c r="Q8" s="3532"/>
      <c r="R8" s="3581">
        <v>1</v>
      </c>
      <c r="S8" s="3578" t="e">
        <f>$K8</f>
        <v>#N/A</v>
      </c>
      <c r="T8" s="3598"/>
      <c r="U8" s="211"/>
      <c r="V8" s="639"/>
      <c r="W8" s="1123"/>
      <c r="X8" s="639"/>
      <c r="Y8" s="1123"/>
      <c r="Z8" s="1577"/>
      <c r="AA8" s="1317" t="s">
        <v>64</v>
      </c>
      <c r="AB8" s="1577"/>
      <c r="AC8" s="1317" t="s">
        <v>64</v>
      </c>
      <c r="AD8" s="3471" t="s">
        <v>64</v>
      </c>
      <c r="AE8" s="3574"/>
      <c r="AF8" s="3484">
        <v>1</v>
      </c>
      <c r="AG8" s="3597"/>
      <c r="AH8" s="3412" t="s">
        <v>64</v>
      </c>
      <c r="AI8" s="3574"/>
      <c r="AJ8" s="3484">
        <v>1</v>
      </c>
      <c r="AK8" s="3596" t="s">
        <v>18</v>
      </c>
      <c r="AL8" s="3412" t="s">
        <v>64</v>
      </c>
      <c r="AM8" s="3459"/>
      <c r="AN8" s="3484">
        <v>1</v>
      </c>
      <c r="AO8" s="3601"/>
      <c r="AP8" s="3602" t="s">
        <v>64</v>
      </c>
      <c r="AQ8" s="222"/>
      <c r="AR8" s="1320">
        <v>1</v>
      </c>
      <c r="AS8" s="1323" t="s">
        <v>18</v>
      </c>
      <c r="AT8" s="639"/>
      <c r="AU8" s="1123"/>
      <c r="AV8" s="639"/>
      <c r="AW8" s="1123"/>
      <c r="AX8" s="1577"/>
      <c r="AY8" s="1317" t="s">
        <v>64</v>
      </c>
      <c r="AZ8" s="1577"/>
      <c r="BA8" s="1317" t="s">
        <v>64</v>
      </c>
      <c r="BB8" s="1210"/>
      <c r="BC8" s="3551" t="s">
        <v>764</v>
      </c>
      <c r="BE8" s="398"/>
      <c r="BF8" s="398" t="str">
        <f t="shared" si="0"/>
        <v/>
      </c>
      <c r="BG8" s="398"/>
      <c r="BH8" s="398"/>
    </row>
    <row r="9" spans="1:60" ht="11.25" hidden="1" customHeight="1">
      <c r="A9" s="1224"/>
      <c r="B9" s="1224"/>
      <c r="C9" s="1224"/>
      <c r="D9" s="1224"/>
      <c r="E9" s="3529"/>
      <c r="F9" s="3529"/>
      <c r="G9" s="3529"/>
      <c r="H9" s="3529"/>
      <c r="I9" s="3531"/>
      <c r="J9" s="3531"/>
      <c r="K9" s="3530"/>
      <c r="L9" s="1225"/>
      <c r="P9" s="3532"/>
      <c r="Q9" s="3532"/>
      <c r="R9" s="3581"/>
      <c r="S9" s="3579"/>
      <c r="T9" s="3599"/>
      <c r="U9" s="211"/>
      <c r="V9" s="1254"/>
      <c r="W9" s="1351"/>
      <c r="X9" s="1254"/>
      <c r="Y9" s="1351"/>
      <c r="Z9" s="1254"/>
      <c r="AA9" s="1254"/>
      <c r="AB9" s="1254"/>
      <c r="AC9" s="1254"/>
      <c r="AD9" s="3472"/>
      <c r="AE9" s="3574"/>
      <c r="AF9" s="3484"/>
      <c r="AG9" s="3597"/>
      <c r="AH9" s="3412"/>
      <c r="AI9" s="3574"/>
      <c r="AJ9" s="3484"/>
      <c r="AK9" s="3596"/>
      <c r="AL9" s="3412"/>
      <c r="AM9" s="3464"/>
      <c r="AN9" s="3484"/>
      <c r="AO9" s="3601"/>
      <c r="AP9" s="3603"/>
      <c r="AQ9" s="227"/>
      <c r="AR9" s="323"/>
      <c r="AS9" s="323" t="s">
        <v>765</v>
      </c>
      <c r="AT9" s="1254"/>
      <c r="AU9" s="1351"/>
      <c r="AV9" s="1254"/>
      <c r="AW9" s="1351"/>
      <c r="AX9" s="1254"/>
      <c r="AY9" s="1254"/>
      <c r="AZ9" s="1254"/>
      <c r="BA9" s="1254"/>
      <c r="BB9" s="1258"/>
      <c r="BC9" s="3552"/>
      <c r="BE9" s="398"/>
      <c r="BF9" s="398"/>
      <c r="BG9" s="398"/>
      <c r="BH9" s="398"/>
    </row>
    <row r="10" spans="1:60" ht="11.25" hidden="1" customHeight="1">
      <c r="A10" s="1224"/>
      <c r="B10" s="1224"/>
      <c r="C10" s="1224"/>
      <c r="D10" s="1224"/>
      <c r="E10" s="3529"/>
      <c r="F10" s="3529"/>
      <c r="G10" s="3529"/>
      <c r="H10" s="3529"/>
      <c r="I10" s="3531"/>
      <c r="J10" s="3531"/>
      <c r="K10" s="3530"/>
      <c r="L10" s="1225"/>
      <c r="P10" s="3532"/>
      <c r="Q10" s="3532"/>
      <c r="R10" s="3581"/>
      <c r="S10" s="3579"/>
      <c r="T10" s="3599"/>
      <c r="U10" s="211"/>
      <c r="V10" s="1254"/>
      <c r="W10" s="1351"/>
      <c r="X10" s="1254"/>
      <c r="Y10" s="1351"/>
      <c r="Z10" s="1254"/>
      <c r="AA10" s="1254"/>
      <c r="AB10" s="1254"/>
      <c r="AC10" s="1254"/>
      <c r="AD10" s="3472"/>
      <c r="AE10" s="3574"/>
      <c r="AF10" s="3484"/>
      <c r="AG10" s="3597"/>
      <c r="AH10" s="3412"/>
      <c r="AI10" s="3574"/>
      <c r="AJ10" s="3484"/>
      <c r="AK10" s="3596"/>
      <c r="AL10" s="3412"/>
      <c r="AM10" s="227"/>
      <c r="AN10" s="1355"/>
      <c r="AO10" s="1355" t="s">
        <v>766</v>
      </c>
      <c r="AP10" s="323"/>
      <c r="AQ10" s="323"/>
      <c r="AR10" s="323"/>
      <c r="AS10" s="1254"/>
      <c r="AT10" s="1254"/>
      <c r="AU10" s="1351"/>
      <c r="AV10" s="1254"/>
      <c r="AW10" s="1351"/>
      <c r="AX10" s="1254"/>
      <c r="AY10" s="1254"/>
      <c r="AZ10" s="1254"/>
      <c r="BA10" s="1254"/>
      <c r="BB10" s="1258"/>
      <c r="BC10" s="3552"/>
      <c r="BE10" s="398"/>
      <c r="BF10" s="398"/>
      <c r="BG10" s="398"/>
      <c r="BH10" s="398"/>
    </row>
    <row r="11" spans="1:60" ht="11.25" hidden="1" customHeight="1">
      <c r="A11" s="1224"/>
      <c r="B11" s="1224"/>
      <c r="C11" s="1224"/>
      <c r="D11" s="1224"/>
      <c r="E11" s="3529"/>
      <c r="F11" s="3529"/>
      <c r="G11" s="3529"/>
      <c r="H11" s="3529"/>
      <c r="I11" s="3531"/>
      <c r="J11" s="3531"/>
      <c r="K11" s="3530"/>
      <c r="L11" s="1225"/>
      <c r="P11" s="3532"/>
      <c r="Q11" s="3532"/>
      <c r="R11" s="3581"/>
      <c r="S11" s="3579"/>
      <c r="T11" s="3599"/>
      <c r="U11" s="211"/>
      <c r="V11" s="1254"/>
      <c r="W11" s="1351"/>
      <c r="X11" s="1254"/>
      <c r="Y11" s="1351"/>
      <c r="Z11" s="1254"/>
      <c r="AA11" s="1254"/>
      <c r="AB11" s="1254"/>
      <c r="AC11" s="1254"/>
      <c r="AD11" s="3472"/>
      <c r="AE11" s="3574"/>
      <c r="AF11" s="3484"/>
      <c r="AG11" s="3597"/>
      <c r="AH11" s="3412"/>
      <c r="AI11" s="205"/>
      <c r="AJ11" s="322"/>
      <c r="AK11" s="224" t="s">
        <v>767</v>
      </c>
      <c r="AL11" s="1254"/>
      <c r="AM11" s="1254"/>
      <c r="AN11" s="1254"/>
      <c r="AO11" s="1254"/>
      <c r="AP11" s="1254"/>
      <c r="AQ11" s="1254"/>
      <c r="AR11" s="1254"/>
      <c r="AS11" s="1254"/>
      <c r="AT11" s="1254"/>
      <c r="AU11" s="1351"/>
      <c r="AV11" s="1254"/>
      <c r="AW11" s="1351"/>
      <c r="AX11" s="1254"/>
      <c r="AY11" s="1254"/>
      <c r="AZ11" s="1254"/>
      <c r="BA11" s="1254"/>
      <c r="BB11" s="1258"/>
      <c r="BC11" s="3552"/>
      <c r="BE11" s="398"/>
      <c r="BF11" s="398"/>
      <c r="BG11" s="398"/>
      <c r="BH11" s="398"/>
    </row>
    <row r="12" spans="1:60" ht="11.25" hidden="1" customHeight="1">
      <c r="A12" s="1224"/>
      <c r="B12" s="1224"/>
      <c r="C12" s="1224"/>
      <c r="D12" s="1224"/>
      <c r="E12" s="3529"/>
      <c r="F12" s="3529"/>
      <c r="G12" s="3529"/>
      <c r="H12" s="3529"/>
      <c r="I12" s="3531"/>
      <c r="J12" s="3531"/>
      <c r="K12" s="3530"/>
      <c r="L12" s="1225"/>
      <c r="P12" s="3532"/>
      <c r="Q12" s="3532"/>
      <c r="R12" s="3581"/>
      <c r="S12" s="3580"/>
      <c r="T12" s="3600"/>
      <c r="U12" s="211"/>
      <c r="V12" s="1254"/>
      <c r="W12" s="1255" t="str">
        <f>Z8&amp;"-"&amp;AB8</f>
        <v>-</v>
      </c>
      <c r="X12" s="1254"/>
      <c r="Y12" s="1255" t="str">
        <f>AB8&amp;"-"&amp;AD8</f>
        <v>-да</v>
      </c>
      <c r="Z12" s="1254"/>
      <c r="AA12" s="1254"/>
      <c r="AB12" s="1254"/>
      <c r="AC12" s="1254"/>
      <c r="AD12" s="3417"/>
      <c r="AE12" s="223"/>
      <c r="AF12" s="225"/>
      <c r="AG12" s="323" t="s">
        <v>768</v>
      </c>
      <c r="AH12" s="1254"/>
      <c r="AI12" s="1254"/>
      <c r="AJ12" s="1254"/>
      <c r="AK12" s="1254"/>
      <c r="AL12" s="1254"/>
      <c r="AM12" s="1254"/>
      <c r="AN12" s="1254"/>
      <c r="AO12" s="1254"/>
      <c r="AP12" s="1254"/>
      <c r="AQ12" s="1254"/>
      <c r="AR12" s="1254"/>
      <c r="AS12" s="1254"/>
      <c r="AT12" s="1254"/>
      <c r="AU12" s="1255" t="str">
        <f>AX8&amp;"-"&amp;AZ8</f>
        <v>-</v>
      </c>
      <c r="AV12" s="1254"/>
      <c r="AW12" s="1255" t="str">
        <f>AZ8&amp;"-"&amp;BB8</f>
        <v>-</v>
      </c>
      <c r="AX12" s="1254"/>
      <c r="AY12" s="1254"/>
      <c r="AZ12" s="1254"/>
      <c r="BA12" s="1254"/>
      <c r="BB12" s="1257" t="str">
        <f>BE8&amp;"-"&amp;BG8</f>
        <v>-</v>
      </c>
      <c r="BC12" s="3552"/>
      <c r="BE12" s="398"/>
      <c r="BF12" s="398" t="str">
        <f t="shared" ref="BF12:BF18" si="1">IF(T12="","",T12)</f>
        <v/>
      </c>
      <c r="BG12" s="398"/>
      <c r="BH12" s="398"/>
    </row>
    <row r="13" spans="1:60" ht="11.25" hidden="1" customHeight="1">
      <c r="A13" s="1224"/>
      <c r="B13" s="1224"/>
      <c r="C13" s="1224"/>
      <c r="D13" s="1224"/>
      <c r="E13" s="3529"/>
      <c r="F13" s="3529"/>
      <c r="G13" s="3529"/>
      <c r="H13" s="3529"/>
      <c r="I13" s="3531"/>
      <c r="J13" s="3530"/>
      <c r="K13" s="1224"/>
      <c r="L13" s="1225"/>
      <c r="P13" s="3532"/>
      <c r="Q13" s="3532"/>
      <c r="R13" s="265"/>
      <c r="S13" s="1144"/>
      <c r="T13" s="199" t="s">
        <v>730</v>
      </c>
      <c r="U13" s="275"/>
      <c r="V13" s="275"/>
      <c r="W13" s="275"/>
      <c r="X13" s="275"/>
      <c r="Y13" s="275"/>
      <c r="Z13" s="275"/>
      <c r="AA13" s="275"/>
      <c r="AB13" s="275"/>
      <c r="AC13" s="275"/>
      <c r="AD13" s="1360"/>
      <c r="AE13" s="275"/>
      <c r="AF13" s="275"/>
      <c r="AG13" s="275"/>
      <c r="AH13" s="275"/>
      <c r="AI13" s="275"/>
      <c r="AJ13" s="275"/>
      <c r="AK13" s="275"/>
      <c r="AL13" s="275"/>
      <c r="AM13" s="275"/>
      <c r="AN13" s="275"/>
      <c r="AO13" s="275"/>
      <c r="AP13" s="275"/>
      <c r="AQ13" s="275"/>
      <c r="AR13" s="275"/>
      <c r="AS13" s="275"/>
      <c r="AT13" s="275"/>
      <c r="AU13" s="275"/>
      <c r="AV13" s="275"/>
      <c r="AW13" s="275"/>
      <c r="AX13" s="275"/>
      <c r="AY13" s="275"/>
      <c r="AZ13" s="275"/>
      <c r="BA13" s="275"/>
      <c r="BB13" s="235"/>
      <c r="BC13" s="3553"/>
      <c r="BE13" s="398"/>
      <c r="BF13" s="398" t="str">
        <f t="shared" si="1"/>
        <v>Добавить строку</v>
      </c>
      <c r="BG13" s="398"/>
      <c r="BH13" s="398"/>
    </row>
    <row r="14" spans="1:60" s="1866" customFormat="1" ht="14.25" hidden="1" customHeight="1">
      <c r="A14" s="1205"/>
      <c r="B14" s="1205"/>
      <c r="C14" s="1205"/>
      <c r="D14" s="1205"/>
      <c r="E14" s="3529"/>
      <c r="F14" s="3529"/>
      <c r="G14" s="3529"/>
      <c r="H14" s="3529"/>
      <c r="I14" s="3530"/>
      <c r="J14" s="1205"/>
      <c r="K14" s="1205"/>
      <c r="L14" s="1208"/>
      <c r="M14" s="408"/>
      <c r="N14" s="408"/>
      <c r="O14" s="408"/>
      <c r="P14" s="3532"/>
      <c r="Q14" s="1319"/>
      <c r="R14" s="265"/>
      <c r="S14" s="1247"/>
      <c r="T14" s="1248"/>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V14" s="1249"/>
      <c r="AW14" s="1249"/>
      <c r="AX14" s="1249"/>
      <c r="AY14" s="1249"/>
      <c r="AZ14" s="1249"/>
      <c r="BA14" s="1249"/>
      <c r="BB14" s="1249"/>
      <c r="BC14" s="1250"/>
      <c r="BE14" s="398"/>
      <c r="BF14" s="398" t="str">
        <f t="shared" si="1"/>
        <v/>
      </c>
      <c r="BG14" s="398"/>
      <c r="BH14" s="398"/>
    </row>
    <row r="15" spans="1:60" s="1866" customFormat="1" ht="14.25" hidden="1" customHeight="1">
      <c r="A15" s="1205"/>
      <c r="B15" s="1205"/>
      <c r="C15" s="1205"/>
      <c r="D15" s="1205"/>
      <c r="E15" s="3529"/>
      <c r="F15" s="3529"/>
      <c r="G15" s="3529"/>
      <c r="H15" s="3528"/>
      <c r="I15" s="1205"/>
      <c r="J15" s="1205"/>
      <c r="K15" s="1205"/>
      <c r="L15" s="1208"/>
      <c r="M15" s="1178"/>
      <c r="N15" s="1178"/>
      <c r="O15" s="416"/>
      <c r="P15" s="287"/>
      <c r="Q15" s="1206"/>
      <c r="R15" s="1262"/>
      <c r="S15" s="1247"/>
      <c r="T15" s="1248"/>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V15" s="1249"/>
      <c r="AW15" s="1249"/>
      <c r="AX15" s="1249"/>
      <c r="AY15" s="1249"/>
      <c r="AZ15" s="1249"/>
      <c r="BA15" s="1249"/>
      <c r="BB15" s="1249"/>
      <c r="BC15" s="1250"/>
      <c r="BE15" s="398"/>
      <c r="BF15" s="398" t="str">
        <f t="shared" si="1"/>
        <v/>
      </c>
      <c r="BG15" s="398"/>
      <c r="BH15" s="398"/>
    </row>
    <row r="16" spans="1:60" s="1866" customFormat="1" ht="14.25" hidden="1" customHeight="1">
      <c r="A16" s="1205"/>
      <c r="B16" s="1205"/>
      <c r="C16" s="1205"/>
      <c r="D16" s="1177"/>
      <c r="E16" s="3529"/>
      <c r="F16" s="3529"/>
      <c r="G16" s="3528"/>
      <c r="H16" s="1177"/>
      <c r="I16" s="1177"/>
      <c r="J16" s="1177"/>
      <c r="K16" s="1177"/>
      <c r="L16" s="1321"/>
      <c r="M16" s="1178"/>
      <c r="N16" s="1178"/>
      <c r="P16" s="1179"/>
      <c r="Q16" s="1180"/>
      <c r="R16" s="1179"/>
      <c r="S16" s="1185"/>
      <c r="T16" s="1188"/>
      <c r="U16" s="1187"/>
      <c r="V16" s="1187"/>
      <c r="W16" s="1187"/>
      <c r="X16" s="1187"/>
      <c r="Y16" s="1187"/>
      <c r="Z16" s="1187"/>
      <c r="AA16" s="1187"/>
      <c r="AB16" s="1187"/>
      <c r="AC16" s="1187"/>
      <c r="AD16" s="1187"/>
      <c r="AE16" s="1187"/>
      <c r="AF16" s="1187"/>
      <c r="AG16" s="1187"/>
      <c r="AH16" s="1187"/>
      <c r="AI16" s="1187"/>
      <c r="AJ16" s="1187"/>
      <c r="AK16" s="1187"/>
      <c r="AL16" s="1187"/>
      <c r="AM16" s="1187"/>
      <c r="AN16" s="1187"/>
      <c r="AO16" s="1187"/>
      <c r="AP16" s="1187"/>
      <c r="AQ16" s="1187"/>
      <c r="AR16" s="1187"/>
      <c r="AS16" s="1187"/>
      <c r="AT16" s="1187"/>
      <c r="AU16" s="1187"/>
      <c r="AV16" s="1187"/>
      <c r="AW16" s="1187"/>
      <c r="AX16" s="1187"/>
      <c r="AY16" s="1187"/>
      <c r="AZ16" s="1187"/>
      <c r="BA16" s="1187"/>
      <c r="BB16" s="1187"/>
      <c r="BC16" s="1187"/>
      <c r="BE16" s="670"/>
      <c r="BF16" s="670" t="str">
        <f t="shared" si="1"/>
        <v/>
      </c>
      <c r="BG16" s="670"/>
      <c r="BH16" s="670"/>
    </row>
    <row r="17" spans="1:60" s="1866" customFormat="1" ht="14.25" hidden="1" customHeight="1">
      <c r="A17" s="1205"/>
      <c r="B17" s="1205"/>
      <c r="C17" s="1177"/>
      <c r="D17" s="1177"/>
      <c r="E17" s="3529"/>
      <c r="F17" s="3528"/>
      <c r="G17" s="1177"/>
      <c r="H17" s="1177"/>
      <c r="I17" s="1177"/>
      <c r="J17" s="1177"/>
      <c r="K17" s="1177"/>
      <c r="L17" s="1321"/>
      <c r="M17" s="1184"/>
      <c r="N17" s="1184"/>
      <c r="P17" s="1179"/>
      <c r="Q17" s="1180"/>
      <c r="R17" s="1179"/>
      <c r="S17" s="1185"/>
      <c r="T17" s="1188" t="s">
        <v>677</v>
      </c>
      <c r="U17" s="1187"/>
      <c r="V17" s="1187"/>
      <c r="W17" s="1187"/>
      <c r="X17" s="1187"/>
      <c r="Y17" s="1187"/>
      <c r="Z17" s="1187"/>
      <c r="AA17" s="1187"/>
      <c r="AB17" s="1187"/>
      <c r="AC17" s="1187"/>
      <c r="AD17" s="1187"/>
      <c r="AE17" s="1187"/>
      <c r="AF17" s="1187"/>
      <c r="AG17" s="1187"/>
      <c r="AH17" s="1187"/>
      <c r="AI17" s="1187"/>
      <c r="AJ17" s="1187"/>
      <c r="AK17" s="1187"/>
      <c r="AL17" s="1187"/>
      <c r="AM17" s="1187"/>
      <c r="AN17" s="1187"/>
      <c r="AO17" s="1187"/>
      <c r="AP17" s="1187"/>
      <c r="AQ17" s="1187"/>
      <c r="AR17" s="1187"/>
      <c r="AS17" s="1187"/>
      <c r="AT17" s="1187"/>
      <c r="AU17" s="1187"/>
      <c r="AV17" s="1187"/>
      <c r="AW17" s="1187"/>
      <c r="AX17" s="1187"/>
      <c r="AY17" s="1187"/>
      <c r="AZ17" s="1187"/>
      <c r="BA17" s="1187"/>
      <c r="BB17" s="1187"/>
      <c r="BC17" s="1187"/>
      <c r="BE17" s="670"/>
      <c r="BF17" s="670" t="str">
        <f t="shared" si="1"/>
        <v>Добавить централизованную систему для дифференциации</v>
      </c>
      <c r="BG17" s="670"/>
      <c r="BH17" s="670"/>
    </row>
    <row r="18" spans="1:60" s="1866" customFormat="1" ht="14.25" hidden="1" customHeight="1">
      <c r="A18" s="1205"/>
      <c r="B18" s="1205"/>
      <c r="C18" s="1205"/>
      <c r="D18" s="1205"/>
      <c r="E18" s="3528"/>
      <c r="F18" s="1205"/>
      <c r="G18" s="1205"/>
      <c r="H18" s="1205"/>
      <c r="I18" s="1205"/>
      <c r="J18" s="1205"/>
      <c r="K18" s="1205"/>
      <c r="L18" s="1208"/>
      <c r="M18" s="1184"/>
      <c r="N18" s="1184"/>
      <c r="O18" s="416"/>
      <c r="P18" s="287"/>
      <c r="Q18" s="1206"/>
      <c r="R18" s="287"/>
      <c r="S18" s="1185"/>
      <c r="T18" s="1188" t="s">
        <v>678</v>
      </c>
      <c r="U18" s="1187"/>
      <c r="V18" s="1187"/>
      <c r="W18" s="1187"/>
      <c r="X18" s="1187"/>
      <c r="Y18" s="1187"/>
      <c r="Z18" s="1187"/>
      <c r="AA18" s="1187"/>
      <c r="AB18" s="1187"/>
      <c r="AC18" s="1187"/>
      <c r="AD18" s="1187"/>
      <c r="AE18" s="1187"/>
      <c r="AF18" s="1187"/>
      <c r="AG18" s="1187"/>
      <c r="AH18" s="1187"/>
      <c r="AI18" s="1187"/>
      <c r="AJ18" s="1187"/>
      <c r="AK18" s="1187"/>
      <c r="AL18" s="1187"/>
      <c r="AM18" s="1187"/>
      <c r="AN18" s="1187"/>
      <c r="AO18" s="1187"/>
      <c r="AP18" s="1187"/>
      <c r="AQ18" s="1187"/>
      <c r="AR18" s="1187"/>
      <c r="AS18" s="1187"/>
      <c r="AT18" s="1187"/>
      <c r="AU18" s="1187"/>
      <c r="AV18" s="1187"/>
      <c r="AW18" s="1187"/>
      <c r="AX18" s="1187"/>
      <c r="AY18" s="1187"/>
      <c r="AZ18" s="1187"/>
      <c r="BA18" s="1187"/>
      <c r="BB18" s="1187"/>
      <c r="BC18" s="1187"/>
      <c r="BE18" s="398"/>
      <c r="BF18" s="398" t="str">
        <f t="shared" si="1"/>
        <v>Добавить территорию для дифференциации</v>
      </c>
      <c r="BG18" s="398"/>
      <c r="BH18" s="398"/>
    </row>
    <row r="19" spans="1:60" ht="14.25" hidden="1" customHeight="1">
      <c r="AC19" s="238"/>
      <c r="BA19" s="238"/>
    </row>
    <row r="20" spans="1:60" ht="14.25" hidden="1" customHeight="1">
      <c r="AD20" s="1187" t="s">
        <v>54</v>
      </c>
      <c r="AE20" s="1356"/>
      <c r="AF20" s="445">
        <v>1</v>
      </c>
      <c r="AG20" s="1357"/>
      <c r="AH20" s="1187" t="s">
        <v>54</v>
      </c>
      <c r="AI20" s="1356"/>
      <c r="AJ20" s="445">
        <v>1</v>
      </c>
      <c r="AK20" s="1357"/>
      <c r="AL20" s="1187" t="s">
        <v>54</v>
      </c>
      <c r="AM20" s="1358"/>
      <c r="AN20" s="445">
        <v>1</v>
      </c>
      <c r="AO20" s="1359"/>
      <c r="AP20" s="1187" t="s">
        <v>54</v>
      </c>
      <c r="AQ20" s="1358"/>
      <c r="AR20" s="445">
        <v>1</v>
      </c>
      <c r="AS20" s="1359"/>
      <c r="AT20" s="236"/>
      <c r="AU20" s="291"/>
      <c r="AV20" s="236"/>
      <c r="AW20" s="291"/>
      <c r="AX20" s="1579"/>
      <c r="AY20" s="1318" t="s">
        <v>64</v>
      </c>
      <c r="AZ20" s="1579"/>
      <c r="BA20" s="1318" t="s">
        <v>64</v>
      </c>
    </row>
    <row r="21" spans="1:60" ht="14.25" hidden="1" customHeight="1">
      <c r="BD21" s="394"/>
      <c r="BE21" s="394"/>
      <c r="BF21" s="394"/>
      <c r="BG21" s="394"/>
      <c r="BH21" s="394"/>
    </row>
    <row r="22" spans="1:60" ht="14.25" hidden="1" customHeight="1">
      <c r="O22" s="1228" t="s">
        <v>679</v>
      </c>
      <c r="Z22" s="1207"/>
      <c r="AB22" s="1207"/>
      <c r="AC22" s="238"/>
      <c r="AX22" s="1207"/>
      <c r="AZ22" s="1207"/>
      <c r="BA22" s="238"/>
      <c r="BD22" s="394"/>
      <c r="BE22" s="394"/>
      <c r="BF22" s="394"/>
      <c r="BG22" s="394"/>
      <c r="BH22" s="394"/>
    </row>
    <row r="23" spans="1:60" ht="14.25" hidden="1" customHeight="1">
      <c r="AC23" s="238"/>
      <c r="BA23" s="238"/>
      <c r="BD23" s="394"/>
      <c r="BE23" s="394"/>
      <c r="BF23" s="394"/>
      <c r="BG23" s="394"/>
      <c r="BH23" s="394"/>
    </row>
    <row r="24" spans="1:60" s="1841" customFormat="1" ht="14.25" hidden="1" customHeight="1">
      <c r="M24" s="1363"/>
      <c r="N24" s="1363"/>
      <c r="O24" s="1364" t="s">
        <v>680</v>
      </c>
      <c r="P24" s="1363"/>
      <c r="Q24" s="1365"/>
      <c r="R24" s="1365"/>
      <c r="AA24" s="1362" t="s">
        <v>682</v>
      </c>
      <c r="AC24" s="1362" t="s">
        <v>683</v>
      </c>
      <c r="AD24" s="1362" t="s">
        <v>731</v>
      </c>
      <c r="AH24" s="1362" t="s">
        <v>731</v>
      </c>
      <c r="AK24" s="1362" t="s">
        <v>769</v>
      </c>
      <c r="AL24" s="1362" t="s">
        <v>731</v>
      </c>
      <c r="AP24" s="1362" t="s">
        <v>731</v>
      </c>
      <c r="AY24" s="1362" t="s">
        <v>682</v>
      </c>
      <c r="BA24" s="1362" t="s">
        <v>683</v>
      </c>
      <c r="BD24" s="1366"/>
      <c r="BE24" s="1366"/>
      <c r="BF24" s="1366"/>
      <c r="BG24" s="1366"/>
      <c r="BH24" s="1366"/>
    </row>
    <row r="25" spans="1:60" ht="14.25" hidden="1" customHeight="1">
      <c r="O25" s="1225"/>
      <c r="BD25" s="394"/>
      <c r="BE25" s="394"/>
      <c r="BF25" s="394"/>
      <c r="BG25" s="394"/>
      <c r="BH25" s="394"/>
    </row>
    <row r="26" spans="1:60" ht="14.25" hidden="1" customHeight="1">
      <c r="O26" s="1225"/>
      <c r="BD26" s="394"/>
      <c r="BE26" s="394"/>
      <c r="BF26" s="394"/>
      <c r="BG26" s="394"/>
      <c r="BH26" s="394"/>
    </row>
    <row r="27" spans="1:60" ht="14.25" customHeight="1">
      <c r="Q27" s="203"/>
      <c r="R27" s="283"/>
      <c r="S27" s="1141"/>
      <c r="T27" s="272"/>
      <c r="U27" s="272"/>
      <c r="V27" s="407"/>
      <c r="W27" s="407"/>
      <c r="X27" s="407"/>
      <c r="Y27" s="407"/>
      <c r="Z27" s="407"/>
      <c r="AA27" s="407"/>
      <c r="AB27" s="407"/>
      <c r="AC27" s="407"/>
      <c r="AD27" s="407"/>
      <c r="AE27" s="407"/>
      <c r="AF27" s="407"/>
      <c r="AG27" s="407"/>
      <c r="AH27" s="407"/>
      <c r="AI27" s="407"/>
      <c r="AJ27" s="407"/>
      <c r="AK27" s="407"/>
      <c r="AL27" s="407"/>
      <c r="AM27" s="407"/>
      <c r="AN27" s="407"/>
      <c r="AO27" s="407"/>
      <c r="AP27" s="407"/>
      <c r="AQ27" s="407"/>
      <c r="AR27" s="407"/>
      <c r="AS27" s="407"/>
      <c r="AT27" s="407"/>
      <c r="AU27" s="407"/>
      <c r="AV27" s="407"/>
      <c r="AW27" s="407"/>
      <c r="AX27" s="407"/>
      <c r="AY27" s="407"/>
      <c r="AZ27" s="407"/>
      <c r="BA27" s="407"/>
    </row>
    <row r="28" spans="1:60" ht="14.25" customHeight="1">
      <c r="Q28" s="203"/>
      <c r="R28" s="283"/>
      <c r="S28" s="350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3509"/>
      <c r="U28" s="3509"/>
      <c r="V28" s="3509"/>
      <c r="W28" s="3509"/>
      <c r="X28" s="3509"/>
      <c r="Y28" s="3509"/>
      <c r="Z28" s="3509"/>
      <c r="AA28" s="3509"/>
      <c r="AB28" s="3509"/>
      <c r="AC28" s="3509"/>
      <c r="AD28" s="3509"/>
      <c r="AE28" s="3509"/>
      <c r="AF28" s="3509"/>
      <c r="AG28" s="3509"/>
      <c r="AH28" s="3509"/>
      <c r="AI28" s="3509"/>
      <c r="AJ28" s="3509"/>
      <c r="AK28" s="3509"/>
      <c r="AL28" s="3509"/>
      <c r="AM28" s="3509"/>
      <c r="AN28" s="3509"/>
      <c r="AO28" s="3509"/>
      <c r="AP28" s="3509"/>
      <c r="AQ28" s="3509"/>
      <c r="AR28" s="3509"/>
      <c r="AS28" s="3509"/>
      <c r="AT28" s="3509"/>
      <c r="AU28" s="3509"/>
      <c r="AV28" s="3509"/>
      <c r="AW28" s="3509"/>
      <c r="AX28" s="3509"/>
      <c r="AY28" s="3509"/>
      <c r="AZ28" s="3509"/>
      <c r="BA28" s="1109"/>
    </row>
    <row r="29" spans="1:60" ht="14.25" customHeight="1">
      <c r="Q29" s="203"/>
      <c r="R29" s="283"/>
      <c r="S29" s="3480" t="str">
        <f>IF(org=0,"Не определено",org)</f>
        <v>АО "Орелгортеплоэнерго"</v>
      </c>
      <c r="T29" s="3480"/>
      <c r="U29" s="3480"/>
      <c r="V29" s="3480"/>
      <c r="W29" s="3480"/>
      <c r="X29" s="3480"/>
      <c r="Y29" s="3480"/>
      <c r="Z29" s="3480"/>
      <c r="AA29" s="3480"/>
      <c r="AB29" s="3480"/>
      <c r="AC29" s="3480"/>
      <c r="AD29" s="3480"/>
      <c r="AE29" s="3480"/>
      <c r="AF29" s="3480"/>
      <c r="AG29" s="3480"/>
      <c r="AH29" s="3480"/>
      <c r="AI29" s="3480"/>
      <c r="AJ29" s="3480"/>
      <c r="AK29" s="3480"/>
      <c r="AL29" s="3480"/>
      <c r="AM29" s="3480"/>
      <c r="AN29" s="3480"/>
      <c r="AO29" s="3480"/>
      <c r="AP29" s="3480"/>
      <c r="AQ29" s="3480"/>
      <c r="AR29" s="3480"/>
      <c r="AS29" s="3480"/>
      <c r="AT29" s="3480"/>
      <c r="AU29" s="3480"/>
      <c r="AV29" s="3480"/>
      <c r="AW29" s="3480"/>
      <c r="AX29" s="3480"/>
      <c r="AY29" s="3480"/>
      <c r="AZ29" s="3480"/>
      <c r="BA29" s="1109"/>
    </row>
    <row r="30" spans="1:60" ht="14.25" hidden="1" customHeight="1">
      <c r="Q30" s="203"/>
      <c r="R30" s="283"/>
      <c r="S30" s="1141"/>
      <c r="T30" s="272"/>
      <c r="U30" s="272"/>
      <c r="V30" s="233"/>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407"/>
    </row>
    <row r="31" spans="1:60" s="1944" customFormat="1" ht="25.5" hidden="1" customHeight="1">
      <c r="A31" s="1229"/>
      <c r="B31" s="1229"/>
      <c r="C31" s="1229"/>
      <c r="D31" s="1229"/>
      <c r="E31" s="1229"/>
      <c r="F31" s="1229"/>
      <c r="G31" s="1229"/>
      <c r="H31" s="1229"/>
      <c r="I31" s="1229"/>
      <c r="J31" s="1229"/>
      <c r="K31" s="1229"/>
      <c r="L31" s="1230"/>
      <c r="M31" s="1229"/>
      <c r="N31" s="1229"/>
      <c r="O31" s="1229"/>
      <c r="P31" s="1229"/>
      <c r="Q31" s="1229"/>
      <c r="S31" s="3519" t="s">
        <v>38</v>
      </c>
      <c r="T31" s="3519"/>
      <c r="U31" s="1233"/>
      <c r="V31" s="3521" t="str">
        <f>IF(TITLE_NAME_OR_PR_CHANGE="",IF(TITLE_NAME_OR_PR="","",TITLE_NAME_OR_PR),TITLE_NAME_OR_PR_CHANGE)</f>
        <v/>
      </c>
      <c r="W31" s="3521"/>
      <c r="X31" s="3521"/>
      <c r="Y31" s="3521"/>
      <c r="Z31" s="3521"/>
      <c r="AA31" s="3521"/>
      <c r="AB31" s="3521"/>
      <c r="AC31" s="237"/>
      <c r="AD31" s="3521" t="str">
        <f>IF(TITLE_NAME_OR_PR_CHANGE="",IF(TITLE_NAME_OR_PR="","",TITLE_NAME_OR_PR),TITLE_NAME_OR_PR_CHANGE)</f>
        <v/>
      </c>
      <c r="AE31" s="3521"/>
      <c r="AF31" s="3521"/>
      <c r="AG31" s="3521"/>
      <c r="AH31" s="3521"/>
      <c r="AI31" s="3521"/>
      <c r="AJ31" s="3521"/>
      <c r="AK31" s="3521"/>
      <c r="AL31" s="3521"/>
      <c r="AM31" s="3521"/>
      <c r="AN31" s="3521"/>
      <c r="AO31" s="3521"/>
      <c r="AP31" s="3521"/>
      <c r="AQ31" s="3521"/>
      <c r="AR31" s="3521"/>
      <c r="AS31" s="3521"/>
      <c r="AT31" s="3521"/>
      <c r="AU31" s="3521"/>
      <c r="AV31" s="3521"/>
      <c r="AW31" s="3521"/>
      <c r="AX31" s="3521"/>
      <c r="AY31" s="3521"/>
      <c r="AZ31" s="3521"/>
      <c r="BA31" s="237"/>
      <c r="BB31" s="237"/>
      <c r="BC31" s="193"/>
      <c r="BD31" s="276"/>
      <c r="BE31" s="276"/>
      <c r="BF31" s="276"/>
      <c r="BG31" s="276"/>
      <c r="BH31" s="276"/>
    </row>
    <row r="32" spans="1:60" s="1944" customFormat="1" ht="18.75" hidden="1" customHeight="1">
      <c r="A32" s="1229"/>
      <c r="B32" s="1229"/>
      <c r="C32" s="1229"/>
      <c r="D32" s="1229"/>
      <c r="E32" s="1229"/>
      <c r="F32" s="1229"/>
      <c r="G32" s="1229"/>
      <c r="H32" s="1229"/>
      <c r="I32" s="1229"/>
      <c r="J32" s="1229"/>
      <c r="K32" s="1229"/>
      <c r="L32" s="1230"/>
      <c r="M32" s="1229"/>
      <c r="N32" s="1229"/>
      <c r="O32" s="1229"/>
      <c r="P32" s="1229"/>
      <c r="Q32" s="1229"/>
      <c r="S32" s="3519" t="s">
        <v>685</v>
      </c>
      <c r="T32" s="3519"/>
      <c r="U32" s="1233"/>
      <c r="V32" s="3520" t="str">
        <f>IF(TITLE_DATE_PR_CHANGE="",IF(TITLE_DATE_PR="","",TITLE_DATE_PR),TITLE_DATE_PR_CHANGE)</f>
        <v/>
      </c>
      <c r="W32" s="3520"/>
      <c r="X32" s="3520"/>
      <c r="Y32" s="3520"/>
      <c r="Z32" s="3520"/>
      <c r="AA32" s="3520"/>
      <c r="AB32" s="3520"/>
      <c r="AC32" s="237"/>
      <c r="AD32" s="3520" t="str">
        <f>IF(TITLE_DATE_PR_CHANGE="",IF(TITLE_DATE_PR="","",TITLE_DATE_PR),TITLE_DATE_PR_CHANGE)</f>
        <v/>
      </c>
      <c r="AE32" s="3520"/>
      <c r="AF32" s="3520"/>
      <c r="AG32" s="3520"/>
      <c r="AH32" s="3520"/>
      <c r="AI32" s="3520"/>
      <c r="AJ32" s="3520"/>
      <c r="AK32" s="3520"/>
      <c r="AL32" s="3520"/>
      <c r="AM32" s="3520"/>
      <c r="AN32" s="3520"/>
      <c r="AO32" s="3520"/>
      <c r="AP32" s="3520"/>
      <c r="AQ32" s="3520"/>
      <c r="AR32" s="3520"/>
      <c r="AS32" s="3520"/>
      <c r="AT32" s="3520"/>
      <c r="AU32" s="3520"/>
      <c r="AV32" s="3520"/>
      <c r="AW32" s="3520"/>
      <c r="AX32" s="3520"/>
      <c r="AY32" s="3520"/>
      <c r="AZ32" s="3520"/>
      <c r="BA32" s="237"/>
      <c r="BB32" s="237"/>
      <c r="BC32" s="193"/>
      <c r="BD32" s="276"/>
      <c r="BE32" s="276"/>
      <c r="BF32" s="276"/>
      <c r="BG32" s="276"/>
      <c r="BH32" s="276"/>
    </row>
    <row r="33" spans="1:60" s="1944" customFormat="1" ht="18.75" hidden="1" customHeight="1">
      <c r="A33" s="1229"/>
      <c r="B33" s="1229"/>
      <c r="C33" s="1229"/>
      <c r="D33" s="1229"/>
      <c r="E33" s="1229"/>
      <c r="F33" s="1229"/>
      <c r="G33" s="1229"/>
      <c r="H33" s="1229"/>
      <c r="I33" s="1229"/>
      <c r="J33" s="1229"/>
      <c r="K33" s="1229"/>
      <c r="L33" s="1230"/>
      <c r="M33" s="1229"/>
      <c r="N33" s="1229"/>
      <c r="O33" s="1229"/>
      <c r="P33" s="1229"/>
      <c r="Q33" s="1229"/>
      <c r="S33" s="3519" t="s">
        <v>686</v>
      </c>
      <c r="T33" s="3519"/>
      <c r="U33" s="1233"/>
      <c r="V33" s="3521" t="str">
        <f>IF(TITLE_NUMBER_PR_CHANGE="",IF(TITLE_NUMBER_PR="","",TITLE_NUMBER_PR),TITLE_NUMBER_PR_CHANGE)</f>
        <v/>
      </c>
      <c r="W33" s="3521"/>
      <c r="X33" s="3521"/>
      <c r="Y33" s="3521"/>
      <c r="Z33" s="3521"/>
      <c r="AA33" s="3521"/>
      <c r="AB33" s="3521"/>
      <c r="AC33" s="237"/>
      <c r="AD33" s="3521" t="str">
        <f>IF(TITLE_NUMBER_PR_CHANGE="",IF(TITLE_NUMBER_PR="","",TITLE_NUMBER_PR),TITLE_NUMBER_PR_CHANGE)</f>
        <v/>
      </c>
      <c r="AE33" s="3521"/>
      <c r="AF33" s="3521"/>
      <c r="AG33" s="3521"/>
      <c r="AH33" s="3521"/>
      <c r="AI33" s="3521"/>
      <c r="AJ33" s="3521"/>
      <c r="AK33" s="3521"/>
      <c r="AL33" s="3521"/>
      <c r="AM33" s="3521"/>
      <c r="AN33" s="3521"/>
      <c r="AO33" s="3521"/>
      <c r="AP33" s="3521"/>
      <c r="AQ33" s="3521"/>
      <c r="AR33" s="3521"/>
      <c r="AS33" s="3521"/>
      <c r="AT33" s="3521"/>
      <c r="AU33" s="3521"/>
      <c r="AV33" s="3521"/>
      <c r="AW33" s="3521"/>
      <c r="AX33" s="3521"/>
      <c r="AY33" s="3521"/>
      <c r="AZ33" s="3521"/>
      <c r="BA33" s="237"/>
      <c r="BB33" s="237"/>
      <c r="BC33" s="193"/>
      <c r="BD33" s="276"/>
      <c r="BE33" s="276"/>
      <c r="BF33" s="276"/>
      <c r="BG33" s="276"/>
      <c r="BH33" s="276"/>
    </row>
    <row r="34" spans="1:60" s="1944" customFormat="1" ht="18.75" hidden="1" customHeight="1">
      <c r="A34" s="1229"/>
      <c r="B34" s="1229"/>
      <c r="C34" s="1229"/>
      <c r="D34" s="1229"/>
      <c r="E34" s="1229"/>
      <c r="F34" s="1229"/>
      <c r="G34" s="1229"/>
      <c r="H34" s="1229"/>
      <c r="I34" s="1229"/>
      <c r="J34" s="1229"/>
      <c r="K34" s="1229"/>
      <c r="L34" s="1230"/>
      <c r="M34" s="1229"/>
      <c r="N34" s="1229"/>
      <c r="O34" s="1229"/>
      <c r="P34" s="1229"/>
      <c r="Q34" s="1229"/>
      <c r="S34" s="3519" t="s">
        <v>39</v>
      </c>
      <c r="T34" s="3519"/>
      <c r="U34" s="1233"/>
      <c r="V34" s="3521" t="str">
        <f>IF(TITLE_IST_PUB_CHANGE="",IF(TITLE_IST_PUB="","",TITLE_IST_PUB),TITLE_IST_PUB_CHANGE)</f>
        <v/>
      </c>
      <c r="W34" s="3521"/>
      <c r="X34" s="3521"/>
      <c r="Y34" s="3521"/>
      <c r="Z34" s="3521"/>
      <c r="AA34" s="3521"/>
      <c r="AB34" s="3521"/>
      <c r="AC34" s="237"/>
      <c r="AD34" s="3521" t="str">
        <f>IF(TITLE_IST_PUB_CHANGE="",IF(TITLE_IST_PUB="","",TITLE_IST_PUB),TITLE_IST_PUB_CHANGE)</f>
        <v/>
      </c>
      <c r="AE34" s="3521"/>
      <c r="AF34" s="3521"/>
      <c r="AG34" s="3521"/>
      <c r="AH34" s="3521"/>
      <c r="AI34" s="3521"/>
      <c r="AJ34" s="3521"/>
      <c r="AK34" s="3521"/>
      <c r="AL34" s="3521"/>
      <c r="AM34" s="3521"/>
      <c r="AN34" s="3521"/>
      <c r="AO34" s="3521"/>
      <c r="AP34" s="3521"/>
      <c r="AQ34" s="3521"/>
      <c r="AR34" s="3521"/>
      <c r="AS34" s="3521"/>
      <c r="AT34" s="3521"/>
      <c r="AU34" s="3521"/>
      <c r="AV34" s="3521"/>
      <c r="AW34" s="3521"/>
      <c r="AX34" s="3521"/>
      <c r="AY34" s="3521"/>
      <c r="AZ34" s="3521"/>
      <c r="BA34" s="237"/>
      <c r="BB34" s="237"/>
      <c r="BC34" s="193"/>
      <c r="BD34" s="276"/>
      <c r="BE34" s="276"/>
      <c r="BF34" s="276"/>
      <c r="BG34" s="276"/>
      <c r="BH34" s="276"/>
    </row>
    <row r="35" spans="1:60" ht="14.25" hidden="1" customHeight="1">
      <c r="Q35" s="203"/>
      <c r="R35" s="283"/>
      <c r="S35" s="1141"/>
      <c r="T35" s="272"/>
      <c r="U35" s="272"/>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407"/>
    </row>
    <row r="36" spans="1:60" s="1944" customFormat="1" ht="18.75" hidden="1" customHeight="1">
      <c r="A36" s="1229"/>
      <c r="B36" s="1229"/>
      <c r="C36" s="1229"/>
      <c r="D36" s="1229"/>
      <c r="E36" s="1229"/>
      <c r="F36" s="1229"/>
      <c r="G36" s="1229"/>
      <c r="H36" s="1229"/>
      <c r="I36" s="1229"/>
      <c r="J36" s="1229"/>
      <c r="K36" s="1229"/>
      <c r="L36" s="1230"/>
      <c r="M36" s="1229"/>
      <c r="N36" s="1229"/>
      <c r="O36" s="1229"/>
      <c r="P36" s="1229"/>
      <c r="Q36" s="1229"/>
      <c r="S36" s="3519" t="s">
        <v>685</v>
      </c>
      <c r="T36" s="3519"/>
      <c r="U36" s="1233"/>
      <c r="V36" s="3520" t="str">
        <f>IF(TITLE_DATE_PR_CHANGE="",IF(TITLE_DATE_PR="","",TITLE_DATE_PR),TITLE_DATE_PR_CHANGE)</f>
        <v/>
      </c>
      <c r="W36" s="3520"/>
      <c r="X36" s="3520"/>
      <c r="Y36" s="3520"/>
      <c r="Z36" s="3520"/>
      <c r="AA36" s="3520"/>
      <c r="AB36" s="3520"/>
      <c r="AC36" s="237"/>
      <c r="AD36" s="3520" t="str">
        <f>IF(TITLE_DATE_PR_CHANGE="",IF(TITLE_DATE_PR="","",TITLE_DATE_PR),TITLE_DATE_PR_CHANGE)</f>
        <v/>
      </c>
      <c r="AE36" s="3520"/>
      <c r="AF36" s="3520"/>
      <c r="AG36" s="3520"/>
      <c r="AH36" s="3520"/>
      <c r="AI36" s="3520"/>
      <c r="AJ36" s="3520"/>
      <c r="AK36" s="3520"/>
      <c r="AL36" s="3520"/>
      <c r="AM36" s="3520"/>
      <c r="AN36" s="3520"/>
      <c r="AO36" s="3520"/>
      <c r="AP36" s="3520"/>
      <c r="AQ36" s="3520"/>
      <c r="AR36" s="3520"/>
      <c r="AS36" s="3520"/>
      <c r="AT36" s="3520"/>
      <c r="AU36" s="3520"/>
      <c r="AV36" s="3520"/>
      <c r="AW36" s="3520"/>
      <c r="AX36" s="3520"/>
      <c r="AY36" s="3520"/>
      <c r="AZ36" s="3520"/>
      <c r="BA36" s="237"/>
      <c r="BB36" s="237"/>
      <c r="BC36" s="193"/>
      <c r="BD36" s="276"/>
      <c r="BE36" s="276"/>
      <c r="BF36" s="276"/>
      <c r="BG36" s="276"/>
      <c r="BH36" s="276"/>
    </row>
    <row r="37" spans="1:60" s="1944" customFormat="1" ht="18.75" hidden="1" customHeight="1">
      <c r="A37" s="1229"/>
      <c r="B37" s="1229"/>
      <c r="C37" s="1229"/>
      <c r="D37" s="1229"/>
      <c r="E37" s="1229"/>
      <c r="F37" s="1229"/>
      <c r="G37" s="1229"/>
      <c r="H37" s="1229"/>
      <c r="I37" s="1229"/>
      <c r="J37" s="1229"/>
      <c r="K37" s="1229"/>
      <c r="L37" s="1230"/>
      <c r="M37" s="1229"/>
      <c r="N37" s="1229"/>
      <c r="O37" s="1229"/>
      <c r="P37" s="1229"/>
      <c r="Q37" s="1229"/>
      <c r="S37" s="3519" t="s">
        <v>686</v>
      </c>
      <c r="T37" s="3519"/>
      <c r="U37" s="1233"/>
      <c r="V37" s="3521" t="str">
        <f>IF(TITLE_NUMBER_PR_CHANGE="",IF(TITLE_NUMBER_PR="","",TITLE_NUMBER_PR),TITLE_NUMBER_PR_CHANGE)</f>
        <v/>
      </c>
      <c r="W37" s="3521"/>
      <c r="X37" s="3521"/>
      <c r="Y37" s="3521"/>
      <c r="Z37" s="3521"/>
      <c r="AA37" s="3521"/>
      <c r="AB37" s="3521"/>
      <c r="AC37" s="237"/>
      <c r="AD37" s="3521" t="str">
        <f>IF(TITLE_NUMBER_PR_CHANGE="",IF(TITLE_NUMBER_PR="","",TITLE_NUMBER_PR),TITLE_NUMBER_PR_CHANGE)</f>
        <v/>
      </c>
      <c r="AE37" s="3521"/>
      <c r="AF37" s="3521"/>
      <c r="AG37" s="3521"/>
      <c r="AH37" s="3521"/>
      <c r="AI37" s="3521"/>
      <c r="AJ37" s="3521"/>
      <c r="AK37" s="3521"/>
      <c r="AL37" s="3521"/>
      <c r="AM37" s="3521"/>
      <c r="AN37" s="3521"/>
      <c r="AO37" s="3521"/>
      <c r="AP37" s="3521"/>
      <c r="AQ37" s="3521"/>
      <c r="AR37" s="3521"/>
      <c r="AS37" s="3521"/>
      <c r="AT37" s="3521"/>
      <c r="AU37" s="3521"/>
      <c r="AV37" s="3521"/>
      <c r="AW37" s="3521"/>
      <c r="AX37" s="3521"/>
      <c r="AY37" s="3521"/>
      <c r="AZ37" s="3521"/>
      <c r="BA37" s="237"/>
      <c r="BB37" s="237"/>
      <c r="BC37" s="193"/>
      <c r="BD37" s="276"/>
      <c r="BE37" s="276"/>
      <c r="BF37" s="276"/>
      <c r="BG37" s="276"/>
      <c r="BH37" s="276"/>
    </row>
    <row r="38" spans="1:60" s="1944" customFormat="1" ht="0" hidden="1" customHeight="1">
      <c r="A38" s="1229"/>
      <c r="B38" s="1229"/>
      <c r="C38" s="1229"/>
      <c r="D38" s="1229"/>
      <c r="E38" s="1229"/>
      <c r="F38" s="1229"/>
      <c r="G38" s="1229"/>
      <c r="H38" s="1229"/>
      <c r="I38" s="1229"/>
      <c r="J38" s="1229"/>
      <c r="K38" s="1229"/>
      <c r="L38" s="1230"/>
      <c r="M38" s="1229"/>
      <c r="N38" s="1229"/>
      <c r="O38" s="1229"/>
      <c r="P38" s="1229"/>
      <c r="Q38" s="1229"/>
      <c r="S38" s="234"/>
      <c r="T38" s="234"/>
      <c r="U38" s="1312"/>
      <c r="V38" s="237"/>
      <c r="W38" s="237"/>
      <c r="X38" s="237"/>
      <c r="Y38" s="237"/>
      <c r="Z38" s="237"/>
      <c r="AA38" s="237"/>
      <c r="AB38" s="237"/>
      <c r="AC38" s="191" t="s">
        <v>689</v>
      </c>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191" t="s">
        <v>689</v>
      </c>
      <c r="BD38" s="276"/>
      <c r="BE38" s="276"/>
      <c r="BF38" s="276"/>
      <c r="BG38" s="276"/>
      <c r="BH38" s="276"/>
    </row>
    <row r="39" spans="1:60" ht="14.25" customHeight="1">
      <c r="Q39" s="203"/>
      <c r="R39" s="283"/>
      <c r="S39" s="1141"/>
      <c r="T39" s="272"/>
      <c r="U39" s="1110"/>
      <c r="V39" s="3540"/>
      <c r="W39" s="3540"/>
      <c r="X39" s="3540"/>
      <c r="Y39" s="3540"/>
      <c r="Z39" s="3540"/>
      <c r="AA39" s="3540"/>
      <c r="AB39" s="3540"/>
      <c r="AC39" s="3540"/>
      <c r="AD39" s="3540"/>
      <c r="AE39" s="3540"/>
      <c r="AF39" s="3540"/>
      <c r="AG39" s="3540"/>
      <c r="AH39" s="3540"/>
      <c r="AI39" s="3540"/>
      <c r="AJ39" s="3540"/>
      <c r="AK39" s="3540"/>
      <c r="AL39" s="3540"/>
      <c r="AM39" s="3540"/>
      <c r="AN39" s="3540"/>
      <c r="AO39" s="3540"/>
      <c r="AP39" s="3540"/>
      <c r="AQ39" s="3540"/>
      <c r="AR39" s="3540"/>
      <c r="AS39" s="3540"/>
      <c r="AT39" s="3540"/>
      <c r="AU39" s="3540"/>
      <c r="AV39" s="3540"/>
      <c r="AW39" s="3540"/>
      <c r="AX39" s="3540"/>
      <c r="AY39" s="3540"/>
      <c r="AZ39" s="3540"/>
      <c r="BA39" s="3540"/>
    </row>
    <row r="40" spans="1:60" ht="14.25" customHeight="1">
      <c r="Q40" s="203"/>
      <c r="R40" s="283"/>
      <c r="S40" s="3401" t="s">
        <v>560</v>
      </c>
      <c r="T40" s="3401"/>
      <c r="U40" s="3401"/>
      <c r="V40" s="3401"/>
      <c r="W40" s="3401"/>
      <c r="X40" s="3401"/>
      <c r="Y40" s="3401"/>
      <c r="Z40" s="3401"/>
      <c r="AA40" s="3401"/>
      <c r="AB40" s="3401"/>
      <c r="AC40" s="3401"/>
      <c r="AD40" s="3401"/>
      <c r="AE40" s="3401"/>
      <c r="AF40" s="3401"/>
      <c r="AG40" s="3401"/>
      <c r="AH40" s="3401"/>
      <c r="AI40" s="3401"/>
      <c r="AJ40" s="3401"/>
      <c r="AK40" s="3401"/>
      <c r="AL40" s="3401"/>
      <c r="AM40" s="3401"/>
      <c r="AN40" s="3401"/>
      <c r="AO40" s="3401"/>
      <c r="AP40" s="3401"/>
      <c r="AQ40" s="3401"/>
      <c r="AR40" s="3401"/>
      <c r="AS40" s="3401"/>
      <c r="AT40" s="3401"/>
      <c r="AU40" s="3401"/>
      <c r="AV40" s="3401"/>
      <c r="AW40" s="3401"/>
      <c r="AX40" s="3401"/>
      <c r="AY40" s="3401"/>
      <c r="AZ40" s="3401"/>
      <c r="BA40" s="3401"/>
      <c r="BB40" s="3401"/>
      <c r="BC40" s="3401" t="s">
        <v>561</v>
      </c>
    </row>
    <row r="41" spans="1:60" ht="14.25" customHeight="1">
      <c r="Q41" s="203"/>
      <c r="R41" s="283"/>
      <c r="S41" s="3541" t="s">
        <v>85</v>
      </c>
      <c r="T41" s="3489" t="s">
        <v>770</v>
      </c>
      <c r="U41" s="212"/>
      <c r="V41" s="3542" t="s">
        <v>691</v>
      </c>
      <c r="W41" s="3543"/>
      <c r="X41" s="3543"/>
      <c r="Y41" s="3543"/>
      <c r="Z41" s="3543"/>
      <c r="AA41" s="3543"/>
      <c r="AB41" s="3544"/>
      <c r="AC41" s="3545" t="s">
        <v>692</v>
      </c>
      <c r="AD41" s="3567" t="s">
        <v>771</v>
      </c>
      <c r="AE41" s="3558"/>
      <c r="AF41" s="3558"/>
      <c r="AG41" s="3568"/>
      <c r="AH41" s="3567" t="s">
        <v>772</v>
      </c>
      <c r="AI41" s="3558"/>
      <c r="AJ41" s="3558"/>
      <c r="AK41" s="3568"/>
      <c r="AL41" s="3567" t="s">
        <v>773</v>
      </c>
      <c r="AM41" s="3558"/>
      <c r="AN41" s="3558"/>
      <c r="AO41" s="3568"/>
      <c r="AP41" s="3567" t="s">
        <v>774</v>
      </c>
      <c r="AQ41" s="3558"/>
      <c r="AR41" s="3558"/>
      <c r="AS41" s="3568"/>
      <c r="AT41" s="3542" t="s">
        <v>691</v>
      </c>
      <c r="AU41" s="3543"/>
      <c r="AV41" s="3543"/>
      <c r="AW41" s="3543"/>
      <c r="AX41" s="3543"/>
      <c r="AY41" s="3543"/>
      <c r="AZ41" s="3544"/>
      <c r="BA41" s="3545" t="s">
        <v>692</v>
      </c>
      <c r="BB41" s="3548" t="s">
        <v>694</v>
      </c>
      <c r="BC41" s="3401"/>
    </row>
    <row r="42" spans="1:60" ht="33.75" customHeight="1">
      <c r="Q42" s="203"/>
      <c r="R42" s="283"/>
      <c r="S42" s="3541"/>
      <c r="T42" s="3489"/>
      <c r="U42" s="901"/>
      <c r="V42" s="3459" t="s">
        <v>775</v>
      </c>
      <c r="W42" s="3460"/>
      <c r="X42" s="3459" t="s">
        <v>776</v>
      </c>
      <c r="Y42" s="3460"/>
      <c r="Z42" s="3459" t="s">
        <v>777</v>
      </c>
      <c r="AA42" s="3563"/>
      <c r="AB42" s="3460"/>
      <c r="AC42" s="3546"/>
      <c r="AD42" s="3569"/>
      <c r="AE42" s="3570"/>
      <c r="AF42" s="3570"/>
      <c r="AG42" s="3582"/>
      <c r="AH42" s="3569"/>
      <c r="AI42" s="3570"/>
      <c r="AJ42" s="3570"/>
      <c r="AK42" s="3582"/>
      <c r="AL42" s="3569"/>
      <c r="AM42" s="3570"/>
      <c r="AN42" s="3570"/>
      <c r="AO42" s="3582"/>
      <c r="AP42" s="3569"/>
      <c r="AQ42" s="3570"/>
      <c r="AR42" s="3570"/>
      <c r="AS42" s="3582"/>
      <c r="AT42" s="3459" t="s">
        <v>775</v>
      </c>
      <c r="AU42" s="3460"/>
      <c r="AV42" s="3459" t="s">
        <v>776</v>
      </c>
      <c r="AW42" s="3460"/>
      <c r="AX42" s="3459" t="s">
        <v>777</v>
      </c>
      <c r="AY42" s="3563"/>
      <c r="AZ42" s="3460"/>
      <c r="BA42" s="3546"/>
      <c r="BB42" s="3549"/>
      <c r="BC42" s="3401"/>
    </row>
    <row r="43" spans="1:60" ht="14.25" customHeight="1">
      <c r="Q43" s="203"/>
      <c r="R43" s="283"/>
      <c r="S43" s="3541"/>
      <c r="T43" s="3489"/>
      <c r="U43" s="901"/>
      <c r="V43" s="3464"/>
      <c r="W43" s="3465"/>
      <c r="X43" s="3464"/>
      <c r="Y43" s="3465"/>
      <c r="Z43" s="3464"/>
      <c r="AA43" s="3564"/>
      <c r="AB43" s="3465"/>
      <c r="AC43" s="3546"/>
      <c r="AD43" s="3569"/>
      <c r="AE43" s="3570"/>
      <c r="AF43" s="3570"/>
      <c r="AG43" s="3582"/>
      <c r="AH43" s="3569"/>
      <c r="AI43" s="3570"/>
      <c r="AJ43" s="3570"/>
      <c r="AK43" s="3582"/>
      <c r="AL43" s="3569"/>
      <c r="AM43" s="3570"/>
      <c r="AN43" s="3570"/>
      <c r="AO43" s="3582"/>
      <c r="AP43" s="3569"/>
      <c r="AQ43" s="3570"/>
      <c r="AR43" s="3570"/>
      <c r="AS43" s="3582"/>
      <c r="AT43" s="3464"/>
      <c r="AU43" s="3465"/>
      <c r="AV43" s="3464"/>
      <c r="AW43" s="3465"/>
      <c r="AX43" s="3464"/>
      <c r="AY43" s="3564"/>
      <c r="AZ43" s="3465"/>
      <c r="BA43" s="3546"/>
      <c r="BB43" s="3549"/>
      <c r="BC43" s="3401"/>
    </row>
    <row r="44" spans="1:60" ht="14.25" customHeight="1">
      <c r="A44" s="1231"/>
      <c r="B44" s="1231" t="s">
        <v>403</v>
      </c>
      <c r="C44" s="1231" t="s">
        <v>404</v>
      </c>
      <c r="D44" s="1231" t="s">
        <v>405</v>
      </c>
      <c r="E44" s="1225" t="s">
        <v>699</v>
      </c>
      <c r="F44" s="1225" t="s">
        <v>700</v>
      </c>
      <c r="G44" s="1225" t="s">
        <v>701</v>
      </c>
      <c r="H44" s="1225" t="s">
        <v>702</v>
      </c>
      <c r="I44" s="1225" t="s">
        <v>703</v>
      </c>
      <c r="J44" s="1225" t="s">
        <v>704</v>
      </c>
      <c r="K44" s="1225" t="s">
        <v>705</v>
      </c>
      <c r="L44" s="1225" t="s">
        <v>680</v>
      </c>
      <c r="Q44" s="203"/>
      <c r="R44" s="283"/>
      <c r="S44" s="3541"/>
      <c r="T44" s="3489"/>
      <c r="U44" s="213"/>
      <c r="V44" s="1306" t="s">
        <v>741</v>
      </c>
      <c r="W44" s="1306" t="s">
        <v>742</v>
      </c>
      <c r="X44" s="1306" t="s">
        <v>741</v>
      </c>
      <c r="Y44" s="1306" t="s">
        <v>742</v>
      </c>
      <c r="Z44" s="1313" t="s">
        <v>708</v>
      </c>
      <c r="AA44" s="3494" t="s">
        <v>709</v>
      </c>
      <c r="AB44" s="3508"/>
      <c r="AC44" s="3547"/>
      <c r="AD44" s="3571"/>
      <c r="AE44" s="3572"/>
      <c r="AF44" s="3572"/>
      <c r="AG44" s="3573"/>
      <c r="AH44" s="3571"/>
      <c r="AI44" s="3572"/>
      <c r="AJ44" s="3572"/>
      <c r="AK44" s="3573"/>
      <c r="AL44" s="3571"/>
      <c r="AM44" s="3572"/>
      <c r="AN44" s="3572"/>
      <c r="AO44" s="3573"/>
      <c r="AP44" s="3571"/>
      <c r="AQ44" s="3572"/>
      <c r="AR44" s="3572"/>
      <c r="AS44" s="3573"/>
      <c r="AT44" s="1306" t="s">
        <v>741</v>
      </c>
      <c r="AU44" s="1306" t="s">
        <v>742</v>
      </c>
      <c r="AV44" s="1306" t="s">
        <v>741</v>
      </c>
      <c r="AW44" s="1306" t="s">
        <v>742</v>
      </c>
      <c r="AX44" s="1313" t="s">
        <v>708</v>
      </c>
      <c r="AY44" s="3494" t="s">
        <v>709</v>
      </c>
      <c r="AZ44" s="3508"/>
      <c r="BA44" s="3547"/>
      <c r="BB44" s="3550"/>
      <c r="BC44" s="3401"/>
    </row>
    <row r="45" spans="1:60" s="1838" customFormat="1" ht="11.25" hidden="1" customHeight="1">
      <c r="A45" s="1231"/>
      <c r="B45" s="1231"/>
      <c r="C45" s="1231"/>
      <c r="D45" s="1231"/>
      <c r="E45" s="1231"/>
      <c r="F45" s="1231"/>
      <c r="G45" s="1231"/>
      <c r="H45" s="1231"/>
      <c r="I45" s="1231"/>
      <c r="J45" s="1231"/>
      <c r="K45" s="1231"/>
      <c r="L45" s="1225"/>
      <c r="M45" s="1223"/>
      <c r="N45" s="1223"/>
      <c r="O45" s="1223"/>
      <c r="P45" s="408"/>
      <c r="Q45" s="1120"/>
      <c r="R45" s="1120">
        <v>1</v>
      </c>
      <c r="S45" s="1143" t="s">
        <v>106</v>
      </c>
      <c r="T45" s="1121" t="s">
        <v>107</v>
      </c>
      <c r="U45" s="1111" t="str">
        <f ca="1">OFFSET(U45,0,-1)</f>
        <v>2</v>
      </c>
      <c r="V45" s="1309">
        <f t="shared" ref="V45:AA45" ca="1" si="2">OFFSET(V45,0,-1)+1</f>
        <v>3</v>
      </c>
      <c r="W45" s="1309">
        <f t="shared" ca="1" si="2"/>
        <v>4</v>
      </c>
      <c r="X45" s="1309">
        <f t="shared" ca="1" si="2"/>
        <v>5</v>
      </c>
      <c r="Y45" s="1309">
        <f t="shared" ca="1" si="2"/>
        <v>6</v>
      </c>
      <c r="Z45" s="1309">
        <f t="shared" ca="1" si="2"/>
        <v>7</v>
      </c>
      <c r="AA45" s="3539">
        <f t="shared" ca="1" si="2"/>
        <v>8</v>
      </c>
      <c r="AB45" s="3539"/>
      <c r="AC45" s="1309">
        <f ca="1">OFFSET(AC45,0,-2)+1</f>
        <v>9</v>
      </c>
      <c r="AD45" s="1309">
        <f ca="1">OFFSET(AD45,0,-1)+1</f>
        <v>10</v>
      </c>
      <c r="AE45" s="1309"/>
      <c r="AF45" s="1309"/>
      <c r="AG45" s="1309"/>
      <c r="AH45" s="1309"/>
      <c r="AI45" s="1309"/>
      <c r="AJ45" s="1309"/>
      <c r="AK45" s="1309"/>
      <c r="AL45" s="1309"/>
      <c r="AM45" s="1309"/>
      <c r="AN45" s="1309"/>
      <c r="AO45" s="1309"/>
      <c r="AP45" s="1309"/>
      <c r="AQ45" s="1309"/>
      <c r="AR45" s="1309"/>
      <c r="AS45" s="1309"/>
      <c r="AT45" s="1309"/>
      <c r="AU45" s="1309"/>
      <c r="AV45" s="1309"/>
      <c r="AW45" s="1309">
        <f ca="1">OFFSET(AW45,0,-1)+1</f>
        <v>1</v>
      </c>
      <c r="AX45" s="1309">
        <f ca="1">OFFSET(AX45,0,-1)+1</f>
        <v>2</v>
      </c>
      <c r="AY45" s="3539">
        <f ca="1">OFFSET(AY45,0,-1)+1</f>
        <v>3</v>
      </c>
      <c r="AZ45" s="3539"/>
      <c r="BA45" s="1309">
        <f ca="1">OFFSET(BA45,0,-2)+1</f>
        <v>4</v>
      </c>
      <c r="BB45" s="1111">
        <f ca="1">OFFSET(BB45,0,-1)</f>
        <v>4</v>
      </c>
      <c r="BC45" s="1309">
        <f ca="1">OFFSET(BC45,0,-1)+1</f>
        <v>5</v>
      </c>
      <c r="BD45" s="409"/>
      <c r="BE45" s="409"/>
      <c r="BF45" s="409"/>
      <c r="BG45" s="409"/>
      <c r="BH45" s="409"/>
    </row>
    <row r="46" spans="1:60" ht="21" customHeight="1">
      <c r="A46" s="1224" t="s">
        <v>506</v>
      </c>
      <c r="B46" s="1224"/>
      <c r="C46" s="1224"/>
      <c r="D46" s="1224"/>
      <c r="E46" s="3528">
        <v>1</v>
      </c>
      <c r="F46" s="1224"/>
      <c r="G46" s="1224"/>
      <c r="H46" s="1224"/>
      <c r="I46" s="1224"/>
      <c r="J46" s="1224"/>
      <c r="K46" s="1224"/>
      <c r="L46" s="1225"/>
      <c r="M46" s="1226"/>
      <c r="N46" s="1226"/>
      <c r="O46" s="1226"/>
      <c r="P46" s="1270"/>
      <c r="Q46" s="750"/>
      <c r="R46" s="264"/>
      <c r="S46" s="1315" t="e">
        <f>INDEX(PT_DIFFERENTIATION_NUM_NTAR,MATCH(A46,PT_DIFFERENTIATION_NTAR_ID,0))</f>
        <v>#REF!</v>
      </c>
      <c r="T46" s="209" t="s">
        <v>391</v>
      </c>
      <c r="U46" s="211"/>
      <c r="V46" s="3523"/>
      <c r="W46" s="3523"/>
      <c r="X46" s="3523"/>
      <c r="Y46" s="3523"/>
      <c r="Z46" s="3523"/>
      <c r="AA46" s="3523"/>
      <c r="AB46" s="3523"/>
      <c r="AC46" s="3524"/>
      <c r="AD46" s="3522" t="e">
        <f>INDEX(PT_DIFFERENTIATION_NTAR,MATCH(A46,PT_DIFFERENTIATION_NTAR_ID,0))</f>
        <v>#REF!</v>
      </c>
      <c r="AE46" s="3523"/>
      <c r="AF46" s="3523"/>
      <c r="AG46" s="3523"/>
      <c r="AH46" s="3523"/>
      <c r="AI46" s="3523"/>
      <c r="AJ46" s="3523"/>
      <c r="AK46" s="3523"/>
      <c r="AL46" s="3523"/>
      <c r="AM46" s="3523"/>
      <c r="AN46" s="3523"/>
      <c r="AO46" s="3523"/>
      <c r="AP46" s="3523"/>
      <c r="AQ46" s="3523"/>
      <c r="AR46" s="3523"/>
      <c r="AS46" s="3523"/>
      <c r="AT46" s="3523"/>
      <c r="AU46" s="3523"/>
      <c r="AV46" s="3523"/>
      <c r="AW46" s="3523"/>
      <c r="AX46" s="3523"/>
      <c r="AY46" s="3523"/>
      <c r="AZ46" s="3523"/>
      <c r="BA46" s="3523"/>
      <c r="BB46" s="3524"/>
      <c r="BC46" s="112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398"/>
      <c r="BF46" s="398" t="str">
        <f t="shared" ref="BF46:BF52" si="3">IF(T46="","",T46)</f>
        <v>Наименование тарифа</v>
      </c>
      <c r="BG46" s="398"/>
      <c r="BH46" s="398"/>
    </row>
    <row r="47" spans="1:60" ht="21" customHeight="1">
      <c r="A47" s="1224" t="s">
        <v>506</v>
      </c>
      <c r="B47" s="1224" t="s">
        <v>507</v>
      </c>
      <c r="C47" s="1224"/>
      <c r="D47" s="1224"/>
      <c r="E47" s="3529"/>
      <c r="F47" s="3528">
        <v>1</v>
      </c>
      <c r="G47" s="1224"/>
      <c r="H47" s="1224"/>
      <c r="I47" s="1224"/>
      <c r="J47" s="1224"/>
      <c r="K47" s="1224"/>
      <c r="L47" s="1225"/>
      <c r="M47" s="1226"/>
      <c r="N47" s="1226"/>
      <c r="O47" s="1226"/>
      <c r="P47" s="1271"/>
      <c r="Q47" s="1272"/>
      <c r="R47" s="262"/>
      <c r="S47" s="1315" t="e">
        <f>INDEX(PT_DIFFERENTIATION_NUM_TER,MATCH(B47,PT_DIFFERENTIATION_TER_ID,0))</f>
        <v>#REF!</v>
      </c>
      <c r="T47" s="219" t="s">
        <v>659</v>
      </c>
      <c r="U47" s="211"/>
      <c r="V47" s="3523"/>
      <c r="W47" s="3523"/>
      <c r="X47" s="3523"/>
      <c r="Y47" s="3523"/>
      <c r="Z47" s="3523"/>
      <c r="AA47" s="3523"/>
      <c r="AB47" s="3523"/>
      <c r="AC47" s="3524"/>
      <c r="AD47" s="3522" t="e">
        <f>INDEX(PT_DIFFERENTIATION_TER,MATCH(B47,PT_DIFFERENTIATION_TER_ID,0))</f>
        <v>#REF!</v>
      </c>
      <c r="AE47" s="3523"/>
      <c r="AF47" s="3523"/>
      <c r="AG47" s="3523"/>
      <c r="AH47" s="3523"/>
      <c r="AI47" s="3523"/>
      <c r="AJ47" s="3523"/>
      <c r="AK47" s="3523"/>
      <c r="AL47" s="3523"/>
      <c r="AM47" s="3523"/>
      <c r="AN47" s="3523"/>
      <c r="AO47" s="3523"/>
      <c r="AP47" s="3523"/>
      <c r="AQ47" s="3523"/>
      <c r="AR47" s="3523"/>
      <c r="AS47" s="3523"/>
      <c r="AT47" s="3523"/>
      <c r="AU47" s="3523"/>
      <c r="AV47" s="3523"/>
      <c r="AW47" s="3523"/>
      <c r="AX47" s="3523"/>
      <c r="AY47" s="3523"/>
      <c r="AZ47" s="3523"/>
      <c r="BA47" s="3523"/>
      <c r="BB47" s="3524"/>
      <c r="BC47" s="1124" t="s">
        <v>660</v>
      </c>
      <c r="BE47" s="398"/>
      <c r="BF47" s="398" t="str">
        <f t="shared" si="3"/>
        <v>Территория действия тарифа</v>
      </c>
      <c r="BG47" s="398"/>
      <c r="BH47" s="398"/>
    </row>
    <row r="48" spans="1:60" ht="42" customHeight="1">
      <c r="A48" s="1224" t="s">
        <v>506</v>
      </c>
      <c r="B48" s="1224" t="s">
        <v>507</v>
      </c>
      <c r="C48" s="1224" t="s">
        <v>508</v>
      </c>
      <c r="D48" s="1224"/>
      <c r="E48" s="3529"/>
      <c r="F48" s="3529"/>
      <c r="G48" s="3528">
        <v>1</v>
      </c>
      <c r="H48" s="1224"/>
      <c r="I48" s="1224"/>
      <c r="J48" s="1224"/>
      <c r="K48" s="1224"/>
      <c r="L48" s="1225"/>
      <c r="M48" s="1226"/>
      <c r="N48" s="1226"/>
      <c r="O48" s="1226"/>
      <c r="P48" s="1273"/>
      <c r="Q48" s="1272"/>
      <c r="R48" s="262"/>
      <c r="S48" s="1315" t="e">
        <f>INDEX(PT_DIFFERENTIATION_NUM_CS,MATCH(C48,PT_DIFFERENTIATION_CS_ID,0))</f>
        <v>#REF!</v>
      </c>
      <c r="T48" s="220" t="s">
        <v>744</v>
      </c>
      <c r="U48" s="211"/>
      <c r="V48" s="3523"/>
      <c r="W48" s="3523"/>
      <c r="X48" s="3523"/>
      <c r="Y48" s="3523"/>
      <c r="Z48" s="3523"/>
      <c r="AA48" s="3523"/>
      <c r="AB48" s="3523"/>
      <c r="AC48" s="3524"/>
      <c r="AD48" s="3522" t="e">
        <f>INDEX(PT_DIFFERENTIATION_CS,MATCH(C48,PT_DIFFERENTIATION_CS_ID,0))</f>
        <v>#REF!</v>
      </c>
      <c r="AE48" s="3523"/>
      <c r="AF48" s="3523"/>
      <c r="AG48" s="3523"/>
      <c r="AH48" s="3523"/>
      <c r="AI48" s="3523"/>
      <c r="AJ48" s="3523"/>
      <c r="AK48" s="3523"/>
      <c r="AL48" s="3523"/>
      <c r="AM48" s="3523"/>
      <c r="AN48" s="3523"/>
      <c r="AO48" s="3523"/>
      <c r="AP48" s="3523"/>
      <c r="AQ48" s="3523"/>
      <c r="AR48" s="3523"/>
      <c r="AS48" s="3523"/>
      <c r="AT48" s="3523"/>
      <c r="AU48" s="3523"/>
      <c r="AV48" s="3523"/>
      <c r="AW48" s="3523"/>
      <c r="AX48" s="3523"/>
      <c r="AY48" s="3523"/>
      <c r="AZ48" s="3523"/>
      <c r="BA48" s="3523"/>
      <c r="BB48" s="3524"/>
      <c r="BC48" s="1124" t="s">
        <v>745</v>
      </c>
      <c r="BE48" s="398"/>
      <c r="BF48" s="398" t="str">
        <f t="shared" si="3"/>
        <v>Наименование централизованной системы холодного водоснабжения</v>
      </c>
      <c r="BG48" s="398"/>
      <c r="BH48" s="398"/>
    </row>
    <row r="49" spans="1:60" s="1866" customFormat="1" ht="0" hidden="1" customHeight="1">
      <c r="A49" s="1205" t="s">
        <v>506</v>
      </c>
      <c r="B49" s="1205" t="s">
        <v>507</v>
      </c>
      <c r="C49" s="1205" t="s">
        <v>508</v>
      </c>
      <c r="D49" s="1205" t="s">
        <v>778</v>
      </c>
      <c r="E49" s="3529"/>
      <c r="F49" s="3529"/>
      <c r="G49" s="3529"/>
      <c r="H49" s="3528">
        <v>1</v>
      </c>
      <c r="I49" s="1205"/>
      <c r="J49" s="1205"/>
      <c r="K49" s="1205"/>
      <c r="L49" s="1208"/>
      <c r="M49" s="1178"/>
      <c r="N49" s="1178"/>
      <c r="O49" s="1178"/>
      <c r="P49" s="1352"/>
      <c r="Q49" s="1353"/>
      <c r="R49" s="266"/>
      <c r="S49" s="912"/>
      <c r="T49" s="1354"/>
      <c r="U49" s="1245"/>
      <c r="V49" s="3560"/>
      <c r="W49" s="3560"/>
      <c r="X49" s="3560"/>
      <c r="Y49" s="3560"/>
      <c r="Z49" s="3560"/>
      <c r="AA49" s="3560"/>
      <c r="AB49" s="3560"/>
      <c r="AC49" s="3561"/>
      <c r="AD49" s="3559"/>
      <c r="AE49" s="3560"/>
      <c r="AF49" s="3560"/>
      <c r="AG49" s="3560"/>
      <c r="AH49" s="3560"/>
      <c r="AI49" s="3560"/>
      <c r="AJ49" s="3560"/>
      <c r="AK49" s="3560"/>
      <c r="AL49" s="3560"/>
      <c r="AM49" s="3560"/>
      <c r="AN49" s="3560"/>
      <c r="AO49" s="3560"/>
      <c r="AP49" s="3560"/>
      <c r="AQ49" s="3560"/>
      <c r="AR49" s="3560"/>
      <c r="AS49" s="3560"/>
      <c r="AT49" s="3560"/>
      <c r="AU49" s="3560"/>
      <c r="AV49" s="3560"/>
      <c r="AW49" s="3560"/>
      <c r="AX49" s="3560"/>
      <c r="AY49" s="3560"/>
      <c r="AZ49" s="3560"/>
      <c r="BA49" s="3560"/>
      <c r="BB49" s="3561"/>
      <c r="BC49" s="1246" t="s">
        <v>664</v>
      </c>
      <c r="BE49" s="398"/>
      <c r="BF49" s="398" t="str">
        <f t="shared" si="3"/>
        <v/>
      </c>
      <c r="BG49" s="398"/>
      <c r="BH49" s="398"/>
    </row>
    <row r="50" spans="1:60" s="1866" customFormat="1" ht="0" hidden="1" customHeight="1">
      <c r="A50" s="1205" t="s">
        <v>506</v>
      </c>
      <c r="B50" s="1205" t="s">
        <v>507</v>
      </c>
      <c r="C50" s="1205" t="s">
        <v>508</v>
      </c>
      <c r="D50" s="1205" t="s">
        <v>778</v>
      </c>
      <c r="E50" s="3529"/>
      <c r="F50" s="3529"/>
      <c r="G50" s="3529"/>
      <c r="H50" s="3529"/>
      <c r="I50" s="3530" t="str">
        <f>S49&amp;".1"</f>
        <v>.1</v>
      </c>
      <c r="J50" s="1205"/>
      <c r="K50" s="1205"/>
      <c r="L50" s="1208" t="s">
        <v>665</v>
      </c>
      <c r="M50" s="408"/>
      <c r="N50" s="408"/>
      <c r="O50" s="408"/>
      <c r="P50" s="3532">
        <v>1</v>
      </c>
      <c r="Q50" s="1319"/>
      <c r="R50" s="265"/>
      <c r="S50" s="912"/>
      <c r="T50" s="1244"/>
      <c r="U50" s="1245"/>
      <c r="V50" s="3560"/>
      <c r="W50" s="3560"/>
      <c r="X50" s="3560"/>
      <c r="Y50" s="3560"/>
      <c r="Z50" s="3560"/>
      <c r="AA50" s="3560"/>
      <c r="AB50" s="3560"/>
      <c r="AC50" s="3561"/>
      <c r="AD50" s="3559"/>
      <c r="AE50" s="3560"/>
      <c r="AF50" s="3560"/>
      <c r="AG50" s="3560"/>
      <c r="AH50" s="3560"/>
      <c r="AI50" s="3560"/>
      <c r="AJ50" s="3560"/>
      <c r="AK50" s="3560"/>
      <c r="AL50" s="3560"/>
      <c r="AM50" s="3560"/>
      <c r="AN50" s="3560"/>
      <c r="AO50" s="3560"/>
      <c r="AP50" s="3560"/>
      <c r="AQ50" s="3560"/>
      <c r="AR50" s="3560"/>
      <c r="AS50" s="3560"/>
      <c r="AT50" s="3560"/>
      <c r="AU50" s="3560"/>
      <c r="AV50" s="3560"/>
      <c r="AW50" s="3560"/>
      <c r="AX50" s="3560"/>
      <c r="AY50" s="3560"/>
      <c r="AZ50" s="3560"/>
      <c r="BA50" s="3560"/>
      <c r="BB50" s="3561"/>
      <c r="BC50" s="1246"/>
      <c r="BE50" s="398"/>
      <c r="BF50" s="398" t="str">
        <f t="shared" si="3"/>
        <v/>
      </c>
      <c r="BG50" s="398"/>
      <c r="BH50" s="398"/>
    </row>
    <row r="51" spans="1:60" s="1866" customFormat="1" ht="0" hidden="1" customHeight="1">
      <c r="A51" s="1205" t="s">
        <v>506</v>
      </c>
      <c r="B51" s="1205" t="s">
        <v>507</v>
      </c>
      <c r="C51" s="1205" t="s">
        <v>508</v>
      </c>
      <c r="D51" s="1205" t="s">
        <v>778</v>
      </c>
      <c r="E51" s="3529"/>
      <c r="F51" s="3529"/>
      <c r="G51" s="3529"/>
      <c r="H51" s="3529"/>
      <c r="I51" s="3531"/>
      <c r="J51" s="3530" t="str">
        <f>S49&amp;".1"</f>
        <v>.1</v>
      </c>
      <c r="K51" s="1205"/>
      <c r="L51" s="1208"/>
      <c r="M51" s="408"/>
      <c r="N51" s="408"/>
      <c r="O51" s="408"/>
      <c r="P51" s="3532"/>
      <c r="Q51" s="3532">
        <v>1</v>
      </c>
      <c r="R51" s="266"/>
      <c r="S51" s="912"/>
      <c r="T51" s="1260"/>
      <c r="U51" s="1245"/>
      <c r="V51" s="3560"/>
      <c r="W51" s="3560"/>
      <c r="X51" s="3560"/>
      <c r="Y51" s="3560"/>
      <c r="Z51" s="3560"/>
      <c r="AA51" s="3560"/>
      <c r="AB51" s="3560"/>
      <c r="AC51" s="3561"/>
      <c r="AD51" s="3559"/>
      <c r="AE51" s="3560"/>
      <c r="AF51" s="3560"/>
      <c r="AG51" s="3560"/>
      <c r="AH51" s="3560"/>
      <c r="AI51" s="3560"/>
      <c r="AJ51" s="3560"/>
      <c r="AK51" s="3560"/>
      <c r="AL51" s="3560"/>
      <c r="AM51" s="3560"/>
      <c r="AN51" s="3604"/>
      <c r="AO51" s="3604"/>
      <c r="AP51" s="3560"/>
      <c r="AQ51" s="3560"/>
      <c r="AR51" s="3560"/>
      <c r="AS51" s="3560"/>
      <c r="AT51" s="3560"/>
      <c r="AU51" s="3560"/>
      <c r="AV51" s="3560"/>
      <c r="AW51" s="3560"/>
      <c r="AX51" s="3560"/>
      <c r="AY51" s="3560"/>
      <c r="AZ51" s="3560"/>
      <c r="BA51" s="3560"/>
      <c r="BB51" s="3561"/>
      <c r="BC51" s="1246"/>
      <c r="BE51" s="398"/>
      <c r="BF51" s="398" t="str">
        <f t="shared" si="3"/>
        <v/>
      </c>
      <c r="BG51" s="398"/>
      <c r="BH51" s="398"/>
    </row>
    <row r="52" spans="1:60" ht="11.25" customHeight="1">
      <c r="A52" s="1224" t="s">
        <v>506</v>
      </c>
      <c r="B52" s="1224" t="s">
        <v>507</v>
      </c>
      <c r="C52" s="1224" t="s">
        <v>508</v>
      </c>
      <c r="D52" s="1224" t="s">
        <v>778</v>
      </c>
      <c r="E52" s="3529"/>
      <c r="F52" s="3529"/>
      <c r="G52" s="3529"/>
      <c r="H52" s="3529"/>
      <c r="I52" s="3531"/>
      <c r="J52" s="3531"/>
      <c r="K52" s="3530" t="e">
        <f>S48&amp;".1"</f>
        <v>#REF!</v>
      </c>
      <c r="L52" s="1225"/>
      <c r="P52" s="3532"/>
      <c r="Q52" s="3532"/>
      <c r="R52" s="266">
        <v>1</v>
      </c>
      <c r="S52" s="3578" t="e">
        <f>$K52</f>
        <v>#REF!</v>
      </c>
      <c r="T52" s="3598"/>
      <c r="U52" s="211"/>
      <c r="V52" s="639"/>
      <c r="W52" s="1123"/>
      <c r="X52" s="639"/>
      <c r="Y52" s="1123"/>
      <c r="Z52" s="1577"/>
      <c r="AA52" s="1317" t="s">
        <v>64</v>
      </c>
      <c r="AB52" s="1577"/>
      <c r="AC52" s="1317" t="s">
        <v>64</v>
      </c>
      <c r="AD52" s="3471" t="s">
        <v>64</v>
      </c>
      <c r="AE52" s="3574"/>
      <c r="AF52" s="3484">
        <v>1</v>
      </c>
      <c r="AG52" s="3597"/>
      <c r="AH52" s="3412" t="s">
        <v>64</v>
      </c>
      <c r="AI52" s="3574"/>
      <c r="AJ52" s="3484">
        <v>1</v>
      </c>
      <c r="AK52" s="3596" t="s">
        <v>18</v>
      </c>
      <c r="AL52" s="3412" t="s">
        <v>64</v>
      </c>
      <c r="AM52" s="3459"/>
      <c r="AN52" s="3484">
        <v>1</v>
      </c>
      <c r="AO52" s="3601"/>
      <c r="AP52" s="3602" t="s">
        <v>64</v>
      </c>
      <c r="AQ52" s="222"/>
      <c r="AR52" s="1320">
        <v>1</v>
      </c>
      <c r="AS52" s="1323" t="s">
        <v>18</v>
      </c>
      <c r="AT52" s="639"/>
      <c r="AU52" s="1123"/>
      <c r="AV52" s="639"/>
      <c r="AW52" s="1123"/>
      <c r="AX52" s="1577"/>
      <c r="AY52" s="1317" t="s">
        <v>64</v>
      </c>
      <c r="AZ52" s="1577"/>
      <c r="BA52" s="1317" t="s">
        <v>64</v>
      </c>
      <c r="BB52" s="1210"/>
      <c r="BC52" s="3551" t="s">
        <v>764</v>
      </c>
      <c r="BE52" s="398"/>
      <c r="BF52" s="398" t="str">
        <f t="shared" si="3"/>
        <v/>
      </c>
      <c r="BG52" s="398"/>
      <c r="BH52" s="398"/>
    </row>
    <row r="53" spans="1:60" ht="11.25" customHeight="1">
      <c r="A53" s="1224"/>
      <c r="B53" s="1224"/>
      <c r="C53" s="1224"/>
      <c r="D53" s="1224"/>
      <c r="E53" s="3529"/>
      <c r="F53" s="3529"/>
      <c r="G53" s="3529"/>
      <c r="H53" s="3529"/>
      <c r="I53" s="3531"/>
      <c r="J53" s="3531"/>
      <c r="K53" s="3530"/>
      <c r="L53" s="1225"/>
      <c r="P53" s="3532"/>
      <c r="Q53" s="3532"/>
      <c r="R53" s="266"/>
      <c r="S53" s="3579"/>
      <c r="T53" s="3599"/>
      <c r="U53" s="211"/>
      <c r="V53" s="1254"/>
      <c r="W53" s="1351"/>
      <c r="X53" s="1254"/>
      <c r="Y53" s="1351"/>
      <c r="Z53" s="1254"/>
      <c r="AA53" s="1254"/>
      <c r="AB53" s="1254"/>
      <c r="AC53" s="1254"/>
      <c r="AD53" s="3472"/>
      <c r="AE53" s="3574"/>
      <c r="AF53" s="3484"/>
      <c r="AG53" s="3597"/>
      <c r="AH53" s="3412"/>
      <c r="AI53" s="3574"/>
      <c r="AJ53" s="3484"/>
      <c r="AK53" s="3596"/>
      <c r="AL53" s="3412"/>
      <c r="AM53" s="3464"/>
      <c r="AN53" s="3484"/>
      <c r="AO53" s="3601"/>
      <c r="AP53" s="3603"/>
      <c r="AQ53" s="227"/>
      <c r="AR53" s="323"/>
      <c r="AS53" s="323" t="s">
        <v>765</v>
      </c>
      <c r="AT53" s="1254"/>
      <c r="AU53" s="1351"/>
      <c r="AV53" s="1254"/>
      <c r="AW53" s="1351"/>
      <c r="AX53" s="1254"/>
      <c r="AY53" s="1254"/>
      <c r="AZ53" s="1254"/>
      <c r="BA53" s="1254"/>
      <c r="BB53" s="1258"/>
      <c r="BC53" s="3552"/>
      <c r="BE53" s="398"/>
      <c r="BF53" s="398"/>
      <c r="BG53" s="398"/>
      <c r="BH53" s="398"/>
    </row>
    <row r="54" spans="1:60" ht="11.25" customHeight="1">
      <c r="A54" s="1224" t="s">
        <v>506</v>
      </c>
      <c r="B54" s="1224"/>
      <c r="C54" s="1224"/>
      <c r="D54" s="1224"/>
      <c r="E54" s="3529"/>
      <c r="F54" s="3529"/>
      <c r="G54" s="3529"/>
      <c r="H54" s="3529"/>
      <c r="I54" s="3531"/>
      <c r="J54" s="3531"/>
      <c r="K54" s="3530"/>
      <c r="L54" s="1225"/>
      <c r="P54" s="3532"/>
      <c r="Q54" s="3532"/>
      <c r="R54" s="266"/>
      <c r="S54" s="3579"/>
      <c r="T54" s="3599"/>
      <c r="U54" s="211"/>
      <c r="V54" s="1254"/>
      <c r="W54" s="1351"/>
      <c r="X54" s="1254"/>
      <c r="Y54" s="1351"/>
      <c r="Z54" s="1254"/>
      <c r="AA54" s="1254"/>
      <c r="AB54" s="1254"/>
      <c r="AC54" s="1254"/>
      <c r="AD54" s="3472"/>
      <c r="AE54" s="3574"/>
      <c r="AF54" s="3484"/>
      <c r="AG54" s="3597"/>
      <c r="AH54" s="3412"/>
      <c r="AI54" s="3574"/>
      <c r="AJ54" s="3484"/>
      <c r="AK54" s="3596"/>
      <c r="AL54" s="3412"/>
      <c r="AM54" s="227"/>
      <c r="AN54" s="1355"/>
      <c r="AO54" s="1355" t="s">
        <v>766</v>
      </c>
      <c r="AP54" s="323"/>
      <c r="AQ54" s="323"/>
      <c r="AR54" s="323"/>
      <c r="AS54" s="1254"/>
      <c r="AT54" s="1254"/>
      <c r="AU54" s="1351"/>
      <c r="AV54" s="1254"/>
      <c r="AW54" s="1351"/>
      <c r="AX54" s="1254"/>
      <c r="AY54" s="1254"/>
      <c r="AZ54" s="1254"/>
      <c r="BA54" s="1254"/>
      <c r="BB54" s="1258"/>
      <c r="BC54" s="3552"/>
      <c r="BE54" s="398"/>
      <c r="BF54" s="398"/>
      <c r="BG54" s="398"/>
      <c r="BH54" s="398"/>
    </row>
    <row r="55" spans="1:60" ht="11.25" customHeight="1">
      <c r="A55" s="1224" t="s">
        <v>506</v>
      </c>
      <c r="B55" s="1224"/>
      <c r="C55" s="1224"/>
      <c r="D55" s="1224"/>
      <c r="E55" s="3529"/>
      <c r="F55" s="3529"/>
      <c r="G55" s="3529"/>
      <c r="H55" s="3529"/>
      <c r="I55" s="3531"/>
      <c r="J55" s="3531"/>
      <c r="K55" s="3530"/>
      <c r="L55" s="1225"/>
      <c r="P55" s="3532"/>
      <c r="Q55" s="3532"/>
      <c r="R55" s="266"/>
      <c r="S55" s="3579"/>
      <c r="T55" s="3599"/>
      <c r="U55" s="211"/>
      <c r="V55" s="1254"/>
      <c r="W55" s="1351"/>
      <c r="X55" s="1254"/>
      <c r="Y55" s="1351"/>
      <c r="Z55" s="1254"/>
      <c r="AA55" s="1254"/>
      <c r="AB55" s="1254"/>
      <c r="AC55" s="1254"/>
      <c r="AD55" s="3472"/>
      <c r="AE55" s="3574"/>
      <c r="AF55" s="3484"/>
      <c r="AG55" s="3597"/>
      <c r="AH55" s="3412"/>
      <c r="AI55" s="205"/>
      <c r="AJ55" s="322"/>
      <c r="AK55" s="224" t="s">
        <v>767</v>
      </c>
      <c r="AL55" s="1254"/>
      <c r="AM55" s="1254"/>
      <c r="AN55" s="1254"/>
      <c r="AO55" s="1254"/>
      <c r="AP55" s="1254"/>
      <c r="AQ55" s="1254"/>
      <c r="AR55" s="1254"/>
      <c r="AS55" s="1254"/>
      <c r="AT55" s="1254"/>
      <c r="AU55" s="1351"/>
      <c r="AV55" s="1254"/>
      <c r="AW55" s="1351"/>
      <c r="AX55" s="1254"/>
      <c r="AY55" s="1254"/>
      <c r="AZ55" s="1254"/>
      <c r="BA55" s="1254"/>
      <c r="BB55" s="1258"/>
      <c r="BC55" s="3552"/>
      <c r="BE55" s="398"/>
      <c r="BF55" s="398"/>
      <c r="BG55" s="398"/>
      <c r="BH55" s="398"/>
    </row>
    <row r="56" spans="1:60" ht="11.25" customHeight="1">
      <c r="A56" s="1224" t="s">
        <v>506</v>
      </c>
      <c r="B56" s="1224" t="s">
        <v>507</v>
      </c>
      <c r="C56" s="1224" t="s">
        <v>508</v>
      </c>
      <c r="D56" s="1224" t="s">
        <v>778</v>
      </c>
      <c r="E56" s="3529"/>
      <c r="F56" s="3529"/>
      <c r="G56" s="3529"/>
      <c r="H56" s="3529"/>
      <c r="I56" s="3531"/>
      <c r="J56" s="3531"/>
      <c r="K56" s="3530"/>
      <c r="L56" s="1225"/>
      <c r="P56" s="3532"/>
      <c r="Q56" s="3532"/>
      <c r="R56" s="266"/>
      <c r="S56" s="3580"/>
      <c r="T56" s="3600"/>
      <c r="U56" s="211"/>
      <c r="V56" s="1254"/>
      <c r="W56" s="1255" t="str">
        <f>Z52&amp;"-"&amp;AB52</f>
        <v>-</v>
      </c>
      <c r="X56" s="1254"/>
      <c r="Y56" s="1255" t="str">
        <f>AB52&amp;"-"&amp;AD52</f>
        <v>-да</v>
      </c>
      <c r="Z56" s="1254"/>
      <c r="AA56" s="1254"/>
      <c r="AB56" s="1254"/>
      <c r="AC56" s="1254"/>
      <c r="AD56" s="3417"/>
      <c r="AE56" s="223"/>
      <c r="AF56" s="225"/>
      <c r="AG56" s="323" t="s">
        <v>768</v>
      </c>
      <c r="AH56" s="1254"/>
      <c r="AI56" s="1254"/>
      <c r="AJ56" s="1254"/>
      <c r="AK56" s="1254"/>
      <c r="AL56" s="1254"/>
      <c r="AM56" s="1254"/>
      <c r="AN56" s="1254"/>
      <c r="AO56" s="1254"/>
      <c r="AP56" s="1254"/>
      <c r="AQ56" s="1254"/>
      <c r="AR56" s="1254"/>
      <c r="AS56" s="1254"/>
      <c r="AT56" s="1254"/>
      <c r="AU56" s="1255" t="str">
        <f>AX52&amp;"-"&amp;AZ52</f>
        <v>-</v>
      </c>
      <c r="AV56" s="1254"/>
      <c r="AW56" s="1255" t="str">
        <f>AZ52&amp;"-"&amp;BB52</f>
        <v>-</v>
      </c>
      <c r="AX56" s="1254"/>
      <c r="AY56" s="1254"/>
      <c r="AZ56" s="1254"/>
      <c r="BA56" s="1254"/>
      <c r="BB56" s="1257" t="str">
        <f>BE52&amp;"-"&amp;BG52</f>
        <v>-</v>
      </c>
      <c r="BC56" s="3552"/>
      <c r="BE56" s="398"/>
      <c r="BF56" s="398" t="str">
        <f t="shared" ref="BF56:BF63" si="4">IF(T56="","",T56)</f>
        <v/>
      </c>
      <c r="BG56" s="398"/>
      <c r="BH56" s="398"/>
    </row>
    <row r="57" spans="1:60" ht="11.25" customHeight="1">
      <c r="A57" s="1224" t="s">
        <v>506</v>
      </c>
      <c r="B57" s="1224" t="s">
        <v>507</v>
      </c>
      <c r="C57" s="1224" t="s">
        <v>508</v>
      </c>
      <c r="D57" s="1224" t="s">
        <v>778</v>
      </c>
      <c r="E57" s="3529"/>
      <c r="F57" s="3529"/>
      <c r="G57" s="3529"/>
      <c r="H57" s="3529"/>
      <c r="I57" s="3531"/>
      <c r="J57" s="3530"/>
      <c r="K57" s="1224"/>
      <c r="L57" s="1225"/>
      <c r="P57" s="3532"/>
      <c r="Q57" s="3532"/>
      <c r="R57" s="265"/>
      <c r="S57" s="1144"/>
      <c r="T57" s="199" t="s">
        <v>730</v>
      </c>
      <c r="U57" s="275"/>
      <c r="V57" s="275"/>
      <c r="W57" s="275"/>
      <c r="X57" s="275"/>
      <c r="Y57" s="275"/>
      <c r="Z57" s="275"/>
      <c r="AA57" s="275"/>
      <c r="AB57" s="275"/>
      <c r="AC57" s="235"/>
      <c r="AD57" s="1360"/>
      <c r="AE57" s="275"/>
      <c r="AF57" s="275"/>
      <c r="AG57" s="275"/>
      <c r="AH57" s="275"/>
      <c r="AI57" s="275"/>
      <c r="AJ57" s="275"/>
      <c r="AK57" s="275"/>
      <c r="AL57" s="275"/>
      <c r="AM57" s="275"/>
      <c r="AN57" s="275"/>
      <c r="AO57" s="275"/>
      <c r="AP57" s="275"/>
      <c r="AQ57" s="275"/>
      <c r="AR57" s="275"/>
      <c r="AS57" s="275"/>
      <c r="AT57" s="275"/>
      <c r="AU57" s="275"/>
      <c r="AV57" s="275"/>
      <c r="AW57" s="275"/>
      <c r="AX57" s="275"/>
      <c r="AY57" s="275"/>
      <c r="AZ57" s="275"/>
      <c r="BA57" s="275"/>
      <c r="BB57" s="235"/>
      <c r="BC57" s="3553"/>
      <c r="BE57" s="398"/>
      <c r="BF57" s="398" t="str">
        <f t="shared" si="4"/>
        <v>Добавить строку</v>
      </c>
      <c r="BG57" s="398"/>
      <c r="BH57" s="398"/>
    </row>
    <row r="58" spans="1:60" s="1866" customFormat="1" ht="0" hidden="1" customHeight="1">
      <c r="A58" s="1205" t="s">
        <v>506</v>
      </c>
      <c r="B58" s="1205" t="s">
        <v>507</v>
      </c>
      <c r="C58" s="1205" t="s">
        <v>508</v>
      </c>
      <c r="D58" s="1205" t="s">
        <v>778</v>
      </c>
      <c r="E58" s="3529"/>
      <c r="F58" s="3529"/>
      <c r="G58" s="3529"/>
      <c r="H58" s="3529"/>
      <c r="I58" s="3530"/>
      <c r="J58" s="1205"/>
      <c r="K58" s="1205"/>
      <c r="L58" s="1208"/>
      <c r="M58" s="408"/>
      <c r="N58" s="408"/>
      <c r="O58" s="408"/>
      <c r="P58" s="3532"/>
      <c r="Q58" s="1319"/>
      <c r="R58" s="265"/>
      <c r="S58" s="1247"/>
      <c r="T58" s="1248"/>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V58" s="1249"/>
      <c r="AW58" s="1249"/>
      <c r="AX58" s="1249"/>
      <c r="AY58" s="1249"/>
      <c r="AZ58" s="1249"/>
      <c r="BA58" s="1249"/>
      <c r="BB58" s="1249"/>
      <c r="BC58" s="1250"/>
      <c r="BE58" s="398"/>
      <c r="BF58" s="398" t="str">
        <f t="shared" si="4"/>
        <v/>
      </c>
      <c r="BG58" s="398"/>
      <c r="BH58" s="398"/>
    </row>
    <row r="59" spans="1:60" s="1866" customFormat="1" ht="0" hidden="1" customHeight="1">
      <c r="A59" s="1205" t="s">
        <v>506</v>
      </c>
      <c r="B59" s="1205" t="s">
        <v>507</v>
      </c>
      <c r="C59" s="1205" t="s">
        <v>508</v>
      </c>
      <c r="D59" s="1205" t="s">
        <v>778</v>
      </c>
      <c r="E59" s="3529"/>
      <c r="F59" s="3529"/>
      <c r="G59" s="3529"/>
      <c r="H59" s="3528"/>
      <c r="I59" s="1205"/>
      <c r="J59" s="1205"/>
      <c r="K59" s="1205"/>
      <c r="L59" s="1208"/>
      <c r="M59" s="1178"/>
      <c r="N59" s="1178"/>
      <c r="O59" s="416"/>
      <c r="P59" s="287"/>
      <c r="Q59" s="1206"/>
      <c r="R59" s="1262"/>
      <c r="S59" s="1247"/>
      <c r="T59" s="1248"/>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V59" s="1249"/>
      <c r="AW59" s="1249"/>
      <c r="AX59" s="1249"/>
      <c r="AY59" s="1249"/>
      <c r="AZ59" s="1249"/>
      <c r="BA59" s="1249"/>
      <c r="BB59" s="1249"/>
      <c r="BC59" s="1250"/>
      <c r="BE59" s="398"/>
      <c r="BF59" s="398" t="str">
        <f t="shared" si="4"/>
        <v/>
      </c>
      <c r="BG59" s="398"/>
      <c r="BH59" s="398"/>
    </row>
    <row r="60" spans="1:60" s="1866" customFormat="1" ht="0" hidden="1" customHeight="1">
      <c r="A60" s="1205" t="s">
        <v>506</v>
      </c>
      <c r="B60" s="1205" t="s">
        <v>507</v>
      </c>
      <c r="C60" s="1205" t="s">
        <v>508</v>
      </c>
      <c r="D60" s="1177"/>
      <c r="E60" s="3529"/>
      <c r="F60" s="3529"/>
      <c r="G60" s="3528"/>
      <c r="H60" s="1177"/>
      <c r="I60" s="1177"/>
      <c r="J60" s="1177"/>
      <c r="K60" s="1177"/>
      <c r="L60" s="1321"/>
      <c r="M60" s="1178"/>
      <c r="N60" s="1178"/>
      <c r="P60" s="1179"/>
      <c r="Q60" s="1180"/>
      <c r="R60" s="1179"/>
      <c r="S60" s="1185"/>
      <c r="T60" s="1188"/>
      <c r="U60" s="1187"/>
      <c r="V60" s="1187"/>
      <c r="W60" s="1187"/>
      <c r="X60" s="1187"/>
      <c r="Y60" s="1187"/>
      <c r="Z60" s="1187"/>
      <c r="AA60" s="1187"/>
      <c r="AB60" s="1187"/>
      <c r="AC60" s="1187"/>
      <c r="AD60" s="1187"/>
      <c r="AE60" s="1187"/>
      <c r="AF60" s="1187"/>
      <c r="AG60" s="1187"/>
      <c r="AH60" s="1187"/>
      <c r="AI60" s="1187"/>
      <c r="AJ60" s="1187"/>
      <c r="AK60" s="1187"/>
      <c r="AL60" s="1187"/>
      <c r="AM60" s="1187"/>
      <c r="AN60" s="1187"/>
      <c r="AO60" s="1187"/>
      <c r="AP60" s="1187"/>
      <c r="AQ60" s="1187"/>
      <c r="AR60" s="1187"/>
      <c r="AS60" s="1187"/>
      <c r="AT60" s="1187"/>
      <c r="AU60" s="1187"/>
      <c r="AV60" s="1187"/>
      <c r="AW60" s="1187"/>
      <c r="AX60" s="1187"/>
      <c r="AY60" s="1187"/>
      <c r="AZ60" s="1187"/>
      <c r="BA60" s="1187"/>
      <c r="BB60" s="1187"/>
      <c r="BC60" s="1187"/>
      <c r="BE60" s="670"/>
      <c r="BF60" s="670" t="str">
        <f t="shared" si="4"/>
        <v/>
      </c>
      <c r="BG60" s="670"/>
      <c r="BH60" s="670"/>
    </row>
    <row r="61" spans="1:60" s="1866" customFormat="1" ht="0" hidden="1" customHeight="1">
      <c r="A61" s="1205" t="s">
        <v>506</v>
      </c>
      <c r="B61" s="1205" t="s">
        <v>507</v>
      </c>
      <c r="C61" s="1177"/>
      <c r="D61" s="1177"/>
      <c r="E61" s="3529"/>
      <c r="F61" s="3528"/>
      <c r="G61" s="1177"/>
      <c r="H61" s="1177"/>
      <c r="I61" s="1177"/>
      <c r="J61" s="1177"/>
      <c r="K61" s="1177"/>
      <c r="L61" s="1321"/>
      <c r="M61" s="1184"/>
      <c r="N61" s="1184"/>
      <c r="P61" s="1179"/>
      <c r="Q61" s="1180"/>
      <c r="R61" s="1179"/>
      <c r="S61" s="1185"/>
      <c r="T61" s="1188" t="s">
        <v>677</v>
      </c>
      <c r="U61" s="1187"/>
      <c r="V61" s="1187"/>
      <c r="W61" s="1187"/>
      <c r="X61" s="1187"/>
      <c r="Y61" s="1187"/>
      <c r="Z61" s="1187"/>
      <c r="AA61" s="1187"/>
      <c r="AB61" s="1187"/>
      <c r="AC61" s="1187"/>
      <c r="AD61" s="1187"/>
      <c r="AE61" s="1187"/>
      <c r="AF61" s="1187"/>
      <c r="AG61" s="1187"/>
      <c r="AH61" s="1187"/>
      <c r="AI61" s="1187"/>
      <c r="AJ61" s="1187"/>
      <c r="AK61" s="1187"/>
      <c r="AL61" s="1187"/>
      <c r="AM61" s="1187"/>
      <c r="AN61" s="1187"/>
      <c r="AO61" s="1187"/>
      <c r="AP61" s="1187"/>
      <c r="AQ61" s="1187"/>
      <c r="AR61" s="1187"/>
      <c r="AS61" s="1187"/>
      <c r="AT61" s="1187"/>
      <c r="AU61" s="1187"/>
      <c r="AV61" s="1187"/>
      <c r="AW61" s="1187"/>
      <c r="AX61" s="1187"/>
      <c r="AY61" s="1187"/>
      <c r="AZ61" s="1187"/>
      <c r="BA61" s="1187"/>
      <c r="BB61" s="1187"/>
      <c r="BC61" s="1187"/>
      <c r="BE61" s="670"/>
      <c r="BF61" s="670" t="str">
        <f t="shared" si="4"/>
        <v>Добавить централизованную систему для дифференциации</v>
      </c>
      <c r="BG61" s="670"/>
      <c r="BH61" s="670"/>
    </row>
    <row r="62" spans="1:60" s="1866" customFormat="1" ht="0" hidden="1" customHeight="1">
      <c r="A62" s="1205" t="s">
        <v>506</v>
      </c>
      <c r="B62" s="1205"/>
      <c r="C62" s="1205"/>
      <c r="D62" s="1205"/>
      <c r="E62" s="3528"/>
      <c r="F62" s="1205"/>
      <c r="G62" s="1205"/>
      <c r="H62" s="1205"/>
      <c r="I62" s="1205"/>
      <c r="J62" s="1205"/>
      <c r="K62" s="1205"/>
      <c r="L62" s="1208"/>
      <c r="M62" s="1184"/>
      <c r="N62" s="1184"/>
      <c r="O62" s="416"/>
      <c r="P62" s="287"/>
      <c r="Q62" s="1206"/>
      <c r="R62" s="287"/>
      <c r="S62" s="1185"/>
      <c r="T62" s="1188" t="s">
        <v>678</v>
      </c>
      <c r="U62" s="1187"/>
      <c r="V62" s="1187"/>
      <c r="W62" s="1187"/>
      <c r="X62" s="1187"/>
      <c r="Y62" s="1187"/>
      <c r="Z62" s="1187"/>
      <c r="AA62" s="1187"/>
      <c r="AB62" s="1187"/>
      <c r="AC62" s="1187"/>
      <c r="AD62" s="1187"/>
      <c r="AE62" s="1187"/>
      <c r="AF62" s="1187"/>
      <c r="AG62" s="1187"/>
      <c r="AH62" s="1187"/>
      <c r="AI62" s="1187"/>
      <c r="AJ62" s="1187"/>
      <c r="AK62" s="1187"/>
      <c r="AL62" s="1187"/>
      <c r="AM62" s="1187"/>
      <c r="AN62" s="1187"/>
      <c r="AO62" s="1187"/>
      <c r="AP62" s="1187"/>
      <c r="AQ62" s="1187"/>
      <c r="AR62" s="1187"/>
      <c r="AS62" s="1187"/>
      <c r="AT62" s="1187"/>
      <c r="AU62" s="1187"/>
      <c r="AV62" s="1187"/>
      <c r="AW62" s="1187"/>
      <c r="AX62" s="1187"/>
      <c r="AY62" s="1187"/>
      <c r="AZ62" s="1187"/>
      <c r="BA62" s="1187"/>
      <c r="BB62" s="1187"/>
      <c r="BC62" s="1187"/>
      <c r="BE62" s="398"/>
      <c r="BF62" s="398" t="str">
        <f t="shared" si="4"/>
        <v>Добавить территорию для дифференциации</v>
      </c>
      <c r="BG62" s="398"/>
      <c r="BH62" s="398"/>
    </row>
    <row r="63" spans="1:60" s="1866" customFormat="1" ht="0" hidden="1" customHeight="1">
      <c r="A63" s="1177"/>
      <c r="B63" s="1177"/>
      <c r="C63" s="1177"/>
      <c r="D63" s="1177"/>
      <c r="E63" s="1205"/>
      <c r="F63" s="1177"/>
      <c r="G63" s="1177"/>
      <c r="H63" s="1177"/>
      <c r="I63" s="1177"/>
      <c r="J63" s="1177"/>
      <c r="K63" s="1177"/>
      <c r="L63" s="1321"/>
      <c r="M63" s="1184"/>
      <c r="N63" s="1184"/>
      <c r="P63" s="1179"/>
      <c r="Q63" s="1180"/>
      <c r="R63" s="1179"/>
      <c r="S63" s="1185"/>
      <c r="T63" s="1188" t="s">
        <v>710</v>
      </c>
      <c r="U63" s="1187"/>
      <c r="V63" s="1187"/>
      <c r="W63" s="1187"/>
      <c r="X63" s="1187"/>
      <c r="Y63" s="1187"/>
      <c r="Z63" s="1187"/>
      <c r="AA63" s="1187"/>
      <c r="AB63" s="1187"/>
      <c r="AC63" s="1187"/>
      <c r="AD63" s="1187"/>
      <c r="AE63" s="1187"/>
      <c r="AF63" s="1187"/>
      <c r="AG63" s="1187"/>
      <c r="AH63" s="1187"/>
      <c r="AI63" s="1187"/>
      <c r="AJ63" s="1187"/>
      <c r="AK63" s="1187"/>
      <c r="AL63" s="1187"/>
      <c r="AM63" s="1187"/>
      <c r="AN63" s="1187"/>
      <c r="AO63" s="1187"/>
      <c r="AP63" s="1187"/>
      <c r="AQ63" s="1187"/>
      <c r="AR63" s="1187"/>
      <c r="AS63" s="1187"/>
      <c r="AT63" s="1187"/>
      <c r="AU63" s="1187"/>
      <c r="AV63" s="1187"/>
      <c r="AW63" s="1187"/>
      <c r="AX63" s="1187"/>
      <c r="AY63" s="1187"/>
      <c r="AZ63" s="1187"/>
      <c r="BA63" s="1187"/>
      <c r="BB63" s="1187"/>
      <c r="BC63" s="1187"/>
      <c r="BE63" s="670"/>
      <c r="BF63" s="670" t="str">
        <f t="shared" si="4"/>
        <v>Добавить наименование тарифа</v>
      </c>
      <c r="BG63" s="670"/>
      <c r="BH63" s="670"/>
    </row>
    <row r="64" spans="1:60" ht="11.25" customHeight="1">
      <c r="M64" s="1023"/>
      <c r="N64" s="1023"/>
      <c r="O64" s="434"/>
      <c r="P64" s="1023"/>
      <c r="Q64" s="1023"/>
      <c r="R64" s="1018"/>
      <c r="S64" s="1018"/>
      <c r="BD64" s="1018"/>
      <c r="BE64" s="1018"/>
      <c r="BF64" s="1018"/>
      <c r="BG64" s="1018"/>
      <c r="BH64" s="1018"/>
    </row>
    <row r="65" spans="15:55" ht="18.75" customHeight="1">
      <c r="O65" s="434"/>
      <c r="S65" s="1119"/>
      <c r="T65" s="3527"/>
      <c r="U65" s="3527"/>
      <c r="V65" s="3527"/>
      <c r="W65" s="3527"/>
      <c r="X65" s="3527"/>
      <c r="Y65" s="3527"/>
      <c r="Z65" s="3527"/>
      <c r="AA65" s="3527"/>
      <c r="AB65" s="3527"/>
      <c r="AC65" s="3527"/>
      <c r="AD65" s="3527"/>
      <c r="AE65" s="3527"/>
      <c r="AF65" s="3527"/>
      <c r="AG65" s="3527"/>
      <c r="AH65" s="3527"/>
      <c r="AI65" s="3527"/>
      <c r="AJ65" s="3527"/>
      <c r="AK65" s="3527"/>
      <c r="AL65" s="3527"/>
      <c r="AM65" s="3527"/>
      <c r="AN65" s="3527"/>
      <c r="AO65" s="3527"/>
      <c r="AP65" s="3527"/>
      <c r="AQ65" s="3527"/>
      <c r="AR65" s="3527"/>
      <c r="AS65" s="3527"/>
      <c r="AT65" s="3527"/>
      <c r="AU65" s="3527"/>
      <c r="AV65" s="3527"/>
      <c r="AW65" s="3527"/>
      <c r="AX65" s="3527"/>
      <c r="AY65" s="3527"/>
      <c r="AZ65" s="3527"/>
      <c r="BA65" s="3527"/>
      <c r="BB65" s="3527"/>
      <c r="BC65" s="3527"/>
    </row>
    <row r="66" spans="15:55" ht="14.25" customHeight="1">
      <c r="O66" s="434"/>
      <c r="T66" s="1307"/>
      <c r="U66" s="1307"/>
      <c r="V66" s="1307"/>
      <c r="W66" s="1307"/>
      <c r="X66" s="1307"/>
      <c r="Y66" s="1307"/>
      <c r="Z66" s="1307"/>
      <c r="AA66" s="1307"/>
      <c r="AB66" s="1307"/>
      <c r="AC66" s="1307"/>
      <c r="AD66" s="1307"/>
      <c r="AE66" s="1307"/>
      <c r="AF66" s="1307"/>
      <c r="AG66" s="1307"/>
      <c r="AH66" s="1307"/>
      <c r="AI66" s="1307"/>
      <c r="AJ66" s="1307"/>
      <c r="AK66" s="1307"/>
      <c r="AL66" s="1307"/>
      <c r="AM66" s="1307"/>
      <c r="AN66" s="1307"/>
      <c r="AO66" s="1307"/>
      <c r="AP66" s="1307"/>
      <c r="AQ66" s="1307"/>
      <c r="AR66" s="1307"/>
      <c r="AS66" s="1307"/>
      <c r="AT66" s="1307"/>
      <c r="AU66" s="1307"/>
      <c r="AV66" s="1307"/>
      <c r="AW66" s="1307"/>
      <c r="AX66" s="1307"/>
      <c r="AY66" s="1307"/>
      <c r="AZ66" s="1307"/>
      <c r="BA66" s="1307"/>
      <c r="BB66" s="1307"/>
      <c r="BC66" s="1307"/>
    </row>
    <row r="67" spans="15:55" ht="18.75" customHeight="1">
      <c r="O67" s="434"/>
      <c r="S67" s="1119"/>
      <c r="T67" s="3527"/>
      <c r="U67" s="3527"/>
      <c r="V67" s="3527"/>
      <c r="W67" s="3527"/>
      <c r="X67" s="3527"/>
      <c r="Y67" s="3527"/>
      <c r="Z67" s="3527"/>
      <c r="AA67" s="3527"/>
      <c r="AB67" s="3527"/>
      <c r="AC67" s="3527"/>
      <c r="AD67" s="3527"/>
      <c r="AE67" s="3527"/>
      <c r="AF67" s="3527"/>
      <c r="AG67" s="3527"/>
      <c r="AH67" s="3527"/>
      <c r="AI67" s="3527"/>
      <c r="AJ67" s="3527"/>
      <c r="AK67" s="3527"/>
      <c r="AL67" s="3527"/>
      <c r="AM67" s="3527"/>
      <c r="AN67" s="3527"/>
      <c r="AO67" s="3527"/>
      <c r="AP67" s="3527"/>
      <c r="AQ67" s="3527"/>
      <c r="AR67" s="3527"/>
      <c r="AS67" s="3527"/>
      <c r="AT67" s="3527"/>
      <c r="AU67" s="3527"/>
      <c r="AV67" s="3527"/>
      <c r="AW67" s="3527"/>
      <c r="AX67" s="3527"/>
      <c r="AY67" s="3527"/>
      <c r="AZ67" s="3527"/>
      <c r="BA67" s="3527"/>
      <c r="BB67" s="3527"/>
      <c r="BC67" s="3527"/>
    </row>
    <row r="68" spans="15:55" ht="14.25" customHeight="1">
      <c r="O68" s="434"/>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B7CF9-00D4-10AE-13EF-0210DE945DCE}">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03" hidden="1"/>
    <col min="2" max="2" width="11" style="1903" hidden="1" customWidth="1"/>
    <col min="3" max="3" width="10.5703125" style="1903" hidden="1"/>
    <col min="4" max="4" width="11.85546875" style="1903" hidden="1" customWidth="1"/>
    <col min="5" max="5" width="10" style="1903" hidden="1" customWidth="1"/>
    <col min="6" max="6" width="8.7109375" style="1903" hidden="1" customWidth="1"/>
    <col min="7" max="7" width="7.5703125" style="1903" hidden="1" customWidth="1"/>
    <col min="8" max="8" width="11.42578125" style="1903" hidden="1" customWidth="1"/>
    <col min="9" max="9" width="14.140625" style="1903" hidden="1" customWidth="1"/>
    <col min="10" max="10" width="9.85546875" style="1903" hidden="1" customWidth="1"/>
    <col min="11" max="11" width="14.7109375" style="1903" hidden="1" customWidth="1"/>
    <col min="12" max="12" width="19.140625" style="1953" hidden="1" customWidth="1"/>
    <col min="13" max="14" width="12.28515625" style="1839" hidden="1" customWidth="1"/>
    <col min="15" max="15" width="23.42578125" style="1839" hidden="1" customWidth="1"/>
    <col min="16" max="16" width="3.7109375" style="1957" customWidth="1"/>
    <col min="17" max="18" width="3.7109375" style="1906" customWidth="1"/>
    <col min="19" max="19" width="12.7109375" style="1951" customWidth="1"/>
    <col min="20" max="20" width="35.7109375" style="1910" customWidth="1"/>
    <col min="21" max="21" width="0.140625" style="1910" customWidth="1"/>
    <col min="22" max="24" width="24.7109375" style="1910" hidden="1" customWidth="1"/>
    <col min="25" max="25" width="11.7109375" style="1910" hidden="1" customWidth="1"/>
    <col min="26" max="26" width="3.7109375" style="1910" hidden="1" customWidth="1"/>
    <col min="27" max="27" width="11.7109375" style="1910" hidden="1" customWidth="1"/>
    <col min="28" max="28" width="8.5703125" style="1910" hidden="1" customWidth="1"/>
    <col min="29" max="31" width="24.7109375" style="1910" customWidth="1"/>
    <col min="32" max="32" width="11.7109375" style="1910" customWidth="1"/>
    <col min="33" max="33" width="3.7109375" style="1910" customWidth="1"/>
    <col min="34" max="34" width="11.7109375" style="1910" customWidth="1"/>
    <col min="35" max="35" width="8.5703125" style="1910" hidden="1" customWidth="1"/>
    <col min="36" max="36" width="4.7109375" style="1910" customWidth="1"/>
    <col min="37" max="37" width="115.7109375" style="1910" customWidth="1"/>
    <col min="38" max="39" width="10.5703125" style="1866"/>
    <col min="40" max="40" width="11.140625" style="1866" customWidth="1"/>
    <col min="41" max="42" width="10.5703125" style="1866"/>
  </cols>
  <sheetData>
    <row r="1" spans="1:42" ht="14.25" hidden="1" customHeight="1">
      <c r="X1" s="238"/>
      <c r="Y1" s="238"/>
      <c r="AE1" s="238"/>
      <c r="AF1" s="238"/>
    </row>
    <row r="2" spans="1:42" ht="23.25" hidden="1" customHeight="1">
      <c r="A2" s="1224"/>
      <c r="B2" s="1224"/>
      <c r="C2" s="1224"/>
      <c r="D2" s="1224"/>
      <c r="E2" s="3528">
        <v>1</v>
      </c>
      <c r="F2" s="1224"/>
      <c r="G2" s="1224"/>
      <c r="H2" s="1224"/>
      <c r="I2" s="1224"/>
      <c r="J2" s="1224"/>
      <c r="K2" s="1224"/>
      <c r="L2" s="1225"/>
      <c r="M2" s="1226"/>
      <c r="N2" s="1226"/>
      <c r="O2" s="1226"/>
      <c r="P2" s="270"/>
      <c r="Q2" s="269"/>
      <c r="R2" s="264"/>
      <c r="S2" s="1348" t="e">
        <f>INDEX(PT_DIFFERENTIATION_NUM_NTAR,MATCH(A2,PT_DIFFERENTIATION_NTAR_ID,0))</f>
        <v>#N/A</v>
      </c>
      <c r="T2" s="209" t="s">
        <v>391</v>
      </c>
      <c r="U2" s="211"/>
      <c r="V2" s="3522"/>
      <c r="W2" s="3523"/>
      <c r="X2" s="3523"/>
      <c r="Y2" s="3523"/>
      <c r="Z2" s="3523"/>
      <c r="AA2" s="3523"/>
      <c r="AB2" s="3524"/>
      <c r="AC2" s="3522" t="e">
        <f>INDEX(PT_DIFFERENTIATION_NTAR,MATCH(A2,PT_DIFFERENTIATION_NTAR_ID,0))</f>
        <v>#N/A</v>
      </c>
      <c r="AD2" s="3523"/>
      <c r="AE2" s="3523"/>
      <c r="AF2" s="3523"/>
      <c r="AG2" s="3523"/>
      <c r="AH2" s="3523"/>
      <c r="AI2" s="3523"/>
      <c r="AJ2" s="3524"/>
      <c r="AK2" s="112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398"/>
      <c r="AN2" s="398" t="str">
        <f t="shared" ref="AN2:AN13" si="0">IF(T2="","",T2)</f>
        <v>Наименование тарифа</v>
      </c>
      <c r="AO2" s="398"/>
      <c r="AP2" s="398"/>
    </row>
    <row r="3" spans="1:42" ht="23.25" hidden="1" customHeight="1">
      <c r="A3" s="1224"/>
      <c r="B3" s="1224"/>
      <c r="C3" s="1224"/>
      <c r="D3" s="1224"/>
      <c r="E3" s="3529"/>
      <c r="F3" s="3528">
        <v>1</v>
      </c>
      <c r="G3" s="1224"/>
      <c r="H3" s="1224"/>
      <c r="I3" s="1224"/>
      <c r="J3" s="1224"/>
      <c r="K3" s="1224"/>
      <c r="L3" s="1225"/>
      <c r="M3" s="1226"/>
      <c r="N3" s="1226"/>
      <c r="O3" s="1226"/>
      <c r="P3" s="1342"/>
      <c r="Q3" s="261"/>
      <c r="R3" s="262"/>
      <c r="S3" s="1348" t="e">
        <f>INDEX(PT_DIFFERENTIATION_NUM_TER,MATCH(B3,PT_DIFFERENTIATION_TER_ID,0))</f>
        <v>#N/A</v>
      </c>
      <c r="T3" s="219" t="s">
        <v>659</v>
      </c>
      <c r="U3" s="211"/>
      <c r="V3" s="3522"/>
      <c r="W3" s="3523"/>
      <c r="X3" s="3523"/>
      <c r="Y3" s="3523"/>
      <c r="Z3" s="3523"/>
      <c r="AA3" s="3523"/>
      <c r="AB3" s="3524"/>
      <c r="AC3" s="3522" t="e">
        <f>INDEX(PT_DIFFERENTIATION_TER,MATCH(B3,PT_DIFFERENTIATION_TER_ID,0))</f>
        <v>#N/A</v>
      </c>
      <c r="AD3" s="3523"/>
      <c r="AE3" s="3523"/>
      <c r="AF3" s="3523"/>
      <c r="AG3" s="3523"/>
      <c r="AH3" s="3523"/>
      <c r="AI3" s="3523"/>
      <c r="AJ3" s="3524"/>
      <c r="AK3" s="1124" t="s">
        <v>660</v>
      </c>
      <c r="AM3" s="398"/>
      <c r="AN3" s="398" t="str">
        <f t="shared" si="0"/>
        <v>Территория действия тарифа</v>
      </c>
      <c r="AO3" s="398"/>
      <c r="AP3" s="398"/>
    </row>
    <row r="4" spans="1:42" ht="23.25" hidden="1" customHeight="1">
      <c r="A4" s="1224"/>
      <c r="B4" s="1224"/>
      <c r="C4" s="1224"/>
      <c r="D4" s="1224"/>
      <c r="E4" s="3529"/>
      <c r="F4" s="3529"/>
      <c r="G4" s="3528">
        <v>1</v>
      </c>
      <c r="H4" s="1224"/>
      <c r="I4" s="1224"/>
      <c r="J4" s="1224"/>
      <c r="K4" s="1224"/>
      <c r="L4" s="1225"/>
      <c r="M4" s="1226"/>
      <c r="N4" s="1226"/>
      <c r="O4" s="1226"/>
      <c r="P4" s="263"/>
      <c r="Q4" s="261"/>
      <c r="R4" s="262"/>
      <c r="S4" s="1348" t="e">
        <f>INDEX(PT_DIFFERENTIATION_NUM_CS,MATCH(C4,PT_DIFFERENTIATION_CS_ID,0))</f>
        <v>#N/A</v>
      </c>
      <c r="T4" s="220" t="s">
        <v>779</v>
      </c>
      <c r="U4" s="211"/>
      <c r="V4" s="3522"/>
      <c r="W4" s="3523"/>
      <c r="X4" s="3523"/>
      <c r="Y4" s="3523"/>
      <c r="Z4" s="3523"/>
      <c r="AA4" s="3523"/>
      <c r="AB4" s="3524"/>
      <c r="AC4" s="3522" t="e">
        <f>INDEX(PT_DIFFERENTIATION_CS,MATCH(C4,PT_DIFFERENTIATION_CS_ID,0))</f>
        <v>#N/A</v>
      </c>
      <c r="AD4" s="3523"/>
      <c r="AE4" s="3523"/>
      <c r="AF4" s="3523"/>
      <c r="AG4" s="3523"/>
      <c r="AH4" s="3523"/>
      <c r="AI4" s="3523"/>
      <c r="AJ4" s="3524"/>
      <c r="AK4" s="1124" t="s">
        <v>780</v>
      </c>
      <c r="AM4" s="398"/>
      <c r="AN4" s="398" t="str">
        <f t="shared" si="0"/>
        <v>Наименование централизованной системы водоотведения</v>
      </c>
      <c r="AO4" s="398"/>
      <c r="AP4" s="398"/>
    </row>
    <row r="5" spans="1:42" ht="23.25" hidden="1" customHeight="1">
      <c r="A5" s="1224"/>
      <c r="B5" s="1224"/>
      <c r="C5" s="1224"/>
      <c r="D5" s="1224"/>
      <c r="E5" s="3529"/>
      <c r="F5" s="3529"/>
      <c r="G5" s="3529"/>
      <c r="H5" s="3529"/>
      <c r="I5" s="3530" t="e">
        <f>S4&amp;".1"</f>
        <v>#N/A</v>
      </c>
      <c r="J5" s="1224"/>
      <c r="K5" s="1224"/>
      <c r="L5" s="1225"/>
      <c r="P5" s="3532">
        <v>1</v>
      </c>
      <c r="Q5" s="1336"/>
      <c r="R5" s="265"/>
      <c r="S5" s="1348" t="e">
        <f>$I5</f>
        <v>#N/A</v>
      </c>
      <c r="T5" s="197" t="s">
        <v>746</v>
      </c>
      <c r="U5" s="211"/>
      <c r="V5" s="3588"/>
      <c r="W5" s="3589"/>
      <c r="X5" s="3589"/>
      <c r="Y5" s="3589"/>
      <c r="Z5" s="3589"/>
      <c r="AA5" s="3589"/>
      <c r="AB5" s="3590"/>
      <c r="AC5" s="3591"/>
      <c r="AD5" s="3592"/>
      <c r="AE5" s="3592"/>
      <c r="AF5" s="3592"/>
      <c r="AG5" s="3592"/>
      <c r="AH5" s="3592"/>
      <c r="AI5" s="3592"/>
      <c r="AJ5" s="3593"/>
      <c r="AK5" s="1124" t="s">
        <v>747</v>
      </c>
      <c r="AM5" s="398"/>
      <c r="AN5" s="398" t="str">
        <f t="shared" si="0"/>
        <v>Наименование признака дифференциации</v>
      </c>
      <c r="AO5" s="398"/>
      <c r="AP5" s="398"/>
    </row>
    <row r="6" spans="1:42" ht="23.25" hidden="1" customHeight="1">
      <c r="A6" s="1224"/>
      <c r="B6" s="1224"/>
      <c r="C6" s="1224"/>
      <c r="D6" s="1224"/>
      <c r="E6" s="3529"/>
      <c r="F6" s="3529"/>
      <c r="G6" s="3529"/>
      <c r="H6" s="3529"/>
      <c r="I6" s="3531"/>
      <c r="J6" s="3530" t="e">
        <f>I5&amp;".1"</f>
        <v>#N/A</v>
      </c>
      <c r="K6" s="1224"/>
      <c r="L6" s="1225" t="s">
        <v>668</v>
      </c>
      <c r="P6" s="3532"/>
      <c r="Q6" s="3532">
        <v>1</v>
      </c>
      <c r="R6" s="266"/>
      <c r="S6" s="1348" t="e">
        <f>$J6</f>
        <v>#N/A</v>
      </c>
      <c r="T6" s="198" t="s">
        <v>669</v>
      </c>
      <c r="U6" s="211"/>
      <c r="V6" s="3516"/>
      <c r="W6" s="3517"/>
      <c r="X6" s="3517"/>
      <c r="Y6" s="3517"/>
      <c r="Z6" s="3517"/>
      <c r="AA6" s="3517"/>
      <c r="AB6" s="3518"/>
      <c r="AC6" s="3516"/>
      <c r="AD6" s="3517"/>
      <c r="AE6" s="3517"/>
      <c r="AF6" s="3517"/>
      <c r="AG6" s="3517"/>
      <c r="AH6" s="3517"/>
      <c r="AI6" s="3517"/>
      <c r="AJ6" s="3518"/>
      <c r="AK6" s="1171" t="s">
        <v>748</v>
      </c>
      <c r="AM6" s="398"/>
      <c r="AN6" s="398" t="str">
        <f t="shared" si="0"/>
        <v>Группа потребителей</v>
      </c>
      <c r="AO6" s="398"/>
      <c r="AP6" s="398"/>
    </row>
    <row r="7" spans="1:42" ht="23.25" hidden="1" customHeight="1">
      <c r="A7" s="1224"/>
      <c r="B7" s="1224"/>
      <c r="C7" s="1224"/>
      <c r="D7" s="1224"/>
      <c r="E7" s="3529"/>
      <c r="F7" s="3529"/>
      <c r="G7" s="3529"/>
      <c r="H7" s="3529"/>
      <c r="I7" s="3531"/>
      <c r="J7" s="3531"/>
      <c r="K7" s="3530" t="e">
        <f>J6&amp;".1"</f>
        <v>#N/A</v>
      </c>
      <c r="L7" s="1225"/>
      <c r="P7" s="3532"/>
      <c r="Q7" s="3532"/>
      <c r="R7" s="266">
        <v>1</v>
      </c>
      <c r="S7" s="1348" t="e">
        <f>$K7</f>
        <v>#N/A</v>
      </c>
      <c r="T7" s="1297"/>
      <c r="U7" s="211"/>
      <c r="V7" s="639"/>
      <c r="W7" s="639"/>
      <c r="X7" s="1123"/>
      <c r="Y7" s="3533"/>
      <c r="Z7" s="3412" t="s">
        <v>64</v>
      </c>
      <c r="AA7" s="3533"/>
      <c r="AB7" s="3412" t="s">
        <v>64</v>
      </c>
      <c r="AC7" s="639"/>
      <c r="AD7" s="639"/>
      <c r="AE7" s="1123"/>
      <c r="AF7" s="3533"/>
      <c r="AG7" s="3412" t="s">
        <v>64</v>
      </c>
      <c r="AH7" s="3535"/>
      <c r="AI7" s="3412" t="s">
        <v>64</v>
      </c>
      <c r="AJ7" s="1298"/>
      <c r="AK7" s="35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09" t="e">
        <f ca="1">STRCHECKDATE(V8:AJ8)</f>
        <v>#NAME?</v>
      </c>
      <c r="AM7" s="398"/>
      <c r="AN7" s="398" t="str">
        <f t="shared" si="0"/>
        <v/>
      </c>
      <c r="AO7" s="398"/>
      <c r="AP7" s="398"/>
    </row>
    <row r="8" spans="1:42" ht="14.25" hidden="1" customHeight="1">
      <c r="A8" s="1224"/>
      <c r="B8" s="1224"/>
      <c r="C8" s="1224"/>
      <c r="D8" s="1224"/>
      <c r="E8" s="3529"/>
      <c r="F8" s="3529"/>
      <c r="G8" s="3529"/>
      <c r="H8" s="3529"/>
      <c r="I8" s="3531"/>
      <c r="J8" s="3531"/>
      <c r="K8" s="3530"/>
      <c r="L8" s="1225"/>
      <c r="P8" s="3532"/>
      <c r="Q8" s="3532"/>
      <c r="R8" s="266"/>
      <c r="S8" s="1345"/>
      <c r="T8" s="211"/>
      <c r="U8" s="211"/>
      <c r="V8" s="236"/>
      <c r="W8" s="236"/>
      <c r="X8" s="239" t="str">
        <f>Y7&amp;"-"&amp;AA7</f>
        <v>-</v>
      </c>
      <c r="Y8" s="3534"/>
      <c r="Z8" s="3412"/>
      <c r="AA8" s="3534"/>
      <c r="AB8" s="3412"/>
      <c r="AC8" s="236"/>
      <c r="AD8" s="236"/>
      <c r="AE8" s="239" t="str">
        <f>AF7&amp;"-"&amp;AH7</f>
        <v>-</v>
      </c>
      <c r="AF8" s="3534"/>
      <c r="AG8" s="3412"/>
      <c r="AH8" s="3536"/>
      <c r="AI8" s="3412"/>
      <c r="AJ8" s="1299"/>
      <c r="AK8" s="3594"/>
      <c r="AM8" s="398"/>
      <c r="AN8" s="398" t="str">
        <f t="shared" si="0"/>
        <v/>
      </c>
      <c r="AO8" s="398"/>
      <c r="AP8" s="398"/>
    </row>
    <row r="9" spans="1:42" ht="21" hidden="1" customHeight="1">
      <c r="A9" s="1224"/>
      <c r="B9" s="1224"/>
      <c r="C9" s="1224"/>
      <c r="D9" s="1224"/>
      <c r="E9" s="3529"/>
      <c r="F9" s="3529"/>
      <c r="G9" s="3529"/>
      <c r="H9" s="3529"/>
      <c r="I9" s="3531"/>
      <c r="J9" s="3530"/>
      <c r="K9" s="1224"/>
      <c r="L9" s="1225"/>
      <c r="P9" s="3532"/>
      <c r="Q9" s="3532"/>
      <c r="R9" s="265"/>
      <c r="S9" s="1144"/>
      <c r="T9" s="199" t="s">
        <v>749</v>
      </c>
      <c r="U9" s="275"/>
      <c r="V9" s="275"/>
      <c r="W9" s="275"/>
      <c r="X9" s="275"/>
      <c r="Y9" s="275"/>
      <c r="Z9" s="275"/>
      <c r="AA9" s="275"/>
      <c r="AB9" s="275"/>
      <c r="AC9" s="275"/>
      <c r="AD9" s="275"/>
      <c r="AE9" s="275"/>
      <c r="AF9" s="275"/>
      <c r="AG9" s="275"/>
      <c r="AH9" s="275"/>
      <c r="AI9" s="275"/>
      <c r="AJ9" s="275"/>
      <c r="AK9" s="1124" t="s">
        <v>750</v>
      </c>
      <c r="AM9" s="398"/>
      <c r="AN9" s="398" t="str">
        <f t="shared" si="0"/>
        <v>Добавить значение признака дифференциации</v>
      </c>
      <c r="AO9" s="398"/>
      <c r="AP9" s="398"/>
    </row>
    <row r="10" spans="1:42" ht="21" hidden="1" customHeight="1">
      <c r="A10" s="1224"/>
      <c r="B10" s="1224"/>
      <c r="C10" s="1224"/>
      <c r="D10" s="1224"/>
      <c r="E10" s="3529"/>
      <c r="F10" s="3529"/>
      <c r="G10" s="3529"/>
      <c r="H10" s="3529"/>
      <c r="I10" s="3530"/>
      <c r="J10" s="1224"/>
      <c r="K10" s="1224"/>
      <c r="L10" s="1225"/>
      <c r="P10" s="3532"/>
      <c r="Q10" s="1336"/>
      <c r="R10" s="265"/>
      <c r="S10" s="1144"/>
      <c r="T10" s="273" t="s">
        <v>674</v>
      </c>
      <c r="U10" s="275"/>
      <c r="V10" s="275"/>
      <c r="W10" s="275"/>
      <c r="X10" s="275"/>
      <c r="Y10" s="275"/>
      <c r="Z10" s="275"/>
      <c r="AA10" s="275"/>
      <c r="AB10" s="274"/>
      <c r="AC10" s="275"/>
      <c r="AD10" s="275"/>
      <c r="AE10" s="275"/>
      <c r="AF10" s="275"/>
      <c r="AG10" s="275"/>
      <c r="AH10" s="275"/>
      <c r="AI10" s="274"/>
      <c r="AJ10" s="275"/>
      <c r="AK10" s="1300"/>
      <c r="AM10" s="398"/>
      <c r="AN10" s="398" t="str">
        <f t="shared" si="0"/>
        <v>Добавить группу потребителей</v>
      </c>
      <c r="AO10" s="398"/>
      <c r="AP10" s="398"/>
    </row>
    <row r="11" spans="1:42" ht="21" hidden="1" customHeight="1">
      <c r="A11" s="1224"/>
      <c r="B11" s="1224"/>
      <c r="C11" s="1224"/>
      <c r="D11" s="1224"/>
      <c r="E11" s="3529"/>
      <c r="F11" s="3529"/>
      <c r="G11" s="3529"/>
      <c r="H11" s="3528"/>
      <c r="I11" s="1224"/>
      <c r="J11" s="1224"/>
      <c r="K11" s="1224"/>
      <c r="L11" s="1225"/>
      <c r="M11" s="1226"/>
      <c r="N11" s="1226"/>
      <c r="O11" s="434"/>
      <c r="P11" s="269"/>
      <c r="Q11" s="282"/>
      <c r="R11" s="264"/>
      <c r="S11" s="1144"/>
      <c r="T11" s="280" t="s">
        <v>751</v>
      </c>
      <c r="U11" s="275"/>
      <c r="V11" s="275"/>
      <c r="W11" s="275"/>
      <c r="X11" s="275"/>
      <c r="Y11" s="275"/>
      <c r="Z11" s="275"/>
      <c r="AA11" s="275"/>
      <c r="AB11" s="274"/>
      <c r="AC11" s="275"/>
      <c r="AD11" s="275"/>
      <c r="AE11" s="275"/>
      <c r="AF11" s="275"/>
      <c r="AG11" s="275"/>
      <c r="AH11" s="275"/>
      <c r="AI11" s="274"/>
      <c r="AJ11" s="275"/>
      <c r="AK11" s="214"/>
      <c r="AM11" s="398"/>
      <c r="AN11" s="398" t="str">
        <f t="shared" si="0"/>
        <v>Добавить наименование признака дифференциации</v>
      </c>
      <c r="AO11" s="398"/>
      <c r="AP11" s="398"/>
    </row>
    <row r="12" spans="1:42" s="1866" customFormat="1" ht="14.25" hidden="1" customHeight="1">
      <c r="A12" s="1205"/>
      <c r="B12" s="1205"/>
      <c r="C12" s="1177"/>
      <c r="D12" s="1177"/>
      <c r="E12" s="3529"/>
      <c r="F12" s="3528"/>
      <c r="G12" s="1177"/>
      <c r="H12" s="1177"/>
      <c r="I12" s="1177"/>
      <c r="J12" s="1177"/>
      <c r="K12" s="1177"/>
      <c r="L12" s="1349"/>
      <c r="M12" s="1184"/>
      <c r="N12" s="1184"/>
      <c r="P12" s="1179"/>
      <c r="Q12" s="1180"/>
      <c r="R12" s="1179"/>
      <c r="S12" s="1185"/>
      <c r="T12" s="1188" t="s">
        <v>677</v>
      </c>
      <c r="U12" s="1187"/>
      <c r="V12" s="1187"/>
      <c r="W12" s="1187"/>
      <c r="X12" s="1187"/>
      <c r="Y12" s="1187"/>
      <c r="Z12" s="1187"/>
      <c r="AA12" s="1187"/>
      <c r="AB12" s="1187"/>
      <c r="AC12" s="1187"/>
      <c r="AD12" s="1187"/>
      <c r="AE12" s="1187"/>
      <c r="AF12" s="1187"/>
      <c r="AG12" s="1187"/>
      <c r="AH12" s="1187"/>
      <c r="AI12" s="1187"/>
      <c r="AJ12" s="1187"/>
      <c r="AK12" s="1187"/>
      <c r="AM12" s="670"/>
      <c r="AN12" s="670" t="str">
        <f t="shared" si="0"/>
        <v>Добавить централизованную систему для дифференциации</v>
      </c>
      <c r="AO12" s="670"/>
      <c r="AP12" s="670"/>
    </row>
    <row r="13" spans="1:42" s="1866" customFormat="1" ht="14.25" hidden="1" customHeight="1">
      <c r="A13" s="1205"/>
      <c r="B13" s="1205"/>
      <c r="C13" s="1205"/>
      <c r="D13" s="1205"/>
      <c r="E13" s="3528"/>
      <c r="F13" s="1205"/>
      <c r="G13" s="1205"/>
      <c r="H13" s="1205"/>
      <c r="I13" s="1205"/>
      <c r="J13" s="1205"/>
      <c r="K13" s="1205"/>
      <c r="L13" s="1208"/>
      <c r="M13" s="1184"/>
      <c r="N13" s="1184"/>
      <c r="O13" s="416"/>
      <c r="P13" s="287"/>
      <c r="Q13" s="1206"/>
      <c r="R13" s="287"/>
      <c r="S13" s="1185"/>
      <c r="T13" s="1188" t="s">
        <v>678</v>
      </c>
      <c r="U13" s="1187"/>
      <c r="V13" s="1187"/>
      <c r="W13" s="1187"/>
      <c r="X13" s="1187"/>
      <c r="Y13" s="1187"/>
      <c r="Z13" s="1187"/>
      <c r="AA13" s="1187"/>
      <c r="AB13" s="1187"/>
      <c r="AC13" s="1187"/>
      <c r="AD13" s="1187"/>
      <c r="AE13" s="1187"/>
      <c r="AF13" s="1187"/>
      <c r="AG13" s="1187"/>
      <c r="AH13" s="1187"/>
      <c r="AI13" s="1187"/>
      <c r="AJ13" s="1187"/>
      <c r="AK13" s="1187"/>
      <c r="AM13" s="398"/>
      <c r="AN13" s="398" t="str">
        <f t="shared" si="0"/>
        <v>Добавить территорию для дифференциации</v>
      </c>
      <c r="AO13" s="398"/>
      <c r="AP13" s="398"/>
    </row>
    <row r="14" spans="1:42" ht="14.25" hidden="1" customHeight="1">
      <c r="AB14" s="238"/>
      <c r="AI14" s="238"/>
    </row>
    <row r="15" spans="1:42" ht="14.25" hidden="1" customHeight="1">
      <c r="AC15" s="1221"/>
      <c r="AD15" s="1221"/>
      <c r="AE15" s="1222"/>
      <c r="AF15" s="3526"/>
      <c r="AG15" s="3525" t="s">
        <v>64</v>
      </c>
      <c r="AH15" s="3526"/>
      <c r="AI15" s="3525" t="s">
        <v>64</v>
      </c>
    </row>
    <row r="16" spans="1:42" ht="14.25" hidden="1" customHeight="1">
      <c r="AC16" s="1221"/>
      <c r="AD16" s="1221"/>
      <c r="AE16" s="239" t="str">
        <f>AF15&amp;"-"&amp;AH15</f>
        <v>-</v>
      </c>
      <c r="AF16" s="3525"/>
      <c r="AG16" s="3525"/>
      <c r="AH16" s="3525"/>
      <c r="AI16" s="3525"/>
    </row>
    <row r="17" spans="1:42" ht="14.25" hidden="1" customHeight="1">
      <c r="AI17" s="238"/>
    </row>
    <row r="18" spans="1:42" s="1903" customFormat="1" ht="22.5" hidden="1" customHeight="1">
      <c r="L18" s="1333"/>
      <c r="M18" s="1223"/>
      <c r="N18" s="1223"/>
      <c r="O18" s="1228" t="s">
        <v>679</v>
      </c>
      <c r="P18" s="1223"/>
      <c r="Q18" s="1232"/>
      <c r="R18" s="1232"/>
      <c r="S18" s="619"/>
      <c r="Y18" s="1228"/>
      <c r="AA18" s="1228"/>
      <c r="AB18" s="1227"/>
      <c r="AF18" s="1228"/>
      <c r="AH18" s="1228"/>
      <c r="AI18" s="1227"/>
      <c r="AL18" s="409"/>
      <c r="AM18" s="409"/>
      <c r="AN18" s="409"/>
      <c r="AO18" s="409"/>
      <c r="AP18" s="409"/>
    </row>
    <row r="19" spans="1:42" s="1903" customFormat="1" ht="14.25" hidden="1" customHeight="1">
      <c r="L19" s="1333"/>
      <c r="M19" s="1223"/>
      <c r="N19" s="1223"/>
      <c r="O19" s="1223"/>
      <c r="P19" s="1223"/>
      <c r="Q19" s="1232"/>
      <c r="R19" s="1232"/>
      <c r="S19" s="619"/>
      <c r="AB19" s="1227"/>
      <c r="AI19" s="1227"/>
      <c r="AL19" s="409"/>
      <c r="AM19" s="409"/>
      <c r="AN19" s="409"/>
      <c r="AO19" s="409"/>
      <c r="AP19" s="409"/>
    </row>
    <row r="20" spans="1:42" s="1903" customFormat="1" ht="12" hidden="1" customHeight="1">
      <c r="L20" s="1333"/>
      <c r="M20" s="1223"/>
      <c r="N20" s="1223"/>
      <c r="O20" s="1225" t="s">
        <v>680</v>
      </c>
      <c r="P20" s="1223"/>
      <c r="Q20" s="1301"/>
      <c r="R20" s="1301"/>
      <c r="S20" s="619"/>
      <c r="T20" s="1023" t="s">
        <v>681</v>
      </c>
      <c r="Z20" s="103" t="s">
        <v>682</v>
      </c>
      <c r="AB20" s="103" t="s">
        <v>683</v>
      </c>
      <c r="AC20" s="1023" t="s">
        <v>681</v>
      </c>
      <c r="AG20" s="103" t="s">
        <v>684</v>
      </c>
      <c r="AI20" s="103" t="s">
        <v>683</v>
      </c>
    </row>
    <row r="21" spans="1:42" ht="14.25" hidden="1" customHeight="1">
      <c r="O21" s="1225"/>
    </row>
    <row r="22" spans="1:42" ht="14.25" hidden="1" customHeight="1">
      <c r="O22" s="1225"/>
    </row>
    <row r="23" spans="1:42" ht="14.25" customHeight="1">
      <c r="Q23" s="283"/>
      <c r="R23" s="283"/>
      <c r="S23" s="1141"/>
      <c r="T23" s="272"/>
      <c r="U23" s="272"/>
      <c r="V23" s="407"/>
      <c r="W23" s="407"/>
      <c r="X23" s="407"/>
      <c r="Y23" s="407"/>
      <c r="Z23" s="407"/>
      <c r="AA23" s="407"/>
      <c r="AB23" s="407"/>
      <c r="AC23" s="407"/>
      <c r="AD23" s="407"/>
      <c r="AE23" s="407"/>
      <c r="AF23" s="407"/>
      <c r="AG23" s="407"/>
      <c r="AH23" s="407"/>
      <c r="AI23" s="407"/>
    </row>
    <row r="24" spans="1:42" ht="14.25" customHeight="1">
      <c r="Q24" s="283"/>
      <c r="R24" s="283"/>
      <c r="S24" s="350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509"/>
      <c r="U24" s="3509"/>
      <c r="V24" s="3509"/>
      <c r="W24" s="3509"/>
      <c r="X24" s="3509"/>
      <c r="Y24" s="3509"/>
      <c r="Z24" s="3509"/>
      <c r="AA24" s="3509"/>
      <c r="AB24" s="3509"/>
      <c r="AC24" s="3509"/>
      <c r="AD24" s="3509"/>
      <c r="AE24" s="3509"/>
      <c r="AF24" s="3509"/>
      <c r="AG24" s="3509"/>
      <c r="AH24" s="3509"/>
      <c r="AI24" s="1109"/>
    </row>
    <row r="25" spans="1:42" ht="14.25" customHeight="1">
      <c r="Q25" s="283"/>
      <c r="R25" s="283"/>
      <c r="S25" s="3480" t="str">
        <f>IF(org=0,"Не определено",org)</f>
        <v>АО "Орелгортеплоэнерго"</v>
      </c>
      <c r="T25" s="3480"/>
      <c r="U25" s="3480"/>
      <c r="V25" s="3480"/>
      <c r="W25" s="3480"/>
      <c r="X25" s="3480"/>
      <c r="Y25" s="3480"/>
      <c r="Z25" s="3480"/>
      <c r="AA25" s="3480"/>
      <c r="AB25" s="3480"/>
      <c r="AC25" s="3480"/>
      <c r="AD25" s="3480"/>
      <c r="AE25" s="3480"/>
      <c r="AF25" s="3480"/>
      <c r="AG25" s="3480"/>
      <c r="AH25" s="3480"/>
      <c r="AI25" s="1109"/>
    </row>
    <row r="26" spans="1:42" ht="14.25" hidden="1" customHeight="1">
      <c r="Q26" s="283"/>
      <c r="R26" s="283"/>
      <c r="S26" s="1141"/>
      <c r="T26" s="272"/>
      <c r="U26" s="272"/>
      <c r="V26" s="233"/>
      <c r="W26" s="233"/>
      <c r="X26" s="233"/>
      <c r="Y26" s="233"/>
      <c r="Z26" s="233"/>
      <c r="AA26" s="233"/>
      <c r="AB26" s="233"/>
      <c r="AC26" s="233"/>
      <c r="AD26" s="233"/>
      <c r="AE26" s="233"/>
      <c r="AF26" s="233"/>
      <c r="AG26" s="233"/>
      <c r="AH26" s="233"/>
      <c r="AI26" s="233"/>
      <c r="AJ26" s="407"/>
    </row>
    <row r="27" spans="1:42" s="1944" customFormat="1" ht="25.5" hidden="1" customHeight="1">
      <c r="A27" s="1229"/>
      <c r="B27" s="1229"/>
      <c r="C27" s="1229"/>
      <c r="D27" s="1229"/>
      <c r="E27" s="1229"/>
      <c r="F27" s="1229"/>
      <c r="G27" s="1229"/>
      <c r="H27" s="1229"/>
      <c r="I27" s="1229"/>
      <c r="J27" s="1229"/>
      <c r="K27" s="1229"/>
      <c r="L27" s="1230"/>
      <c r="M27" s="1229"/>
      <c r="N27" s="1229"/>
      <c r="O27" s="1229"/>
      <c r="S27" s="3519" t="s">
        <v>38</v>
      </c>
      <c r="T27" s="3519"/>
      <c r="U27" s="1233"/>
      <c r="V27" s="3521" t="str">
        <f>IF(TITLE_NAME_OR_PR_CHANGE="",IF(TITLE_NAME_OR_PR="","",TITLE_NAME_OR_PR),TITLE_NAME_OR_PR_CHANGE)</f>
        <v/>
      </c>
      <c r="W27" s="3521"/>
      <c r="X27" s="3521"/>
      <c r="Y27" s="3521"/>
      <c r="Z27" s="3521"/>
      <c r="AA27" s="3521"/>
      <c r="AB27" s="237"/>
      <c r="AC27" s="3521" t="str">
        <f>IF(TITLE_NAME_OR_PR_CHANGE="",IF(TITLE_NAME_OR_PR="","",TITLE_NAME_OR_PR),TITLE_NAME_OR_PR_CHANGE)</f>
        <v/>
      </c>
      <c r="AD27" s="3521"/>
      <c r="AE27" s="3521"/>
      <c r="AF27" s="3521"/>
      <c r="AG27" s="3521"/>
      <c r="AH27" s="3521"/>
      <c r="AI27" s="237"/>
      <c r="AJ27" s="237"/>
      <c r="AK27" s="193"/>
      <c r="AL27" s="276"/>
      <c r="AM27" s="276"/>
      <c r="AN27" s="276"/>
      <c r="AO27" s="276"/>
      <c r="AP27" s="276"/>
    </row>
    <row r="28" spans="1:42" s="1944" customFormat="1" ht="18.75" hidden="1" customHeight="1">
      <c r="A28" s="1229"/>
      <c r="B28" s="1229"/>
      <c r="C28" s="1229"/>
      <c r="D28" s="1229"/>
      <c r="E28" s="1229"/>
      <c r="F28" s="1229"/>
      <c r="G28" s="1229"/>
      <c r="H28" s="1229"/>
      <c r="I28" s="1229"/>
      <c r="J28" s="1229"/>
      <c r="K28" s="1229"/>
      <c r="L28" s="1230"/>
      <c r="M28" s="1229"/>
      <c r="N28" s="1229"/>
      <c r="O28" s="1229"/>
      <c r="S28" s="3519" t="s">
        <v>685</v>
      </c>
      <c r="T28" s="3519"/>
      <c r="U28" s="1233"/>
      <c r="V28" s="3520" t="str">
        <f>IF(TITLE_DATE_PR_CHANGE="",IF(TITLE_DATE_PR="","",TITLE_DATE_PR),TITLE_DATE_PR_CHANGE)</f>
        <v/>
      </c>
      <c r="W28" s="3520"/>
      <c r="X28" s="3520"/>
      <c r="Y28" s="3520"/>
      <c r="Z28" s="3520"/>
      <c r="AA28" s="3520"/>
      <c r="AB28" s="237"/>
      <c r="AC28" s="3520" t="str">
        <f>IF(TITLE_DATE_PR_CHANGE="",IF(TITLE_DATE_PR="","",TITLE_DATE_PR),TITLE_DATE_PR_CHANGE)</f>
        <v/>
      </c>
      <c r="AD28" s="3520"/>
      <c r="AE28" s="3520"/>
      <c r="AF28" s="3520"/>
      <c r="AG28" s="3520"/>
      <c r="AH28" s="3520"/>
      <c r="AI28" s="237"/>
      <c r="AJ28" s="237"/>
      <c r="AK28" s="193"/>
      <c r="AL28" s="276"/>
      <c r="AM28" s="276"/>
      <c r="AN28" s="276"/>
      <c r="AO28" s="276"/>
      <c r="AP28" s="276"/>
    </row>
    <row r="29" spans="1:42" s="1944" customFormat="1" ht="18.75" hidden="1" customHeight="1">
      <c r="A29" s="1229"/>
      <c r="B29" s="1229"/>
      <c r="C29" s="1229"/>
      <c r="D29" s="1229"/>
      <c r="E29" s="1229"/>
      <c r="F29" s="1229"/>
      <c r="G29" s="1229"/>
      <c r="H29" s="1229"/>
      <c r="I29" s="1229"/>
      <c r="J29" s="1229"/>
      <c r="K29" s="1229"/>
      <c r="L29" s="1230"/>
      <c r="M29" s="1229"/>
      <c r="N29" s="1229"/>
      <c r="O29" s="1229"/>
      <c r="S29" s="3519" t="s">
        <v>686</v>
      </c>
      <c r="T29" s="3519"/>
      <c r="U29" s="1233"/>
      <c r="V29" s="3521" t="str">
        <f>IF(TITLE_NUMBER_PR_CHANGE="",IF(TITLE_NUMBER_PR="","",TITLE_NUMBER_PR),TITLE_NUMBER_PR_CHANGE)</f>
        <v/>
      </c>
      <c r="W29" s="3521"/>
      <c r="X29" s="3521"/>
      <c r="Y29" s="3521"/>
      <c r="Z29" s="3521"/>
      <c r="AA29" s="3521"/>
      <c r="AB29" s="237"/>
      <c r="AC29" s="3521" t="str">
        <f>IF(TITLE_NUMBER_PR_CHANGE="",IF(TITLE_NUMBER_PR="","",TITLE_NUMBER_PR),TITLE_NUMBER_PR_CHANGE)</f>
        <v/>
      </c>
      <c r="AD29" s="3521"/>
      <c r="AE29" s="3521"/>
      <c r="AF29" s="3521"/>
      <c r="AG29" s="3521"/>
      <c r="AH29" s="3521"/>
      <c r="AI29" s="237"/>
      <c r="AJ29" s="237"/>
      <c r="AK29" s="193"/>
      <c r="AL29" s="276"/>
      <c r="AM29" s="276"/>
      <c r="AN29" s="276"/>
      <c r="AO29" s="276"/>
      <c r="AP29" s="276"/>
    </row>
    <row r="30" spans="1:42" s="1944" customFormat="1" ht="18.75" hidden="1" customHeight="1">
      <c r="A30" s="1229"/>
      <c r="B30" s="1229"/>
      <c r="C30" s="1229"/>
      <c r="D30" s="1229"/>
      <c r="E30" s="1229"/>
      <c r="F30" s="1229"/>
      <c r="G30" s="1229"/>
      <c r="H30" s="1229"/>
      <c r="I30" s="1229"/>
      <c r="J30" s="1229"/>
      <c r="K30" s="1229"/>
      <c r="L30" s="1230"/>
      <c r="M30" s="1229"/>
      <c r="N30" s="1229"/>
      <c r="O30" s="1229"/>
      <c r="S30" s="3519" t="s">
        <v>39</v>
      </c>
      <c r="T30" s="3519"/>
      <c r="U30" s="1233"/>
      <c r="V30" s="3521" t="str">
        <f>IF(TITLE_IST_PUB_CHANGE="",IF(TITLE_IST_PUB="","",TITLE_IST_PUB),TITLE_IST_PUB_CHANGE)</f>
        <v/>
      </c>
      <c r="W30" s="3521"/>
      <c r="X30" s="3521"/>
      <c r="Y30" s="3521"/>
      <c r="Z30" s="3521"/>
      <c r="AA30" s="3521"/>
      <c r="AB30" s="237"/>
      <c r="AC30" s="3521" t="str">
        <f>IF(TITLE_IST_PUB_CHANGE="",IF(TITLE_IST_PUB="","",TITLE_IST_PUB),TITLE_IST_PUB_CHANGE)</f>
        <v/>
      </c>
      <c r="AD30" s="3521"/>
      <c r="AE30" s="3521"/>
      <c r="AF30" s="3521"/>
      <c r="AG30" s="3521"/>
      <c r="AH30" s="3521"/>
      <c r="AI30" s="237"/>
      <c r="AJ30" s="237"/>
      <c r="AK30" s="193"/>
      <c r="AL30" s="276"/>
      <c r="AM30" s="276"/>
      <c r="AN30" s="276"/>
      <c r="AO30" s="276"/>
      <c r="AP30" s="276"/>
    </row>
    <row r="31" spans="1:42" ht="14.25" hidden="1" customHeight="1">
      <c r="Q31" s="283"/>
      <c r="R31" s="283"/>
      <c r="S31" s="1141"/>
      <c r="T31" s="272"/>
      <c r="U31" s="272"/>
      <c r="V31" s="233"/>
      <c r="W31" s="233"/>
      <c r="X31" s="233"/>
      <c r="Y31" s="233"/>
      <c r="Z31" s="233"/>
      <c r="AA31" s="233"/>
      <c r="AB31" s="233"/>
      <c r="AC31" s="233"/>
      <c r="AD31" s="233"/>
      <c r="AE31" s="233"/>
      <c r="AF31" s="233"/>
      <c r="AG31" s="233"/>
      <c r="AH31" s="233"/>
      <c r="AI31" s="233"/>
      <c r="AJ31" s="407"/>
    </row>
    <row r="32" spans="1:42" s="1944" customFormat="1" ht="18.75" hidden="1" customHeight="1">
      <c r="A32" s="1229"/>
      <c r="B32" s="1229"/>
      <c r="C32" s="1229"/>
      <c r="D32" s="1229"/>
      <c r="E32" s="1229"/>
      <c r="F32" s="1229"/>
      <c r="G32" s="1229"/>
      <c r="H32" s="1229"/>
      <c r="I32" s="1229"/>
      <c r="J32" s="1229"/>
      <c r="K32" s="1229"/>
      <c r="L32" s="1230"/>
      <c r="M32" s="1229"/>
      <c r="N32" s="1229"/>
      <c r="O32" s="1229"/>
      <c r="S32" s="3519" t="s">
        <v>687</v>
      </c>
      <c r="T32" s="3519"/>
      <c r="U32" s="1233"/>
      <c r="V32" s="3520" t="str">
        <f>IF(TITLE_DATE_PR_CHANGE="",IF(TITLE_DATE_PR="","",TITLE_DATE_PR),TITLE_DATE_PR_CHANGE)</f>
        <v/>
      </c>
      <c r="W32" s="3520"/>
      <c r="X32" s="3520"/>
      <c r="Y32" s="3520"/>
      <c r="Z32" s="3520"/>
      <c r="AA32" s="3520"/>
      <c r="AB32" s="237"/>
      <c r="AC32" s="3520" t="str">
        <f>IF(TITLE_DATE_PR_CHANGE="",IF(TITLE_DATE_PR="","",TITLE_DATE_PR),TITLE_DATE_PR_CHANGE)</f>
        <v/>
      </c>
      <c r="AD32" s="3520"/>
      <c r="AE32" s="3520"/>
      <c r="AF32" s="3520"/>
      <c r="AG32" s="3520"/>
      <c r="AH32" s="3520"/>
      <c r="AI32" s="237"/>
      <c r="AJ32" s="237"/>
      <c r="AK32" s="193"/>
      <c r="AL32" s="276"/>
      <c r="AM32" s="276"/>
      <c r="AN32" s="276"/>
      <c r="AO32" s="276"/>
      <c r="AP32" s="276"/>
    </row>
    <row r="33" spans="1:42" s="1944" customFormat="1" ht="18.75" hidden="1" customHeight="1">
      <c r="A33" s="1229"/>
      <c r="B33" s="1229"/>
      <c r="C33" s="1229"/>
      <c r="D33" s="1229"/>
      <c r="E33" s="1229"/>
      <c r="F33" s="1229"/>
      <c r="G33" s="1229"/>
      <c r="H33" s="1229"/>
      <c r="I33" s="1229"/>
      <c r="J33" s="1229"/>
      <c r="K33" s="1229"/>
      <c r="L33" s="1230"/>
      <c r="M33" s="1229"/>
      <c r="N33" s="1229"/>
      <c r="O33" s="1229"/>
      <c r="S33" s="3519" t="s">
        <v>688</v>
      </c>
      <c r="T33" s="3519"/>
      <c r="U33" s="1233"/>
      <c r="V33" s="3521" t="str">
        <f>IF(TITLE_NUMBER_PR_CHANGE="",IF(TITLE_NUMBER_PR="","",TITLE_NUMBER_PR),TITLE_NUMBER_PR_CHANGE)</f>
        <v/>
      </c>
      <c r="W33" s="3521"/>
      <c r="X33" s="3521"/>
      <c r="Y33" s="3521"/>
      <c r="Z33" s="3521"/>
      <c r="AA33" s="3521"/>
      <c r="AB33" s="237"/>
      <c r="AC33" s="3521" t="str">
        <f>IF(TITLE_NUMBER_PR_CHANGE="",IF(TITLE_NUMBER_PR="","",TITLE_NUMBER_PR),TITLE_NUMBER_PR_CHANGE)</f>
        <v/>
      </c>
      <c r="AD33" s="3521"/>
      <c r="AE33" s="3521"/>
      <c r="AF33" s="3521"/>
      <c r="AG33" s="3521"/>
      <c r="AH33" s="3521"/>
      <c r="AI33" s="237"/>
      <c r="AJ33" s="237"/>
      <c r="AK33" s="193"/>
      <c r="AL33" s="276"/>
      <c r="AM33" s="276"/>
      <c r="AN33" s="276"/>
      <c r="AO33" s="276"/>
      <c r="AP33" s="276"/>
    </row>
    <row r="34" spans="1:42" s="1944" customFormat="1" ht="0.75" customHeight="1">
      <c r="A34" s="1229"/>
      <c r="B34" s="1229"/>
      <c r="C34" s="1229"/>
      <c r="D34" s="1229"/>
      <c r="E34" s="1229"/>
      <c r="F34" s="1229"/>
      <c r="G34" s="1229"/>
      <c r="H34" s="1229"/>
      <c r="I34" s="1229"/>
      <c r="J34" s="1229"/>
      <c r="K34" s="1229"/>
      <c r="L34" s="1230"/>
      <c r="M34" s="1229"/>
      <c r="N34" s="1229"/>
      <c r="O34" s="1229"/>
      <c r="S34" s="234"/>
      <c r="T34" s="234"/>
      <c r="U34" s="1343"/>
      <c r="V34" s="237"/>
      <c r="W34" s="237"/>
      <c r="X34" s="237"/>
      <c r="Y34" s="237"/>
      <c r="Z34" s="237"/>
      <c r="AA34" s="237"/>
      <c r="AB34" s="191" t="s">
        <v>689</v>
      </c>
      <c r="AC34" s="237"/>
      <c r="AD34" s="237"/>
      <c r="AE34" s="237"/>
      <c r="AF34" s="237"/>
      <c r="AG34" s="237"/>
      <c r="AH34" s="237"/>
      <c r="AI34" s="191" t="s">
        <v>689</v>
      </c>
      <c r="AL34" s="276"/>
      <c r="AM34" s="276"/>
      <c r="AN34" s="276"/>
      <c r="AO34" s="276"/>
      <c r="AP34" s="276"/>
    </row>
    <row r="35" spans="1:42" ht="14.25" customHeight="1">
      <c r="Q35" s="283"/>
      <c r="R35" s="283"/>
      <c r="S35" s="1141"/>
      <c r="T35" s="272"/>
      <c r="U35" s="1110"/>
      <c r="V35" s="3540"/>
      <c r="W35" s="3540"/>
      <c r="X35" s="3540"/>
      <c r="Y35" s="3540"/>
      <c r="Z35" s="3540"/>
      <c r="AA35" s="3540"/>
      <c r="AB35" s="3540"/>
      <c r="AC35" s="3540"/>
      <c r="AD35" s="3540"/>
      <c r="AE35" s="3540"/>
      <c r="AF35" s="3540"/>
      <c r="AG35" s="3540"/>
      <c r="AH35" s="3540"/>
      <c r="AI35" s="3540"/>
    </row>
    <row r="36" spans="1:42" ht="14.25" customHeight="1">
      <c r="Q36" s="283"/>
      <c r="R36" s="283"/>
      <c r="S36" s="3401" t="s">
        <v>560</v>
      </c>
      <c r="T36" s="3401"/>
      <c r="U36" s="3401"/>
      <c r="V36" s="3401"/>
      <c r="W36" s="3401"/>
      <c r="X36" s="3401"/>
      <c r="Y36" s="3401"/>
      <c r="Z36" s="3401"/>
      <c r="AA36" s="3401"/>
      <c r="AB36" s="3401"/>
      <c r="AC36" s="3401"/>
      <c r="AD36" s="3401"/>
      <c r="AE36" s="3401"/>
      <c r="AF36" s="3401"/>
      <c r="AG36" s="3401"/>
      <c r="AH36" s="3401"/>
      <c r="AI36" s="3401"/>
      <c r="AJ36" s="3401"/>
      <c r="AK36" s="3401" t="s">
        <v>561</v>
      </c>
    </row>
    <row r="37" spans="1:42" ht="14.25" customHeight="1">
      <c r="Q37" s="283"/>
      <c r="R37" s="283"/>
      <c r="S37" s="3541" t="s">
        <v>85</v>
      </c>
      <c r="T37" s="3489" t="s">
        <v>690</v>
      </c>
      <c r="U37" s="212"/>
      <c r="V37" s="3542" t="s">
        <v>691</v>
      </c>
      <c r="W37" s="3543"/>
      <c r="X37" s="3543"/>
      <c r="Y37" s="3543"/>
      <c r="Z37" s="3543"/>
      <c r="AA37" s="3544"/>
      <c r="AB37" s="3545" t="s">
        <v>692</v>
      </c>
      <c r="AC37" s="3542" t="s">
        <v>691</v>
      </c>
      <c r="AD37" s="3543"/>
      <c r="AE37" s="3543"/>
      <c r="AF37" s="3543"/>
      <c r="AG37" s="3543"/>
      <c r="AH37" s="3544"/>
      <c r="AI37" s="3545" t="s">
        <v>693</v>
      </c>
      <c r="AJ37" s="3548" t="s">
        <v>694</v>
      </c>
      <c r="AK37" s="3401"/>
    </row>
    <row r="38" spans="1:42" ht="33.75" customHeight="1">
      <c r="Q38" s="283"/>
      <c r="R38" s="283"/>
      <c r="S38" s="3541"/>
      <c r="T38" s="3489"/>
      <c r="U38" s="901"/>
      <c r="V38" s="1338" t="s">
        <v>752</v>
      </c>
      <c r="W38" s="3383" t="s">
        <v>697</v>
      </c>
      <c r="X38" s="3382"/>
      <c r="Y38" s="3383" t="s">
        <v>698</v>
      </c>
      <c r="Z38" s="3388"/>
      <c r="AA38" s="3382"/>
      <c r="AB38" s="3546"/>
      <c r="AC38" s="1338" t="s">
        <v>752</v>
      </c>
      <c r="AD38" s="3383" t="s">
        <v>697</v>
      </c>
      <c r="AE38" s="3382"/>
      <c r="AF38" s="3383" t="s">
        <v>698</v>
      </c>
      <c r="AG38" s="3388"/>
      <c r="AH38" s="3382"/>
      <c r="AI38" s="3546"/>
      <c r="AJ38" s="3549"/>
      <c r="AK38" s="3401"/>
    </row>
    <row r="39" spans="1:42" ht="86.25" customHeight="1">
      <c r="A39" s="1231"/>
      <c r="B39" s="1231" t="s">
        <v>403</v>
      </c>
      <c r="C39" s="1231" t="s">
        <v>404</v>
      </c>
      <c r="D39" s="1231" t="s">
        <v>405</v>
      </c>
      <c r="E39" s="1225" t="s">
        <v>699</v>
      </c>
      <c r="F39" s="1225" t="s">
        <v>700</v>
      </c>
      <c r="G39" s="1225" t="s">
        <v>701</v>
      </c>
      <c r="H39" s="1225"/>
      <c r="I39" s="1225" t="s">
        <v>753</v>
      </c>
      <c r="J39" s="1225" t="s">
        <v>704</v>
      </c>
      <c r="K39" s="1225" t="s">
        <v>754</v>
      </c>
      <c r="L39" s="1225" t="s">
        <v>680</v>
      </c>
      <c r="Q39" s="283"/>
      <c r="R39" s="283"/>
      <c r="S39" s="3541"/>
      <c r="T39" s="3489"/>
      <c r="U39" s="213"/>
      <c r="V39" s="1338" t="s">
        <v>781</v>
      </c>
      <c r="W39" s="1088" t="s">
        <v>782</v>
      </c>
      <c r="X39" s="1088" t="s">
        <v>757</v>
      </c>
      <c r="Y39" s="1344" t="s">
        <v>708</v>
      </c>
      <c r="Z39" s="3494" t="s">
        <v>709</v>
      </c>
      <c r="AA39" s="3508"/>
      <c r="AB39" s="3547"/>
      <c r="AC39" s="1338" t="s">
        <v>781</v>
      </c>
      <c r="AD39" s="1088" t="s">
        <v>782</v>
      </c>
      <c r="AE39" s="1088" t="s">
        <v>757</v>
      </c>
      <c r="AF39" s="1344" t="s">
        <v>708</v>
      </c>
      <c r="AG39" s="3494" t="s">
        <v>709</v>
      </c>
      <c r="AH39" s="3508"/>
      <c r="AI39" s="3547"/>
      <c r="AJ39" s="3550"/>
      <c r="AK39" s="3401"/>
    </row>
    <row r="40" spans="1:42" s="1838" customFormat="1" ht="11.25" hidden="1" customHeight="1">
      <c r="A40" s="1231"/>
      <c r="B40" s="1231"/>
      <c r="C40" s="1231"/>
      <c r="D40" s="1231"/>
      <c r="E40" s="1231"/>
      <c r="F40" s="1231"/>
      <c r="G40" s="1231"/>
      <c r="H40" s="1231"/>
      <c r="I40" s="1231"/>
      <c r="J40" s="1231"/>
      <c r="K40" s="1231"/>
      <c r="L40" s="1225"/>
      <c r="M40" s="1223"/>
      <c r="N40" s="1223"/>
      <c r="O40" s="1223"/>
      <c r="P40" s="1112"/>
      <c r="Q40" s="1113"/>
      <c r="R40" s="1120">
        <v>1</v>
      </c>
      <c r="S40" s="1143" t="s">
        <v>106</v>
      </c>
      <c r="T40" s="1121" t="s">
        <v>107</v>
      </c>
      <c r="U40" s="1111" t="str">
        <f ca="1">OFFSET(U40,0,-1)</f>
        <v>2</v>
      </c>
      <c r="V40" s="1337">
        <f ca="1">OFFSET(V40,0,-1)+1</f>
        <v>3</v>
      </c>
      <c r="W40" s="1337">
        <f ca="1">OFFSET(W40,0,-1)+1</f>
        <v>4</v>
      </c>
      <c r="X40" s="1337">
        <f ca="1">OFFSET(X40,0,-1)+1</f>
        <v>5</v>
      </c>
      <c r="Y40" s="1337">
        <f ca="1">OFFSET(Y40,0,-1)+1</f>
        <v>6</v>
      </c>
      <c r="Z40" s="3539">
        <f ca="1">OFFSET(Z40,0,-1)+1</f>
        <v>7</v>
      </c>
      <c r="AA40" s="3539"/>
      <c r="AB40" s="1337">
        <f ca="1">OFFSET(AB40,0,-2)+1</f>
        <v>8</v>
      </c>
      <c r="AC40" s="1337">
        <f ca="1">OFFSET(AC40,0,-1)+1</f>
        <v>9</v>
      </c>
      <c r="AD40" s="1337">
        <f ca="1">OFFSET(AD40,0,-1)+1</f>
        <v>10</v>
      </c>
      <c r="AE40" s="1337">
        <f ca="1">OFFSET(AE40,0,-1)+1</f>
        <v>11</v>
      </c>
      <c r="AF40" s="1337">
        <f ca="1">OFFSET(AF40,0,-1)+1</f>
        <v>12</v>
      </c>
      <c r="AG40" s="3539">
        <f ca="1">OFFSET(AG40,0,-1)+1</f>
        <v>13</v>
      </c>
      <c r="AH40" s="3539"/>
      <c r="AI40" s="1337">
        <f ca="1">OFFSET(AI40,0,-2)+1</f>
        <v>14</v>
      </c>
      <c r="AJ40" s="1111">
        <f ca="1">OFFSET(AJ40,0,-1)</f>
        <v>14</v>
      </c>
      <c r="AK40" s="1337">
        <f ca="1">OFFSET(AK40,0,-1)+1</f>
        <v>15</v>
      </c>
      <c r="AL40" s="409"/>
      <c r="AM40" s="409"/>
      <c r="AN40" s="409"/>
      <c r="AO40" s="409"/>
      <c r="AP40" s="409"/>
    </row>
    <row r="41" spans="1:42" ht="23.25" customHeight="1">
      <c r="A41" s="1224" t="s">
        <v>526</v>
      </c>
      <c r="B41" s="1224"/>
      <c r="C41" s="1224"/>
      <c r="D41" s="1224"/>
      <c r="E41" s="3528">
        <v>1</v>
      </c>
      <c r="F41" s="1224"/>
      <c r="G41" s="1224"/>
      <c r="H41" s="1224"/>
      <c r="I41" s="1224"/>
      <c r="J41" s="1224"/>
      <c r="K41" s="1224"/>
      <c r="L41" s="1225"/>
      <c r="M41" s="1226"/>
      <c r="N41" s="1226"/>
      <c r="O41" s="1226"/>
      <c r="P41" s="270"/>
      <c r="Q41" s="269"/>
      <c r="R41" s="264"/>
      <c r="S41" s="1348">
        <f>INDEX(PT_DIFFERENTIATION_NUM_NTAR,MATCH(A41,PT_DIFFERENTIATION_NTAR_ID,0))</f>
        <v>0</v>
      </c>
      <c r="T41" s="209" t="s">
        <v>391</v>
      </c>
      <c r="U41" s="211"/>
      <c r="V41" s="3522"/>
      <c r="W41" s="3523"/>
      <c r="X41" s="3523"/>
      <c r="Y41" s="3523"/>
      <c r="Z41" s="3523"/>
      <c r="AA41" s="3523"/>
      <c r="AB41" s="3524"/>
      <c r="AC41" s="3522" t="str">
        <f>INDEX(PT_DIFFERENTIATION_NTAR,MATCH(A41,PT_DIFFERENTIATION_NTAR_ID,0))</f>
        <v/>
      </c>
      <c r="AD41" s="3523"/>
      <c r="AE41" s="3523"/>
      <c r="AF41" s="3523"/>
      <c r="AG41" s="3523"/>
      <c r="AH41" s="3523"/>
      <c r="AI41" s="3523"/>
      <c r="AJ41" s="3524"/>
      <c r="AK41" s="112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398"/>
      <c r="AN41" s="398" t="str">
        <f t="shared" ref="AN41:AN53" si="1">IF(T41="","",T41)</f>
        <v>Наименование тарифа</v>
      </c>
      <c r="AO41" s="398"/>
      <c r="AP41" s="398"/>
    </row>
    <row r="42" spans="1:42" ht="23.25" customHeight="1">
      <c r="A42" s="1224" t="s">
        <v>526</v>
      </c>
      <c r="B42" s="1224" t="s">
        <v>527</v>
      </c>
      <c r="C42" s="1224"/>
      <c r="D42" s="1224"/>
      <c r="E42" s="3529"/>
      <c r="F42" s="3528">
        <v>1</v>
      </c>
      <c r="G42" s="1224"/>
      <c r="H42" s="1224"/>
      <c r="I42" s="1224"/>
      <c r="J42" s="1224"/>
      <c r="K42" s="1224"/>
      <c r="L42" s="1225"/>
      <c r="M42" s="1226"/>
      <c r="N42" s="1226"/>
      <c r="O42" s="1226"/>
      <c r="P42" s="1342"/>
      <c r="Q42" s="261"/>
      <c r="R42" s="262"/>
      <c r="S42" s="1348" t="str">
        <f>INDEX(PT_DIFFERENTIATION_NUM_TER,MATCH(B42,PT_DIFFERENTIATION_TER_ID,0))</f>
        <v>.</v>
      </c>
      <c r="T42" s="219" t="s">
        <v>659</v>
      </c>
      <c r="U42" s="211"/>
      <c r="V42" s="3522"/>
      <c r="W42" s="3523"/>
      <c r="X42" s="3523"/>
      <c r="Y42" s="3523"/>
      <c r="Z42" s="3523"/>
      <c r="AA42" s="3523"/>
      <c r="AB42" s="3524"/>
      <c r="AC42" s="3522" t="str">
        <f>INDEX(PT_DIFFERENTIATION_TER,MATCH(B42,PT_DIFFERENTIATION_TER_ID,0))</f>
        <v/>
      </c>
      <c r="AD42" s="3523"/>
      <c r="AE42" s="3523"/>
      <c r="AF42" s="3523"/>
      <c r="AG42" s="3523"/>
      <c r="AH42" s="3523"/>
      <c r="AI42" s="3523"/>
      <c r="AJ42" s="3524"/>
      <c r="AK42" s="1124" t="s">
        <v>660</v>
      </c>
      <c r="AM42" s="398"/>
      <c r="AN42" s="398" t="str">
        <f t="shared" si="1"/>
        <v>Территория действия тарифа</v>
      </c>
      <c r="AO42" s="398"/>
      <c r="AP42" s="398"/>
    </row>
    <row r="43" spans="1:42" ht="23.25" customHeight="1">
      <c r="A43" s="1224" t="s">
        <v>526</v>
      </c>
      <c r="B43" s="1224" t="s">
        <v>527</v>
      </c>
      <c r="C43" s="1224" t="s">
        <v>528</v>
      </c>
      <c r="D43" s="1224"/>
      <c r="E43" s="3529"/>
      <c r="F43" s="3529"/>
      <c r="G43" s="3528">
        <v>1</v>
      </c>
      <c r="H43" s="1224"/>
      <c r="I43" s="1224"/>
      <c r="J43" s="1224"/>
      <c r="K43" s="1224"/>
      <c r="L43" s="1225"/>
      <c r="M43" s="1226"/>
      <c r="N43" s="1226"/>
      <c r="O43" s="1226"/>
      <c r="P43" s="263"/>
      <c r="Q43" s="261"/>
      <c r="R43" s="262"/>
      <c r="S43" s="1348" t="str">
        <f>INDEX(PT_DIFFERENTIATION_NUM_CS,MATCH(C43,PT_DIFFERENTIATION_CS_ID,0))</f>
        <v>..</v>
      </c>
      <c r="T43" s="220" t="s">
        <v>779</v>
      </c>
      <c r="U43" s="211"/>
      <c r="V43" s="3522"/>
      <c r="W43" s="3523"/>
      <c r="X43" s="3523"/>
      <c r="Y43" s="3523"/>
      <c r="Z43" s="3523"/>
      <c r="AA43" s="3523"/>
      <c r="AB43" s="3524"/>
      <c r="AC43" s="3522" t="str">
        <f>INDEX(PT_DIFFERENTIATION_CS,MATCH(C43,PT_DIFFERENTIATION_CS_ID,0))</f>
        <v/>
      </c>
      <c r="AD43" s="3523"/>
      <c r="AE43" s="3523"/>
      <c r="AF43" s="3523"/>
      <c r="AG43" s="3523"/>
      <c r="AH43" s="3523"/>
      <c r="AI43" s="3523"/>
      <c r="AJ43" s="3524"/>
      <c r="AK43" s="1124" t="s">
        <v>780</v>
      </c>
      <c r="AM43" s="398"/>
      <c r="AN43" s="398" t="str">
        <f t="shared" si="1"/>
        <v>Наименование централизованной системы водоотведения</v>
      </c>
      <c r="AO43" s="398"/>
      <c r="AP43" s="398"/>
    </row>
    <row r="44" spans="1:42" ht="23.25" customHeight="1">
      <c r="A44" s="1224" t="s">
        <v>526</v>
      </c>
      <c r="B44" s="1224" t="s">
        <v>527</v>
      </c>
      <c r="C44" s="1224" t="s">
        <v>528</v>
      </c>
      <c r="D44" s="1224" t="s">
        <v>783</v>
      </c>
      <c r="E44" s="3529"/>
      <c r="F44" s="3529"/>
      <c r="G44" s="3529"/>
      <c r="H44" s="3529"/>
      <c r="I44" s="3530" t="str">
        <f>S43&amp;".1"</f>
        <v>...1</v>
      </c>
      <c r="J44" s="1224"/>
      <c r="K44" s="1224"/>
      <c r="L44" s="1225"/>
      <c r="P44" s="3532">
        <v>1</v>
      </c>
      <c r="Q44" s="1336"/>
      <c r="R44" s="265"/>
      <c r="S44" s="1348" t="str">
        <f>$I44</f>
        <v>...1</v>
      </c>
      <c r="T44" s="197" t="s">
        <v>746</v>
      </c>
      <c r="U44" s="211"/>
      <c r="V44" s="3588"/>
      <c r="W44" s="3589"/>
      <c r="X44" s="3589"/>
      <c r="Y44" s="3589"/>
      <c r="Z44" s="3589"/>
      <c r="AA44" s="3589"/>
      <c r="AB44" s="3590"/>
      <c r="AC44" s="3591"/>
      <c r="AD44" s="3592"/>
      <c r="AE44" s="3592"/>
      <c r="AF44" s="3592"/>
      <c r="AG44" s="3592"/>
      <c r="AH44" s="3592"/>
      <c r="AI44" s="3592"/>
      <c r="AJ44" s="3593"/>
      <c r="AK44" s="1124" t="s">
        <v>747</v>
      </c>
      <c r="AM44" s="398"/>
      <c r="AN44" s="398" t="str">
        <f t="shared" si="1"/>
        <v>Наименование признака дифференциации</v>
      </c>
      <c r="AO44" s="398"/>
      <c r="AP44" s="398"/>
    </row>
    <row r="45" spans="1:42" ht="23.25" customHeight="1">
      <c r="A45" s="1224" t="s">
        <v>526</v>
      </c>
      <c r="B45" s="1224" t="s">
        <v>527</v>
      </c>
      <c r="C45" s="1224" t="s">
        <v>528</v>
      </c>
      <c r="D45" s="1224" t="s">
        <v>783</v>
      </c>
      <c r="E45" s="3529"/>
      <c r="F45" s="3529"/>
      <c r="G45" s="3529"/>
      <c r="H45" s="3529"/>
      <c r="I45" s="3531"/>
      <c r="J45" s="3530" t="str">
        <f>I44&amp;".1"</f>
        <v>...1.1</v>
      </c>
      <c r="K45" s="1224"/>
      <c r="L45" s="1225" t="s">
        <v>668</v>
      </c>
      <c r="P45" s="3532"/>
      <c r="Q45" s="3532">
        <v>1</v>
      </c>
      <c r="R45" s="266"/>
      <c r="S45" s="1348" t="str">
        <f>$J45</f>
        <v>...1.1</v>
      </c>
      <c r="T45" s="198" t="s">
        <v>669</v>
      </c>
      <c r="U45" s="211"/>
      <c r="V45" s="3516"/>
      <c r="W45" s="3517"/>
      <c r="X45" s="3517"/>
      <c r="Y45" s="3517"/>
      <c r="Z45" s="3517"/>
      <c r="AA45" s="3517"/>
      <c r="AB45" s="3518"/>
      <c r="AC45" s="3516"/>
      <c r="AD45" s="3517"/>
      <c r="AE45" s="3517"/>
      <c r="AF45" s="3517"/>
      <c r="AG45" s="3517"/>
      <c r="AH45" s="3517"/>
      <c r="AI45" s="3517"/>
      <c r="AJ45" s="3518"/>
      <c r="AK45" s="1171" t="s">
        <v>748</v>
      </c>
      <c r="AM45" s="398"/>
      <c r="AN45" s="398" t="str">
        <f t="shared" si="1"/>
        <v>Группа потребителей</v>
      </c>
      <c r="AO45" s="398"/>
      <c r="AP45" s="398"/>
    </row>
    <row r="46" spans="1:42" ht="23.25" customHeight="1">
      <c r="A46" s="1224" t="s">
        <v>526</v>
      </c>
      <c r="B46" s="1224" t="s">
        <v>527</v>
      </c>
      <c r="C46" s="1224" t="s">
        <v>528</v>
      </c>
      <c r="D46" s="1224" t="s">
        <v>783</v>
      </c>
      <c r="E46" s="3529"/>
      <c r="F46" s="3529"/>
      <c r="G46" s="3529"/>
      <c r="H46" s="3529"/>
      <c r="I46" s="3531"/>
      <c r="J46" s="3531"/>
      <c r="K46" s="3530" t="str">
        <f>J45&amp;".1"</f>
        <v>...1.1.1</v>
      </c>
      <c r="L46" s="1225"/>
      <c r="P46" s="3532"/>
      <c r="Q46" s="3532"/>
      <c r="R46" s="266">
        <v>1</v>
      </c>
      <c r="S46" s="1348" t="str">
        <f>$K46</f>
        <v>...1.1.1</v>
      </c>
      <c r="T46" s="1297"/>
      <c r="U46" s="211"/>
      <c r="V46" s="1221"/>
      <c r="W46" s="1221"/>
      <c r="X46" s="1222"/>
      <c r="Y46" s="3526"/>
      <c r="Z46" s="3525" t="s">
        <v>64</v>
      </c>
      <c r="AA46" s="3526"/>
      <c r="AB46" s="3525" t="s">
        <v>64</v>
      </c>
      <c r="AC46" s="639"/>
      <c r="AD46" s="639"/>
      <c r="AE46" s="1123"/>
      <c r="AF46" s="3533"/>
      <c r="AG46" s="3412" t="s">
        <v>64</v>
      </c>
      <c r="AH46" s="3535"/>
      <c r="AI46" s="3412" t="s">
        <v>54</v>
      </c>
      <c r="AJ46" s="1298"/>
      <c r="AK46" s="35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09" t="e">
        <f ca="1">STRCHECKDATE(V47:AJ47)</f>
        <v>#NAME?</v>
      </c>
      <c r="AM46" s="398"/>
      <c r="AN46" s="398" t="str">
        <f t="shared" si="1"/>
        <v/>
      </c>
      <c r="AO46" s="398"/>
      <c r="AP46" s="398"/>
    </row>
    <row r="47" spans="1:42" ht="0" hidden="1" customHeight="1">
      <c r="A47" s="1224" t="s">
        <v>526</v>
      </c>
      <c r="B47" s="1224" t="s">
        <v>527</v>
      </c>
      <c r="C47" s="1224" t="s">
        <v>528</v>
      </c>
      <c r="D47" s="1224" t="s">
        <v>783</v>
      </c>
      <c r="E47" s="3529"/>
      <c r="F47" s="3529"/>
      <c r="G47" s="3529"/>
      <c r="H47" s="3529"/>
      <c r="I47" s="3531"/>
      <c r="J47" s="3531"/>
      <c r="K47" s="3530"/>
      <c r="L47" s="1225"/>
      <c r="P47" s="3532"/>
      <c r="Q47" s="3532"/>
      <c r="R47" s="266"/>
      <c r="S47" s="1345"/>
      <c r="T47" s="211"/>
      <c r="U47" s="211"/>
      <c r="V47" s="1221"/>
      <c r="W47" s="1221"/>
      <c r="X47" s="239" t="str">
        <f>Y46&amp;"-"&amp;AA46</f>
        <v>-</v>
      </c>
      <c r="Y47" s="3525"/>
      <c r="Z47" s="3525"/>
      <c r="AA47" s="3525"/>
      <c r="AB47" s="3525"/>
      <c r="AC47" s="236"/>
      <c r="AD47" s="236"/>
      <c r="AE47" s="239" t="str">
        <f>AF46&amp;"-"&amp;AH46</f>
        <v>-</v>
      </c>
      <c r="AF47" s="3534"/>
      <c r="AG47" s="3412"/>
      <c r="AH47" s="3536"/>
      <c r="AI47" s="3412"/>
      <c r="AJ47" s="1299"/>
      <c r="AK47" s="3594"/>
      <c r="AM47" s="398"/>
      <c r="AN47" s="398" t="str">
        <f t="shared" si="1"/>
        <v/>
      </c>
      <c r="AO47" s="398"/>
      <c r="AP47" s="398"/>
    </row>
    <row r="48" spans="1:42" ht="21" customHeight="1">
      <c r="A48" s="1224" t="s">
        <v>526</v>
      </c>
      <c r="B48" s="1224" t="s">
        <v>527</v>
      </c>
      <c r="C48" s="1224" t="s">
        <v>528</v>
      </c>
      <c r="D48" s="1224" t="s">
        <v>783</v>
      </c>
      <c r="E48" s="3529"/>
      <c r="F48" s="3529"/>
      <c r="G48" s="3529"/>
      <c r="H48" s="3529"/>
      <c r="I48" s="3531"/>
      <c r="J48" s="3530"/>
      <c r="K48" s="1224"/>
      <c r="L48" s="1225"/>
      <c r="P48" s="3532"/>
      <c r="Q48" s="3532"/>
      <c r="R48" s="265"/>
      <c r="S48" s="1144"/>
      <c r="T48" s="199" t="s">
        <v>749</v>
      </c>
      <c r="U48" s="275"/>
      <c r="V48" s="275"/>
      <c r="W48" s="275"/>
      <c r="X48" s="275"/>
      <c r="Y48" s="275"/>
      <c r="Z48" s="275"/>
      <c r="AA48" s="275"/>
      <c r="AB48" s="275"/>
      <c r="AC48" s="275"/>
      <c r="AD48" s="275"/>
      <c r="AE48" s="275"/>
      <c r="AF48" s="275"/>
      <c r="AG48" s="275"/>
      <c r="AH48" s="275"/>
      <c r="AI48" s="275"/>
      <c r="AJ48" s="275"/>
      <c r="AK48" s="1124" t="s">
        <v>750</v>
      </c>
      <c r="AM48" s="398"/>
      <c r="AN48" s="398" t="str">
        <f t="shared" si="1"/>
        <v>Добавить значение признака дифференциации</v>
      </c>
      <c r="AO48" s="398"/>
      <c r="AP48" s="398"/>
    </row>
    <row r="49" spans="1:42" ht="21" customHeight="1">
      <c r="A49" s="1224" t="s">
        <v>526</v>
      </c>
      <c r="B49" s="1224" t="s">
        <v>527</v>
      </c>
      <c r="C49" s="1224" t="s">
        <v>528</v>
      </c>
      <c r="D49" s="1224" t="s">
        <v>783</v>
      </c>
      <c r="E49" s="3529"/>
      <c r="F49" s="3529"/>
      <c r="G49" s="3529"/>
      <c r="H49" s="3529"/>
      <c r="I49" s="3530"/>
      <c r="J49" s="1224"/>
      <c r="K49" s="1224"/>
      <c r="L49" s="1225"/>
      <c r="P49" s="3532"/>
      <c r="Q49" s="1336"/>
      <c r="R49" s="265"/>
      <c r="S49" s="1144"/>
      <c r="T49" s="273" t="s">
        <v>674</v>
      </c>
      <c r="U49" s="275"/>
      <c r="V49" s="275"/>
      <c r="W49" s="275"/>
      <c r="X49" s="275"/>
      <c r="Y49" s="275"/>
      <c r="Z49" s="275"/>
      <c r="AA49" s="275"/>
      <c r="AB49" s="274"/>
      <c r="AC49" s="275"/>
      <c r="AD49" s="275"/>
      <c r="AE49" s="275"/>
      <c r="AF49" s="275"/>
      <c r="AG49" s="275"/>
      <c r="AH49" s="275"/>
      <c r="AI49" s="274"/>
      <c r="AJ49" s="275"/>
      <c r="AK49" s="1300"/>
      <c r="AM49" s="398"/>
      <c r="AN49" s="398" t="str">
        <f t="shared" si="1"/>
        <v>Добавить группу потребителей</v>
      </c>
      <c r="AO49" s="398"/>
      <c r="AP49" s="398"/>
    </row>
    <row r="50" spans="1:42" ht="21" customHeight="1">
      <c r="A50" s="1224" t="s">
        <v>526</v>
      </c>
      <c r="B50" s="1224" t="s">
        <v>527</v>
      </c>
      <c r="C50" s="1224" t="s">
        <v>528</v>
      </c>
      <c r="D50" s="1224" t="s">
        <v>783</v>
      </c>
      <c r="E50" s="3529"/>
      <c r="F50" s="3529"/>
      <c r="G50" s="3529"/>
      <c r="H50" s="3528"/>
      <c r="I50" s="1224"/>
      <c r="J50" s="1224"/>
      <c r="K50" s="1224"/>
      <c r="L50" s="1225"/>
      <c r="M50" s="1226"/>
      <c r="N50" s="1226"/>
      <c r="O50" s="434"/>
      <c r="P50" s="269"/>
      <c r="Q50" s="282"/>
      <c r="R50" s="264"/>
      <c r="S50" s="1144"/>
      <c r="T50" s="280" t="s">
        <v>751</v>
      </c>
      <c r="U50" s="275"/>
      <c r="V50" s="275"/>
      <c r="W50" s="275"/>
      <c r="X50" s="275"/>
      <c r="Y50" s="275"/>
      <c r="Z50" s="275"/>
      <c r="AA50" s="275"/>
      <c r="AB50" s="274"/>
      <c r="AC50" s="275"/>
      <c r="AD50" s="275"/>
      <c r="AE50" s="275"/>
      <c r="AF50" s="275"/>
      <c r="AG50" s="275"/>
      <c r="AH50" s="275"/>
      <c r="AI50" s="274"/>
      <c r="AJ50" s="275"/>
      <c r="AK50" s="214"/>
      <c r="AM50" s="398"/>
      <c r="AN50" s="398" t="str">
        <f t="shared" si="1"/>
        <v>Добавить наименование признака дифференциации</v>
      </c>
      <c r="AO50" s="398"/>
      <c r="AP50" s="398"/>
    </row>
    <row r="51" spans="1:42" s="1866" customFormat="1" ht="0" hidden="1" customHeight="1">
      <c r="A51" s="1205" t="s">
        <v>526</v>
      </c>
      <c r="B51" s="1205" t="s">
        <v>527</v>
      </c>
      <c r="C51" s="1177"/>
      <c r="D51" s="1177"/>
      <c r="E51" s="3529"/>
      <c r="F51" s="3528"/>
      <c r="G51" s="1177"/>
      <c r="H51" s="1177"/>
      <c r="I51" s="1177"/>
      <c r="J51" s="1177"/>
      <c r="K51" s="1177"/>
      <c r="L51" s="1349"/>
      <c r="M51" s="1184"/>
      <c r="N51" s="1184"/>
      <c r="P51" s="1179"/>
      <c r="Q51" s="1180"/>
      <c r="R51" s="1179"/>
      <c r="S51" s="1185"/>
      <c r="T51" s="1188" t="s">
        <v>677</v>
      </c>
      <c r="U51" s="1187"/>
      <c r="V51" s="1187"/>
      <c r="W51" s="1187"/>
      <c r="X51" s="1187"/>
      <c r="Y51" s="1187"/>
      <c r="Z51" s="1187"/>
      <c r="AA51" s="1187"/>
      <c r="AB51" s="1187"/>
      <c r="AC51" s="1187"/>
      <c r="AD51" s="1187"/>
      <c r="AE51" s="1187"/>
      <c r="AF51" s="1187"/>
      <c r="AG51" s="1187"/>
      <c r="AH51" s="1187"/>
      <c r="AI51" s="1187"/>
      <c r="AJ51" s="1187"/>
      <c r="AK51" s="1187"/>
      <c r="AM51" s="670"/>
      <c r="AN51" s="670" t="str">
        <f t="shared" si="1"/>
        <v>Добавить централизованную систему для дифференциации</v>
      </c>
      <c r="AO51" s="670"/>
      <c r="AP51" s="670"/>
    </row>
    <row r="52" spans="1:42" s="1866" customFormat="1" ht="0" hidden="1" customHeight="1">
      <c r="A52" s="1205" t="s">
        <v>526</v>
      </c>
      <c r="B52" s="1205"/>
      <c r="C52" s="1205"/>
      <c r="D52" s="1205"/>
      <c r="E52" s="3528"/>
      <c r="F52" s="1205"/>
      <c r="G52" s="1205"/>
      <c r="H52" s="1205"/>
      <c r="I52" s="1205"/>
      <c r="J52" s="1205"/>
      <c r="K52" s="1205"/>
      <c r="L52" s="1208"/>
      <c r="M52" s="1184"/>
      <c r="N52" s="1184"/>
      <c r="O52" s="416"/>
      <c r="P52" s="287"/>
      <c r="Q52" s="1206"/>
      <c r="R52" s="287"/>
      <c r="S52" s="1185"/>
      <c r="T52" s="1188" t="s">
        <v>678</v>
      </c>
      <c r="U52" s="1187"/>
      <c r="V52" s="1187"/>
      <c r="W52" s="1187"/>
      <c r="X52" s="1187"/>
      <c r="Y52" s="1187"/>
      <c r="Z52" s="1187"/>
      <c r="AA52" s="1187"/>
      <c r="AB52" s="1187"/>
      <c r="AC52" s="1187"/>
      <c r="AD52" s="1187"/>
      <c r="AE52" s="1187"/>
      <c r="AF52" s="1187"/>
      <c r="AG52" s="1187"/>
      <c r="AH52" s="1187"/>
      <c r="AI52" s="1187"/>
      <c r="AJ52" s="1187"/>
      <c r="AK52" s="1187"/>
      <c r="AM52" s="398"/>
      <c r="AN52" s="398" t="str">
        <f t="shared" si="1"/>
        <v>Добавить территорию для дифференциации</v>
      </c>
      <c r="AO52" s="398"/>
      <c r="AP52" s="398"/>
    </row>
    <row r="53" spans="1:42" s="1866" customFormat="1" ht="0" hidden="1" customHeight="1">
      <c r="A53" s="1177"/>
      <c r="B53" s="1177"/>
      <c r="C53" s="1177"/>
      <c r="D53" s="1177"/>
      <c r="E53" s="1205"/>
      <c r="F53" s="1177"/>
      <c r="G53" s="1177"/>
      <c r="H53" s="1177"/>
      <c r="I53" s="1177"/>
      <c r="J53" s="1177"/>
      <c r="K53" s="1177"/>
      <c r="L53" s="1349"/>
      <c r="M53" s="1184"/>
      <c r="N53" s="1184"/>
      <c r="P53" s="1179"/>
      <c r="Q53" s="1180"/>
      <c r="R53" s="1179"/>
      <c r="S53" s="1185"/>
      <c r="T53" s="1188" t="s">
        <v>710</v>
      </c>
      <c r="U53" s="1187"/>
      <c r="V53" s="1187"/>
      <c r="W53" s="1187"/>
      <c r="X53" s="1187"/>
      <c r="Y53" s="1187"/>
      <c r="Z53" s="1187"/>
      <c r="AA53" s="1187"/>
      <c r="AB53" s="1187"/>
      <c r="AC53" s="1187"/>
      <c r="AD53" s="1187"/>
      <c r="AE53" s="1187"/>
      <c r="AF53" s="1187"/>
      <c r="AG53" s="1187"/>
      <c r="AH53" s="1187"/>
      <c r="AI53" s="1187"/>
      <c r="AJ53" s="1187"/>
      <c r="AK53" s="1187"/>
      <c r="AM53" s="670"/>
      <c r="AN53" s="670" t="str">
        <f t="shared" si="1"/>
        <v>Добавить наименование тарифа</v>
      </c>
      <c r="AO53" s="670"/>
      <c r="AP53" s="670"/>
    </row>
    <row r="54" spans="1:42" ht="11.25" customHeight="1">
      <c r="M54" s="1023"/>
      <c r="N54" s="1023"/>
      <c r="O54" s="434"/>
      <c r="P54" s="1018"/>
      <c r="Q54" s="1018"/>
      <c r="R54" s="1018"/>
      <c r="S54" s="1018"/>
      <c r="AL54" s="1018"/>
      <c r="AM54" s="1018"/>
      <c r="AN54" s="1018"/>
      <c r="AO54" s="1018"/>
      <c r="AP54" s="1018"/>
    </row>
    <row r="55" spans="1:42" ht="14.25" customHeight="1">
      <c r="O55" s="434"/>
      <c r="S55" s="1119"/>
      <c r="T55" s="3527"/>
      <c r="U55" s="3527"/>
      <c r="V55" s="3527"/>
      <c r="W55" s="3527"/>
      <c r="X55" s="3527"/>
      <c r="Y55" s="3527"/>
      <c r="Z55" s="3527"/>
      <c r="AA55" s="3527"/>
      <c r="AB55" s="3527"/>
      <c r="AC55" s="3527"/>
      <c r="AD55" s="3527"/>
      <c r="AE55" s="3527"/>
      <c r="AF55" s="3527"/>
      <c r="AG55" s="3527"/>
      <c r="AH55" s="3527"/>
      <c r="AI55" s="3527"/>
      <c r="AJ55" s="3527"/>
      <c r="AK55" s="3527"/>
    </row>
    <row r="56" spans="1:42" ht="14.25" customHeight="1">
      <c r="O56" s="434"/>
    </row>
    <row r="57" spans="1:42" ht="14.25" customHeight="1">
      <c r="O57" s="434"/>
      <c r="S57" s="1119"/>
      <c r="T57" s="3527"/>
      <c r="U57" s="3527"/>
      <c r="V57" s="3527"/>
      <c r="W57" s="3527"/>
      <c r="X57" s="3527"/>
      <c r="Y57" s="3527"/>
      <c r="Z57" s="3527"/>
      <c r="AA57" s="3527"/>
      <c r="AB57" s="3527"/>
      <c r="AC57" s="3527"/>
      <c r="AD57" s="3527"/>
      <c r="AE57" s="3527"/>
      <c r="AF57" s="3527"/>
      <c r="AG57" s="3527"/>
      <c r="AH57" s="3527"/>
      <c r="AI57" s="3527"/>
      <c r="AJ57" s="3527"/>
      <c r="AK57" s="3527"/>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CA6E8-B10A-560C-CF03-2C04391838B6}">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03" hidden="1"/>
    <col min="2" max="2" width="11" style="1903" hidden="1" customWidth="1"/>
    <col min="3" max="3" width="10.5703125" style="1903" hidden="1"/>
    <col min="4" max="4" width="11.85546875" style="1903" hidden="1" customWidth="1"/>
    <col min="5" max="5" width="10" style="1903" hidden="1" customWidth="1"/>
    <col min="6" max="6" width="8.7109375" style="1903" hidden="1" customWidth="1"/>
    <col min="7" max="7" width="7.5703125" style="1903" hidden="1" customWidth="1"/>
    <col min="8" max="8" width="11.42578125" style="1903" hidden="1" customWidth="1"/>
    <col min="9" max="9" width="14.140625" style="1903" hidden="1" customWidth="1"/>
    <col min="10" max="10" width="9.85546875" style="1903" hidden="1" customWidth="1"/>
    <col min="11" max="11" width="14.7109375" style="1903" hidden="1" customWidth="1"/>
    <col min="12" max="12" width="19.140625" style="1953" hidden="1" customWidth="1"/>
    <col min="13" max="14" width="12.28515625" style="1839" hidden="1" customWidth="1"/>
    <col min="15" max="15" width="23.42578125" style="1839" hidden="1" customWidth="1"/>
    <col min="16" max="16" width="3.7109375" style="1957" customWidth="1"/>
    <col min="17" max="18" width="3.7109375" style="1906" customWidth="1"/>
    <col min="19" max="19" width="12.7109375" style="1951" customWidth="1"/>
    <col min="20" max="20" width="35.7109375" style="1910" customWidth="1"/>
    <col min="21" max="21" width="0.140625" style="1910" customWidth="1"/>
    <col min="22" max="24" width="24.7109375" style="1910" hidden="1" customWidth="1"/>
    <col min="25" max="25" width="11.7109375" style="1910" hidden="1" customWidth="1"/>
    <col min="26" max="26" width="3.7109375" style="1910" hidden="1" customWidth="1"/>
    <col min="27" max="27" width="11.7109375" style="1910" hidden="1" customWidth="1"/>
    <col min="28" max="28" width="8.5703125" style="1910" hidden="1" customWidth="1"/>
    <col min="29" max="31" width="24.7109375" style="1910" customWidth="1"/>
    <col min="32" max="32" width="11.7109375" style="1910" customWidth="1"/>
    <col min="33" max="33" width="3.7109375" style="1910" customWidth="1"/>
    <col min="34" max="34" width="11.7109375" style="1910" customWidth="1"/>
    <col min="35" max="35" width="8.5703125" style="1910" hidden="1" customWidth="1"/>
    <col min="36" max="36" width="4.7109375" style="1910" customWidth="1"/>
    <col min="37" max="37" width="115.7109375" style="1910" customWidth="1"/>
    <col min="38" max="39" width="10.5703125" style="1866"/>
    <col min="40" max="40" width="11.140625" style="1866" customWidth="1"/>
    <col min="41" max="42" width="10.5703125" style="1866"/>
  </cols>
  <sheetData>
    <row r="1" spans="1:42" ht="14.25" hidden="1" customHeight="1">
      <c r="X1" s="238"/>
      <c r="Y1" s="238"/>
      <c r="AE1" s="238"/>
      <c r="AF1" s="238"/>
    </row>
    <row r="2" spans="1:42" ht="23.25" hidden="1" customHeight="1">
      <c r="A2" s="1224"/>
      <c r="B2" s="1224"/>
      <c r="C2" s="1224"/>
      <c r="D2" s="1224"/>
      <c r="E2" s="3528">
        <v>1</v>
      </c>
      <c r="F2" s="1224"/>
      <c r="G2" s="1224"/>
      <c r="H2" s="1224"/>
      <c r="I2" s="1224"/>
      <c r="J2" s="1224"/>
      <c r="K2" s="1224"/>
      <c r="L2" s="1225"/>
      <c r="M2" s="1226"/>
      <c r="N2" s="1226"/>
      <c r="O2" s="1226"/>
      <c r="P2" s="270"/>
      <c r="Q2" s="269"/>
      <c r="R2" s="264"/>
      <c r="S2" s="1348" t="e">
        <f>INDEX(PT_DIFFERENTIATION_NUM_NTAR,MATCH(A2,PT_DIFFERENTIATION_NTAR_ID,0))</f>
        <v>#N/A</v>
      </c>
      <c r="T2" s="209" t="s">
        <v>391</v>
      </c>
      <c r="U2" s="211"/>
      <c r="V2" s="3522"/>
      <c r="W2" s="3523"/>
      <c r="X2" s="3523"/>
      <c r="Y2" s="3523"/>
      <c r="Z2" s="3523"/>
      <c r="AA2" s="3523"/>
      <c r="AB2" s="3524"/>
      <c r="AC2" s="3522" t="e">
        <f>INDEX(PT_DIFFERENTIATION_NTAR,MATCH(A2,PT_DIFFERENTIATION_NTAR_ID,0))</f>
        <v>#N/A</v>
      </c>
      <c r="AD2" s="3523"/>
      <c r="AE2" s="3523"/>
      <c r="AF2" s="3523"/>
      <c r="AG2" s="3523"/>
      <c r="AH2" s="3523"/>
      <c r="AI2" s="3523"/>
      <c r="AJ2" s="3524"/>
      <c r="AK2" s="112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398"/>
      <c r="AN2" s="398" t="str">
        <f t="shared" ref="AN2:AN13" si="0">IF(T2="","",T2)</f>
        <v>Наименование тарифа</v>
      </c>
      <c r="AO2" s="398"/>
      <c r="AP2" s="398"/>
    </row>
    <row r="3" spans="1:42" ht="23.25" hidden="1" customHeight="1">
      <c r="A3" s="1224"/>
      <c r="B3" s="1224"/>
      <c r="C3" s="1224"/>
      <c r="D3" s="1224"/>
      <c r="E3" s="3529"/>
      <c r="F3" s="3528">
        <v>1</v>
      </c>
      <c r="G3" s="1224"/>
      <c r="H3" s="1224"/>
      <c r="I3" s="1224"/>
      <c r="J3" s="1224"/>
      <c r="K3" s="1224"/>
      <c r="L3" s="1225"/>
      <c r="M3" s="1226"/>
      <c r="N3" s="1226"/>
      <c r="O3" s="1226"/>
      <c r="P3" s="1342"/>
      <c r="Q3" s="261"/>
      <c r="R3" s="262"/>
      <c r="S3" s="1348" t="e">
        <f>INDEX(PT_DIFFERENTIATION_NUM_TER,MATCH(B3,PT_DIFFERENTIATION_TER_ID,0))</f>
        <v>#N/A</v>
      </c>
      <c r="T3" s="219" t="s">
        <v>659</v>
      </c>
      <c r="U3" s="211"/>
      <c r="V3" s="3522"/>
      <c r="W3" s="3523"/>
      <c r="X3" s="3523"/>
      <c r="Y3" s="3523"/>
      <c r="Z3" s="3523"/>
      <c r="AA3" s="3523"/>
      <c r="AB3" s="3524"/>
      <c r="AC3" s="3522" t="e">
        <f>INDEX(PT_DIFFERENTIATION_TER,MATCH(B3,PT_DIFFERENTIATION_TER_ID,0))</f>
        <v>#N/A</v>
      </c>
      <c r="AD3" s="3523"/>
      <c r="AE3" s="3523"/>
      <c r="AF3" s="3523"/>
      <c r="AG3" s="3523"/>
      <c r="AH3" s="3523"/>
      <c r="AI3" s="3523"/>
      <c r="AJ3" s="3524"/>
      <c r="AK3" s="1124" t="s">
        <v>660</v>
      </c>
      <c r="AM3" s="398"/>
      <c r="AN3" s="398" t="str">
        <f t="shared" si="0"/>
        <v>Территория действия тарифа</v>
      </c>
      <c r="AO3" s="398"/>
      <c r="AP3" s="398"/>
    </row>
    <row r="4" spans="1:42" ht="23.25" hidden="1" customHeight="1">
      <c r="A4" s="1224"/>
      <c r="B4" s="1224"/>
      <c r="C4" s="1224"/>
      <c r="D4" s="1224"/>
      <c r="E4" s="3529"/>
      <c r="F4" s="3529"/>
      <c r="G4" s="3528">
        <v>1</v>
      </c>
      <c r="H4" s="1224"/>
      <c r="I4" s="1224"/>
      <c r="J4" s="1224"/>
      <c r="K4" s="1224"/>
      <c r="L4" s="1225"/>
      <c r="M4" s="1226"/>
      <c r="N4" s="1226"/>
      <c r="O4" s="1226"/>
      <c r="P4" s="263"/>
      <c r="Q4" s="261"/>
      <c r="R4" s="262"/>
      <c r="S4" s="1348" t="e">
        <f>INDEX(PT_DIFFERENTIATION_NUM_CS,MATCH(C4,PT_DIFFERENTIATION_CS_ID,0))</f>
        <v>#N/A</v>
      </c>
      <c r="T4" s="220" t="s">
        <v>779</v>
      </c>
      <c r="U4" s="211"/>
      <c r="V4" s="3522"/>
      <c r="W4" s="3523"/>
      <c r="X4" s="3523"/>
      <c r="Y4" s="3523"/>
      <c r="Z4" s="3523"/>
      <c r="AA4" s="3523"/>
      <c r="AB4" s="3524"/>
      <c r="AC4" s="3522" t="e">
        <f>INDEX(PT_DIFFERENTIATION_CS,MATCH(C4,PT_DIFFERENTIATION_CS_ID,0))</f>
        <v>#N/A</v>
      </c>
      <c r="AD4" s="3523"/>
      <c r="AE4" s="3523"/>
      <c r="AF4" s="3523"/>
      <c r="AG4" s="3523"/>
      <c r="AH4" s="3523"/>
      <c r="AI4" s="3523"/>
      <c r="AJ4" s="3524"/>
      <c r="AK4" s="1124" t="s">
        <v>780</v>
      </c>
      <c r="AM4" s="398"/>
      <c r="AN4" s="398" t="str">
        <f t="shared" si="0"/>
        <v>Наименование централизованной системы водоотведения</v>
      </c>
      <c r="AO4" s="398"/>
      <c r="AP4" s="398"/>
    </row>
    <row r="5" spans="1:42" ht="23.25" hidden="1" customHeight="1">
      <c r="A5" s="1224"/>
      <c r="B5" s="1224"/>
      <c r="C5" s="1224"/>
      <c r="D5" s="1224"/>
      <c r="E5" s="3529"/>
      <c r="F5" s="3529"/>
      <c r="G5" s="3529"/>
      <c r="H5" s="3529"/>
      <c r="I5" s="3530" t="e">
        <f>S4&amp;".1"</f>
        <v>#N/A</v>
      </c>
      <c r="J5" s="1224"/>
      <c r="K5" s="1224"/>
      <c r="L5" s="1225"/>
      <c r="P5" s="3532">
        <v>1</v>
      </c>
      <c r="Q5" s="1336"/>
      <c r="R5" s="265"/>
      <c r="S5" s="1348" t="e">
        <f>$I5</f>
        <v>#N/A</v>
      </c>
      <c r="T5" s="197" t="s">
        <v>746</v>
      </c>
      <c r="U5" s="211"/>
      <c r="V5" s="3588"/>
      <c r="W5" s="3589"/>
      <c r="X5" s="3589"/>
      <c r="Y5" s="3589"/>
      <c r="Z5" s="3589"/>
      <c r="AA5" s="3589"/>
      <c r="AB5" s="3590"/>
      <c r="AC5" s="3591"/>
      <c r="AD5" s="3592"/>
      <c r="AE5" s="3592"/>
      <c r="AF5" s="3592"/>
      <c r="AG5" s="3592"/>
      <c r="AH5" s="3592"/>
      <c r="AI5" s="3592"/>
      <c r="AJ5" s="3593"/>
      <c r="AK5" s="1124" t="s">
        <v>747</v>
      </c>
      <c r="AM5" s="398"/>
      <c r="AN5" s="398" t="str">
        <f t="shared" si="0"/>
        <v>Наименование признака дифференциации</v>
      </c>
      <c r="AO5" s="398"/>
      <c r="AP5" s="398"/>
    </row>
    <row r="6" spans="1:42" ht="23.25" hidden="1" customHeight="1">
      <c r="A6" s="1224"/>
      <c r="B6" s="1224"/>
      <c r="C6" s="1224"/>
      <c r="D6" s="1224"/>
      <c r="E6" s="3529"/>
      <c r="F6" s="3529"/>
      <c r="G6" s="3529"/>
      <c r="H6" s="3529"/>
      <c r="I6" s="3531"/>
      <c r="J6" s="3530" t="e">
        <f>I5&amp;".1"</f>
        <v>#N/A</v>
      </c>
      <c r="K6" s="1224"/>
      <c r="L6" s="1225" t="s">
        <v>668</v>
      </c>
      <c r="P6" s="3532"/>
      <c r="Q6" s="3532">
        <v>1</v>
      </c>
      <c r="R6" s="266"/>
      <c r="S6" s="1348" t="e">
        <f>$J6</f>
        <v>#N/A</v>
      </c>
      <c r="T6" s="198" t="s">
        <v>669</v>
      </c>
      <c r="U6" s="211"/>
      <c r="V6" s="3516"/>
      <c r="W6" s="3517"/>
      <c r="X6" s="3517"/>
      <c r="Y6" s="3517"/>
      <c r="Z6" s="3517"/>
      <c r="AA6" s="3517"/>
      <c r="AB6" s="3518"/>
      <c r="AC6" s="3516"/>
      <c r="AD6" s="3517"/>
      <c r="AE6" s="3517"/>
      <c r="AF6" s="3517"/>
      <c r="AG6" s="3517"/>
      <c r="AH6" s="3517"/>
      <c r="AI6" s="3517"/>
      <c r="AJ6" s="3518"/>
      <c r="AK6" s="1171" t="s">
        <v>748</v>
      </c>
      <c r="AM6" s="398"/>
      <c r="AN6" s="398" t="str">
        <f t="shared" si="0"/>
        <v>Группа потребителей</v>
      </c>
      <c r="AO6" s="398"/>
      <c r="AP6" s="398"/>
    </row>
    <row r="7" spans="1:42" ht="23.25" hidden="1" customHeight="1">
      <c r="A7" s="1224"/>
      <c r="B7" s="1224"/>
      <c r="C7" s="1224"/>
      <c r="D7" s="1224"/>
      <c r="E7" s="3529"/>
      <c r="F7" s="3529"/>
      <c r="G7" s="3529"/>
      <c r="H7" s="3529"/>
      <c r="I7" s="3531"/>
      <c r="J7" s="3531"/>
      <c r="K7" s="3530" t="e">
        <f>J6&amp;".1"</f>
        <v>#N/A</v>
      </c>
      <c r="L7" s="1225"/>
      <c r="P7" s="3532"/>
      <c r="Q7" s="3532"/>
      <c r="R7" s="266">
        <v>1</v>
      </c>
      <c r="S7" s="1348" t="e">
        <f>$K7</f>
        <v>#N/A</v>
      </c>
      <c r="T7" s="1297"/>
      <c r="U7" s="211"/>
      <c r="V7" s="639"/>
      <c r="W7" s="639"/>
      <c r="X7" s="1123"/>
      <c r="Y7" s="3533"/>
      <c r="Z7" s="3412" t="s">
        <v>64</v>
      </c>
      <c r="AA7" s="3533"/>
      <c r="AB7" s="3412" t="s">
        <v>64</v>
      </c>
      <c r="AC7" s="639"/>
      <c r="AD7" s="639"/>
      <c r="AE7" s="1123"/>
      <c r="AF7" s="3533"/>
      <c r="AG7" s="3412" t="s">
        <v>64</v>
      </c>
      <c r="AH7" s="3535"/>
      <c r="AI7" s="3412" t="s">
        <v>64</v>
      </c>
      <c r="AJ7" s="1298"/>
      <c r="AK7" s="35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09" t="e">
        <f ca="1">STRCHECKDATE(V8:AJ8)</f>
        <v>#NAME?</v>
      </c>
      <c r="AM7" s="398"/>
      <c r="AN7" s="398" t="str">
        <f t="shared" si="0"/>
        <v/>
      </c>
      <c r="AO7" s="398"/>
      <c r="AP7" s="398"/>
    </row>
    <row r="8" spans="1:42" ht="14.25" hidden="1" customHeight="1">
      <c r="A8" s="1224"/>
      <c r="B8" s="1224"/>
      <c r="C8" s="1224"/>
      <c r="D8" s="1224"/>
      <c r="E8" s="3529"/>
      <c r="F8" s="3529"/>
      <c r="G8" s="3529"/>
      <c r="H8" s="3529"/>
      <c r="I8" s="3531"/>
      <c r="J8" s="3531"/>
      <c r="K8" s="3530"/>
      <c r="L8" s="1225"/>
      <c r="P8" s="3532"/>
      <c r="Q8" s="3532"/>
      <c r="R8" s="266"/>
      <c r="S8" s="1345"/>
      <c r="T8" s="211"/>
      <c r="U8" s="211"/>
      <c r="V8" s="236"/>
      <c r="W8" s="236"/>
      <c r="X8" s="239" t="str">
        <f>Y7&amp;"-"&amp;AA7</f>
        <v>-</v>
      </c>
      <c r="Y8" s="3534"/>
      <c r="Z8" s="3412"/>
      <c r="AA8" s="3534"/>
      <c r="AB8" s="3412"/>
      <c r="AC8" s="236"/>
      <c r="AD8" s="236"/>
      <c r="AE8" s="239" t="str">
        <f>AF7&amp;"-"&amp;AH7</f>
        <v>-</v>
      </c>
      <c r="AF8" s="3534"/>
      <c r="AG8" s="3412"/>
      <c r="AH8" s="3536"/>
      <c r="AI8" s="3412"/>
      <c r="AJ8" s="1299"/>
      <c r="AK8" s="3594"/>
      <c r="AM8" s="398"/>
      <c r="AN8" s="398" t="str">
        <f t="shared" si="0"/>
        <v/>
      </c>
      <c r="AO8" s="398"/>
      <c r="AP8" s="398"/>
    </row>
    <row r="9" spans="1:42" ht="21" hidden="1" customHeight="1">
      <c r="A9" s="1224"/>
      <c r="B9" s="1224"/>
      <c r="C9" s="1224"/>
      <c r="D9" s="1224"/>
      <c r="E9" s="3529"/>
      <c r="F9" s="3529"/>
      <c r="G9" s="3529"/>
      <c r="H9" s="3529"/>
      <c r="I9" s="3531"/>
      <c r="J9" s="3530"/>
      <c r="K9" s="1224"/>
      <c r="L9" s="1225"/>
      <c r="P9" s="3532"/>
      <c r="Q9" s="3532"/>
      <c r="R9" s="265"/>
      <c r="S9" s="1144"/>
      <c r="T9" s="199" t="s">
        <v>749</v>
      </c>
      <c r="U9" s="275"/>
      <c r="V9" s="275"/>
      <c r="W9" s="275"/>
      <c r="X9" s="275"/>
      <c r="Y9" s="275"/>
      <c r="Z9" s="275"/>
      <c r="AA9" s="275"/>
      <c r="AB9" s="275"/>
      <c r="AC9" s="275"/>
      <c r="AD9" s="275"/>
      <c r="AE9" s="275"/>
      <c r="AF9" s="275"/>
      <c r="AG9" s="275"/>
      <c r="AH9" s="275"/>
      <c r="AI9" s="275"/>
      <c r="AJ9" s="275"/>
      <c r="AK9" s="1124" t="s">
        <v>750</v>
      </c>
      <c r="AM9" s="398"/>
      <c r="AN9" s="398" t="str">
        <f t="shared" si="0"/>
        <v>Добавить значение признака дифференциации</v>
      </c>
      <c r="AO9" s="398"/>
      <c r="AP9" s="398"/>
    </row>
    <row r="10" spans="1:42" ht="21" hidden="1" customHeight="1">
      <c r="A10" s="1224"/>
      <c r="B10" s="1224"/>
      <c r="C10" s="1224"/>
      <c r="D10" s="1224"/>
      <c r="E10" s="3529"/>
      <c r="F10" s="3529"/>
      <c r="G10" s="3529"/>
      <c r="H10" s="3529"/>
      <c r="I10" s="3530"/>
      <c r="J10" s="1224"/>
      <c r="K10" s="1224"/>
      <c r="L10" s="1225"/>
      <c r="P10" s="3532"/>
      <c r="Q10" s="1336"/>
      <c r="R10" s="265"/>
      <c r="S10" s="1144"/>
      <c r="T10" s="273" t="s">
        <v>674</v>
      </c>
      <c r="U10" s="275"/>
      <c r="V10" s="275"/>
      <c r="W10" s="275"/>
      <c r="X10" s="275"/>
      <c r="Y10" s="275"/>
      <c r="Z10" s="275"/>
      <c r="AA10" s="275"/>
      <c r="AB10" s="274"/>
      <c r="AC10" s="275"/>
      <c r="AD10" s="275"/>
      <c r="AE10" s="275"/>
      <c r="AF10" s="275"/>
      <c r="AG10" s="275"/>
      <c r="AH10" s="275"/>
      <c r="AI10" s="274"/>
      <c r="AJ10" s="275"/>
      <c r="AK10" s="1300"/>
      <c r="AM10" s="398"/>
      <c r="AN10" s="398" t="str">
        <f t="shared" si="0"/>
        <v>Добавить группу потребителей</v>
      </c>
      <c r="AO10" s="398"/>
      <c r="AP10" s="398"/>
    </row>
    <row r="11" spans="1:42" ht="21" hidden="1" customHeight="1">
      <c r="A11" s="1224"/>
      <c r="B11" s="1224"/>
      <c r="C11" s="1224"/>
      <c r="D11" s="1224"/>
      <c r="E11" s="3529"/>
      <c r="F11" s="3529"/>
      <c r="G11" s="3529"/>
      <c r="H11" s="3528"/>
      <c r="I11" s="1224"/>
      <c r="J11" s="1224"/>
      <c r="K11" s="1224"/>
      <c r="L11" s="1225"/>
      <c r="M11" s="1226"/>
      <c r="N11" s="1226"/>
      <c r="O11" s="434"/>
      <c r="P11" s="269"/>
      <c r="Q11" s="282"/>
      <c r="R11" s="264"/>
      <c r="S11" s="1144"/>
      <c r="T11" s="280" t="s">
        <v>751</v>
      </c>
      <c r="U11" s="275"/>
      <c r="V11" s="275"/>
      <c r="W11" s="275"/>
      <c r="X11" s="275"/>
      <c r="Y11" s="275"/>
      <c r="Z11" s="275"/>
      <c r="AA11" s="275"/>
      <c r="AB11" s="274"/>
      <c r="AC11" s="275"/>
      <c r="AD11" s="275"/>
      <c r="AE11" s="275"/>
      <c r="AF11" s="275"/>
      <c r="AG11" s="275"/>
      <c r="AH11" s="275"/>
      <c r="AI11" s="274"/>
      <c r="AJ11" s="275"/>
      <c r="AK11" s="214"/>
      <c r="AM11" s="398"/>
      <c r="AN11" s="398" t="str">
        <f t="shared" si="0"/>
        <v>Добавить наименование признака дифференциации</v>
      </c>
      <c r="AO11" s="398"/>
      <c r="AP11" s="398"/>
    </row>
    <row r="12" spans="1:42" s="1866" customFormat="1" ht="14.25" hidden="1" customHeight="1">
      <c r="A12" s="1205"/>
      <c r="B12" s="1205"/>
      <c r="C12" s="1177"/>
      <c r="D12" s="1177"/>
      <c r="E12" s="3529"/>
      <c r="F12" s="3528"/>
      <c r="G12" s="1177"/>
      <c r="H12" s="1177"/>
      <c r="I12" s="1177"/>
      <c r="J12" s="1177"/>
      <c r="K12" s="1177"/>
      <c r="L12" s="1349"/>
      <c r="M12" s="1184"/>
      <c r="N12" s="1184"/>
      <c r="P12" s="1179"/>
      <c r="Q12" s="1180"/>
      <c r="R12" s="1179"/>
      <c r="S12" s="1185"/>
      <c r="T12" s="1188" t="s">
        <v>677</v>
      </c>
      <c r="U12" s="1187"/>
      <c r="V12" s="1187"/>
      <c r="W12" s="1187"/>
      <c r="X12" s="1187"/>
      <c r="Y12" s="1187"/>
      <c r="Z12" s="1187"/>
      <c r="AA12" s="1187"/>
      <c r="AB12" s="1187"/>
      <c r="AC12" s="1187"/>
      <c r="AD12" s="1187"/>
      <c r="AE12" s="1187"/>
      <c r="AF12" s="1187"/>
      <c r="AG12" s="1187"/>
      <c r="AH12" s="1187"/>
      <c r="AI12" s="1187"/>
      <c r="AJ12" s="1187"/>
      <c r="AK12" s="1187"/>
      <c r="AM12" s="670"/>
      <c r="AN12" s="670" t="str">
        <f t="shared" si="0"/>
        <v>Добавить централизованную систему для дифференциации</v>
      </c>
      <c r="AO12" s="670"/>
      <c r="AP12" s="670"/>
    </row>
    <row r="13" spans="1:42" s="1866" customFormat="1" ht="14.25" hidden="1" customHeight="1">
      <c r="A13" s="1205"/>
      <c r="B13" s="1205"/>
      <c r="C13" s="1205"/>
      <c r="D13" s="1205"/>
      <c r="E13" s="3528"/>
      <c r="F13" s="1205"/>
      <c r="G13" s="1205"/>
      <c r="H13" s="1205"/>
      <c r="I13" s="1205"/>
      <c r="J13" s="1205"/>
      <c r="K13" s="1205"/>
      <c r="L13" s="1208"/>
      <c r="M13" s="1184"/>
      <c r="N13" s="1184"/>
      <c r="O13" s="416"/>
      <c r="P13" s="287"/>
      <c r="Q13" s="1206"/>
      <c r="R13" s="287"/>
      <c r="S13" s="1185"/>
      <c r="T13" s="1188" t="s">
        <v>678</v>
      </c>
      <c r="U13" s="1187"/>
      <c r="V13" s="1187"/>
      <c r="W13" s="1187"/>
      <c r="X13" s="1187"/>
      <c r="Y13" s="1187"/>
      <c r="Z13" s="1187"/>
      <c r="AA13" s="1187"/>
      <c r="AB13" s="1187"/>
      <c r="AC13" s="1187"/>
      <c r="AD13" s="1187"/>
      <c r="AE13" s="1187"/>
      <c r="AF13" s="1187"/>
      <c r="AG13" s="1187"/>
      <c r="AH13" s="1187"/>
      <c r="AI13" s="1187"/>
      <c r="AJ13" s="1187"/>
      <c r="AK13" s="1187"/>
      <c r="AM13" s="398"/>
      <c r="AN13" s="398" t="str">
        <f t="shared" si="0"/>
        <v>Добавить территорию для дифференциации</v>
      </c>
      <c r="AO13" s="398"/>
      <c r="AP13" s="398"/>
    </row>
    <row r="14" spans="1:42" ht="14.25" hidden="1" customHeight="1">
      <c r="AB14" s="238"/>
      <c r="AI14" s="238"/>
    </row>
    <row r="15" spans="1:42" ht="14.25" hidden="1" customHeight="1">
      <c r="AC15" s="1221"/>
      <c r="AD15" s="1221"/>
      <c r="AE15" s="1222"/>
      <c r="AF15" s="3526"/>
      <c r="AG15" s="3525" t="s">
        <v>64</v>
      </c>
      <c r="AH15" s="3526"/>
      <c r="AI15" s="3525" t="s">
        <v>64</v>
      </c>
    </row>
    <row r="16" spans="1:42" ht="14.25" hidden="1" customHeight="1">
      <c r="AC16" s="1221"/>
      <c r="AD16" s="1221"/>
      <c r="AE16" s="239" t="str">
        <f>AF15&amp;"-"&amp;AH15</f>
        <v>-</v>
      </c>
      <c r="AF16" s="3525"/>
      <c r="AG16" s="3525"/>
      <c r="AH16" s="3525"/>
      <c r="AI16" s="3525"/>
    </row>
    <row r="17" spans="1:42" ht="14.25" hidden="1" customHeight="1">
      <c r="AI17" s="238"/>
    </row>
    <row r="18" spans="1:42" s="1903" customFormat="1" ht="22.5" hidden="1" customHeight="1">
      <c r="L18" s="1333"/>
      <c r="M18" s="1223"/>
      <c r="N18" s="1223"/>
      <c r="O18" s="1228" t="s">
        <v>679</v>
      </c>
      <c r="P18" s="1223"/>
      <c r="Q18" s="1232"/>
      <c r="R18" s="1232"/>
      <c r="S18" s="619"/>
      <c r="Y18" s="1228"/>
      <c r="AA18" s="1228"/>
      <c r="AB18" s="1227"/>
      <c r="AF18" s="1228"/>
      <c r="AH18" s="1228"/>
      <c r="AI18" s="1227"/>
      <c r="AL18" s="409"/>
      <c r="AM18" s="409"/>
      <c r="AN18" s="409"/>
      <c r="AO18" s="409"/>
      <c r="AP18" s="409"/>
    </row>
    <row r="19" spans="1:42" s="1903" customFormat="1" ht="14.25" hidden="1" customHeight="1">
      <c r="L19" s="1333"/>
      <c r="M19" s="1223"/>
      <c r="N19" s="1223"/>
      <c r="O19" s="1223"/>
      <c r="P19" s="1223"/>
      <c r="Q19" s="1232"/>
      <c r="R19" s="1232"/>
      <c r="S19" s="619"/>
      <c r="AB19" s="1227"/>
      <c r="AI19" s="1227"/>
      <c r="AL19" s="409"/>
      <c r="AM19" s="409"/>
      <c r="AN19" s="409"/>
      <c r="AO19" s="409"/>
      <c r="AP19" s="409"/>
    </row>
    <row r="20" spans="1:42" s="1903" customFormat="1" ht="12" hidden="1" customHeight="1">
      <c r="L20" s="1333"/>
      <c r="M20" s="1223"/>
      <c r="N20" s="1223"/>
      <c r="O20" s="1225" t="s">
        <v>680</v>
      </c>
      <c r="P20" s="1223"/>
      <c r="Q20" s="1301"/>
      <c r="R20" s="1301"/>
      <c r="S20" s="619"/>
      <c r="T20" s="1023" t="s">
        <v>681</v>
      </c>
      <c r="Z20" s="103" t="s">
        <v>682</v>
      </c>
      <c r="AB20" s="103" t="s">
        <v>683</v>
      </c>
      <c r="AC20" s="1023" t="s">
        <v>681</v>
      </c>
      <c r="AG20" s="103" t="s">
        <v>684</v>
      </c>
      <c r="AI20" s="103" t="s">
        <v>683</v>
      </c>
    </row>
    <row r="21" spans="1:42" ht="14.25" hidden="1" customHeight="1">
      <c r="O21" s="1225"/>
    </row>
    <row r="22" spans="1:42" ht="14.25" hidden="1" customHeight="1">
      <c r="O22" s="1225"/>
    </row>
    <row r="23" spans="1:42" ht="14.25" customHeight="1">
      <c r="Q23" s="283"/>
      <c r="R23" s="283"/>
      <c r="S23" s="1141"/>
      <c r="T23" s="272"/>
      <c r="U23" s="272"/>
      <c r="V23" s="407"/>
      <c r="W23" s="407"/>
      <c r="X23" s="407"/>
      <c r="Y23" s="407"/>
      <c r="Z23" s="407"/>
      <c r="AA23" s="407"/>
      <c r="AB23" s="407"/>
      <c r="AC23" s="407"/>
      <c r="AD23" s="407"/>
      <c r="AE23" s="407"/>
      <c r="AF23" s="407"/>
      <c r="AG23" s="407"/>
      <c r="AH23" s="407"/>
      <c r="AI23" s="407"/>
    </row>
    <row r="24" spans="1:42" ht="14.25" customHeight="1">
      <c r="Q24" s="283"/>
      <c r="R24" s="283"/>
      <c r="S24" s="350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509"/>
      <c r="U24" s="3509"/>
      <c r="V24" s="3509"/>
      <c r="W24" s="3509"/>
      <c r="X24" s="3509"/>
      <c r="Y24" s="3509"/>
      <c r="Z24" s="3509"/>
      <c r="AA24" s="3509"/>
      <c r="AB24" s="3509"/>
      <c r="AC24" s="3509"/>
      <c r="AD24" s="3509"/>
      <c r="AE24" s="3509"/>
      <c r="AF24" s="3509"/>
      <c r="AG24" s="3509"/>
      <c r="AH24" s="3509"/>
      <c r="AI24" s="1109"/>
    </row>
    <row r="25" spans="1:42" ht="14.25" customHeight="1">
      <c r="Q25" s="283"/>
      <c r="R25" s="283"/>
      <c r="S25" s="3480" t="str">
        <f>IF(org=0,"Не определено",org)</f>
        <v>АО "Орелгортеплоэнерго"</v>
      </c>
      <c r="T25" s="3480"/>
      <c r="U25" s="3480"/>
      <c r="V25" s="3480"/>
      <c r="W25" s="3480"/>
      <c r="X25" s="3480"/>
      <c r="Y25" s="3480"/>
      <c r="Z25" s="3480"/>
      <c r="AA25" s="3480"/>
      <c r="AB25" s="3480"/>
      <c r="AC25" s="3480"/>
      <c r="AD25" s="3480"/>
      <c r="AE25" s="3480"/>
      <c r="AF25" s="3480"/>
      <c r="AG25" s="3480"/>
      <c r="AH25" s="3480"/>
      <c r="AI25" s="1109"/>
    </row>
    <row r="26" spans="1:42" ht="14.25" hidden="1" customHeight="1">
      <c r="Q26" s="283"/>
      <c r="R26" s="283"/>
      <c r="S26" s="1141"/>
      <c r="T26" s="272"/>
      <c r="U26" s="272"/>
      <c r="V26" s="233"/>
      <c r="W26" s="233"/>
      <c r="X26" s="233"/>
      <c r="Y26" s="233"/>
      <c r="Z26" s="233"/>
      <c r="AA26" s="233"/>
      <c r="AB26" s="233"/>
      <c r="AC26" s="233"/>
      <c r="AD26" s="233"/>
      <c r="AE26" s="233"/>
      <c r="AF26" s="233"/>
      <c r="AG26" s="233"/>
      <c r="AH26" s="233"/>
      <c r="AI26" s="233"/>
      <c r="AJ26" s="407"/>
    </row>
    <row r="27" spans="1:42" s="1944" customFormat="1" ht="25.5" hidden="1" customHeight="1">
      <c r="A27" s="1229"/>
      <c r="B27" s="1229"/>
      <c r="C27" s="1229"/>
      <c r="D27" s="1229"/>
      <c r="E27" s="1229"/>
      <c r="F27" s="1229"/>
      <c r="G27" s="1229"/>
      <c r="H27" s="1229"/>
      <c r="I27" s="1229"/>
      <c r="J27" s="1229"/>
      <c r="K27" s="1229"/>
      <c r="L27" s="1230"/>
      <c r="M27" s="1229"/>
      <c r="N27" s="1229"/>
      <c r="O27" s="1229"/>
      <c r="S27" s="3519" t="s">
        <v>38</v>
      </c>
      <c r="T27" s="3519"/>
      <c r="U27" s="1233"/>
      <c r="V27" s="3521" t="str">
        <f>IF(TITLE_NAME_OR_PR_CHANGE="",IF(TITLE_NAME_OR_PR="","",TITLE_NAME_OR_PR),TITLE_NAME_OR_PR_CHANGE)</f>
        <v/>
      </c>
      <c r="W27" s="3521"/>
      <c r="X27" s="3521"/>
      <c r="Y27" s="3521"/>
      <c r="Z27" s="3521"/>
      <c r="AA27" s="3521"/>
      <c r="AB27" s="237"/>
      <c r="AC27" s="3521" t="str">
        <f>IF(TITLE_NAME_OR_PR_CHANGE="",IF(TITLE_NAME_OR_PR="","",TITLE_NAME_OR_PR),TITLE_NAME_OR_PR_CHANGE)</f>
        <v/>
      </c>
      <c r="AD27" s="3521"/>
      <c r="AE27" s="3521"/>
      <c r="AF27" s="3521"/>
      <c r="AG27" s="3521"/>
      <c r="AH27" s="3521"/>
      <c r="AI27" s="237"/>
      <c r="AJ27" s="237"/>
      <c r="AK27" s="193"/>
      <c r="AL27" s="276"/>
      <c r="AM27" s="276"/>
      <c r="AN27" s="276"/>
      <c r="AO27" s="276"/>
      <c r="AP27" s="276"/>
    </row>
    <row r="28" spans="1:42" s="1944" customFormat="1" ht="18.75" hidden="1" customHeight="1">
      <c r="A28" s="1229"/>
      <c r="B28" s="1229"/>
      <c r="C28" s="1229"/>
      <c r="D28" s="1229"/>
      <c r="E28" s="1229"/>
      <c r="F28" s="1229"/>
      <c r="G28" s="1229"/>
      <c r="H28" s="1229"/>
      <c r="I28" s="1229"/>
      <c r="J28" s="1229"/>
      <c r="K28" s="1229"/>
      <c r="L28" s="1230"/>
      <c r="M28" s="1229"/>
      <c r="N28" s="1229"/>
      <c r="O28" s="1229"/>
      <c r="S28" s="3519" t="s">
        <v>685</v>
      </c>
      <c r="T28" s="3519"/>
      <c r="U28" s="1233"/>
      <c r="V28" s="3520" t="str">
        <f>IF(TITLE_DATE_PR_CHANGE="",IF(TITLE_DATE_PR="","",TITLE_DATE_PR),TITLE_DATE_PR_CHANGE)</f>
        <v/>
      </c>
      <c r="W28" s="3520"/>
      <c r="X28" s="3520"/>
      <c r="Y28" s="3520"/>
      <c r="Z28" s="3520"/>
      <c r="AA28" s="3520"/>
      <c r="AB28" s="237"/>
      <c r="AC28" s="3520" t="str">
        <f>IF(TITLE_DATE_PR_CHANGE="",IF(TITLE_DATE_PR="","",TITLE_DATE_PR),TITLE_DATE_PR_CHANGE)</f>
        <v/>
      </c>
      <c r="AD28" s="3520"/>
      <c r="AE28" s="3520"/>
      <c r="AF28" s="3520"/>
      <c r="AG28" s="3520"/>
      <c r="AH28" s="3520"/>
      <c r="AI28" s="237"/>
      <c r="AJ28" s="237"/>
      <c r="AK28" s="193"/>
      <c r="AL28" s="276"/>
      <c r="AM28" s="276"/>
      <c r="AN28" s="276"/>
      <c r="AO28" s="276"/>
      <c r="AP28" s="276"/>
    </row>
    <row r="29" spans="1:42" s="1944" customFormat="1" ht="18.75" hidden="1" customHeight="1">
      <c r="A29" s="1229"/>
      <c r="B29" s="1229"/>
      <c r="C29" s="1229"/>
      <c r="D29" s="1229"/>
      <c r="E29" s="1229"/>
      <c r="F29" s="1229"/>
      <c r="G29" s="1229"/>
      <c r="H29" s="1229"/>
      <c r="I29" s="1229"/>
      <c r="J29" s="1229"/>
      <c r="K29" s="1229"/>
      <c r="L29" s="1230"/>
      <c r="M29" s="1229"/>
      <c r="N29" s="1229"/>
      <c r="O29" s="1229"/>
      <c r="S29" s="3519" t="s">
        <v>686</v>
      </c>
      <c r="T29" s="3519"/>
      <c r="U29" s="1233"/>
      <c r="V29" s="3521" t="str">
        <f>IF(TITLE_NUMBER_PR_CHANGE="",IF(TITLE_NUMBER_PR="","",TITLE_NUMBER_PR),TITLE_NUMBER_PR_CHANGE)</f>
        <v/>
      </c>
      <c r="W29" s="3521"/>
      <c r="X29" s="3521"/>
      <c r="Y29" s="3521"/>
      <c r="Z29" s="3521"/>
      <c r="AA29" s="3521"/>
      <c r="AB29" s="237"/>
      <c r="AC29" s="3521" t="str">
        <f>IF(TITLE_NUMBER_PR_CHANGE="",IF(TITLE_NUMBER_PR="","",TITLE_NUMBER_PR),TITLE_NUMBER_PR_CHANGE)</f>
        <v/>
      </c>
      <c r="AD29" s="3521"/>
      <c r="AE29" s="3521"/>
      <c r="AF29" s="3521"/>
      <c r="AG29" s="3521"/>
      <c r="AH29" s="3521"/>
      <c r="AI29" s="237"/>
      <c r="AJ29" s="237"/>
      <c r="AK29" s="193"/>
      <c r="AL29" s="276"/>
      <c r="AM29" s="276"/>
      <c r="AN29" s="276"/>
      <c r="AO29" s="276"/>
      <c r="AP29" s="276"/>
    </row>
    <row r="30" spans="1:42" s="1944" customFormat="1" ht="18.75" hidden="1" customHeight="1">
      <c r="A30" s="1229"/>
      <c r="B30" s="1229"/>
      <c r="C30" s="1229"/>
      <c r="D30" s="1229"/>
      <c r="E30" s="1229"/>
      <c r="F30" s="1229"/>
      <c r="G30" s="1229"/>
      <c r="H30" s="1229"/>
      <c r="I30" s="1229"/>
      <c r="J30" s="1229"/>
      <c r="K30" s="1229"/>
      <c r="L30" s="1230"/>
      <c r="M30" s="1229"/>
      <c r="N30" s="1229"/>
      <c r="O30" s="1229"/>
      <c r="S30" s="3519" t="s">
        <v>39</v>
      </c>
      <c r="T30" s="3519"/>
      <c r="U30" s="1233"/>
      <c r="V30" s="3521" t="str">
        <f>IF(TITLE_IST_PUB_CHANGE="",IF(TITLE_IST_PUB="","",TITLE_IST_PUB),TITLE_IST_PUB_CHANGE)</f>
        <v/>
      </c>
      <c r="W30" s="3521"/>
      <c r="X30" s="3521"/>
      <c r="Y30" s="3521"/>
      <c r="Z30" s="3521"/>
      <c r="AA30" s="3521"/>
      <c r="AB30" s="237"/>
      <c r="AC30" s="3521" t="str">
        <f>IF(TITLE_IST_PUB_CHANGE="",IF(TITLE_IST_PUB="","",TITLE_IST_PUB),TITLE_IST_PUB_CHANGE)</f>
        <v/>
      </c>
      <c r="AD30" s="3521"/>
      <c r="AE30" s="3521"/>
      <c r="AF30" s="3521"/>
      <c r="AG30" s="3521"/>
      <c r="AH30" s="3521"/>
      <c r="AI30" s="237"/>
      <c r="AJ30" s="237"/>
      <c r="AK30" s="193"/>
      <c r="AL30" s="276"/>
      <c r="AM30" s="276"/>
      <c r="AN30" s="276"/>
      <c r="AO30" s="276"/>
      <c r="AP30" s="276"/>
    </row>
    <row r="31" spans="1:42" ht="14.25" hidden="1" customHeight="1">
      <c r="Q31" s="283"/>
      <c r="R31" s="283"/>
      <c r="S31" s="1141"/>
      <c r="T31" s="272"/>
      <c r="U31" s="272"/>
      <c r="V31" s="233"/>
      <c r="W31" s="233"/>
      <c r="X31" s="233"/>
      <c r="Y31" s="233"/>
      <c r="Z31" s="233"/>
      <c r="AA31" s="233"/>
      <c r="AB31" s="233"/>
      <c r="AC31" s="233"/>
      <c r="AD31" s="233"/>
      <c r="AE31" s="233"/>
      <c r="AF31" s="233"/>
      <c r="AG31" s="233"/>
      <c r="AH31" s="233"/>
      <c r="AI31" s="233"/>
      <c r="AJ31" s="407"/>
    </row>
    <row r="32" spans="1:42" s="1944" customFormat="1" ht="18.75" hidden="1" customHeight="1">
      <c r="A32" s="1229"/>
      <c r="B32" s="1229"/>
      <c r="C32" s="1229"/>
      <c r="D32" s="1229"/>
      <c r="E32" s="1229"/>
      <c r="F32" s="1229"/>
      <c r="G32" s="1229"/>
      <c r="H32" s="1229"/>
      <c r="I32" s="1229"/>
      <c r="J32" s="1229"/>
      <c r="K32" s="1229"/>
      <c r="L32" s="1230"/>
      <c r="M32" s="1229"/>
      <c r="N32" s="1229"/>
      <c r="O32" s="1229"/>
      <c r="S32" s="3519" t="s">
        <v>687</v>
      </c>
      <c r="T32" s="3519"/>
      <c r="U32" s="1233"/>
      <c r="V32" s="3520" t="str">
        <f>IF(TITLE_DATE_PR_CHANGE="",IF(TITLE_DATE_PR="","",TITLE_DATE_PR),TITLE_DATE_PR_CHANGE)</f>
        <v/>
      </c>
      <c r="W32" s="3520"/>
      <c r="X32" s="3520"/>
      <c r="Y32" s="3520"/>
      <c r="Z32" s="3520"/>
      <c r="AA32" s="3520"/>
      <c r="AB32" s="237"/>
      <c r="AC32" s="3520" t="str">
        <f>IF(TITLE_DATE_PR_CHANGE="",IF(TITLE_DATE_PR="","",TITLE_DATE_PR),TITLE_DATE_PR_CHANGE)</f>
        <v/>
      </c>
      <c r="AD32" s="3520"/>
      <c r="AE32" s="3520"/>
      <c r="AF32" s="3520"/>
      <c r="AG32" s="3520"/>
      <c r="AH32" s="3520"/>
      <c r="AI32" s="237"/>
      <c r="AJ32" s="237"/>
      <c r="AK32" s="193"/>
      <c r="AL32" s="276"/>
      <c r="AM32" s="276"/>
      <c r="AN32" s="276"/>
      <c r="AO32" s="276"/>
      <c r="AP32" s="276"/>
    </row>
    <row r="33" spans="1:42" s="1944" customFormat="1" ht="18.75" hidden="1" customHeight="1">
      <c r="A33" s="1229"/>
      <c r="B33" s="1229"/>
      <c r="C33" s="1229"/>
      <c r="D33" s="1229"/>
      <c r="E33" s="1229"/>
      <c r="F33" s="1229"/>
      <c r="G33" s="1229"/>
      <c r="H33" s="1229"/>
      <c r="I33" s="1229"/>
      <c r="J33" s="1229"/>
      <c r="K33" s="1229"/>
      <c r="L33" s="1230"/>
      <c r="M33" s="1229"/>
      <c r="N33" s="1229"/>
      <c r="O33" s="1229"/>
      <c r="S33" s="3519" t="s">
        <v>688</v>
      </c>
      <c r="T33" s="3519"/>
      <c r="U33" s="1233"/>
      <c r="V33" s="3521" t="str">
        <f>IF(TITLE_NUMBER_PR_CHANGE="",IF(TITLE_NUMBER_PR="","",TITLE_NUMBER_PR),TITLE_NUMBER_PR_CHANGE)</f>
        <v/>
      </c>
      <c r="W33" s="3521"/>
      <c r="X33" s="3521"/>
      <c r="Y33" s="3521"/>
      <c r="Z33" s="3521"/>
      <c r="AA33" s="3521"/>
      <c r="AB33" s="237"/>
      <c r="AC33" s="3521" t="str">
        <f>IF(TITLE_NUMBER_PR_CHANGE="",IF(TITLE_NUMBER_PR="","",TITLE_NUMBER_PR),TITLE_NUMBER_PR_CHANGE)</f>
        <v/>
      </c>
      <c r="AD33" s="3521"/>
      <c r="AE33" s="3521"/>
      <c r="AF33" s="3521"/>
      <c r="AG33" s="3521"/>
      <c r="AH33" s="3521"/>
      <c r="AI33" s="237"/>
      <c r="AJ33" s="237"/>
      <c r="AK33" s="193"/>
      <c r="AL33" s="276"/>
      <c r="AM33" s="276"/>
      <c r="AN33" s="276"/>
      <c r="AO33" s="276"/>
      <c r="AP33" s="276"/>
    </row>
    <row r="34" spans="1:42" s="1944" customFormat="1" ht="0.75" customHeight="1">
      <c r="A34" s="1229"/>
      <c r="B34" s="1229"/>
      <c r="C34" s="1229"/>
      <c r="D34" s="1229"/>
      <c r="E34" s="1229"/>
      <c r="F34" s="1229"/>
      <c r="G34" s="1229"/>
      <c r="H34" s="1229"/>
      <c r="I34" s="1229"/>
      <c r="J34" s="1229"/>
      <c r="K34" s="1229"/>
      <c r="L34" s="1230"/>
      <c r="M34" s="1229"/>
      <c r="N34" s="1229"/>
      <c r="O34" s="1229"/>
      <c r="S34" s="234"/>
      <c r="T34" s="234"/>
      <c r="U34" s="1343"/>
      <c r="V34" s="237"/>
      <c r="W34" s="237"/>
      <c r="X34" s="237"/>
      <c r="Y34" s="237"/>
      <c r="Z34" s="237"/>
      <c r="AA34" s="237"/>
      <c r="AB34" s="191" t="s">
        <v>689</v>
      </c>
      <c r="AC34" s="237"/>
      <c r="AD34" s="237"/>
      <c r="AE34" s="237"/>
      <c r="AF34" s="237"/>
      <c r="AG34" s="237"/>
      <c r="AH34" s="237"/>
      <c r="AI34" s="191" t="s">
        <v>689</v>
      </c>
      <c r="AL34" s="276"/>
      <c r="AM34" s="276"/>
      <c r="AN34" s="276"/>
      <c r="AO34" s="276"/>
      <c r="AP34" s="276"/>
    </row>
    <row r="35" spans="1:42" ht="14.25" customHeight="1">
      <c r="Q35" s="283"/>
      <c r="R35" s="283"/>
      <c r="S35" s="1141"/>
      <c r="T35" s="272"/>
      <c r="U35" s="1110"/>
      <c r="V35" s="3540"/>
      <c r="W35" s="3540"/>
      <c r="X35" s="3540"/>
      <c r="Y35" s="3540"/>
      <c r="Z35" s="3540"/>
      <c r="AA35" s="3540"/>
      <c r="AB35" s="3540"/>
      <c r="AC35" s="3540"/>
      <c r="AD35" s="3540"/>
      <c r="AE35" s="3540"/>
      <c r="AF35" s="3540"/>
      <c r="AG35" s="3540"/>
      <c r="AH35" s="3540"/>
      <c r="AI35" s="3540"/>
    </row>
    <row r="36" spans="1:42" ht="14.25" customHeight="1">
      <c r="Q36" s="283"/>
      <c r="R36" s="283"/>
      <c r="S36" s="3401" t="s">
        <v>560</v>
      </c>
      <c r="T36" s="3401"/>
      <c r="U36" s="3401"/>
      <c r="V36" s="3401"/>
      <c r="W36" s="3401"/>
      <c r="X36" s="3401"/>
      <c r="Y36" s="3401"/>
      <c r="Z36" s="3401"/>
      <c r="AA36" s="3401"/>
      <c r="AB36" s="3401"/>
      <c r="AC36" s="3401"/>
      <c r="AD36" s="3401"/>
      <c r="AE36" s="3401"/>
      <c r="AF36" s="3401"/>
      <c r="AG36" s="3401"/>
      <c r="AH36" s="3401"/>
      <c r="AI36" s="3401"/>
      <c r="AJ36" s="3401"/>
      <c r="AK36" s="3401" t="s">
        <v>561</v>
      </c>
    </row>
    <row r="37" spans="1:42" ht="14.25" customHeight="1">
      <c r="Q37" s="283"/>
      <c r="R37" s="283"/>
      <c r="S37" s="3541" t="s">
        <v>85</v>
      </c>
      <c r="T37" s="3489" t="s">
        <v>690</v>
      </c>
      <c r="U37" s="212"/>
      <c r="V37" s="3542" t="s">
        <v>691</v>
      </c>
      <c r="W37" s="3543"/>
      <c r="X37" s="3543"/>
      <c r="Y37" s="3543"/>
      <c r="Z37" s="3543"/>
      <c r="AA37" s="3544"/>
      <c r="AB37" s="3545" t="s">
        <v>692</v>
      </c>
      <c r="AC37" s="3542" t="s">
        <v>691</v>
      </c>
      <c r="AD37" s="3543"/>
      <c r="AE37" s="3543"/>
      <c r="AF37" s="3543"/>
      <c r="AG37" s="3543"/>
      <c r="AH37" s="3544"/>
      <c r="AI37" s="3545" t="s">
        <v>693</v>
      </c>
      <c r="AJ37" s="3548" t="s">
        <v>694</v>
      </c>
      <c r="AK37" s="3401"/>
    </row>
    <row r="38" spans="1:42" ht="33.75" customHeight="1">
      <c r="Q38" s="283"/>
      <c r="R38" s="283"/>
      <c r="S38" s="3541"/>
      <c r="T38" s="3489"/>
      <c r="U38" s="901"/>
      <c r="V38" s="1338" t="s">
        <v>752</v>
      </c>
      <c r="W38" s="3383" t="s">
        <v>697</v>
      </c>
      <c r="X38" s="3382"/>
      <c r="Y38" s="3383" t="s">
        <v>698</v>
      </c>
      <c r="Z38" s="3388"/>
      <c r="AA38" s="3382"/>
      <c r="AB38" s="3546"/>
      <c r="AC38" s="1338" t="s">
        <v>752</v>
      </c>
      <c r="AD38" s="3383" t="s">
        <v>697</v>
      </c>
      <c r="AE38" s="3382"/>
      <c r="AF38" s="3383" t="s">
        <v>698</v>
      </c>
      <c r="AG38" s="3388"/>
      <c r="AH38" s="3382"/>
      <c r="AI38" s="3546"/>
      <c r="AJ38" s="3549"/>
      <c r="AK38" s="3401"/>
    </row>
    <row r="39" spans="1:42" ht="86.25" customHeight="1">
      <c r="A39" s="1231"/>
      <c r="B39" s="1231" t="s">
        <v>403</v>
      </c>
      <c r="C39" s="1231" t="s">
        <v>404</v>
      </c>
      <c r="D39" s="1231" t="s">
        <v>405</v>
      </c>
      <c r="E39" s="1225" t="s">
        <v>699</v>
      </c>
      <c r="F39" s="1225" t="s">
        <v>700</v>
      </c>
      <c r="G39" s="1225" t="s">
        <v>701</v>
      </c>
      <c r="H39" s="1225"/>
      <c r="I39" s="1225" t="s">
        <v>753</v>
      </c>
      <c r="J39" s="1225" t="s">
        <v>704</v>
      </c>
      <c r="K39" s="1225" t="s">
        <v>754</v>
      </c>
      <c r="L39" s="1225" t="s">
        <v>680</v>
      </c>
      <c r="Q39" s="283"/>
      <c r="R39" s="283"/>
      <c r="S39" s="3541"/>
      <c r="T39" s="3489"/>
      <c r="U39" s="213"/>
      <c r="V39" s="1338" t="s">
        <v>781</v>
      </c>
      <c r="W39" s="1088" t="s">
        <v>782</v>
      </c>
      <c r="X39" s="1088" t="s">
        <v>757</v>
      </c>
      <c r="Y39" s="1344" t="s">
        <v>708</v>
      </c>
      <c r="Z39" s="3494" t="s">
        <v>709</v>
      </c>
      <c r="AA39" s="3508"/>
      <c r="AB39" s="3547"/>
      <c r="AC39" s="1338" t="s">
        <v>781</v>
      </c>
      <c r="AD39" s="1088" t="s">
        <v>782</v>
      </c>
      <c r="AE39" s="1088" t="s">
        <v>757</v>
      </c>
      <c r="AF39" s="1344" t="s">
        <v>708</v>
      </c>
      <c r="AG39" s="3494" t="s">
        <v>709</v>
      </c>
      <c r="AH39" s="3508"/>
      <c r="AI39" s="3547"/>
      <c r="AJ39" s="3550"/>
      <c r="AK39" s="3401"/>
    </row>
    <row r="40" spans="1:42" s="1838" customFormat="1" ht="0" hidden="1" customHeight="1">
      <c r="A40" s="1231"/>
      <c r="B40" s="1231"/>
      <c r="C40" s="1231"/>
      <c r="D40" s="1231"/>
      <c r="E40" s="1231"/>
      <c r="F40" s="1231"/>
      <c r="G40" s="1231"/>
      <c r="H40" s="1231"/>
      <c r="I40" s="1231"/>
      <c r="J40" s="1231"/>
      <c r="K40" s="1231"/>
      <c r="L40" s="1225"/>
      <c r="M40" s="1223"/>
      <c r="N40" s="1223"/>
      <c r="O40" s="1223"/>
      <c r="P40" s="1112"/>
      <c r="Q40" s="1113"/>
      <c r="R40" s="1120">
        <v>1</v>
      </c>
      <c r="S40" s="1143" t="s">
        <v>106</v>
      </c>
      <c r="T40" s="1121" t="s">
        <v>107</v>
      </c>
      <c r="U40" s="1111" t="str">
        <f ca="1">OFFSET(U40,0,-1)</f>
        <v>2</v>
      </c>
      <c r="V40" s="1337">
        <f ca="1">OFFSET(V40,0,-1)+1</f>
        <v>3</v>
      </c>
      <c r="W40" s="1337">
        <f ca="1">OFFSET(W40,0,-1)+1</f>
        <v>4</v>
      </c>
      <c r="X40" s="1337">
        <f ca="1">OFFSET(X40,0,-1)+1</f>
        <v>5</v>
      </c>
      <c r="Y40" s="1337">
        <f ca="1">OFFSET(Y40,0,-1)+1</f>
        <v>6</v>
      </c>
      <c r="Z40" s="3539">
        <f ca="1">OFFSET(Z40,0,-1)+1</f>
        <v>7</v>
      </c>
      <c r="AA40" s="3539"/>
      <c r="AB40" s="1337">
        <f ca="1">OFFSET(AB40,0,-2)+1</f>
        <v>8</v>
      </c>
      <c r="AC40" s="1337">
        <f ca="1">OFFSET(AC40,0,-1)+1</f>
        <v>9</v>
      </c>
      <c r="AD40" s="1337">
        <f ca="1">OFFSET(AD40,0,-1)+1</f>
        <v>10</v>
      </c>
      <c r="AE40" s="1337">
        <f ca="1">OFFSET(AE40,0,-1)+1</f>
        <v>11</v>
      </c>
      <c r="AF40" s="1337">
        <f ca="1">OFFSET(AF40,0,-1)+1</f>
        <v>12</v>
      </c>
      <c r="AG40" s="3539">
        <f ca="1">OFFSET(AG40,0,-1)+1</f>
        <v>13</v>
      </c>
      <c r="AH40" s="3539"/>
      <c r="AI40" s="1337">
        <f ca="1">OFFSET(AI40,0,-2)+1</f>
        <v>14</v>
      </c>
      <c r="AJ40" s="1111">
        <f ca="1">OFFSET(AJ40,0,-1)</f>
        <v>14</v>
      </c>
      <c r="AK40" s="1337">
        <f ca="1">OFFSET(AK40,0,-1)+1</f>
        <v>15</v>
      </c>
      <c r="AL40" s="409"/>
      <c r="AM40" s="409"/>
      <c r="AN40" s="409"/>
      <c r="AO40" s="409"/>
      <c r="AP40" s="409"/>
    </row>
    <row r="41" spans="1:42" ht="23.25" customHeight="1">
      <c r="A41" s="1224" t="s">
        <v>531</v>
      </c>
      <c r="B41" s="1224"/>
      <c r="C41" s="1224"/>
      <c r="D41" s="1224"/>
      <c r="E41" s="3528">
        <v>1</v>
      </c>
      <c r="F41" s="1224"/>
      <c r="G41" s="1224"/>
      <c r="H41" s="1224"/>
      <c r="I41" s="1224"/>
      <c r="J41" s="1224"/>
      <c r="K41" s="1224"/>
      <c r="L41" s="1225"/>
      <c r="M41" s="1226"/>
      <c r="N41" s="1226"/>
      <c r="O41" s="1226"/>
      <c r="P41" s="270"/>
      <c r="Q41" s="269"/>
      <c r="R41" s="264"/>
      <c r="S41" s="1348">
        <f>INDEX(PT_DIFFERENTIATION_NUM_NTAR,MATCH(A41,PT_DIFFERENTIATION_NTAR_ID,0))</f>
        <v>0</v>
      </c>
      <c r="T41" s="209" t="s">
        <v>391</v>
      </c>
      <c r="U41" s="211"/>
      <c r="V41" s="3522"/>
      <c r="W41" s="3523"/>
      <c r="X41" s="3523"/>
      <c r="Y41" s="3523"/>
      <c r="Z41" s="3523"/>
      <c r="AA41" s="3523"/>
      <c r="AB41" s="3524"/>
      <c r="AC41" s="3522" t="str">
        <f>INDEX(PT_DIFFERENTIATION_NTAR,MATCH(A41,PT_DIFFERENTIATION_NTAR_ID,0))</f>
        <v/>
      </c>
      <c r="AD41" s="3523"/>
      <c r="AE41" s="3523"/>
      <c r="AF41" s="3523"/>
      <c r="AG41" s="3523"/>
      <c r="AH41" s="3523"/>
      <c r="AI41" s="3523"/>
      <c r="AJ41" s="3524"/>
      <c r="AK41" s="112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398"/>
      <c r="AN41" s="398" t="str">
        <f t="shared" ref="AN41:AN53" si="1">IF(T41="","",T41)</f>
        <v>Наименование тарифа</v>
      </c>
      <c r="AO41" s="398"/>
      <c r="AP41" s="398"/>
    </row>
    <row r="42" spans="1:42" ht="23.25" customHeight="1">
      <c r="A42" s="1224" t="s">
        <v>531</v>
      </c>
      <c r="B42" s="1224" t="s">
        <v>532</v>
      </c>
      <c r="C42" s="1224"/>
      <c r="D42" s="1224"/>
      <c r="E42" s="3529"/>
      <c r="F42" s="3528">
        <v>1</v>
      </c>
      <c r="G42" s="1224"/>
      <c r="H42" s="1224"/>
      <c r="I42" s="1224"/>
      <c r="J42" s="1224"/>
      <c r="K42" s="1224"/>
      <c r="L42" s="1225"/>
      <c r="M42" s="1226"/>
      <c r="N42" s="1226"/>
      <c r="O42" s="1226"/>
      <c r="P42" s="1342"/>
      <c r="Q42" s="261"/>
      <c r="R42" s="262"/>
      <c r="S42" s="1348" t="str">
        <f>INDEX(PT_DIFFERENTIATION_NUM_TER,MATCH(B42,PT_DIFFERENTIATION_TER_ID,0))</f>
        <v>.</v>
      </c>
      <c r="T42" s="219" t="s">
        <v>659</v>
      </c>
      <c r="U42" s="211"/>
      <c r="V42" s="3522"/>
      <c r="W42" s="3523"/>
      <c r="X42" s="3523"/>
      <c r="Y42" s="3523"/>
      <c r="Z42" s="3523"/>
      <c r="AA42" s="3523"/>
      <c r="AB42" s="3524"/>
      <c r="AC42" s="3522" t="str">
        <f>INDEX(PT_DIFFERENTIATION_TER,MATCH(B42,PT_DIFFERENTIATION_TER_ID,0))</f>
        <v/>
      </c>
      <c r="AD42" s="3523"/>
      <c r="AE42" s="3523"/>
      <c r="AF42" s="3523"/>
      <c r="AG42" s="3523"/>
      <c r="AH42" s="3523"/>
      <c r="AI42" s="3523"/>
      <c r="AJ42" s="3524"/>
      <c r="AK42" s="1124" t="s">
        <v>660</v>
      </c>
      <c r="AM42" s="398"/>
      <c r="AN42" s="398" t="str">
        <f t="shared" si="1"/>
        <v>Территория действия тарифа</v>
      </c>
      <c r="AO42" s="398"/>
      <c r="AP42" s="398"/>
    </row>
    <row r="43" spans="1:42" ht="23.25" customHeight="1">
      <c r="A43" s="1224" t="s">
        <v>531</v>
      </c>
      <c r="B43" s="1224" t="s">
        <v>532</v>
      </c>
      <c r="C43" s="1224" t="s">
        <v>533</v>
      </c>
      <c r="D43" s="1224"/>
      <c r="E43" s="3529"/>
      <c r="F43" s="3529"/>
      <c r="G43" s="3528">
        <v>1</v>
      </c>
      <c r="H43" s="1224"/>
      <c r="I43" s="1224"/>
      <c r="J43" s="1224"/>
      <c r="K43" s="1224"/>
      <c r="L43" s="1225"/>
      <c r="M43" s="1226"/>
      <c r="N43" s="1226"/>
      <c r="O43" s="1226"/>
      <c r="P43" s="263"/>
      <c r="Q43" s="261"/>
      <c r="R43" s="262"/>
      <c r="S43" s="1348" t="str">
        <f>INDEX(PT_DIFFERENTIATION_NUM_CS,MATCH(C43,PT_DIFFERENTIATION_CS_ID,0))</f>
        <v>..</v>
      </c>
      <c r="T43" s="220" t="s">
        <v>779</v>
      </c>
      <c r="U43" s="211"/>
      <c r="V43" s="3522"/>
      <c r="W43" s="3523"/>
      <c r="X43" s="3523"/>
      <c r="Y43" s="3523"/>
      <c r="Z43" s="3523"/>
      <c r="AA43" s="3523"/>
      <c r="AB43" s="3524"/>
      <c r="AC43" s="3522" t="str">
        <f>INDEX(PT_DIFFERENTIATION_CS,MATCH(C43,PT_DIFFERENTIATION_CS_ID,0))</f>
        <v/>
      </c>
      <c r="AD43" s="3523"/>
      <c r="AE43" s="3523"/>
      <c r="AF43" s="3523"/>
      <c r="AG43" s="3523"/>
      <c r="AH43" s="3523"/>
      <c r="AI43" s="3523"/>
      <c r="AJ43" s="3524"/>
      <c r="AK43" s="1124" t="s">
        <v>780</v>
      </c>
      <c r="AM43" s="398"/>
      <c r="AN43" s="398" t="str">
        <f t="shared" si="1"/>
        <v>Наименование централизованной системы водоотведения</v>
      </c>
      <c r="AO43" s="398"/>
      <c r="AP43" s="398"/>
    </row>
    <row r="44" spans="1:42" ht="23.25" customHeight="1">
      <c r="A44" s="1224" t="s">
        <v>531</v>
      </c>
      <c r="B44" s="1224" t="s">
        <v>532</v>
      </c>
      <c r="C44" s="1224" t="s">
        <v>533</v>
      </c>
      <c r="D44" s="1224" t="s">
        <v>784</v>
      </c>
      <c r="E44" s="3529"/>
      <c r="F44" s="3529"/>
      <c r="G44" s="3529"/>
      <c r="H44" s="3529"/>
      <c r="I44" s="3530" t="str">
        <f>S43&amp;".1"</f>
        <v>...1</v>
      </c>
      <c r="J44" s="1224"/>
      <c r="K44" s="1224"/>
      <c r="L44" s="1225"/>
      <c r="P44" s="3532">
        <v>1</v>
      </c>
      <c r="Q44" s="1336"/>
      <c r="R44" s="265"/>
      <c r="S44" s="1348" t="str">
        <f>$I44</f>
        <v>...1</v>
      </c>
      <c r="T44" s="197" t="s">
        <v>746</v>
      </c>
      <c r="U44" s="211"/>
      <c r="V44" s="3588"/>
      <c r="W44" s="3589"/>
      <c r="X44" s="3589"/>
      <c r="Y44" s="3589"/>
      <c r="Z44" s="3589"/>
      <c r="AA44" s="3589"/>
      <c r="AB44" s="3590"/>
      <c r="AC44" s="3591"/>
      <c r="AD44" s="3592"/>
      <c r="AE44" s="3592"/>
      <c r="AF44" s="3592"/>
      <c r="AG44" s="3592"/>
      <c r="AH44" s="3592"/>
      <c r="AI44" s="3592"/>
      <c r="AJ44" s="3593"/>
      <c r="AK44" s="1124" t="s">
        <v>747</v>
      </c>
      <c r="AM44" s="398"/>
      <c r="AN44" s="398" t="str">
        <f t="shared" si="1"/>
        <v>Наименование признака дифференциации</v>
      </c>
      <c r="AO44" s="398"/>
      <c r="AP44" s="398"/>
    </row>
    <row r="45" spans="1:42" ht="23.25" customHeight="1">
      <c r="A45" s="1224" t="s">
        <v>531</v>
      </c>
      <c r="B45" s="1224" t="s">
        <v>532</v>
      </c>
      <c r="C45" s="1224" t="s">
        <v>533</v>
      </c>
      <c r="D45" s="1224" t="s">
        <v>784</v>
      </c>
      <c r="E45" s="3529"/>
      <c r="F45" s="3529"/>
      <c r="G45" s="3529"/>
      <c r="H45" s="3529"/>
      <c r="I45" s="3531"/>
      <c r="J45" s="3530" t="str">
        <f>I44&amp;".1"</f>
        <v>...1.1</v>
      </c>
      <c r="K45" s="1224"/>
      <c r="L45" s="1225" t="s">
        <v>668</v>
      </c>
      <c r="P45" s="3532"/>
      <c r="Q45" s="3532">
        <v>1</v>
      </c>
      <c r="R45" s="266"/>
      <c r="S45" s="1348" t="str">
        <f>$J45</f>
        <v>...1.1</v>
      </c>
      <c r="T45" s="198" t="s">
        <v>669</v>
      </c>
      <c r="U45" s="211"/>
      <c r="V45" s="3516"/>
      <c r="W45" s="3517"/>
      <c r="X45" s="3517"/>
      <c r="Y45" s="3517"/>
      <c r="Z45" s="3517"/>
      <c r="AA45" s="3517"/>
      <c r="AB45" s="3518"/>
      <c r="AC45" s="3516"/>
      <c r="AD45" s="3517"/>
      <c r="AE45" s="3517"/>
      <c r="AF45" s="3517"/>
      <c r="AG45" s="3517"/>
      <c r="AH45" s="3517"/>
      <c r="AI45" s="3517"/>
      <c r="AJ45" s="3518"/>
      <c r="AK45" s="1171" t="s">
        <v>748</v>
      </c>
      <c r="AM45" s="398"/>
      <c r="AN45" s="398" t="str">
        <f t="shared" si="1"/>
        <v>Группа потребителей</v>
      </c>
      <c r="AO45" s="398"/>
      <c r="AP45" s="398"/>
    </row>
    <row r="46" spans="1:42" ht="23.25" customHeight="1">
      <c r="A46" s="1224" t="s">
        <v>531</v>
      </c>
      <c r="B46" s="1224" t="s">
        <v>532</v>
      </c>
      <c r="C46" s="1224" t="s">
        <v>533</v>
      </c>
      <c r="D46" s="1224" t="s">
        <v>784</v>
      </c>
      <c r="E46" s="3529"/>
      <c r="F46" s="3529"/>
      <c r="G46" s="3529"/>
      <c r="H46" s="3529"/>
      <c r="I46" s="3531"/>
      <c r="J46" s="3531"/>
      <c r="K46" s="3530" t="str">
        <f>J45&amp;".1"</f>
        <v>...1.1.1</v>
      </c>
      <c r="L46" s="1225"/>
      <c r="P46" s="3532"/>
      <c r="Q46" s="3532"/>
      <c r="R46" s="266">
        <v>1</v>
      </c>
      <c r="S46" s="1348" t="str">
        <f>$K46</f>
        <v>...1.1.1</v>
      </c>
      <c r="T46" s="1297"/>
      <c r="U46" s="211"/>
      <c r="V46" s="1221"/>
      <c r="W46" s="1221"/>
      <c r="X46" s="1222"/>
      <c r="Y46" s="3526"/>
      <c r="Z46" s="3525" t="s">
        <v>64</v>
      </c>
      <c r="AA46" s="3526"/>
      <c r="AB46" s="3525" t="s">
        <v>64</v>
      </c>
      <c r="AC46" s="639"/>
      <c r="AD46" s="639"/>
      <c r="AE46" s="1123"/>
      <c r="AF46" s="3533"/>
      <c r="AG46" s="3412" t="s">
        <v>64</v>
      </c>
      <c r="AH46" s="3535"/>
      <c r="AI46" s="3412" t="s">
        <v>54</v>
      </c>
      <c r="AJ46" s="1298"/>
      <c r="AK46" s="35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09" t="e">
        <f ca="1">STRCHECKDATE(V47:AJ47)</f>
        <v>#NAME?</v>
      </c>
      <c r="AM46" s="398"/>
      <c r="AN46" s="398" t="str">
        <f t="shared" si="1"/>
        <v/>
      </c>
      <c r="AO46" s="398"/>
      <c r="AP46" s="398"/>
    </row>
    <row r="47" spans="1:42" ht="0" hidden="1" customHeight="1">
      <c r="A47" s="1224" t="s">
        <v>531</v>
      </c>
      <c r="B47" s="1224" t="s">
        <v>532</v>
      </c>
      <c r="C47" s="1224" t="s">
        <v>533</v>
      </c>
      <c r="D47" s="1224" t="s">
        <v>784</v>
      </c>
      <c r="E47" s="3529"/>
      <c r="F47" s="3529"/>
      <c r="G47" s="3529"/>
      <c r="H47" s="3529"/>
      <c r="I47" s="3531"/>
      <c r="J47" s="3531"/>
      <c r="K47" s="3530"/>
      <c r="L47" s="1225"/>
      <c r="P47" s="3532"/>
      <c r="Q47" s="3532"/>
      <c r="R47" s="266"/>
      <c r="S47" s="1345"/>
      <c r="T47" s="211"/>
      <c r="U47" s="211"/>
      <c r="V47" s="1221"/>
      <c r="W47" s="1221"/>
      <c r="X47" s="239" t="str">
        <f>Y46&amp;"-"&amp;AA46</f>
        <v>-</v>
      </c>
      <c r="Y47" s="3525"/>
      <c r="Z47" s="3525"/>
      <c r="AA47" s="3525"/>
      <c r="AB47" s="3525"/>
      <c r="AC47" s="236"/>
      <c r="AD47" s="236"/>
      <c r="AE47" s="239" t="str">
        <f>AF46&amp;"-"&amp;AH46</f>
        <v>-</v>
      </c>
      <c r="AF47" s="3534"/>
      <c r="AG47" s="3412"/>
      <c r="AH47" s="3536"/>
      <c r="AI47" s="3412"/>
      <c r="AJ47" s="1299"/>
      <c r="AK47" s="3594"/>
      <c r="AM47" s="398"/>
      <c r="AN47" s="398" t="str">
        <f t="shared" si="1"/>
        <v/>
      </c>
      <c r="AO47" s="398"/>
      <c r="AP47" s="398"/>
    </row>
    <row r="48" spans="1:42" ht="21" customHeight="1">
      <c r="A48" s="1224" t="s">
        <v>531</v>
      </c>
      <c r="B48" s="1224" t="s">
        <v>532</v>
      </c>
      <c r="C48" s="1224" t="s">
        <v>533</v>
      </c>
      <c r="D48" s="1224" t="s">
        <v>784</v>
      </c>
      <c r="E48" s="3529"/>
      <c r="F48" s="3529"/>
      <c r="G48" s="3529"/>
      <c r="H48" s="3529"/>
      <c r="I48" s="3531"/>
      <c r="J48" s="3530"/>
      <c r="K48" s="1224"/>
      <c r="L48" s="1225"/>
      <c r="P48" s="3532"/>
      <c r="Q48" s="3532"/>
      <c r="R48" s="265"/>
      <c r="S48" s="1144"/>
      <c r="T48" s="199" t="s">
        <v>749</v>
      </c>
      <c r="U48" s="275"/>
      <c r="V48" s="275"/>
      <c r="W48" s="275"/>
      <c r="X48" s="275"/>
      <c r="Y48" s="275"/>
      <c r="Z48" s="275"/>
      <c r="AA48" s="275"/>
      <c r="AB48" s="275"/>
      <c r="AC48" s="275"/>
      <c r="AD48" s="275"/>
      <c r="AE48" s="275"/>
      <c r="AF48" s="275"/>
      <c r="AG48" s="275"/>
      <c r="AH48" s="275"/>
      <c r="AI48" s="275"/>
      <c r="AJ48" s="275"/>
      <c r="AK48" s="1124" t="s">
        <v>750</v>
      </c>
      <c r="AM48" s="398"/>
      <c r="AN48" s="398" t="str">
        <f t="shared" si="1"/>
        <v>Добавить значение признака дифференциации</v>
      </c>
      <c r="AO48" s="398"/>
      <c r="AP48" s="398"/>
    </row>
    <row r="49" spans="1:42" ht="21" customHeight="1">
      <c r="A49" s="1224" t="s">
        <v>531</v>
      </c>
      <c r="B49" s="1224" t="s">
        <v>532</v>
      </c>
      <c r="C49" s="1224" t="s">
        <v>533</v>
      </c>
      <c r="D49" s="1224" t="s">
        <v>784</v>
      </c>
      <c r="E49" s="3529"/>
      <c r="F49" s="3529"/>
      <c r="G49" s="3529"/>
      <c r="H49" s="3529"/>
      <c r="I49" s="3530"/>
      <c r="J49" s="1224"/>
      <c r="K49" s="1224"/>
      <c r="L49" s="1225"/>
      <c r="P49" s="3532"/>
      <c r="Q49" s="1336"/>
      <c r="R49" s="265"/>
      <c r="S49" s="1144"/>
      <c r="T49" s="273" t="s">
        <v>674</v>
      </c>
      <c r="U49" s="275"/>
      <c r="V49" s="275"/>
      <c r="W49" s="275"/>
      <c r="X49" s="275"/>
      <c r="Y49" s="275"/>
      <c r="Z49" s="275"/>
      <c r="AA49" s="275"/>
      <c r="AB49" s="274"/>
      <c r="AC49" s="275"/>
      <c r="AD49" s="275"/>
      <c r="AE49" s="275"/>
      <c r="AF49" s="275"/>
      <c r="AG49" s="275"/>
      <c r="AH49" s="275"/>
      <c r="AI49" s="274"/>
      <c r="AJ49" s="275"/>
      <c r="AK49" s="1300"/>
      <c r="AM49" s="398"/>
      <c r="AN49" s="398" t="str">
        <f t="shared" si="1"/>
        <v>Добавить группу потребителей</v>
      </c>
      <c r="AO49" s="398"/>
      <c r="AP49" s="398"/>
    </row>
    <row r="50" spans="1:42" ht="21" customHeight="1">
      <c r="A50" s="1224" t="s">
        <v>531</v>
      </c>
      <c r="B50" s="1224" t="s">
        <v>532</v>
      </c>
      <c r="C50" s="1224" t="s">
        <v>533</v>
      </c>
      <c r="D50" s="1224" t="s">
        <v>784</v>
      </c>
      <c r="E50" s="3529"/>
      <c r="F50" s="3529"/>
      <c r="G50" s="3529"/>
      <c r="H50" s="3528"/>
      <c r="I50" s="1224"/>
      <c r="J50" s="1224"/>
      <c r="K50" s="1224"/>
      <c r="L50" s="1225"/>
      <c r="M50" s="1226"/>
      <c r="N50" s="1226"/>
      <c r="O50" s="434"/>
      <c r="P50" s="269"/>
      <c r="Q50" s="282"/>
      <c r="R50" s="264"/>
      <c r="S50" s="1144"/>
      <c r="T50" s="280" t="s">
        <v>751</v>
      </c>
      <c r="U50" s="275"/>
      <c r="V50" s="275"/>
      <c r="W50" s="275"/>
      <c r="X50" s="275"/>
      <c r="Y50" s="275"/>
      <c r="Z50" s="275"/>
      <c r="AA50" s="275"/>
      <c r="AB50" s="274"/>
      <c r="AC50" s="275"/>
      <c r="AD50" s="275"/>
      <c r="AE50" s="275"/>
      <c r="AF50" s="275"/>
      <c r="AG50" s="275"/>
      <c r="AH50" s="275"/>
      <c r="AI50" s="274"/>
      <c r="AJ50" s="275"/>
      <c r="AK50" s="214"/>
      <c r="AM50" s="398"/>
      <c r="AN50" s="398" t="str">
        <f t="shared" si="1"/>
        <v>Добавить наименование признака дифференциации</v>
      </c>
      <c r="AO50" s="398"/>
      <c r="AP50" s="398"/>
    </row>
    <row r="51" spans="1:42" s="1866" customFormat="1" ht="0" hidden="1" customHeight="1">
      <c r="A51" s="1205" t="s">
        <v>531</v>
      </c>
      <c r="B51" s="1205" t="s">
        <v>532</v>
      </c>
      <c r="C51" s="1177"/>
      <c r="D51" s="1177"/>
      <c r="E51" s="3529"/>
      <c r="F51" s="3528"/>
      <c r="G51" s="1177"/>
      <c r="H51" s="1177"/>
      <c r="I51" s="1177"/>
      <c r="J51" s="1177"/>
      <c r="K51" s="1177"/>
      <c r="L51" s="1349"/>
      <c r="M51" s="1184"/>
      <c r="N51" s="1184"/>
      <c r="P51" s="1179"/>
      <c r="Q51" s="1180"/>
      <c r="R51" s="1179"/>
      <c r="S51" s="1185"/>
      <c r="T51" s="1188" t="s">
        <v>677</v>
      </c>
      <c r="U51" s="1187"/>
      <c r="V51" s="1187"/>
      <c r="W51" s="1187"/>
      <c r="X51" s="1187"/>
      <c r="Y51" s="1187"/>
      <c r="Z51" s="1187"/>
      <c r="AA51" s="1187"/>
      <c r="AB51" s="1187"/>
      <c r="AC51" s="1187"/>
      <c r="AD51" s="1187"/>
      <c r="AE51" s="1187"/>
      <c r="AF51" s="1187"/>
      <c r="AG51" s="1187"/>
      <c r="AH51" s="1187"/>
      <c r="AI51" s="1187"/>
      <c r="AJ51" s="1187"/>
      <c r="AK51" s="1187"/>
      <c r="AM51" s="670"/>
      <c r="AN51" s="670" t="str">
        <f t="shared" si="1"/>
        <v>Добавить централизованную систему для дифференциации</v>
      </c>
      <c r="AO51" s="670"/>
      <c r="AP51" s="670"/>
    </row>
    <row r="52" spans="1:42" s="1866" customFormat="1" ht="0" hidden="1" customHeight="1">
      <c r="A52" s="1205" t="s">
        <v>531</v>
      </c>
      <c r="B52" s="1205"/>
      <c r="C52" s="1205"/>
      <c r="D52" s="1205"/>
      <c r="E52" s="3528"/>
      <c r="F52" s="1205"/>
      <c r="G52" s="1205"/>
      <c r="H52" s="1205"/>
      <c r="I52" s="1205"/>
      <c r="J52" s="1205"/>
      <c r="K52" s="1205"/>
      <c r="L52" s="1208"/>
      <c r="M52" s="1184"/>
      <c r="N52" s="1184"/>
      <c r="O52" s="416"/>
      <c r="P52" s="287"/>
      <c r="Q52" s="1206"/>
      <c r="R52" s="287"/>
      <c r="S52" s="1185"/>
      <c r="T52" s="1188" t="s">
        <v>678</v>
      </c>
      <c r="U52" s="1187"/>
      <c r="V52" s="1187"/>
      <c r="W52" s="1187"/>
      <c r="X52" s="1187"/>
      <c r="Y52" s="1187"/>
      <c r="Z52" s="1187"/>
      <c r="AA52" s="1187"/>
      <c r="AB52" s="1187"/>
      <c r="AC52" s="1187"/>
      <c r="AD52" s="1187"/>
      <c r="AE52" s="1187"/>
      <c r="AF52" s="1187"/>
      <c r="AG52" s="1187"/>
      <c r="AH52" s="1187"/>
      <c r="AI52" s="1187"/>
      <c r="AJ52" s="1187"/>
      <c r="AK52" s="1187"/>
      <c r="AM52" s="398"/>
      <c r="AN52" s="398" t="str">
        <f t="shared" si="1"/>
        <v>Добавить территорию для дифференциации</v>
      </c>
      <c r="AO52" s="398"/>
      <c r="AP52" s="398"/>
    </row>
    <row r="53" spans="1:42" s="1866" customFormat="1" ht="0" hidden="1" customHeight="1">
      <c r="A53" s="1177"/>
      <c r="B53" s="1177"/>
      <c r="C53" s="1177"/>
      <c r="D53" s="1177"/>
      <c r="E53" s="1205"/>
      <c r="F53" s="1177"/>
      <c r="G53" s="1177"/>
      <c r="H53" s="1177"/>
      <c r="I53" s="1177"/>
      <c r="J53" s="1177"/>
      <c r="K53" s="1177"/>
      <c r="L53" s="1349"/>
      <c r="M53" s="1184"/>
      <c r="N53" s="1184"/>
      <c r="P53" s="1179"/>
      <c r="Q53" s="1180"/>
      <c r="R53" s="1179"/>
      <c r="S53" s="1185"/>
      <c r="T53" s="1188" t="s">
        <v>710</v>
      </c>
      <c r="U53" s="1187"/>
      <c r="V53" s="1187"/>
      <c r="W53" s="1187"/>
      <c r="X53" s="1187"/>
      <c r="Y53" s="1187"/>
      <c r="Z53" s="1187"/>
      <c r="AA53" s="1187"/>
      <c r="AB53" s="1187"/>
      <c r="AC53" s="1187"/>
      <c r="AD53" s="1187"/>
      <c r="AE53" s="1187"/>
      <c r="AF53" s="1187"/>
      <c r="AG53" s="1187"/>
      <c r="AH53" s="1187"/>
      <c r="AI53" s="1187"/>
      <c r="AJ53" s="1187"/>
      <c r="AK53" s="1187"/>
      <c r="AM53" s="670"/>
      <c r="AN53" s="670" t="str">
        <f t="shared" si="1"/>
        <v>Добавить наименование тарифа</v>
      </c>
      <c r="AO53" s="670"/>
      <c r="AP53" s="670"/>
    </row>
    <row r="54" spans="1:42" ht="11.25" customHeight="1">
      <c r="M54" s="1023"/>
      <c r="N54" s="1023"/>
      <c r="O54" s="434"/>
      <c r="P54" s="1018"/>
      <c r="Q54" s="1018"/>
      <c r="R54" s="1018"/>
      <c r="S54" s="1018"/>
      <c r="AL54" s="1018"/>
      <c r="AM54" s="1018"/>
      <c r="AN54" s="1018"/>
      <c r="AO54" s="1018"/>
      <c r="AP54" s="1018"/>
    </row>
    <row r="55" spans="1:42" ht="14.25" customHeight="1">
      <c r="O55" s="434"/>
      <c r="S55" s="1119"/>
      <c r="T55" s="3527"/>
      <c r="U55" s="3527"/>
      <c r="V55" s="3527"/>
      <c r="W55" s="3527"/>
      <c r="X55" s="3527"/>
      <c r="Y55" s="3527"/>
      <c r="Z55" s="3527"/>
      <c r="AA55" s="3527"/>
      <c r="AB55" s="3527"/>
      <c r="AC55" s="3527"/>
      <c r="AD55" s="3527"/>
      <c r="AE55" s="3527"/>
      <c r="AF55" s="3527"/>
      <c r="AG55" s="3527"/>
      <c r="AH55" s="3527"/>
      <c r="AI55" s="3527"/>
      <c r="AJ55" s="3527"/>
      <c r="AK55" s="3527"/>
    </row>
    <row r="56" spans="1:42" ht="14.25" customHeight="1">
      <c r="O56" s="434"/>
    </row>
    <row r="57" spans="1:42" ht="14.25" customHeight="1">
      <c r="O57" s="434"/>
      <c r="S57" s="1119"/>
      <c r="T57" s="3527"/>
      <c r="U57" s="3527"/>
      <c r="V57" s="3527"/>
      <c r="W57" s="3527"/>
      <c r="X57" s="3527"/>
      <c r="Y57" s="3527"/>
      <c r="Z57" s="3527"/>
      <c r="AA57" s="3527"/>
      <c r="AB57" s="3527"/>
      <c r="AC57" s="3527"/>
      <c r="AD57" s="3527"/>
      <c r="AE57" s="3527"/>
      <c r="AF57" s="3527"/>
      <c r="AG57" s="3527"/>
      <c r="AH57" s="3527"/>
      <c r="AI57" s="3527"/>
      <c r="AJ57" s="3527"/>
      <c r="AK57" s="3527"/>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2E768-E56F-6067-0B29-053B4B4E85F1}">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03" hidden="1" customWidth="1"/>
    <col min="2" max="2" width="11" style="1903" hidden="1" customWidth="1"/>
    <col min="3" max="3" width="10.5703125" style="1903" hidden="1"/>
    <col min="4" max="4" width="12.85546875" style="1903" hidden="1" customWidth="1"/>
    <col min="5" max="5" width="10" style="1903" hidden="1" customWidth="1"/>
    <col min="6" max="6" width="8.7109375" style="1903" hidden="1" customWidth="1"/>
    <col min="7" max="7" width="7.5703125" style="1903" hidden="1" customWidth="1"/>
    <col min="8" max="8" width="11.42578125" style="1903" hidden="1" customWidth="1"/>
    <col min="9" max="9" width="12" style="1903" hidden="1" customWidth="1"/>
    <col min="10" max="10" width="9.85546875" style="1903" hidden="1" customWidth="1"/>
    <col min="11" max="11" width="11.42578125" style="1903" hidden="1" customWidth="1"/>
    <col min="12" max="12" width="19.140625" style="1953" hidden="1" customWidth="1"/>
    <col min="13" max="14" width="12.28515625" style="1839" hidden="1" customWidth="1"/>
    <col min="15" max="15" width="23.42578125" style="1839" hidden="1" customWidth="1"/>
    <col min="16" max="16" width="3.7109375" style="1839" hidden="1" customWidth="1"/>
    <col min="17" max="17" width="3.7109375" style="1833" hidden="1" customWidth="1"/>
    <col min="18" max="18" width="3.7109375" style="1906" customWidth="1"/>
    <col min="19" max="19" width="12.7109375" style="1951" customWidth="1"/>
    <col min="20" max="20" width="32" style="1910" customWidth="1"/>
    <col min="21" max="21" width="0.140625" style="1910" customWidth="1"/>
    <col min="22" max="25" width="21.7109375" style="1910" hidden="1" customWidth="1"/>
    <col min="26" max="26" width="11.7109375" style="1910" hidden="1" customWidth="1"/>
    <col min="27" max="27" width="3.7109375" style="1910" hidden="1" customWidth="1"/>
    <col min="28" max="28" width="11.7109375" style="1910" hidden="1" customWidth="1"/>
    <col min="29" max="29" width="8.5703125" style="1910" hidden="1" customWidth="1"/>
    <col min="30" max="32" width="3.7109375" style="1910" customWidth="1"/>
    <col min="33" max="33" width="24.7109375" style="1910" customWidth="1"/>
    <col min="34" max="36" width="3.7109375" style="1910" customWidth="1"/>
    <col min="37" max="37" width="24.7109375" style="1910" customWidth="1"/>
    <col min="38" max="40" width="3.7109375" style="1910" customWidth="1"/>
    <col min="41" max="41" width="18.85546875" style="1910" customWidth="1"/>
    <col min="42" max="44" width="3.7109375" style="1910" customWidth="1"/>
    <col min="45" max="45" width="18.85546875" style="1910" customWidth="1"/>
    <col min="46" max="49" width="21.7109375" style="1910" customWidth="1"/>
    <col min="50" max="50" width="11.7109375" style="1910" customWidth="1"/>
    <col min="51" max="51" width="3.7109375" style="1910" customWidth="1"/>
    <col min="52" max="52" width="11.7109375" style="1910" customWidth="1"/>
    <col min="53" max="53" width="8.5703125" style="1910" hidden="1" customWidth="1"/>
    <col min="54" max="54" width="4.7109375" style="1910" customWidth="1"/>
    <col min="55" max="55" width="115.7109375" style="1910" customWidth="1"/>
    <col min="56" max="57" width="10.5703125" style="1866"/>
    <col min="58" max="58" width="11.140625" style="1866" customWidth="1"/>
    <col min="59" max="60" width="10.5703125" style="1866"/>
  </cols>
  <sheetData>
    <row r="1" spans="1:60" ht="14.25" hidden="1" customHeight="1">
      <c r="W1" s="238"/>
      <c r="Y1" s="238"/>
      <c r="Z1" s="238"/>
      <c r="AW1" s="238"/>
      <c r="AX1" s="238"/>
    </row>
    <row r="2" spans="1:60" ht="21" hidden="1" customHeight="1">
      <c r="A2" s="1224"/>
      <c r="B2" s="1224"/>
      <c r="C2" s="1224"/>
      <c r="D2" s="1224"/>
      <c r="E2" s="3528">
        <v>1</v>
      </c>
      <c r="F2" s="1224"/>
      <c r="G2" s="1224"/>
      <c r="H2" s="1224"/>
      <c r="I2" s="1224"/>
      <c r="J2" s="1224"/>
      <c r="K2" s="1224"/>
      <c r="L2" s="1225"/>
      <c r="M2" s="1226"/>
      <c r="N2" s="1226"/>
      <c r="O2" s="1226"/>
      <c r="P2" s="1270"/>
      <c r="Q2" s="750"/>
      <c r="R2" s="264"/>
      <c r="S2" s="1348" t="e">
        <f>INDEX(PT_DIFFERENTIATION_NUM_NTAR,MATCH(A2,PT_DIFFERENTIATION_NTAR_ID,0))</f>
        <v>#N/A</v>
      </c>
      <c r="T2" s="209" t="s">
        <v>391</v>
      </c>
      <c r="U2" s="211"/>
      <c r="V2" s="3523"/>
      <c r="W2" s="3523"/>
      <c r="X2" s="3523"/>
      <c r="Y2" s="3523"/>
      <c r="Z2" s="3523"/>
      <c r="AA2" s="3523"/>
      <c r="AB2" s="3523"/>
      <c r="AC2" s="3524"/>
      <c r="AD2" s="3522" t="e">
        <f>INDEX(PT_DIFFERENTIATION_NTAR,MATCH(A2,PT_DIFFERENTIATION_NTAR_ID,0))</f>
        <v>#N/A</v>
      </c>
      <c r="AE2" s="3523"/>
      <c r="AF2" s="3523"/>
      <c r="AG2" s="3523"/>
      <c r="AH2" s="3523"/>
      <c r="AI2" s="3523"/>
      <c r="AJ2" s="3523"/>
      <c r="AK2" s="3523"/>
      <c r="AL2" s="3523"/>
      <c r="AM2" s="3523"/>
      <c r="AN2" s="3523"/>
      <c r="AO2" s="3523"/>
      <c r="AP2" s="3523"/>
      <c r="AQ2" s="3523"/>
      <c r="AR2" s="3523"/>
      <c r="AS2" s="3523"/>
      <c r="AT2" s="3523"/>
      <c r="AU2" s="3523"/>
      <c r="AV2" s="3523"/>
      <c r="AW2" s="3523"/>
      <c r="AX2" s="3523"/>
      <c r="AY2" s="3523"/>
      <c r="AZ2" s="3523"/>
      <c r="BA2" s="3523"/>
      <c r="BB2" s="3524"/>
      <c r="BC2" s="112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398"/>
      <c r="BF2" s="398" t="str">
        <f t="shared" ref="BF2:BF8" si="0">IF(T2="","",T2)</f>
        <v>Наименование тарифа</v>
      </c>
      <c r="BG2" s="398"/>
      <c r="BH2" s="398"/>
    </row>
    <row r="3" spans="1:60" ht="21" hidden="1" customHeight="1">
      <c r="A3" s="1224"/>
      <c r="B3" s="1224"/>
      <c r="C3" s="1224"/>
      <c r="D3" s="1224"/>
      <c r="E3" s="3529"/>
      <c r="F3" s="3528">
        <v>1</v>
      </c>
      <c r="G3" s="1224"/>
      <c r="H3" s="1224"/>
      <c r="I3" s="1224"/>
      <c r="J3" s="1224"/>
      <c r="K3" s="1224"/>
      <c r="L3" s="1225"/>
      <c r="M3" s="1226"/>
      <c r="N3" s="1226"/>
      <c r="O3" s="1226"/>
      <c r="P3" s="1271"/>
      <c r="Q3" s="1272"/>
      <c r="R3" s="262"/>
      <c r="S3" s="1348" t="e">
        <f>INDEX(PT_DIFFERENTIATION_NUM_TER,MATCH(B3,PT_DIFFERENTIATION_TER_ID,0))</f>
        <v>#N/A</v>
      </c>
      <c r="T3" s="219" t="s">
        <v>659</v>
      </c>
      <c r="U3" s="211"/>
      <c r="V3" s="3523"/>
      <c r="W3" s="3523"/>
      <c r="X3" s="3523"/>
      <c r="Y3" s="3523"/>
      <c r="Z3" s="3523"/>
      <c r="AA3" s="3523"/>
      <c r="AB3" s="3523"/>
      <c r="AC3" s="3524"/>
      <c r="AD3" s="3522" t="e">
        <f>INDEX(PT_DIFFERENTIATION_TER,MATCH(B3,PT_DIFFERENTIATION_TER_ID,0))</f>
        <v>#N/A</v>
      </c>
      <c r="AE3" s="3523"/>
      <c r="AF3" s="3523"/>
      <c r="AG3" s="3523"/>
      <c r="AH3" s="3523"/>
      <c r="AI3" s="3523"/>
      <c r="AJ3" s="3523"/>
      <c r="AK3" s="3523"/>
      <c r="AL3" s="3523"/>
      <c r="AM3" s="3523"/>
      <c r="AN3" s="3523"/>
      <c r="AO3" s="3523"/>
      <c r="AP3" s="3523"/>
      <c r="AQ3" s="3523"/>
      <c r="AR3" s="3523"/>
      <c r="AS3" s="3523"/>
      <c r="AT3" s="3523"/>
      <c r="AU3" s="3523"/>
      <c r="AV3" s="3523"/>
      <c r="AW3" s="3523"/>
      <c r="AX3" s="3523"/>
      <c r="AY3" s="3523"/>
      <c r="AZ3" s="3523"/>
      <c r="BA3" s="3523"/>
      <c r="BB3" s="3524"/>
      <c r="BC3" s="1124" t="s">
        <v>660</v>
      </c>
      <c r="BE3" s="398"/>
      <c r="BF3" s="398" t="str">
        <f t="shared" si="0"/>
        <v>Территория действия тарифа</v>
      </c>
      <c r="BG3" s="398"/>
      <c r="BH3" s="398"/>
    </row>
    <row r="4" spans="1:60" ht="33.75" hidden="1" customHeight="1">
      <c r="A4" s="1224"/>
      <c r="B4" s="1224"/>
      <c r="C4" s="1224"/>
      <c r="D4" s="1224"/>
      <c r="E4" s="3529"/>
      <c r="F4" s="3529"/>
      <c r="G4" s="3528">
        <v>1</v>
      </c>
      <c r="H4" s="1224"/>
      <c r="I4" s="1224"/>
      <c r="J4" s="1224"/>
      <c r="K4" s="1224"/>
      <c r="L4" s="1225"/>
      <c r="M4" s="1226"/>
      <c r="N4" s="1226"/>
      <c r="O4" s="1226"/>
      <c r="P4" s="1273"/>
      <c r="Q4" s="1272"/>
      <c r="R4" s="262"/>
      <c r="S4" s="1348" t="e">
        <f>INDEX(PT_DIFFERENTIATION_NUM_CS,MATCH(C4,PT_DIFFERENTIATION_CS_ID,0))</f>
        <v>#N/A</v>
      </c>
      <c r="T4" s="220" t="s">
        <v>779</v>
      </c>
      <c r="U4" s="211"/>
      <c r="V4" s="3523"/>
      <c r="W4" s="3523"/>
      <c r="X4" s="3523"/>
      <c r="Y4" s="3523"/>
      <c r="Z4" s="3523"/>
      <c r="AA4" s="3523"/>
      <c r="AB4" s="3523"/>
      <c r="AC4" s="3524"/>
      <c r="AD4" s="3522" t="e">
        <f>INDEX(PT_DIFFERENTIATION_CS,MATCH(C4,PT_DIFFERENTIATION_CS_ID,0))</f>
        <v>#N/A</v>
      </c>
      <c r="AE4" s="3523"/>
      <c r="AF4" s="3523"/>
      <c r="AG4" s="3523"/>
      <c r="AH4" s="3523"/>
      <c r="AI4" s="3523"/>
      <c r="AJ4" s="3523"/>
      <c r="AK4" s="3523"/>
      <c r="AL4" s="3523"/>
      <c r="AM4" s="3523"/>
      <c r="AN4" s="3523"/>
      <c r="AO4" s="3523"/>
      <c r="AP4" s="3523"/>
      <c r="AQ4" s="3523"/>
      <c r="AR4" s="3523"/>
      <c r="AS4" s="3523"/>
      <c r="AT4" s="3523"/>
      <c r="AU4" s="3523"/>
      <c r="AV4" s="3523"/>
      <c r="AW4" s="3523"/>
      <c r="AX4" s="3523"/>
      <c r="AY4" s="3523"/>
      <c r="AZ4" s="3523"/>
      <c r="BA4" s="3523"/>
      <c r="BB4" s="3524"/>
      <c r="BC4" s="1124" t="s">
        <v>780</v>
      </c>
      <c r="BE4" s="398"/>
      <c r="BF4" s="398" t="str">
        <f t="shared" si="0"/>
        <v>Наименование централизованной системы водоотведения</v>
      </c>
      <c r="BG4" s="398"/>
      <c r="BH4" s="398"/>
    </row>
    <row r="5" spans="1:60" s="1866" customFormat="1" ht="14.25" hidden="1" customHeight="1">
      <c r="A5" s="1205"/>
      <c r="B5" s="1205"/>
      <c r="C5" s="1205"/>
      <c r="D5" s="1205"/>
      <c r="E5" s="3529"/>
      <c r="F5" s="3529"/>
      <c r="G5" s="3529"/>
      <c r="H5" s="3528">
        <v>1</v>
      </c>
      <c r="I5" s="1205"/>
      <c r="J5" s="1205"/>
      <c r="K5" s="1205"/>
      <c r="L5" s="1208"/>
      <c r="M5" s="1178"/>
      <c r="N5" s="1178"/>
      <c r="O5" s="1178"/>
      <c r="P5" s="1352"/>
      <c r="Q5" s="1353"/>
      <c r="R5" s="266"/>
      <c r="S5" s="912"/>
      <c r="T5" s="1354"/>
      <c r="U5" s="1245"/>
      <c r="V5" s="3560"/>
      <c r="W5" s="3560"/>
      <c r="X5" s="3560"/>
      <c r="Y5" s="3560"/>
      <c r="Z5" s="3560"/>
      <c r="AA5" s="3560"/>
      <c r="AB5" s="3560"/>
      <c r="AC5" s="3561"/>
      <c r="AD5" s="3559"/>
      <c r="AE5" s="3560"/>
      <c r="AF5" s="3560"/>
      <c r="AG5" s="3560"/>
      <c r="AH5" s="3560"/>
      <c r="AI5" s="3560"/>
      <c r="AJ5" s="3560"/>
      <c r="AK5" s="3560"/>
      <c r="AL5" s="3560"/>
      <c r="AM5" s="3560"/>
      <c r="AN5" s="3560"/>
      <c r="AO5" s="3560"/>
      <c r="AP5" s="3560"/>
      <c r="AQ5" s="3560"/>
      <c r="AR5" s="3560"/>
      <c r="AS5" s="3560"/>
      <c r="AT5" s="3560"/>
      <c r="AU5" s="3560"/>
      <c r="AV5" s="3560"/>
      <c r="AW5" s="3560"/>
      <c r="AX5" s="3560"/>
      <c r="AY5" s="3560"/>
      <c r="AZ5" s="3560"/>
      <c r="BA5" s="3560"/>
      <c r="BB5" s="3561"/>
      <c r="BC5" s="1246" t="s">
        <v>664</v>
      </c>
      <c r="BE5" s="398"/>
      <c r="BF5" s="398" t="str">
        <f t="shared" si="0"/>
        <v/>
      </c>
      <c r="BG5" s="398"/>
      <c r="BH5" s="398"/>
    </row>
    <row r="6" spans="1:60" s="1866" customFormat="1" ht="14.25" hidden="1" customHeight="1">
      <c r="A6" s="1205"/>
      <c r="B6" s="1205"/>
      <c r="C6" s="1205"/>
      <c r="D6" s="1205"/>
      <c r="E6" s="3529"/>
      <c r="F6" s="3529"/>
      <c r="G6" s="3529"/>
      <c r="H6" s="3529"/>
      <c r="I6" s="3530" t="str">
        <f>S5&amp;".1"</f>
        <v>.1</v>
      </c>
      <c r="J6" s="1205"/>
      <c r="K6" s="1205"/>
      <c r="L6" s="1208" t="s">
        <v>665</v>
      </c>
      <c r="M6" s="408"/>
      <c r="N6" s="408"/>
      <c r="O6" s="408"/>
      <c r="P6" s="3532">
        <v>1</v>
      </c>
      <c r="Q6" s="1336"/>
      <c r="R6" s="265"/>
      <c r="S6" s="912"/>
      <c r="T6" s="1244"/>
      <c r="U6" s="1245"/>
      <c r="V6" s="3560"/>
      <c r="W6" s="3560"/>
      <c r="X6" s="3560"/>
      <c r="Y6" s="3560"/>
      <c r="Z6" s="3560"/>
      <c r="AA6" s="3560"/>
      <c r="AB6" s="3560"/>
      <c r="AC6" s="3561"/>
      <c r="AD6" s="3559"/>
      <c r="AE6" s="3560"/>
      <c r="AF6" s="3560"/>
      <c r="AG6" s="3560"/>
      <c r="AH6" s="3560"/>
      <c r="AI6" s="3560"/>
      <c r="AJ6" s="3560"/>
      <c r="AK6" s="3560"/>
      <c r="AL6" s="3560"/>
      <c r="AM6" s="3560"/>
      <c r="AN6" s="3560"/>
      <c r="AO6" s="3560"/>
      <c r="AP6" s="3560"/>
      <c r="AQ6" s="3560"/>
      <c r="AR6" s="3560"/>
      <c r="AS6" s="3560"/>
      <c r="AT6" s="3560"/>
      <c r="AU6" s="3560"/>
      <c r="AV6" s="3560"/>
      <c r="AW6" s="3560"/>
      <c r="AX6" s="3560"/>
      <c r="AY6" s="3560"/>
      <c r="AZ6" s="3560"/>
      <c r="BA6" s="3560"/>
      <c r="BB6" s="3561"/>
      <c r="BC6" s="1246"/>
      <c r="BE6" s="398"/>
      <c r="BF6" s="398" t="str">
        <f t="shared" si="0"/>
        <v/>
      </c>
      <c r="BG6" s="398"/>
      <c r="BH6" s="398"/>
    </row>
    <row r="7" spans="1:60" s="1866" customFormat="1" ht="14.25" hidden="1" customHeight="1">
      <c r="A7" s="1205"/>
      <c r="B7" s="1205"/>
      <c r="C7" s="1205"/>
      <c r="D7" s="1205"/>
      <c r="E7" s="3529"/>
      <c r="F7" s="3529"/>
      <c r="G7" s="3529"/>
      <c r="H7" s="3529"/>
      <c r="I7" s="3531"/>
      <c r="J7" s="3530" t="str">
        <f>S5&amp;".1"</f>
        <v>.1</v>
      </c>
      <c r="K7" s="1205"/>
      <c r="L7" s="1208"/>
      <c r="M7" s="408"/>
      <c r="N7" s="408"/>
      <c r="O7" s="408"/>
      <c r="P7" s="3532"/>
      <c r="Q7" s="3532">
        <v>1</v>
      </c>
      <c r="R7" s="266"/>
      <c r="S7" s="912"/>
      <c r="T7" s="1260"/>
      <c r="U7" s="1245"/>
      <c r="V7" s="3560"/>
      <c r="W7" s="3560"/>
      <c r="X7" s="3560"/>
      <c r="Y7" s="3560"/>
      <c r="Z7" s="3560"/>
      <c r="AA7" s="3560"/>
      <c r="AB7" s="3560"/>
      <c r="AC7" s="3561"/>
      <c r="AD7" s="3559"/>
      <c r="AE7" s="3560"/>
      <c r="AF7" s="3560"/>
      <c r="AG7" s="3560"/>
      <c r="AH7" s="3560"/>
      <c r="AI7" s="3560"/>
      <c r="AJ7" s="3560"/>
      <c r="AK7" s="3560"/>
      <c r="AL7" s="3560"/>
      <c r="AM7" s="3560"/>
      <c r="AN7" s="3560"/>
      <c r="AO7" s="3560"/>
      <c r="AP7" s="3560"/>
      <c r="AQ7" s="3560"/>
      <c r="AR7" s="3560"/>
      <c r="AS7" s="3560"/>
      <c r="AT7" s="3560"/>
      <c r="AU7" s="3560"/>
      <c r="AV7" s="3560"/>
      <c r="AW7" s="3560"/>
      <c r="AX7" s="3560"/>
      <c r="AY7" s="3560"/>
      <c r="AZ7" s="3560"/>
      <c r="BA7" s="3560"/>
      <c r="BB7" s="3561"/>
      <c r="BC7" s="1246"/>
      <c r="BE7" s="398"/>
      <c r="BF7" s="398" t="str">
        <f t="shared" si="0"/>
        <v/>
      </c>
      <c r="BG7" s="398"/>
      <c r="BH7" s="398"/>
    </row>
    <row r="8" spans="1:60" ht="11.25" hidden="1" customHeight="1">
      <c r="A8" s="1224"/>
      <c r="B8" s="1224"/>
      <c r="C8" s="1224"/>
      <c r="D8" s="1224"/>
      <c r="E8" s="3529"/>
      <c r="F8" s="3529"/>
      <c r="G8" s="3529"/>
      <c r="H8" s="3529"/>
      <c r="I8" s="3531"/>
      <c r="J8" s="3531"/>
      <c r="K8" s="3530" t="e">
        <f>S4&amp;".1"</f>
        <v>#N/A</v>
      </c>
      <c r="L8" s="1225"/>
      <c r="P8" s="3532"/>
      <c r="Q8" s="3532"/>
      <c r="R8" s="3581">
        <v>1</v>
      </c>
      <c r="S8" s="3578" t="e">
        <f>$K8</f>
        <v>#N/A</v>
      </c>
      <c r="T8" s="3598"/>
      <c r="U8" s="211"/>
      <c r="V8" s="639"/>
      <c r="W8" s="1123"/>
      <c r="X8" s="639"/>
      <c r="Y8" s="1123"/>
      <c r="Z8" s="1577"/>
      <c r="AA8" s="1325" t="s">
        <v>64</v>
      </c>
      <c r="AB8" s="1577"/>
      <c r="AC8" s="1325" t="s">
        <v>64</v>
      </c>
      <c r="AD8" s="3471" t="s">
        <v>64</v>
      </c>
      <c r="AE8" s="3574"/>
      <c r="AF8" s="3484">
        <v>1</v>
      </c>
      <c r="AG8" s="3597"/>
      <c r="AH8" s="3412" t="s">
        <v>64</v>
      </c>
      <c r="AI8" s="3574"/>
      <c r="AJ8" s="3484">
        <v>1</v>
      </c>
      <c r="AK8" s="3596" t="s">
        <v>18</v>
      </c>
      <c r="AL8" s="3412" t="s">
        <v>64</v>
      </c>
      <c r="AM8" s="3459"/>
      <c r="AN8" s="3484">
        <v>1</v>
      </c>
      <c r="AO8" s="3601"/>
      <c r="AP8" s="3602" t="s">
        <v>64</v>
      </c>
      <c r="AQ8" s="222"/>
      <c r="AR8" s="1341">
        <v>1</v>
      </c>
      <c r="AS8" s="1347" t="s">
        <v>18</v>
      </c>
      <c r="AT8" s="639"/>
      <c r="AU8" s="1123"/>
      <c r="AV8" s="639"/>
      <c r="AW8" s="1123"/>
      <c r="AX8" s="1577"/>
      <c r="AY8" s="1325" t="s">
        <v>64</v>
      </c>
      <c r="AZ8" s="1577"/>
      <c r="BA8" s="1325" t="s">
        <v>64</v>
      </c>
      <c r="BB8" s="1210"/>
      <c r="BC8" s="3551" t="s">
        <v>764</v>
      </c>
      <c r="BE8" s="398"/>
      <c r="BF8" s="398" t="str">
        <f t="shared" si="0"/>
        <v/>
      </c>
      <c r="BG8" s="398"/>
      <c r="BH8" s="398"/>
    </row>
    <row r="9" spans="1:60" ht="11.25" hidden="1" customHeight="1">
      <c r="A9" s="1224"/>
      <c r="B9" s="1224"/>
      <c r="C9" s="1224"/>
      <c r="D9" s="1224"/>
      <c r="E9" s="3529"/>
      <c r="F9" s="3529"/>
      <c r="G9" s="3529"/>
      <c r="H9" s="3529"/>
      <c r="I9" s="3531"/>
      <c r="J9" s="3531"/>
      <c r="K9" s="3530"/>
      <c r="L9" s="1225"/>
      <c r="P9" s="3532"/>
      <c r="Q9" s="3532"/>
      <c r="R9" s="3581"/>
      <c r="S9" s="3579"/>
      <c r="T9" s="3599"/>
      <c r="U9" s="211"/>
      <c r="V9" s="1254"/>
      <c r="W9" s="1351"/>
      <c r="X9" s="1254"/>
      <c r="Y9" s="1351"/>
      <c r="Z9" s="1254"/>
      <c r="AA9" s="1254"/>
      <c r="AB9" s="1254"/>
      <c r="AC9" s="1254"/>
      <c r="AD9" s="3472"/>
      <c r="AE9" s="3574"/>
      <c r="AF9" s="3484"/>
      <c r="AG9" s="3597"/>
      <c r="AH9" s="3412"/>
      <c r="AI9" s="3574"/>
      <c r="AJ9" s="3484"/>
      <c r="AK9" s="3596"/>
      <c r="AL9" s="3412"/>
      <c r="AM9" s="3464"/>
      <c r="AN9" s="3484"/>
      <c r="AO9" s="3601"/>
      <c r="AP9" s="3603"/>
      <c r="AQ9" s="227"/>
      <c r="AR9" s="323"/>
      <c r="AS9" s="323" t="s">
        <v>765</v>
      </c>
      <c r="AT9" s="1254"/>
      <c r="AU9" s="1351"/>
      <c r="AV9" s="1254"/>
      <c r="AW9" s="1351"/>
      <c r="AX9" s="1254"/>
      <c r="AY9" s="1254"/>
      <c r="AZ9" s="1254"/>
      <c r="BA9" s="1254"/>
      <c r="BB9" s="1258"/>
      <c r="BC9" s="3552"/>
      <c r="BE9" s="398"/>
      <c r="BF9" s="398"/>
      <c r="BG9" s="398"/>
      <c r="BH9" s="398"/>
    </row>
    <row r="10" spans="1:60" ht="11.25" hidden="1" customHeight="1">
      <c r="A10" s="1224"/>
      <c r="B10" s="1224"/>
      <c r="C10" s="1224"/>
      <c r="D10" s="1224"/>
      <c r="E10" s="3529"/>
      <c r="F10" s="3529"/>
      <c r="G10" s="3529"/>
      <c r="H10" s="3529"/>
      <c r="I10" s="3531"/>
      <c r="J10" s="3531"/>
      <c r="K10" s="3530"/>
      <c r="L10" s="1225"/>
      <c r="P10" s="3532"/>
      <c r="Q10" s="3532"/>
      <c r="R10" s="3581"/>
      <c r="S10" s="3579"/>
      <c r="T10" s="3599"/>
      <c r="U10" s="211"/>
      <c r="V10" s="1254"/>
      <c r="W10" s="1351"/>
      <c r="X10" s="1254"/>
      <c r="Y10" s="1351"/>
      <c r="Z10" s="1254"/>
      <c r="AA10" s="1254"/>
      <c r="AB10" s="1254"/>
      <c r="AC10" s="1254"/>
      <c r="AD10" s="3472"/>
      <c r="AE10" s="3574"/>
      <c r="AF10" s="3484"/>
      <c r="AG10" s="3597"/>
      <c r="AH10" s="3412"/>
      <c r="AI10" s="3574"/>
      <c r="AJ10" s="3484"/>
      <c r="AK10" s="3596"/>
      <c r="AL10" s="3412"/>
      <c r="AM10" s="227"/>
      <c r="AN10" s="1355"/>
      <c r="AO10" s="1355" t="s">
        <v>785</v>
      </c>
      <c r="AP10" s="323"/>
      <c r="AQ10" s="323"/>
      <c r="AR10" s="323"/>
      <c r="AS10" s="1254"/>
      <c r="AT10" s="1254"/>
      <c r="AU10" s="1351"/>
      <c r="AV10" s="1254"/>
      <c r="AW10" s="1351"/>
      <c r="AX10" s="1254"/>
      <c r="AY10" s="1254"/>
      <c r="AZ10" s="1254"/>
      <c r="BA10" s="1254"/>
      <c r="BB10" s="1258"/>
      <c r="BC10" s="3552"/>
      <c r="BE10" s="398"/>
      <c r="BF10" s="398"/>
      <c r="BG10" s="398"/>
      <c r="BH10" s="398"/>
    </row>
    <row r="11" spans="1:60" ht="11.25" hidden="1" customHeight="1">
      <c r="A11" s="1224"/>
      <c r="B11" s="1224"/>
      <c r="C11" s="1224"/>
      <c r="D11" s="1224"/>
      <c r="E11" s="3529"/>
      <c r="F11" s="3529"/>
      <c r="G11" s="3529"/>
      <c r="H11" s="3529"/>
      <c r="I11" s="3531"/>
      <c r="J11" s="3531"/>
      <c r="K11" s="3530"/>
      <c r="L11" s="1225"/>
      <c r="P11" s="3532"/>
      <c r="Q11" s="3532"/>
      <c r="R11" s="3581"/>
      <c r="S11" s="3579"/>
      <c r="T11" s="3599"/>
      <c r="U11" s="211"/>
      <c r="V11" s="1254"/>
      <c r="W11" s="1351"/>
      <c r="X11" s="1254"/>
      <c r="Y11" s="1351"/>
      <c r="Z11" s="1254"/>
      <c r="AA11" s="1254"/>
      <c r="AB11" s="1254"/>
      <c r="AC11" s="1254"/>
      <c r="AD11" s="3472"/>
      <c r="AE11" s="3574"/>
      <c r="AF11" s="3484"/>
      <c r="AG11" s="3597"/>
      <c r="AH11" s="3412"/>
      <c r="AI11" s="205"/>
      <c r="AJ11" s="322"/>
      <c r="AK11" s="224" t="s">
        <v>786</v>
      </c>
      <c r="AL11" s="1254"/>
      <c r="AM11" s="1254"/>
      <c r="AN11" s="1254"/>
      <c r="AO11" s="1254"/>
      <c r="AP11" s="1254"/>
      <c r="AQ11" s="1254"/>
      <c r="AR11" s="1254"/>
      <c r="AS11" s="1254"/>
      <c r="AT11" s="1254"/>
      <c r="AU11" s="1351"/>
      <c r="AV11" s="1254"/>
      <c r="AW11" s="1351"/>
      <c r="AX11" s="1254"/>
      <c r="AY11" s="1254"/>
      <c r="AZ11" s="1254"/>
      <c r="BA11" s="1254"/>
      <c r="BB11" s="1258"/>
      <c r="BC11" s="3552"/>
      <c r="BE11" s="398"/>
      <c r="BF11" s="398"/>
      <c r="BG11" s="398"/>
      <c r="BH11" s="398"/>
    </row>
    <row r="12" spans="1:60" ht="11.25" hidden="1" customHeight="1">
      <c r="A12" s="1224"/>
      <c r="B12" s="1224"/>
      <c r="C12" s="1224"/>
      <c r="D12" s="1224"/>
      <c r="E12" s="3529"/>
      <c r="F12" s="3529"/>
      <c r="G12" s="3529"/>
      <c r="H12" s="3529"/>
      <c r="I12" s="3531"/>
      <c r="J12" s="3531"/>
      <c r="K12" s="3530"/>
      <c r="L12" s="1225"/>
      <c r="P12" s="3532"/>
      <c r="Q12" s="3532"/>
      <c r="R12" s="3581"/>
      <c r="S12" s="3580"/>
      <c r="T12" s="3600"/>
      <c r="U12" s="211"/>
      <c r="V12" s="1254"/>
      <c r="W12" s="1255" t="str">
        <f>Z8&amp;"-"&amp;AB8</f>
        <v>-</v>
      </c>
      <c r="X12" s="1254"/>
      <c r="Y12" s="1255" t="str">
        <f>AB8&amp;"-"&amp;AD8</f>
        <v>-да</v>
      </c>
      <c r="Z12" s="1254"/>
      <c r="AA12" s="1254"/>
      <c r="AB12" s="1254"/>
      <c r="AC12" s="1254"/>
      <c r="AD12" s="3417"/>
      <c r="AE12" s="223"/>
      <c r="AF12" s="225"/>
      <c r="AG12" s="323" t="s">
        <v>768</v>
      </c>
      <c r="AH12" s="1254"/>
      <c r="AI12" s="1254"/>
      <c r="AJ12" s="1254"/>
      <c r="AK12" s="1254"/>
      <c r="AL12" s="1254"/>
      <c r="AM12" s="1254"/>
      <c r="AN12" s="1254"/>
      <c r="AO12" s="1254"/>
      <c r="AP12" s="1254"/>
      <c r="AQ12" s="1254"/>
      <c r="AR12" s="1254"/>
      <c r="AS12" s="1254"/>
      <c r="AT12" s="1254"/>
      <c r="AU12" s="1255" t="str">
        <f>AX8&amp;"-"&amp;AZ8</f>
        <v>-</v>
      </c>
      <c r="AV12" s="1254"/>
      <c r="AW12" s="1255" t="str">
        <f>AZ8&amp;"-"&amp;BB8</f>
        <v>-</v>
      </c>
      <c r="AX12" s="1254"/>
      <c r="AY12" s="1254"/>
      <c r="AZ12" s="1254"/>
      <c r="BA12" s="1254"/>
      <c r="BB12" s="1257" t="str">
        <f>BE8&amp;"-"&amp;BG8</f>
        <v>-</v>
      </c>
      <c r="BC12" s="3552"/>
      <c r="BE12" s="398"/>
      <c r="BF12" s="398" t="str">
        <f t="shared" ref="BF12:BF18" si="1">IF(T12="","",T12)</f>
        <v/>
      </c>
      <c r="BG12" s="398"/>
      <c r="BH12" s="398"/>
    </row>
    <row r="13" spans="1:60" ht="11.25" hidden="1" customHeight="1">
      <c r="A13" s="1224"/>
      <c r="B13" s="1224"/>
      <c r="C13" s="1224"/>
      <c r="D13" s="1224"/>
      <c r="E13" s="3529"/>
      <c r="F13" s="3529"/>
      <c r="G13" s="3529"/>
      <c r="H13" s="3529"/>
      <c r="I13" s="3531"/>
      <c r="J13" s="3530"/>
      <c r="K13" s="1224"/>
      <c r="L13" s="1225"/>
      <c r="P13" s="3532"/>
      <c r="Q13" s="3532"/>
      <c r="R13" s="265"/>
      <c r="S13" s="1144"/>
      <c r="T13" s="199" t="s">
        <v>730</v>
      </c>
      <c r="U13" s="275"/>
      <c r="V13" s="275"/>
      <c r="W13" s="275"/>
      <c r="X13" s="275"/>
      <c r="Y13" s="275"/>
      <c r="Z13" s="275"/>
      <c r="AA13" s="275"/>
      <c r="AB13" s="275"/>
      <c r="AC13" s="275"/>
      <c r="AD13" s="1360"/>
      <c r="AE13" s="275"/>
      <c r="AF13" s="275"/>
      <c r="AG13" s="275"/>
      <c r="AH13" s="275"/>
      <c r="AI13" s="275"/>
      <c r="AJ13" s="275"/>
      <c r="AK13" s="275"/>
      <c r="AL13" s="275"/>
      <c r="AM13" s="275"/>
      <c r="AN13" s="275"/>
      <c r="AO13" s="275"/>
      <c r="AP13" s="275"/>
      <c r="AQ13" s="275"/>
      <c r="AR13" s="275"/>
      <c r="AS13" s="275"/>
      <c r="AT13" s="275"/>
      <c r="AU13" s="275"/>
      <c r="AV13" s="275"/>
      <c r="AW13" s="275"/>
      <c r="AX13" s="275"/>
      <c r="AY13" s="275"/>
      <c r="AZ13" s="275"/>
      <c r="BA13" s="275"/>
      <c r="BB13" s="235"/>
      <c r="BC13" s="3553"/>
      <c r="BE13" s="398"/>
      <c r="BF13" s="398" t="str">
        <f t="shared" si="1"/>
        <v>Добавить строку</v>
      </c>
      <c r="BG13" s="398"/>
      <c r="BH13" s="398"/>
    </row>
    <row r="14" spans="1:60" s="1866" customFormat="1" ht="14.25" hidden="1" customHeight="1">
      <c r="A14" s="1205"/>
      <c r="B14" s="1205"/>
      <c r="C14" s="1205"/>
      <c r="D14" s="1205"/>
      <c r="E14" s="3529"/>
      <c r="F14" s="3529"/>
      <c r="G14" s="3529"/>
      <c r="H14" s="3529"/>
      <c r="I14" s="3530"/>
      <c r="J14" s="1205"/>
      <c r="K14" s="1205"/>
      <c r="L14" s="1208"/>
      <c r="M14" s="408"/>
      <c r="N14" s="408"/>
      <c r="O14" s="408"/>
      <c r="P14" s="3532"/>
      <c r="Q14" s="1336"/>
      <c r="R14" s="265"/>
      <c r="S14" s="1247"/>
      <c r="T14" s="1248"/>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V14" s="1249"/>
      <c r="AW14" s="1249"/>
      <c r="AX14" s="1249"/>
      <c r="AY14" s="1249"/>
      <c r="AZ14" s="1249"/>
      <c r="BA14" s="1249"/>
      <c r="BB14" s="1249"/>
      <c r="BC14" s="1250"/>
      <c r="BE14" s="398"/>
      <c r="BF14" s="398" t="str">
        <f t="shared" si="1"/>
        <v/>
      </c>
      <c r="BG14" s="398"/>
      <c r="BH14" s="398"/>
    </row>
    <row r="15" spans="1:60" s="1866" customFormat="1" ht="14.25" hidden="1" customHeight="1">
      <c r="A15" s="1205"/>
      <c r="B15" s="1205"/>
      <c r="C15" s="1205"/>
      <c r="D15" s="1205"/>
      <c r="E15" s="3529"/>
      <c r="F15" s="3529"/>
      <c r="G15" s="3529"/>
      <c r="H15" s="3528"/>
      <c r="I15" s="1205"/>
      <c r="J15" s="1205"/>
      <c r="K15" s="1205"/>
      <c r="L15" s="1208"/>
      <c r="M15" s="1178"/>
      <c r="N15" s="1178"/>
      <c r="O15" s="416"/>
      <c r="P15" s="287"/>
      <c r="Q15" s="1206"/>
      <c r="R15" s="1262"/>
      <c r="S15" s="1247"/>
      <c r="T15" s="1248"/>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V15" s="1249"/>
      <c r="AW15" s="1249"/>
      <c r="AX15" s="1249"/>
      <c r="AY15" s="1249"/>
      <c r="AZ15" s="1249"/>
      <c r="BA15" s="1249"/>
      <c r="BB15" s="1249"/>
      <c r="BC15" s="1250"/>
      <c r="BE15" s="398"/>
      <c r="BF15" s="398" t="str">
        <f t="shared" si="1"/>
        <v/>
      </c>
      <c r="BG15" s="398"/>
      <c r="BH15" s="398"/>
    </row>
    <row r="16" spans="1:60" s="1866" customFormat="1" ht="14.25" hidden="1" customHeight="1">
      <c r="A16" s="1205"/>
      <c r="B16" s="1205"/>
      <c r="C16" s="1205"/>
      <c r="D16" s="1177"/>
      <c r="E16" s="3529"/>
      <c r="F16" s="3529"/>
      <c r="G16" s="3528"/>
      <c r="H16" s="1177"/>
      <c r="I16" s="1177"/>
      <c r="J16" s="1177"/>
      <c r="K16" s="1177"/>
      <c r="L16" s="1349"/>
      <c r="M16" s="1178"/>
      <c r="N16" s="1178"/>
      <c r="P16" s="1179"/>
      <c r="Q16" s="1180"/>
      <c r="R16" s="1179"/>
      <c r="S16" s="1185"/>
      <c r="T16" s="1188"/>
      <c r="U16" s="1187"/>
      <c r="V16" s="1187"/>
      <c r="W16" s="1187"/>
      <c r="X16" s="1187"/>
      <c r="Y16" s="1187"/>
      <c r="Z16" s="1187"/>
      <c r="AA16" s="1187"/>
      <c r="AB16" s="1187"/>
      <c r="AC16" s="1187"/>
      <c r="AD16" s="1187"/>
      <c r="AE16" s="1187"/>
      <c r="AF16" s="1187"/>
      <c r="AG16" s="1187"/>
      <c r="AH16" s="1187"/>
      <c r="AI16" s="1187"/>
      <c r="AJ16" s="1187"/>
      <c r="AK16" s="1187"/>
      <c r="AL16" s="1187"/>
      <c r="AM16" s="1187"/>
      <c r="AN16" s="1187"/>
      <c r="AO16" s="1187"/>
      <c r="AP16" s="1187"/>
      <c r="AQ16" s="1187"/>
      <c r="AR16" s="1187"/>
      <c r="AS16" s="1187"/>
      <c r="AT16" s="1187"/>
      <c r="AU16" s="1187"/>
      <c r="AV16" s="1187"/>
      <c r="AW16" s="1187"/>
      <c r="AX16" s="1187"/>
      <c r="AY16" s="1187"/>
      <c r="AZ16" s="1187"/>
      <c r="BA16" s="1187"/>
      <c r="BB16" s="1187"/>
      <c r="BC16" s="1187"/>
      <c r="BE16" s="670"/>
      <c r="BF16" s="670" t="str">
        <f t="shared" si="1"/>
        <v/>
      </c>
      <c r="BG16" s="670"/>
      <c r="BH16" s="670"/>
    </row>
    <row r="17" spans="1:60" s="1866" customFormat="1" ht="14.25" hidden="1" customHeight="1">
      <c r="A17" s="1205"/>
      <c r="B17" s="1205"/>
      <c r="C17" s="1177"/>
      <c r="D17" s="1177"/>
      <c r="E17" s="3529"/>
      <c r="F17" s="3528"/>
      <c r="G17" s="1177"/>
      <c r="H17" s="1177"/>
      <c r="I17" s="1177"/>
      <c r="J17" s="1177"/>
      <c r="K17" s="1177"/>
      <c r="L17" s="1349"/>
      <c r="M17" s="1184"/>
      <c r="N17" s="1184"/>
      <c r="P17" s="1179"/>
      <c r="Q17" s="1180"/>
      <c r="R17" s="1179"/>
      <c r="S17" s="1185"/>
      <c r="T17" s="1188" t="s">
        <v>677</v>
      </c>
      <c r="U17" s="1187"/>
      <c r="V17" s="1187"/>
      <c r="W17" s="1187"/>
      <c r="X17" s="1187"/>
      <c r="Y17" s="1187"/>
      <c r="Z17" s="1187"/>
      <c r="AA17" s="1187"/>
      <c r="AB17" s="1187"/>
      <c r="AC17" s="1187"/>
      <c r="AD17" s="1187"/>
      <c r="AE17" s="1187"/>
      <c r="AF17" s="1187"/>
      <c r="AG17" s="1187"/>
      <c r="AH17" s="1187"/>
      <c r="AI17" s="1187"/>
      <c r="AJ17" s="1187"/>
      <c r="AK17" s="1187"/>
      <c r="AL17" s="1187"/>
      <c r="AM17" s="1187"/>
      <c r="AN17" s="1187"/>
      <c r="AO17" s="1187"/>
      <c r="AP17" s="1187"/>
      <c r="AQ17" s="1187"/>
      <c r="AR17" s="1187"/>
      <c r="AS17" s="1187"/>
      <c r="AT17" s="1187"/>
      <c r="AU17" s="1187"/>
      <c r="AV17" s="1187"/>
      <c r="AW17" s="1187"/>
      <c r="AX17" s="1187"/>
      <c r="AY17" s="1187"/>
      <c r="AZ17" s="1187"/>
      <c r="BA17" s="1187"/>
      <c r="BB17" s="1187"/>
      <c r="BC17" s="1187"/>
      <c r="BE17" s="670"/>
      <c r="BF17" s="670" t="str">
        <f t="shared" si="1"/>
        <v>Добавить централизованную систему для дифференциации</v>
      </c>
      <c r="BG17" s="670"/>
      <c r="BH17" s="670"/>
    </row>
    <row r="18" spans="1:60" s="1866" customFormat="1" ht="14.25" hidden="1" customHeight="1">
      <c r="A18" s="1205"/>
      <c r="B18" s="1205"/>
      <c r="C18" s="1205"/>
      <c r="D18" s="1205"/>
      <c r="E18" s="3528"/>
      <c r="F18" s="1205"/>
      <c r="G18" s="1205"/>
      <c r="H18" s="1205"/>
      <c r="I18" s="1205"/>
      <c r="J18" s="1205"/>
      <c r="K18" s="1205"/>
      <c r="L18" s="1208"/>
      <c r="M18" s="1184"/>
      <c r="N18" s="1184"/>
      <c r="O18" s="416"/>
      <c r="P18" s="287"/>
      <c r="Q18" s="1206"/>
      <c r="R18" s="287"/>
      <c r="S18" s="1185"/>
      <c r="T18" s="1188" t="s">
        <v>678</v>
      </c>
      <c r="U18" s="1187"/>
      <c r="V18" s="1187"/>
      <c r="W18" s="1187"/>
      <c r="X18" s="1187"/>
      <c r="Y18" s="1187"/>
      <c r="Z18" s="1187"/>
      <c r="AA18" s="1187"/>
      <c r="AB18" s="1187"/>
      <c r="AC18" s="1187"/>
      <c r="AD18" s="1187"/>
      <c r="AE18" s="1187"/>
      <c r="AF18" s="1187"/>
      <c r="AG18" s="1187"/>
      <c r="AH18" s="1187"/>
      <c r="AI18" s="1187"/>
      <c r="AJ18" s="1187"/>
      <c r="AK18" s="1187"/>
      <c r="AL18" s="1187"/>
      <c r="AM18" s="1187"/>
      <c r="AN18" s="1187"/>
      <c r="AO18" s="1187"/>
      <c r="AP18" s="1187"/>
      <c r="AQ18" s="1187"/>
      <c r="AR18" s="1187"/>
      <c r="AS18" s="1187"/>
      <c r="AT18" s="1187"/>
      <c r="AU18" s="1187"/>
      <c r="AV18" s="1187"/>
      <c r="AW18" s="1187"/>
      <c r="AX18" s="1187"/>
      <c r="AY18" s="1187"/>
      <c r="AZ18" s="1187"/>
      <c r="BA18" s="1187"/>
      <c r="BB18" s="1187"/>
      <c r="BC18" s="1187"/>
      <c r="BE18" s="398"/>
      <c r="BF18" s="398" t="str">
        <f t="shared" si="1"/>
        <v>Добавить территорию для дифференциации</v>
      </c>
      <c r="BG18" s="398"/>
      <c r="BH18" s="398"/>
    </row>
    <row r="19" spans="1:60" ht="14.25" hidden="1" customHeight="1">
      <c r="AC19" s="238"/>
      <c r="BA19" s="238"/>
    </row>
    <row r="20" spans="1:60" ht="14.25" hidden="1" customHeight="1">
      <c r="AD20" s="1187" t="s">
        <v>54</v>
      </c>
      <c r="AE20" s="1356"/>
      <c r="AF20" s="445">
        <v>1</v>
      </c>
      <c r="AG20" s="1357"/>
      <c r="AH20" s="1187" t="s">
        <v>54</v>
      </c>
      <c r="AI20" s="1356"/>
      <c r="AJ20" s="445">
        <v>1</v>
      </c>
      <c r="AK20" s="1357"/>
      <c r="AL20" s="1187" t="s">
        <v>54</v>
      </c>
      <c r="AM20" s="1358"/>
      <c r="AN20" s="445">
        <v>1</v>
      </c>
      <c r="AO20" s="1359"/>
      <c r="AP20" s="1187" t="s">
        <v>54</v>
      </c>
      <c r="AQ20" s="1358"/>
      <c r="AR20" s="445">
        <v>1</v>
      </c>
      <c r="AS20" s="1359"/>
      <c r="AT20" s="236"/>
      <c r="AU20" s="291"/>
      <c r="AV20" s="236"/>
      <c r="AW20" s="291"/>
      <c r="AX20" s="1579"/>
      <c r="AY20" s="1340" t="s">
        <v>64</v>
      </c>
      <c r="AZ20" s="1579"/>
      <c r="BA20" s="1340" t="s">
        <v>64</v>
      </c>
    </row>
    <row r="21" spans="1:60" ht="14.25" hidden="1" customHeight="1">
      <c r="BD21" s="394"/>
      <c r="BE21" s="394"/>
      <c r="BF21" s="394"/>
      <c r="BG21" s="394"/>
      <c r="BH21" s="394"/>
    </row>
    <row r="22" spans="1:60" ht="14.25" hidden="1" customHeight="1">
      <c r="O22" s="1228" t="s">
        <v>679</v>
      </c>
      <c r="Z22" s="1207"/>
      <c r="AB22" s="1207"/>
      <c r="AC22" s="238"/>
      <c r="AX22" s="1207"/>
      <c r="AZ22" s="1207"/>
      <c r="BA22" s="238"/>
      <c r="BD22" s="394"/>
      <c r="BE22" s="394"/>
      <c r="BF22" s="394"/>
      <c r="BG22" s="394"/>
      <c r="BH22" s="394"/>
    </row>
    <row r="23" spans="1:60" ht="14.25" hidden="1" customHeight="1">
      <c r="AC23" s="238"/>
      <c r="BA23" s="238"/>
      <c r="BD23" s="394"/>
      <c r="BE23" s="394"/>
      <c r="BF23" s="394"/>
      <c r="BG23" s="394"/>
      <c r="BH23" s="394"/>
    </row>
    <row r="24" spans="1:60" s="1841" customFormat="1" ht="14.25" hidden="1" customHeight="1">
      <c r="M24" s="1363"/>
      <c r="N24" s="1363"/>
      <c r="O24" s="1364" t="s">
        <v>680</v>
      </c>
      <c r="P24" s="1363"/>
      <c r="Q24" s="1365"/>
      <c r="R24" s="1365"/>
      <c r="AA24" s="1362" t="s">
        <v>682</v>
      </c>
      <c r="AC24" s="1362" t="s">
        <v>683</v>
      </c>
      <c r="AD24" s="1362" t="s">
        <v>731</v>
      </c>
      <c r="AH24" s="1362" t="s">
        <v>731</v>
      </c>
      <c r="AK24" s="1362" t="s">
        <v>769</v>
      </c>
      <c r="AL24" s="1362" t="s">
        <v>731</v>
      </c>
      <c r="AP24" s="1362" t="s">
        <v>731</v>
      </c>
      <c r="AY24" s="1362" t="s">
        <v>682</v>
      </c>
      <c r="BA24" s="1362" t="s">
        <v>683</v>
      </c>
      <c r="BD24" s="1366"/>
      <c r="BE24" s="1366"/>
      <c r="BF24" s="1366"/>
      <c r="BG24" s="1366"/>
      <c r="BH24" s="1366"/>
    </row>
    <row r="25" spans="1:60" ht="14.25" hidden="1" customHeight="1">
      <c r="O25" s="1225"/>
      <c r="BD25" s="394"/>
      <c r="BE25" s="394"/>
      <c r="BF25" s="394"/>
      <c r="BG25" s="394"/>
      <c r="BH25" s="394"/>
    </row>
    <row r="26" spans="1:60" ht="14.25" hidden="1" customHeight="1">
      <c r="O26" s="1225"/>
      <c r="BD26" s="394"/>
      <c r="BE26" s="394"/>
      <c r="BF26" s="394"/>
      <c r="BG26" s="394"/>
      <c r="BH26" s="394"/>
    </row>
    <row r="27" spans="1:60" ht="14.25" customHeight="1">
      <c r="Q27" s="203"/>
      <c r="R27" s="283"/>
      <c r="S27" s="1141"/>
      <c r="T27" s="272"/>
      <c r="U27" s="272"/>
      <c r="V27" s="407"/>
      <c r="W27" s="407"/>
      <c r="X27" s="407"/>
      <c r="Y27" s="407"/>
      <c r="Z27" s="407"/>
      <c r="AA27" s="407"/>
      <c r="AB27" s="407"/>
      <c r="AC27" s="407"/>
      <c r="AD27" s="407"/>
      <c r="AE27" s="407"/>
      <c r="AF27" s="407"/>
      <c r="AG27" s="407"/>
      <c r="AH27" s="407"/>
      <c r="AI27" s="407"/>
      <c r="AJ27" s="407"/>
      <c r="AK27" s="407"/>
      <c r="AL27" s="407"/>
      <c r="AM27" s="407"/>
      <c r="AN27" s="407"/>
      <c r="AO27" s="407"/>
      <c r="AP27" s="407"/>
      <c r="AQ27" s="407"/>
      <c r="AR27" s="407"/>
      <c r="AS27" s="407"/>
      <c r="AT27" s="407"/>
      <c r="AU27" s="407"/>
      <c r="AV27" s="407"/>
      <c r="AW27" s="407"/>
      <c r="AX27" s="407"/>
      <c r="AY27" s="407"/>
      <c r="AZ27" s="407"/>
      <c r="BA27" s="407"/>
    </row>
    <row r="28" spans="1:60" ht="14.25" customHeight="1">
      <c r="Q28" s="203"/>
      <c r="R28" s="283"/>
      <c r="S28" s="350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3509"/>
      <c r="U28" s="3509"/>
      <c r="V28" s="3509"/>
      <c r="W28" s="3509"/>
      <c r="X28" s="3509"/>
      <c r="Y28" s="3509"/>
      <c r="Z28" s="3509"/>
      <c r="AA28" s="3509"/>
      <c r="AB28" s="3509"/>
      <c r="AC28" s="3509"/>
      <c r="AD28" s="3509"/>
      <c r="AE28" s="3509"/>
      <c r="AF28" s="3509"/>
      <c r="AG28" s="3509"/>
      <c r="AH28" s="3509"/>
      <c r="AI28" s="3509"/>
      <c r="AJ28" s="3509"/>
      <c r="AK28" s="3509"/>
      <c r="AL28" s="3509"/>
      <c r="AM28" s="3509"/>
      <c r="AN28" s="3509"/>
      <c r="AO28" s="3509"/>
      <c r="AP28" s="3509"/>
      <c r="AQ28" s="3509"/>
      <c r="AR28" s="3509"/>
      <c r="AS28" s="3509"/>
      <c r="AT28" s="3509"/>
      <c r="AU28" s="3509"/>
      <c r="AV28" s="3509"/>
      <c r="AW28" s="3509"/>
      <c r="AX28" s="3509"/>
      <c r="AY28" s="3509"/>
      <c r="AZ28" s="3509"/>
      <c r="BA28" s="1109"/>
    </row>
    <row r="29" spans="1:60" ht="14.25" customHeight="1">
      <c r="Q29" s="203"/>
      <c r="R29" s="283"/>
      <c r="S29" s="3480" t="str">
        <f>IF(org=0,"Не определено",org)</f>
        <v>АО "Орелгортеплоэнерго"</v>
      </c>
      <c r="T29" s="3480"/>
      <c r="U29" s="3480"/>
      <c r="V29" s="3480"/>
      <c r="W29" s="3480"/>
      <c r="X29" s="3480"/>
      <c r="Y29" s="3480"/>
      <c r="Z29" s="3480"/>
      <c r="AA29" s="3480"/>
      <c r="AB29" s="3480"/>
      <c r="AC29" s="3480"/>
      <c r="AD29" s="3480"/>
      <c r="AE29" s="3480"/>
      <c r="AF29" s="3480"/>
      <c r="AG29" s="3480"/>
      <c r="AH29" s="3480"/>
      <c r="AI29" s="3480"/>
      <c r="AJ29" s="3480"/>
      <c r="AK29" s="3480"/>
      <c r="AL29" s="3480"/>
      <c r="AM29" s="3480"/>
      <c r="AN29" s="3480"/>
      <c r="AO29" s="3480"/>
      <c r="AP29" s="3480"/>
      <c r="AQ29" s="3480"/>
      <c r="AR29" s="3480"/>
      <c r="AS29" s="3480"/>
      <c r="AT29" s="3480"/>
      <c r="AU29" s="3480"/>
      <c r="AV29" s="3480"/>
      <c r="AW29" s="3480"/>
      <c r="AX29" s="3480"/>
      <c r="AY29" s="3480"/>
      <c r="AZ29" s="3480"/>
      <c r="BA29" s="1109"/>
    </row>
    <row r="30" spans="1:60" ht="14.25" hidden="1" customHeight="1">
      <c r="Q30" s="203"/>
      <c r="R30" s="283"/>
      <c r="S30" s="1141"/>
      <c r="T30" s="272"/>
      <c r="U30" s="272"/>
      <c r="V30" s="233"/>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407"/>
    </row>
    <row r="31" spans="1:60" s="1944" customFormat="1" ht="25.5" hidden="1" customHeight="1">
      <c r="A31" s="1229"/>
      <c r="B31" s="1229"/>
      <c r="C31" s="1229"/>
      <c r="D31" s="1229"/>
      <c r="E31" s="1229"/>
      <c r="F31" s="1229"/>
      <c r="G31" s="1229"/>
      <c r="H31" s="1229"/>
      <c r="I31" s="1229"/>
      <c r="J31" s="1229"/>
      <c r="K31" s="1229"/>
      <c r="L31" s="1230"/>
      <c r="M31" s="1229"/>
      <c r="N31" s="1229"/>
      <c r="O31" s="1229"/>
      <c r="P31" s="1229"/>
      <c r="Q31" s="1229"/>
      <c r="S31" s="3519" t="s">
        <v>38</v>
      </c>
      <c r="T31" s="3519"/>
      <c r="U31" s="1233"/>
      <c r="V31" s="3521" t="str">
        <f>IF(TITLE_NAME_OR_PR_CHANGE="",IF(TITLE_NAME_OR_PR="","",TITLE_NAME_OR_PR),TITLE_NAME_OR_PR_CHANGE)</f>
        <v/>
      </c>
      <c r="W31" s="3521"/>
      <c r="X31" s="3521"/>
      <c r="Y31" s="3521"/>
      <c r="Z31" s="3521"/>
      <c r="AA31" s="3521"/>
      <c r="AB31" s="3521"/>
      <c r="AC31" s="237"/>
      <c r="AD31" s="3521" t="str">
        <f>IF(TITLE_NAME_OR_PR_CHANGE="",IF(TITLE_NAME_OR_PR="","",TITLE_NAME_OR_PR),TITLE_NAME_OR_PR_CHANGE)</f>
        <v/>
      </c>
      <c r="AE31" s="3521"/>
      <c r="AF31" s="3521"/>
      <c r="AG31" s="3521"/>
      <c r="AH31" s="3521"/>
      <c r="AI31" s="3521"/>
      <c r="AJ31" s="3521"/>
      <c r="AK31" s="3521"/>
      <c r="AL31" s="3521"/>
      <c r="AM31" s="3521"/>
      <c r="AN31" s="3521"/>
      <c r="AO31" s="3521"/>
      <c r="AP31" s="3521"/>
      <c r="AQ31" s="3521"/>
      <c r="AR31" s="3521"/>
      <c r="AS31" s="3521"/>
      <c r="AT31" s="3521"/>
      <c r="AU31" s="3521"/>
      <c r="AV31" s="3521"/>
      <c r="AW31" s="3521"/>
      <c r="AX31" s="3521"/>
      <c r="AY31" s="3521"/>
      <c r="AZ31" s="3521"/>
      <c r="BA31" s="237"/>
      <c r="BB31" s="237"/>
      <c r="BC31" s="193"/>
      <c r="BD31" s="276"/>
      <c r="BE31" s="276"/>
      <c r="BF31" s="276"/>
      <c r="BG31" s="276"/>
      <c r="BH31" s="276"/>
    </row>
    <row r="32" spans="1:60" s="1944" customFormat="1" ht="18.75" hidden="1" customHeight="1">
      <c r="A32" s="1229"/>
      <c r="B32" s="1229"/>
      <c r="C32" s="1229"/>
      <c r="D32" s="1229"/>
      <c r="E32" s="1229"/>
      <c r="F32" s="1229"/>
      <c r="G32" s="1229"/>
      <c r="H32" s="1229"/>
      <c r="I32" s="1229"/>
      <c r="J32" s="1229"/>
      <c r="K32" s="1229"/>
      <c r="L32" s="1230"/>
      <c r="M32" s="1229"/>
      <c r="N32" s="1229"/>
      <c r="O32" s="1229"/>
      <c r="P32" s="1229"/>
      <c r="Q32" s="1229"/>
      <c r="S32" s="3519" t="s">
        <v>685</v>
      </c>
      <c r="T32" s="3519"/>
      <c r="U32" s="1233"/>
      <c r="V32" s="3520" t="str">
        <f>IF(TITLE_DATE_PR_CHANGE="",IF(TITLE_DATE_PR="","",TITLE_DATE_PR),TITLE_DATE_PR_CHANGE)</f>
        <v/>
      </c>
      <c r="W32" s="3520"/>
      <c r="X32" s="3520"/>
      <c r="Y32" s="3520"/>
      <c r="Z32" s="3520"/>
      <c r="AA32" s="3520"/>
      <c r="AB32" s="3520"/>
      <c r="AC32" s="237"/>
      <c r="AD32" s="3520" t="str">
        <f>IF(TITLE_DATE_PR_CHANGE="",IF(TITLE_DATE_PR="","",TITLE_DATE_PR),TITLE_DATE_PR_CHANGE)</f>
        <v/>
      </c>
      <c r="AE32" s="3520"/>
      <c r="AF32" s="3520"/>
      <c r="AG32" s="3520"/>
      <c r="AH32" s="3520"/>
      <c r="AI32" s="3520"/>
      <c r="AJ32" s="3520"/>
      <c r="AK32" s="3520"/>
      <c r="AL32" s="3520"/>
      <c r="AM32" s="3520"/>
      <c r="AN32" s="3520"/>
      <c r="AO32" s="3520"/>
      <c r="AP32" s="3520"/>
      <c r="AQ32" s="3520"/>
      <c r="AR32" s="3520"/>
      <c r="AS32" s="3520"/>
      <c r="AT32" s="3520"/>
      <c r="AU32" s="3520"/>
      <c r="AV32" s="3520"/>
      <c r="AW32" s="3520"/>
      <c r="AX32" s="3520"/>
      <c r="AY32" s="3520"/>
      <c r="AZ32" s="3520"/>
      <c r="BA32" s="237"/>
      <c r="BB32" s="237"/>
      <c r="BC32" s="193"/>
      <c r="BD32" s="276"/>
      <c r="BE32" s="276"/>
      <c r="BF32" s="276"/>
      <c r="BG32" s="276"/>
      <c r="BH32" s="276"/>
    </row>
    <row r="33" spans="1:60" s="1944" customFormat="1" ht="18.75" hidden="1" customHeight="1">
      <c r="A33" s="1229"/>
      <c r="B33" s="1229"/>
      <c r="C33" s="1229"/>
      <c r="D33" s="1229"/>
      <c r="E33" s="1229"/>
      <c r="F33" s="1229"/>
      <c r="G33" s="1229"/>
      <c r="H33" s="1229"/>
      <c r="I33" s="1229"/>
      <c r="J33" s="1229"/>
      <c r="K33" s="1229"/>
      <c r="L33" s="1230"/>
      <c r="M33" s="1229"/>
      <c r="N33" s="1229"/>
      <c r="O33" s="1229"/>
      <c r="P33" s="1229"/>
      <c r="Q33" s="1229"/>
      <c r="S33" s="3519" t="s">
        <v>686</v>
      </c>
      <c r="T33" s="3519"/>
      <c r="U33" s="1233"/>
      <c r="V33" s="3521" t="str">
        <f>IF(TITLE_NUMBER_PR_CHANGE="",IF(TITLE_NUMBER_PR="","",TITLE_NUMBER_PR),TITLE_NUMBER_PR_CHANGE)</f>
        <v/>
      </c>
      <c r="W33" s="3521"/>
      <c r="X33" s="3521"/>
      <c r="Y33" s="3521"/>
      <c r="Z33" s="3521"/>
      <c r="AA33" s="3521"/>
      <c r="AB33" s="3521"/>
      <c r="AC33" s="237"/>
      <c r="AD33" s="3521" t="str">
        <f>IF(TITLE_NUMBER_PR_CHANGE="",IF(TITLE_NUMBER_PR="","",TITLE_NUMBER_PR),TITLE_NUMBER_PR_CHANGE)</f>
        <v/>
      </c>
      <c r="AE33" s="3521"/>
      <c r="AF33" s="3521"/>
      <c r="AG33" s="3521"/>
      <c r="AH33" s="3521"/>
      <c r="AI33" s="3521"/>
      <c r="AJ33" s="3521"/>
      <c r="AK33" s="3521"/>
      <c r="AL33" s="3521"/>
      <c r="AM33" s="3521"/>
      <c r="AN33" s="3521"/>
      <c r="AO33" s="3521"/>
      <c r="AP33" s="3521"/>
      <c r="AQ33" s="3521"/>
      <c r="AR33" s="3521"/>
      <c r="AS33" s="3521"/>
      <c r="AT33" s="3521"/>
      <c r="AU33" s="3521"/>
      <c r="AV33" s="3521"/>
      <c r="AW33" s="3521"/>
      <c r="AX33" s="3521"/>
      <c r="AY33" s="3521"/>
      <c r="AZ33" s="3521"/>
      <c r="BA33" s="237"/>
      <c r="BB33" s="237"/>
      <c r="BC33" s="193"/>
      <c r="BD33" s="276"/>
      <c r="BE33" s="276"/>
      <c r="BF33" s="276"/>
      <c r="BG33" s="276"/>
      <c r="BH33" s="276"/>
    </row>
    <row r="34" spans="1:60" s="1944" customFormat="1" ht="18.75" hidden="1" customHeight="1">
      <c r="A34" s="1229"/>
      <c r="B34" s="1229"/>
      <c r="C34" s="1229"/>
      <c r="D34" s="1229"/>
      <c r="E34" s="1229"/>
      <c r="F34" s="1229"/>
      <c r="G34" s="1229"/>
      <c r="H34" s="1229"/>
      <c r="I34" s="1229"/>
      <c r="J34" s="1229"/>
      <c r="K34" s="1229"/>
      <c r="L34" s="1230"/>
      <c r="M34" s="1229"/>
      <c r="N34" s="1229"/>
      <c r="O34" s="1229"/>
      <c r="P34" s="1229"/>
      <c r="Q34" s="1229"/>
      <c r="S34" s="3519" t="s">
        <v>39</v>
      </c>
      <c r="T34" s="3519"/>
      <c r="U34" s="1233"/>
      <c r="V34" s="3521" t="str">
        <f>IF(TITLE_IST_PUB_CHANGE="",IF(TITLE_IST_PUB="","",TITLE_IST_PUB),TITLE_IST_PUB_CHANGE)</f>
        <v/>
      </c>
      <c r="W34" s="3521"/>
      <c r="X34" s="3521"/>
      <c r="Y34" s="3521"/>
      <c r="Z34" s="3521"/>
      <c r="AA34" s="3521"/>
      <c r="AB34" s="3521"/>
      <c r="AC34" s="237"/>
      <c r="AD34" s="3521" t="str">
        <f>IF(TITLE_IST_PUB_CHANGE="",IF(TITLE_IST_PUB="","",TITLE_IST_PUB),TITLE_IST_PUB_CHANGE)</f>
        <v/>
      </c>
      <c r="AE34" s="3521"/>
      <c r="AF34" s="3521"/>
      <c r="AG34" s="3521"/>
      <c r="AH34" s="3521"/>
      <c r="AI34" s="3521"/>
      <c r="AJ34" s="3521"/>
      <c r="AK34" s="3521"/>
      <c r="AL34" s="3521"/>
      <c r="AM34" s="3521"/>
      <c r="AN34" s="3521"/>
      <c r="AO34" s="3521"/>
      <c r="AP34" s="3521"/>
      <c r="AQ34" s="3521"/>
      <c r="AR34" s="3521"/>
      <c r="AS34" s="3521"/>
      <c r="AT34" s="3521"/>
      <c r="AU34" s="3521"/>
      <c r="AV34" s="3521"/>
      <c r="AW34" s="3521"/>
      <c r="AX34" s="3521"/>
      <c r="AY34" s="3521"/>
      <c r="AZ34" s="3521"/>
      <c r="BA34" s="237"/>
      <c r="BB34" s="237"/>
      <c r="BC34" s="193"/>
      <c r="BD34" s="276"/>
      <c r="BE34" s="276"/>
      <c r="BF34" s="276"/>
      <c r="BG34" s="276"/>
      <c r="BH34" s="276"/>
    </row>
    <row r="35" spans="1:60" ht="14.25" hidden="1" customHeight="1">
      <c r="Q35" s="203"/>
      <c r="R35" s="283"/>
      <c r="S35" s="1141"/>
      <c r="T35" s="272"/>
      <c r="U35" s="272"/>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407"/>
    </row>
    <row r="36" spans="1:60" s="1944" customFormat="1" ht="18.75" hidden="1" customHeight="1">
      <c r="A36" s="1229"/>
      <c r="B36" s="1229"/>
      <c r="C36" s="1229"/>
      <c r="D36" s="1229"/>
      <c r="E36" s="1229"/>
      <c r="F36" s="1229"/>
      <c r="G36" s="1229"/>
      <c r="H36" s="1229"/>
      <c r="I36" s="1229"/>
      <c r="J36" s="1229"/>
      <c r="K36" s="1229"/>
      <c r="L36" s="1230"/>
      <c r="M36" s="1229"/>
      <c r="N36" s="1229"/>
      <c r="O36" s="1229"/>
      <c r="P36" s="1229"/>
      <c r="Q36" s="1229"/>
      <c r="S36" s="3519" t="s">
        <v>685</v>
      </c>
      <c r="T36" s="3519"/>
      <c r="U36" s="1233"/>
      <c r="V36" s="3520" t="str">
        <f>IF(TITLE_DATE_PR_CHANGE="",IF(TITLE_DATE_PR="","",TITLE_DATE_PR),TITLE_DATE_PR_CHANGE)</f>
        <v/>
      </c>
      <c r="W36" s="3520"/>
      <c r="X36" s="3520"/>
      <c r="Y36" s="3520"/>
      <c r="Z36" s="3520"/>
      <c r="AA36" s="3520"/>
      <c r="AB36" s="3520"/>
      <c r="AC36" s="237"/>
      <c r="AD36" s="3520" t="str">
        <f>IF(TITLE_DATE_PR_CHANGE="",IF(TITLE_DATE_PR="","",TITLE_DATE_PR),TITLE_DATE_PR_CHANGE)</f>
        <v/>
      </c>
      <c r="AE36" s="3520"/>
      <c r="AF36" s="3520"/>
      <c r="AG36" s="3520"/>
      <c r="AH36" s="3520"/>
      <c r="AI36" s="3520"/>
      <c r="AJ36" s="3520"/>
      <c r="AK36" s="3520"/>
      <c r="AL36" s="3520"/>
      <c r="AM36" s="3520"/>
      <c r="AN36" s="3520"/>
      <c r="AO36" s="3520"/>
      <c r="AP36" s="3520"/>
      <c r="AQ36" s="3520"/>
      <c r="AR36" s="3520"/>
      <c r="AS36" s="3520"/>
      <c r="AT36" s="3520"/>
      <c r="AU36" s="3520"/>
      <c r="AV36" s="3520"/>
      <c r="AW36" s="3520"/>
      <c r="AX36" s="3520"/>
      <c r="AY36" s="3520"/>
      <c r="AZ36" s="3520"/>
      <c r="BA36" s="237"/>
      <c r="BB36" s="237"/>
      <c r="BC36" s="193"/>
      <c r="BD36" s="276"/>
      <c r="BE36" s="276"/>
      <c r="BF36" s="276"/>
      <c r="BG36" s="276"/>
      <c r="BH36" s="276"/>
    </row>
    <row r="37" spans="1:60" s="1944" customFormat="1" ht="18.75" hidden="1" customHeight="1">
      <c r="A37" s="1229"/>
      <c r="B37" s="1229"/>
      <c r="C37" s="1229"/>
      <c r="D37" s="1229"/>
      <c r="E37" s="1229"/>
      <c r="F37" s="1229"/>
      <c r="G37" s="1229"/>
      <c r="H37" s="1229"/>
      <c r="I37" s="1229"/>
      <c r="J37" s="1229"/>
      <c r="K37" s="1229"/>
      <c r="L37" s="1230"/>
      <c r="M37" s="1229"/>
      <c r="N37" s="1229"/>
      <c r="O37" s="1229"/>
      <c r="P37" s="1229"/>
      <c r="Q37" s="1229"/>
      <c r="S37" s="3519" t="s">
        <v>686</v>
      </c>
      <c r="T37" s="3519"/>
      <c r="U37" s="1233"/>
      <c r="V37" s="3521" t="str">
        <f>IF(TITLE_NUMBER_PR_CHANGE="",IF(TITLE_NUMBER_PR="","",TITLE_NUMBER_PR),TITLE_NUMBER_PR_CHANGE)</f>
        <v/>
      </c>
      <c r="W37" s="3521"/>
      <c r="X37" s="3521"/>
      <c r="Y37" s="3521"/>
      <c r="Z37" s="3521"/>
      <c r="AA37" s="3521"/>
      <c r="AB37" s="3521"/>
      <c r="AC37" s="237"/>
      <c r="AD37" s="3521" t="str">
        <f>IF(TITLE_NUMBER_PR_CHANGE="",IF(TITLE_NUMBER_PR="","",TITLE_NUMBER_PR),TITLE_NUMBER_PR_CHANGE)</f>
        <v/>
      </c>
      <c r="AE37" s="3521"/>
      <c r="AF37" s="3521"/>
      <c r="AG37" s="3521"/>
      <c r="AH37" s="3521"/>
      <c r="AI37" s="3521"/>
      <c r="AJ37" s="3521"/>
      <c r="AK37" s="3521"/>
      <c r="AL37" s="3521"/>
      <c r="AM37" s="3521"/>
      <c r="AN37" s="3521"/>
      <c r="AO37" s="3521"/>
      <c r="AP37" s="3521"/>
      <c r="AQ37" s="3521"/>
      <c r="AR37" s="3521"/>
      <c r="AS37" s="3521"/>
      <c r="AT37" s="3521"/>
      <c r="AU37" s="3521"/>
      <c r="AV37" s="3521"/>
      <c r="AW37" s="3521"/>
      <c r="AX37" s="3521"/>
      <c r="AY37" s="3521"/>
      <c r="AZ37" s="3521"/>
      <c r="BA37" s="237"/>
      <c r="BB37" s="237"/>
      <c r="BC37" s="193"/>
      <c r="BD37" s="276"/>
      <c r="BE37" s="276"/>
      <c r="BF37" s="276"/>
      <c r="BG37" s="276"/>
      <c r="BH37" s="276"/>
    </row>
    <row r="38" spans="1:60" s="1944" customFormat="1" ht="0" hidden="1" customHeight="1">
      <c r="A38" s="1229"/>
      <c r="B38" s="1229"/>
      <c r="C38" s="1229"/>
      <c r="D38" s="1229"/>
      <c r="E38" s="1229"/>
      <c r="F38" s="1229"/>
      <c r="G38" s="1229"/>
      <c r="H38" s="1229"/>
      <c r="I38" s="1229"/>
      <c r="J38" s="1229"/>
      <c r="K38" s="1229"/>
      <c r="L38" s="1230"/>
      <c r="M38" s="1229"/>
      <c r="N38" s="1229"/>
      <c r="O38" s="1229"/>
      <c r="P38" s="1229"/>
      <c r="Q38" s="1229"/>
      <c r="S38" s="234"/>
      <c r="T38" s="234"/>
      <c r="U38" s="1343"/>
      <c r="V38" s="237"/>
      <c r="W38" s="237"/>
      <c r="X38" s="237"/>
      <c r="Y38" s="237"/>
      <c r="Z38" s="237"/>
      <c r="AA38" s="237"/>
      <c r="AB38" s="237"/>
      <c r="AC38" s="191" t="s">
        <v>689</v>
      </c>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191" t="s">
        <v>689</v>
      </c>
      <c r="BD38" s="276"/>
      <c r="BE38" s="276"/>
      <c r="BF38" s="276"/>
      <c r="BG38" s="276"/>
      <c r="BH38" s="276"/>
    </row>
    <row r="39" spans="1:60" ht="14.25" customHeight="1">
      <c r="Q39" s="203"/>
      <c r="R39" s="283"/>
      <c r="S39" s="1141"/>
      <c r="T39" s="272"/>
      <c r="U39" s="1110"/>
      <c r="V39" s="3540"/>
      <c r="W39" s="3540"/>
      <c r="X39" s="3540"/>
      <c r="Y39" s="3540"/>
      <c r="Z39" s="3540"/>
      <c r="AA39" s="3540"/>
      <c r="AB39" s="3540"/>
      <c r="AC39" s="3540"/>
      <c r="AD39" s="3540"/>
      <c r="AE39" s="3540"/>
      <c r="AF39" s="3540"/>
      <c r="AG39" s="3540"/>
      <c r="AH39" s="3540"/>
      <c r="AI39" s="3540"/>
      <c r="AJ39" s="3540"/>
      <c r="AK39" s="3540"/>
      <c r="AL39" s="3540"/>
      <c r="AM39" s="3540"/>
      <c r="AN39" s="3540"/>
      <c r="AO39" s="3540"/>
      <c r="AP39" s="3540"/>
      <c r="AQ39" s="3540"/>
      <c r="AR39" s="3540"/>
      <c r="AS39" s="3540"/>
      <c r="AT39" s="3540"/>
      <c r="AU39" s="3540"/>
      <c r="AV39" s="3540"/>
      <c r="AW39" s="3540"/>
      <c r="AX39" s="3540"/>
      <c r="AY39" s="3540"/>
      <c r="AZ39" s="3540"/>
      <c r="BA39" s="3540"/>
    </row>
    <row r="40" spans="1:60" ht="14.25" customHeight="1">
      <c r="Q40" s="203"/>
      <c r="R40" s="283"/>
      <c r="S40" s="3401" t="s">
        <v>560</v>
      </c>
      <c r="T40" s="3401"/>
      <c r="U40" s="3401"/>
      <c r="V40" s="3401"/>
      <c r="W40" s="3401"/>
      <c r="X40" s="3401"/>
      <c r="Y40" s="3401"/>
      <c r="Z40" s="3401"/>
      <c r="AA40" s="3401"/>
      <c r="AB40" s="3401"/>
      <c r="AC40" s="3401"/>
      <c r="AD40" s="3401"/>
      <c r="AE40" s="3401"/>
      <c r="AF40" s="3401"/>
      <c r="AG40" s="3401"/>
      <c r="AH40" s="3401"/>
      <c r="AI40" s="3401"/>
      <c r="AJ40" s="3401"/>
      <c r="AK40" s="3401"/>
      <c r="AL40" s="3401"/>
      <c r="AM40" s="3401"/>
      <c r="AN40" s="3401"/>
      <c r="AO40" s="3401"/>
      <c r="AP40" s="3401"/>
      <c r="AQ40" s="3401"/>
      <c r="AR40" s="3401"/>
      <c r="AS40" s="3401"/>
      <c r="AT40" s="3401"/>
      <c r="AU40" s="3401"/>
      <c r="AV40" s="3401"/>
      <c r="AW40" s="3401"/>
      <c r="AX40" s="3401"/>
      <c r="AY40" s="3401"/>
      <c r="AZ40" s="3401"/>
      <c r="BA40" s="3401"/>
      <c r="BB40" s="3401"/>
      <c r="BC40" s="3401" t="s">
        <v>561</v>
      </c>
    </row>
    <row r="41" spans="1:60" ht="14.25" customHeight="1">
      <c r="Q41" s="203"/>
      <c r="R41" s="283"/>
      <c r="S41" s="3541" t="s">
        <v>85</v>
      </c>
      <c r="T41" s="3489" t="s">
        <v>770</v>
      </c>
      <c r="U41" s="212"/>
      <c r="V41" s="3542" t="s">
        <v>691</v>
      </c>
      <c r="W41" s="3543"/>
      <c r="X41" s="3543"/>
      <c r="Y41" s="3543"/>
      <c r="Z41" s="3543"/>
      <c r="AA41" s="3543"/>
      <c r="AB41" s="3544"/>
      <c r="AC41" s="3545" t="s">
        <v>692</v>
      </c>
      <c r="AD41" s="3567" t="s">
        <v>787</v>
      </c>
      <c r="AE41" s="3558"/>
      <c r="AF41" s="3558"/>
      <c r="AG41" s="3568"/>
      <c r="AH41" s="3567" t="s">
        <v>788</v>
      </c>
      <c r="AI41" s="3558"/>
      <c r="AJ41" s="3558"/>
      <c r="AK41" s="3568"/>
      <c r="AL41" s="3567" t="s">
        <v>789</v>
      </c>
      <c r="AM41" s="3558"/>
      <c r="AN41" s="3558"/>
      <c r="AO41" s="3568"/>
      <c r="AP41" s="3567" t="s">
        <v>774</v>
      </c>
      <c r="AQ41" s="3558"/>
      <c r="AR41" s="3558"/>
      <c r="AS41" s="3568"/>
      <c r="AT41" s="3542" t="s">
        <v>691</v>
      </c>
      <c r="AU41" s="3543"/>
      <c r="AV41" s="3543"/>
      <c r="AW41" s="3543"/>
      <c r="AX41" s="3543"/>
      <c r="AY41" s="3543"/>
      <c r="AZ41" s="3544"/>
      <c r="BA41" s="3545" t="s">
        <v>692</v>
      </c>
      <c r="BB41" s="3548" t="s">
        <v>694</v>
      </c>
      <c r="BC41" s="3401"/>
    </row>
    <row r="42" spans="1:60" ht="33.75" customHeight="1">
      <c r="Q42" s="203"/>
      <c r="R42" s="283"/>
      <c r="S42" s="3541"/>
      <c r="T42" s="3489"/>
      <c r="U42" s="901"/>
      <c r="V42" s="3459" t="s">
        <v>775</v>
      </c>
      <c r="W42" s="3460"/>
      <c r="X42" s="3459" t="s">
        <v>776</v>
      </c>
      <c r="Y42" s="3460"/>
      <c r="Z42" s="3459" t="s">
        <v>777</v>
      </c>
      <c r="AA42" s="3563"/>
      <c r="AB42" s="3460"/>
      <c r="AC42" s="3546"/>
      <c r="AD42" s="3569"/>
      <c r="AE42" s="3570"/>
      <c r="AF42" s="3570"/>
      <c r="AG42" s="3582"/>
      <c r="AH42" s="3569"/>
      <c r="AI42" s="3570"/>
      <c r="AJ42" s="3570"/>
      <c r="AK42" s="3582"/>
      <c r="AL42" s="3569"/>
      <c r="AM42" s="3570"/>
      <c r="AN42" s="3570"/>
      <c r="AO42" s="3582"/>
      <c r="AP42" s="3569"/>
      <c r="AQ42" s="3570"/>
      <c r="AR42" s="3570"/>
      <c r="AS42" s="3582"/>
      <c r="AT42" s="3459" t="s">
        <v>790</v>
      </c>
      <c r="AU42" s="3460"/>
      <c r="AV42" s="3459" t="s">
        <v>791</v>
      </c>
      <c r="AW42" s="3460"/>
      <c r="AX42" s="3459" t="s">
        <v>777</v>
      </c>
      <c r="AY42" s="3563"/>
      <c r="AZ42" s="3460"/>
      <c r="BA42" s="3546"/>
      <c r="BB42" s="3549"/>
      <c r="BC42" s="3401"/>
    </row>
    <row r="43" spans="1:60" ht="14.25" customHeight="1">
      <c r="Q43" s="203"/>
      <c r="R43" s="283"/>
      <c r="S43" s="3541"/>
      <c r="T43" s="3489"/>
      <c r="U43" s="901"/>
      <c r="V43" s="3464"/>
      <c r="W43" s="3465"/>
      <c r="X43" s="3464"/>
      <c r="Y43" s="3465"/>
      <c r="Z43" s="3464"/>
      <c r="AA43" s="3564"/>
      <c r="AB43" s="3465"/>
      <c r="AC43" s="3546"/>
      <c r="AD43" s="3569"/>
      <c r="AE43" s="3570"/>
      <c r="AF43" s="3570"/>
      <c r="AG43" s="3582"/>
      <c r="AH43" s="3569"/>
      <c r="AI43" s="3570"/>
      <c r="AJ43" s="3570"/>
      <c r="AK43" s="3582"/>
      <c r="AL43" s="3569"/>
      <c r="AM43" s="3570"/>
      <c r="AN43" s="3570"/>
      <c r="AO43" s="3582"/>
      <c r="AP43" s="3569"/>
      <c r="AQ43" s="3570"/>
      <c r="AR43" s="3570"/>
      <c r="AS43" s="3582"/>
      <c r="AT43" s="3464"/>
      <c r="AU43" s="3465"/>
      <c r="AV43" s="3464"/>
      <c r="AW43" s="3465"/>
      <c r="AX43" s="3464"/>
      <c r="AY43" s="3564"/>
      <c r="AZ43" s="3465"/>
      <c r="BA43" s="3546"/>
      <c r="BB43" s="3549"/>
      <c r="BC43" s="3401"/>
    </row>
    <row r="44" spans="1:60" ht="14.25" customHeight="1">
      <c r="A44" s="1231"/>
      <c r="B44" s="1231" t="s">
        <v>403</v>
      </c>
      <c r="C44" s="1231" t="s">
        <v>404</v>
      </c>
      <c r="D44" s="1231" t="s">
        <v>405</v>
      </c>
      <c r="E44" s="1225" t="s">
        <v>699</v>
      </c>
      <c r="F44" s="1225" t="s">
        <v>700</v>
      </c>
      <c r="G44" s="1225" t="s">
        <v>701</v>
      </c>
      <c r="H44" s="1225" t="s">
        <v>702</v>
      </c>
      <c r="I44" s="1225" t="s">
        <v>703</v>
      </c>
      <c r="J44" s="1225" t="s">
        <v>704</v>
      </c>
      <c r="K44" s="1225" t="s">
        <v>705</v>
      </c>
      <c r="L44" s="1225" t="s">
        <v>680</v>
      </c>
      <c r="Q44" s="203"/>
      <c r="R44" s="283"/>
      <c r="S44" s="3541"/>
      <c r="T44" s="3489"/>
      <c r="U44" s="213"/>
      <c r="V44" s="1334" t="s">
        <v>741</v>
      </c>
      <c r="W44" s="1334" t="s">
        <v>742</v>
      </c>
      <c r="X44" s="1334" t="s">
        <v>741</v>
      </c>
      <c r="Y44" s="1334" t="s">
        <v>742</v>
      </c>
      <c r="Z44" s="1344" t="s">
        <v>708</v>
      </c>
      <c r="AA44" s="3494" t="s">
        <v>709</v>
      </c>
      <c r="AB44" s="3508"/>
      <c r="AC44" s="3547"/>
      <c r="AD44" s="3571"/>
      <c r="AE44" s="3572"/>
      <c r="AF44" s="3572"/>
      <c r="AG44" s="3573"/>
      <c r="AH44" s="3571"/>
      <c r="AI44" s="3572"/>
      <c r="AJ44" s="3572"/>
      <c r="AK44" s="3573"/>
      <c r="AL44" s="3571"/>
      <c r="AM44" s="3572"/>
      <c r="AN44" s="3572"/>
      <c r="AO44" s="3573"/>
      <c r="AP44" s="3571"/>
      <c r="AQ44" s="3572"/>
      <c r="AR44" s="3572"/>
      <c r="AS44" s="3573"/>
      <c r="AT44" s="1334" t="s">
        <v>741</v>
      </c>
      <c r="AU44" s="1334" t="s">
        <v>742</v>
      </c>
      <c r="AV44" s="1334" t="s">
        <v>741</v>
      </c>
      <c r="AW44" s="1334" t="s">
        <v>742</v>
      </c>
      <c r="AX44" s="1344" t="s">
        <v>708</v>
      </c>
      <c r="AY44" s="3494" t="s">
        <v>709</v>
      </c>
      <c r="AZ44" s="3508"/>
      <c r="BA44" s="3547"/>
      <c r="BB44" s="3550"/>
      <c r="BC44" s="3401"/>
    </row>
    <row r="45" spans="1:60" s="1838" customFormat="1" ht="11.25" hidden="1" customHeight="1">
      <c r="A45" s="1231"/>
      <c r="B45" s="1231"/>
      <c r="C45" s="1231"/>
      <c r="D45" s="1231"/>
      <c r="E45" s="1231"/>
      <c r="F45" s="1231"/>
      <c r="G45" s="1231"/>
      <c r="H45" s="1231"/>
      <c r="I45" s="1231"/>
      <c r="J45" s="1231"/>
      <c r="K45" s="1231"/>
      <c r="L45" s="1225"/>
      <c r="M45" s="1223"/>
      <c r="N45" s="1223"/>
      <c r="O45" s="1223"/>
      <c r="P45" s="408"/>
      <c r="Q45" s="1120"/>
      <c r="R45" s="1120">
        <v>1</v>
      </c>
      <c r="S45" s="1143" t="s">
        <v>106</v>
      </c>
      <c r="T45" s="1121" t="s">
        <v>107</v>
      </c>
      <c r="U45" s="1111" t="str">
        <f ca="1">OFFSET(U45,0,-1)</f>
        <v>2</v>
      </c>
      <c r="V45" s="1337">
        <f t="shared" ref="V45:AA45" ca="1" si="2">OFFSET(V45,0,-1)+1</f>
        <v>3</v>
      </c>
      <c r="W45" s="1337">
        <f t="shared" ca="1" si="2"/>
        <v>4</v>
      </c>
      <c r="X45" s="1337">
        <f t="shared" ca="1" si="2"/>
        <v>5</v>
      </c>
      <c r="Y45" s="1337">
        <f t="shared" ca="1" si="2"/>
        <v>6</v>
      </c>
      <c r="Z45" s="1337">
        <f t="shared" ca="1" si="2"/>
        <v>7</v>
      </c>
      <c r="AA45" s="3539">
        <f t="shared" ca="1" si="2"/>
        <v>8</v>
      </c>
      <c r="AB45" s="3539"/>
      <c r="AC45" s="1337">
        <f ca="1">OFFSET(AC45,0,-2)+1</f>
        <v>9</v>
      </c>
      <c r="AD45" s="1337">
        <f ca="1">OFFSET(AD45,0,-1)+1</f>
        <v>10</v>
      </c>
      <c r="AE45" s="1337"/>
      <c r="AF45" s="1337"/>
      <c r="AG45" s="1337"/>
      <c r="AH45" s="1337"/>
      <c r="AI45" s="1337"/>
      <c r="AJ45" s="1337"/>
      <c r="AK45" s="1337"/>
      <c r="AL45" s="1337"/>
      <c r="AM45" s="1337"/>
      <c r="AN45" s="1337"/>
      <c r="AO45" s="1337"/>
      <c r="AP45" s="1337"/>
      <c r="AQ45" s="1337"/>
      <c r="AR45" s="1337"/>
      <c r="AS45" s="1337"/>
      <c r="AT45" s="1337"/>
      <c r="AU45" s="1337"/>
      <c r="AV45" s="1337"/>
      <c r="AW45" s="1337">
        <f ca="1">OFFSET(AW45,0,-1)+1</f>
        <v>1</v>
      </c>
      <c r="AX45" s="1337">
        <f ca="1">OFFSET(AX45,0,-1)+1</f>
        <v>2</v>
      </c>
      <c r="AY45" s="3539">
        <f ca="1">OFFSET(AY45,0,-1)+1</f>
        <v>3</v>
      </c>
      <c r="AZ45" s="3539"/>
      <c r="BA45" s="1337">
        <f ca="1">OFFSET(BA45,0,-2)+1</f>
        <v>4</v>
      </c>
      <c r="BB45" s="1111">
        <f ca="1">OFFSET(BB45,0,-1)</f>
        <v>4</v>
      </c>
      <c r="BC45" s="1337">
        <f ca="1">OFFSET(BC45,0,-1)+1</f>
        <v>5</v>
      </c>
      <c r="BD45" s="409"/>
      <c r="BE45" s="409"/>
      <c r="BF45" s="409"/>
      <c r="BG45" s="409"/>
      <c r="BH45" s="409"/>
    </row>
    <row r="46" spans="1:60" ht="21" customHeight="1">
      <c r="A46" s="1224" t="s">
        <v>536</v>
      </c>
      <c r="B46" s="1224"/>
      <c r="C46" s="1224"/>
      <c r="D46" s="1224"/>
      <c r="E46" s="3528">
        <v>1</v>
      </c>
      <c r="F46" s="1224"/>
      <c r="G46" s="1224"/>
      <c r="H46" s="1224"/>
      <c r="I46" s="1224"/>
      <c r="J46" s="1224"/>
      <c r="K46" s="1224"/>
      <c r="L46" s="1225"/>
      <c r="M46" s="1226"/>
      <c r="N46" s="1226"/>
      <c r="O46" s="1226"/>
      <c r="P46" s="1270"/>
      <c r="Q46" s="750"/>
      <c r="R46" s="264"/>
      <c r="S46" s="1348" t="e">
        <f>INDEX(PT_DIFFERENTIATION_NUM_NTAR,MATCH(A46,PT_DIFFERENTIATION_NTAR_ID,0))</f>
        <v>#REF!</v>
      </c>
      <c r="T46" s="209" t="s">
        <v>391</v>
      </c>
      <c r="U46" s="211"/>
      <c r="V46" s="3523"/>
      <c r="W46" s="3523"/>
      <c r="X46" s="3523"/>
      <c r="Y46" s="3523"/>
      <c r="Z46" s="3523"/>
      <c r="AA46" s="3523"/>
      <c r="AB46" s="3523"/>
      <c r="AC46" s="3524"/>
      <c r="AD46" s="3522" t="e">
        <f>INDEX(PT_DIFFERENTIATION_NTAR,MATCH(A46,PT_DIFFERENTIATION_NTAR_ID,0))</f>
        <v>#REF!</v>
      </c>
      <c r="AE46" s="3523"/>
      <c r="AF46" s="3523"/>
      <c r="AG46" s="3523"/>
      <c r="AH46" s="3523"/>
      <c r="AI46" s="3523"/>
      <c r="AJ46" s="3523"/>
      <c r="AK46" s="3523"/>
      <c r="AL46" s="3523"/>
      <c r="AM46" s="3523"/>
      <c r="AN46" s="3523"/>
      <c r="AO46" s="3523"/>
      <c r="AP46" s="3523"/>
      <c r="AQ46" s="3523"/>
      <c r="AR46" s="3523"/>
      <c r="AS46" s="3523"/>
      <c r="AT46" s="3523"/>
      <c r="AU46" s="3523"/>
      <c r="AV46" s="3523"/>
      <c r="AW46" s="3523"/>
      <c r="AX46" s="3523"/>
      <c r="AY46" s="3523"/>
      <c r="AZ46" s="3523"/>
      <c r="BA46" s="3523"/>
      <c r="BB46" s="3524"/>
      <c r="BC46" s="112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398"/>
      <c r="BF46" s="398" t="str">
        <f t="shared" ref="BF46:BF52" si="3">IF(T46="","",T46)</f>
        <v>Наименование тарифа</v>
      </c>
      <c r="BG46" s="398"/>
      <c r="BH46" s="398"/>
    </row>
    <row r="47" spans="1:60" ht="21" customHeight="1">
      <c r="A47" s="1224" t="s">
        <v>536</v>
      </c>
      <c r="B47" s="1224" t="s">
        <v>537</v>
      </c>
      <c r="C47" s="1224"/>
      <c r="D47" s="1224"/>
      <c r="E47" s="3529"/>
      <c r="F47" s="3528">
        <v>1</v>
      </c>
      <c r="G47" s="1224"/>
      <c r="H47" s="1224"/>
      <c r="I47" s="1224"/>
      <c r="J47" s="1224"/>
      <c r="K47" s="1224"/>
      <c r="L47" s="1225"/>
      <c r="M47" s="1226"/>
      <c r="N47" s="1226"/>
      <c r="O47" s="1226"/>
      <c r="P47" s="1271"/>
      <c r="Q47" s="1272"/>
      <c r="R47" s="262"/>
      <c r="S47" s="1348" t="e">
        <f>INDEX(PT_DIFFERENTIATION_NUM_TER,MATCH(B47,PT_DIFFERENTIATION_TER_ID,0))</f>
        <v>#REF!</v>
      </c>
      <c r="T47" s="219" t="s">
        <v>659</v>
      </c>
      <c r="U47" s="211"/>
      <c r="V47" s="3523"/>
      <c r="W47" s="3523"/>
      <c r="X47" s="3523"/>
      <c r="Y47" s="3523"/>
      <c r="Z47" s="3523"/>
      <c r="AA47" s="3523"/>
      <c r="AB47" s="3523"/>
      <c r="AC47" s="3524"/>
      <c r="AD47" s="3522" t="e">
        <f>INDEX(PT_DIFFERENTIATION_TER,MATCH(B47,PT_DIFFERENTIATION_TER_ID,0))</f>
        <v>#REF!</v>
      </c>
      <c r="AE47" s="3523"/>
      <c r="AF47" s="3523"/>
      <c r="AG47" s="3523"/>
      <c r="AH47" s="3523"/>
      <c r="AI47" s="3523"/>
      <c r="AJ47" s="3523"/>
      <c r="AK47" s="3523"/>
      <c r="AL47" s="3523"/>
      <c r="AM47" s="3523"/>
      <c r="AN47" s="3523"/>
      <c r="AO47" s="3523"/>
      <c r="AP47" s="3523"/>
      <c r="AQ47" s="3523"/>
      <c r="AR47" s="3523"/>
      <c r="AS47" s="3523"/>
      <c r="AT47" s="3523"/>
      <c r="AU47" s="3523"/>
      <c r="AV47" s="3523"/>
      <c r="AW47" s="3523"/>
      <c r="AX47" s="3523"/>
      <c r="AY47" s="3523"/>
      <c r="AZ47" s="3523"/>
      <c r="BA47" s="3523"/>
      <c r="BB47" s="3524"/>
      <c r="BC47" s="1124" t="s">
        <v>660</v>
      </c>
      <c r="BE47" s="398"/>
      <c r="BF47" s="398" t="str">
        <f t="shared" si="3"/>
        <v>Территория действия тарифа</v>
      </c>
      <c r="BG47" s="398"/>
      <c r="BH47" s="398"/>
    </row>
    <row r="48" spans="1:60" ht="33.75" customHeight="1">
      <c r="A48" s="1224" t="s">
        <v>536</v>
      </c>
      <c r="B48" s="1224" t="s">
        <v>537</v>
      </c>
      <c r="C48" s="1224" t="s">
        <v>538</v>
      </c>
      <c r="D48" s="1224"/>
      <c r="E48" s="3529"/>
      <c r="F48" s="3529"/>
      <c r="G48" s="3528">
        <v>1</v>
      </c>
      <c r="H48" s="1224"/>
      <c r="I48" s="1224"/>
      <c r="J48" s="1224"/>
      <c r="K48" s="1224"/>
      <c r="L48" s="1225"/>
      <c r="M48" s="1226"/>
      <c r="N48" s="1226"/>
      <c r="O48" s="1226"/>
      <c r="P48" s="1273"/>
      <c r="Q48" s="1272"/>
      <c r="R48" s="262"/>
      <c r="S48" s="1348" t="e">
        <f>INDEX(PT_DIFFERENTIATION_NUM_CS,MATCH(C48,PT_DIFFERENTIATION_CS_ID,0))</f>
        <v>#REF!</v>
      </c>
      <c r="T48" s="220" t="s">
        <v>779</v>
      </c>
      <c r="U48" s="211"/>
      <c r="V48" s="3523"/>
      <c r="W48" s="3523"/>
      <c r="X48" s="3523"/>
      <c r="Y48" s="3523"/>
      <c r="Z48" s="3523"/>
      <c r="AA48" s="3523"/>
      <c r="AB48" s="3523"/>
      <c r="AC48" s="3524"/>
      <c r="AD48" s="3522" t="e">
        <f>INDEX(PT_DIFFERENTIATION_CS,MATCH(C48,PT_DIFFERENTIATION_CS_ID,0))</f>
        <v>#REF!</v>
      </c>
      <c r="AE48" s="3523"/>
      <c r="AF48" s="3523"/>
      <c r="AG48" s="3523"/>
      <c r="AH48" s="3523"/>
      <c r="AI48" s="3523"/>
      <c r="AJ48" s="3523"/>
      <c r="AK48" s="3523"/>
      <c r="AL48" s="3523"/>
      <c r="AM48" s="3523"/>
      <c r="AN48" s="3523"/>
      <c r="AO48" s="3523"/>
      <c r="AP48" s="3523"/>
      <c r="AQ48" s="3523"/>
      <c r="AR48" s="3523"/>
      <c r="AS48" s="3523"/>
      <c r="AT48" s="3523"/>
      <c r="AU48" s="3523"/>
      <c r="AV48" s="3523"/>
      <c r="AW48" s="3523"/>
      <c r="AX48" s="3523"/>
      <c r="AY48" s="3523"/>
      <c r="AZ48" s="3523"/>
      <c r="BA48" s="3523"/>
      <c r="BB48" s="3524"/>
      <c r="BC48" s="1124" t="s">
        <v>780</v>
      </c>
      <c r="BE48" s="398"/>
      <c r="BF48" s="398" t="str">
        <f t="shared" si="3"/>
        <v>Наименование централизованной системы водоотведения</v>
      </c>
      <c r="BG48" s="398"/>
      <c r="BH48" s="398"/>
    </row>
    <row r="49" spans="1:60" s="1866" customFormat="1" ht="0" hidden="1" customHeight="1">
      <c r="A49" s="1205" t="s">
        <v>536</v>
      </c>
      <c r="B49" s="1205" t="s">
        <v>537</v>
      </c>
      <c r="C49" s="1205" t="s">
        <v>538</v>
      </c>
      <c r="D49" s="1205" t="s">
        <v>792</v>
      </c>
      <c r="E49" s="3529"/>
      <c r="F49" s="3529"/>
      <c r="G49" s="3529"/>
      <c r="H49" s="3528">
        <v>1</v>
      </c>
      <c r="I49" s="1205"/>
      <c r="J49" s="1205"/>
      <c r="K49" s="1205"/>
      <c r="L49" s="1208"/>
      <c r="M49" s="1178"/>
      <c r="N49" s="1178"/>
      <c r="O49" s="1178"/>
      <c r="P49" s="1352"/>
      <c r="Q49" s="1353"/>
      <c r="R49" s="266"/>
      <c r="S49" s="912"/>
      <c r="T49" s="1354"/>
      <c r="U49" s="1245"/>
      <c r="V49" s="3560"/>
      <c r="W49" s="3560"/>
      <c r="X49" s="3560"/>
      <c r="Y49" s="3560"/>
      <c r="Z49" s="3560"/>
      <c r="AA49" s="3560"/>
      <c r="AB49" s="3560"/>
      <c r="AC49" s="3561"/>
      <c r="AD49" s="3559"/>
      <c r="AE49" s="3560"/>
      <c r="AF49" s="3560"/>
      <c r="AG49" s="3560"/>
      <c r="AH49" s="3560"/>
      <c r="AI49" s="3560"/>
      <c r="AJ49" s="3560"/>
      <c r="AK49" s="3560"/>
      <c r="AL49" s="3560"/>
      <c r="AM49" s="3560"/>
      <c r="AN49" s="3560"/>
      <c r="AO49" s="3560"/>
      <c r="AP49" s="3560"/>
      <c r="AQ49" s="3560"/>
      <c r="AR49" s="3560"/>
      <c r="AS49" s="3560"/>
      <c r="AT49" s="3560"/>
      <c r="AU49" s="3560"/>
      <c r="AV49" s="3560"/>
      <c r="AW49" s="3560"/>
      <c r="AX49" s="3560"/>
      <c r="AY49" s="3560"/>
      <c r="AZ49" s="3560"/>
      <c r="BA49" s="3560"/>
      <c r="BB49" s="3561"/>
      <c r="BC49" s="1246" t="s">
        <v>664</v>
      </c>
      <c r="BE49" s="398"/>
      <c r="BF49" s="398" t="str">
        <f t="shared" si="3"/>
        <v/>
      </c>
      <c r="BG49" s="398"/>
      <c r="BH49" s="398"/>
    </row>
    <row r="50" spans="1:60" s="1866" customFormat="1" ht="0" hidden="1" customHeight="1">
      <c r="A50" s="1205" t="s">
        <v>536</v>
      </c>
      <c r="B50" s="1205" t="s">
        <v>537</v>
      </c>
      <c r="C50" s="1205" t="s">
        <v>538</v>
      </c>
      <c r="D50" s="1205" t="s">
        <v>792</v>
      </c>
      <c r="E50" s="3529"/>
      <c r="F50" s="3529"/>
      <c r="G50" s="3529"/>
      <c r="H50" s="3529"/>
      <c r="I50" s="3530" t="str">
        <f>S49&amp;".1"</f>
        <v>.1</v>
      </c>
      <c r="J50" s="1205"/>
      <c r="K50" s="1205"/>
      <c r="L50" s="1208" t="s">
        <v>665</v>
      </c>
      <c r="M50" s="408"/>
      <c r="N50" s="408"/>
      <c r="O50" s="408"/>
      <c r="P50" s="3532">
        <v>1</v>
      </c>
      <c r="Q50" s="1336"/>
      <c r="R50" s="265"/>
      <c r="S50" s="912"/>
      <c r="T50" s="1244"/>
      <c r="U50" s="1245"/>
      <c r="V50" s="3560"/>
      <c r="W50" s="3560"/>
      <c r="X50" s="3560"/>
      <c r="Y50" s="3560"/>
      <c r="Z50" s="3560"/>
      <c r="AA50" s="3560"/>
      <c r="AB50" s="3560"/>
      <c r="AC50" s="3561"/>
      <c r="AD50" s="3559"/>
      <c r="AE50" s="3560"/>
      <c r="AF50" s="3560"/>
      <c r="AG50" s="3560"/>
      <c r="AH50" s="3560"/>
      <c r="AI50" s="3560"/>
      <c r="AJ50" s="3560"/>
      <c r="AK50" s="3560"/>
      <c r="AL50" s="3560"/>
      <c r="AM50" s="3560"/>
      <c r="AN50" s="3560"/>
      <c r="AO50" s="3560"/>
      <c r="AP50" s="3560"/>
      <c r="AQ50" s="3560"/>
      <c r="AR50" s="3560"/>
      <c r="AS50" s="3560"/>
      <c r="AT50" s="3560"/>
      <c r="AU50" s="3560"/>
      <c r="AV50" s="3560"/>
      <c r="AW50" s="3560"/>
      <c r="AX50" s="3560"/>
      <c r="AY50" s="3560"/>
      <c r="AZ50" s="3560"/>
      <c r="BA50" s="3560"/>
      <c r="BB50" s="3561"/>
      <c r="BC50" s="1246"/>
      <c r="BE50" s="398"/>
      <c r="BF50" s="398" t="str">
        <f t="shared" si="3"/>
        <v/>
      </c>
      <c r="BG50" s="398"/>
      <c r="BH50" s="398"/>
    </row>
    <row r="51" spans="1:60" s="1866" customFormat="1" ht="0" hidden="1" customHeight="1">
      <c r="A51" s="1205" t="s">
        <v>536</v>
      </c>
      <c r="B51" s="1205" t="s">
        <v>537</v>
      </c>
      <c r="C51" s="1205" t="s">
        <v>538</v>
      </c>
      <c r="D51" s="1205" t="s">
        <v>792</v>
      </c>
      <c r="E51" s="3529"/>
      <c r="F51" s="3529"/>
      <c r="G51" s="3529"/>
      <c r="H51" s="3529"/>
      <c r="I51" s="3531"/>
      <c r="J51" s="3530" t="str">
        <f>S49&amp;".1"</f>
        <v>.1</v>
      </c>
      <c r="K51" s="1205"/>
      <c r="L51" s="1208"/>
      <c r="M51" s="408"/>
      <c r="N51" s="408"/>
      <c r="O51" s="408"/>
      <c r="P51" s="3532"/>
      <c r="Q51" s="3532">
        <v>1</v>
      </c>
      <c r="R51" s="266"/>
      <c r="S51" s="912"/>
      <c r="T51" s="1260"/>
      <c r="U51" s="1245"/>
      <c r="V51" s="3560"/>
      <c r="W51" s="3560"/>
      <c r="X51" s="3560"/>
      <c r="Y51" s="3560"/>
      <c r="Z51" s="3560"/>
      <c r="AA51" s="3560"/>
      <c r="AB51" s="3560"/>
      <c r="AC51" s="3561"/>
      <c r="AD51" s="3559"/>
      <c r="AE51" s="3560"/>
      <c r="AF51" s="3560"/>
      <c r="AG51" s="3560"/>
      <c r="AH51" s="3560"/>
      <c r="AI51" s="3560"/>
      <c r="AJ51" s="3560"/>
      <c r="AK51" s="3560"/>
      <c r="AL51" s="3560"/>
      <c r="AM51" s="3560"/>
      <c r="AN51" s="3604"/>
      <c r="AO51" s="3604"/>
      <c r="AP51" s="3560"/>
      <c r="AQ51" s="3560"/>
      <c r="AR51" s="3560"/>
      <c r="AS51" s="3560"/>
      <c r="AT51" s="3560"/>
      <c r="AU51" s="3560"/>
      <c r="AV51" s="3560"/>
      <c r="AW51" s="3560"/>
      <c r="AX51" s="3560"/>
      <c r="AY51" s="3560"/>
      <c r="AZ51" s="3560"/>
      <c r="BA51" s="3560"/>
      <c r="BB51" s="3561"/>
      <c r="BC51" s="1246"/>
      <c r="BE51" s="398"/>
      <c r="BF51" s="398" t="str">
        <f t="shared" si="3"/>
        <v/>
      </c>
      <c r="BG51" s="398"/>
      <c r="BH51" s="398"/>
    </row>
    <row r="52" spans="1:60" ht="11.25" customHeight="1">
      <c r="A52" s="1224" t="s">
        <v>536</v>
      </c>
      <c r="B52" s="1224" t="s">
        <v>537</v>
      </c>
      <c r="C52" s="1224" t="s">
        <v>538</v>
      </c>
      <c r="D52" s="1224" t="s">
        <v>792</v>
      </c>
      <c r="E52" s="3529"/>
      <c r="F52" s="3529"/>
      <c r="G52" s="3529"/>
      <c r="H52" s="3529"/>
      <c r="I52" s="3531"/>
      <c r="J52" s="3531"/>
      <c r="K52" s="3530" t="e">
        <f>S48&amp;".1"</f>
        <v>#REF!</v>
      </c>
      <c r="L52" s="1225"/>
      <c r="P52" s="3532"/>
      <c r="Q52" s="3532"/>
      <c r="R52" s="266">
        <v>1</v>
      </c>
      <c r="S52" s="3578" t="e">
        <f>$K52</f>
        <v>#REF!</v>
      </c>
      <c r="T52" s="3598"/>
      <c r="U52" s="211"/>
      <c r="V52" s="639"/>
      <c r="W52" s="1123"/>
      <c r="X52" s="639"/>
      <c r="Y52" s="1123"/>
      <c r="Z52" s="1577"/>
      <c r="AA52" s="1325" t="s">
        <v>64</v>
      </c>
      <c r="AB52" s="1577"/>
      <c r="AC52" s="1325" t="s">
        <v>64</v>
      </c>
      <c r="AD52" s="3471" t="s">
        <v>64</v>
      </c>
      <c r="AE52" s="3574"/>
      <c r="AF52" s="3484">
        <v>1</v>
      </c>
      <c r="AG52" s="3597"/>
      <c r="AH52" s="3412" t="s">
        <v>64</v>
      </c>
      <c r="AI52" s="3574"/>
      <c r="AJ52" s="3484">
        <v>1</v>
      </c>
      <c r="AK52" s="3596" t="s">
        <v>18</v>
      </c>
      <c r="AL52" s="3412" t="s">
        <v>64</v>
      </c>
      <c r="AM52" s="3459"/>
      <c r="AN52" s="3484">
        <v>1</v>
      </c>
      <c r="AO52" s="3601"/>
      <c r="AP52" s="3602" t="s">
        <v>64</v>
      </c>
      <c r="AQ52" s="222"/>
      <c r="AR52" s="1341">
        <v>1</v>
      </c>
      <c r="AS52" s="1347" t="s">
        <v>18</v>
      </c>
      <c r="AT52" s="639"/>
      <c r="AU52" s="1123"/>
      <c r="AV52" s="639"/>
      <c r="AW52" s="1123"/>
      <c r="AX52" s="1577"/>
      <c r="AY52" s="1325" t="s">
        <v>64</v>
      </c>
      <c r="AZ52" s="1577"/>
      <c r="BA52" s="1325" t="s">
        <v>64</v>
      </c>
      <c r="BB52" s="1210"/>
      <c r="BC52" s="3551" t="s">
        <v>764</v>
      </c>
      <c r="BE52" s="398"/>
      <c r="BF52" s="398" t="str">
        <f t="shared" si="3"/>
        <v/>
      </c>
      <c r="BG52" s="398"/>
      <c r="BH52" s="398"/>
    </row>
    <row r="53" spans="1:60" ht="11.25" customHeight="1">
      <c r="A53" s="1224"/>
      <c r="B53" s="1224"/>
      <c r="C53" s="1224"/>
      <c r="D53" s="1224"/>
      <c r="E53" s="3529"/>
      <c r="F53" s="3529"/>
      <c r="G53" s="3529"/>
      <c r="H53" s="3529"/>
      <c r="I53" s="3531"/>
      <c r="J53" s="3531"/>
      <c r="K53" s="3530"/>
      <c r="L53" s="1225"/>
      <c r="P53" s="3532"/>
      <c r="Q53" s="3532"/>
      <c r="R53" s="266"/>
      <c r="S53" s="3579"/>
      <c r="T53" s="3599"/>
      <c r="U53" s="211"/>
      <c r="V53" s="1254"/>
      <c r="W53" s="1351"/>
      <c r="X53" s="1254"/>
      <c r="Y53" s="1351"/>
      <c r="Z53" s="1254"/>
      <c r="AA53" s="1254"/>
      <c r="AB53" s="1254"/>
      <c r="AC53" s="1254"/>
      <c r="AD53" s="3472"/>
      <c r="AE53" s="3574"/>
      <c r="AF53" s="3484"/>
      <c r="AG53" s="3597"/>
      <c r="AH53" s="3412"/>
      <c r="AI53" s="3574"/>
      <c r="AJ53" s="3484"/>
      <c r="AK53" s="3596"/>
      <c r="AL53" s="3412"/>
      <c r="AM53" s="3464"/>
      <c r="AN53" s="3484"/>
      <c r="AO53" s="3601"/>
      <c r="AP53" s="3603"/>
      <c r="AQ53" s="227"/>
      <c r="AR53" s="323"/>
      <c r="AS53" s="323" t="s">
        <v>765</v>
      </c>
      <c r="AT53" s="1254"/>
      <c r="AU53" s="1351"/>
      <c r="AV53" s="1254"/>
      <c r="AW53" s="1351"/>
      <c r="AX53" s="1254"/>
      <c r="AY53" s="1254"/>
      <c r="AZ53" s="1254"/>
      <c r="BA53" s="1254"/>
      <c r="BB53" s="1258"/>
      <c r="BC53" s="3552"/>
      <c r="BE53" s="398"/>
      <c r="BF53" s="398"/>
      <c r="BG53" s="398"/>
      <c r="BH53" s="398"/>
    </row>
    <row r="54" spans="1:60" ht="11.25" customHeight="1">
      <c r="A54" s="1224" t="s">
        <v>536</v>
      </c>
      <c r="B54" s="1224"/>
      <c r="C54" s="1224"/>
      <c r="D54" s="1224"/>
      <c r="E54" s="3529"/>
      <c r="F54" s="3529"/>
      <c r="G54" s="3529"/>
      <c r="H54" s="3529"/>
      <c r="I54" s="3531"/>
      <c r="J54" s="3531"/>
      <c r="K54" s="3530"/>
      <c r="L54" s="1225"/>
      <c r="P54" s="3532"/>
      <c r="Q54" s="3532"/>
      <c r="R54" s="266"/>
      <c r="S54" s="3579"/>
      <c r="T54" s="3599"/>
      <c r="U54" s="211"/>
      <c r="V54" s="1254"/>
      <c r="W54" s="1351"/>
      <c r="X54" s="1254"/>
      <c r="Y54" s="1351"/>
      <c r="Z54" s="1254"/>
      <c r="AA54" s="1254"/>
      <c r="AB54" s="1254"/>
      <c r="AC54" s="1254"/>
      <c r="AD54" s="3472"/>
      <c r="AE54" s="3574"/>
      <c r="AF54" s="3484"/>
      <c r="AG54" s="3597"/>
      <c r="AH54" s="3412"/>
      <c r="AI54" s="3574"/>
      <c r="AJ54" s="3484"/>
      <c r="AK54" s="3596"/>
      <c r="AL54" s="3412"/>
      <c r="AM54" s="227"/>
      <c r="AN54" s="1355"/>
      <c r="AO54" s="1355" t="s">
        <v>785</v>
      </c>
      <c r="AP54" s="323"/>
      <c r="AQ54" s="323"/>
      <c r="AR54" s="323"/>
      <c r="AS54" s="1254"/>
      <c r="AT54" s="1254"/>
      <c r="AU54" s="1351"/>
      <c r="AV54" s="1254"/>
      <c r="AW54" s="1351"/>
      <c r="AX54" s="1254"/>
      <c r="AY54" s="1254"/>
      <c r="AZ54" s="1254"/>
      <c r="BA54" s="1254"/>
      <c r="BB54" s="1258"/>
      <c r="BC54" s="3552"/>
      <c r="BE54" s="398"/>
      <c r="BF54" s="398"/>
      <c r="BG54" s="398"/>
      <c r="BH54" s="398"/>
    </row>
    <row r="55" spans="1:60" ht="11.25" customHeight="1">
      <c r="A55" s="1224" t="s">
        <v>536</v>
      </c>
      <c r="B55" s="1224"/>
      <c r="C55" s="1224"/>
      <c r="D55" s="1224"/>
      <c r="E55" s="3529"/>
      <c r="F55" s="3529"/>
      <c r="G55" s="3529"/>
      <c r="H55" s="3529"/>
      <c r="I55" s="3531"/>
      <c r="J55" s="3531"/>
      <c r="K55" s="3530"/>
      <c r="L55" s="1225"/>
      <c r="P55" s="3532"/>
      <c r="Q55" s="3532"/>
      <c r="R55" s="266"/>
      <c r="S55" s="3579"/>
      <c r="T55" s="3599"/>
      <c r="U55" s="211"/>
      <c r="V55" s="1254"/>
      <c r="W55" s="1351"/>
      <c r="X55" s="1254"/>
      <c r="Y55" s="1351"/>
      <c r="Z55" s="1254"/>
      <c r="AA55" s="1254"/>
      <c r="AB55" s="1254"/>
      <c r="AC55" s="1254"/>
      <c r="AD55" s="3472"/>
      <c r="AE55" s="3574"/>
      <c r="AF55" s="3484"/>
      <c r="AG55" s="3597"/>
      <c r="AH55" s="3412"/>
      <c r="AI55" s="205"/>
      <c r="AJ55" s="322"/>
      <c r="AK55" s="224" t="s">
        <v>786</v>
      </c>
      <c r="AL55" s="1254"/>
      <c r="AM55" s="1254"/>
      <c r="AN55" s="1254"/>
      <c r="AO55" s="1254"/>
      <c r="AP55" s="1254"/>
      <c r="AQ55" s="1254"/>
      <c r="AR55" s="1254"/>
      <c r="AS55" s="1254"/>
      <c r="AT55" s="1254"/>
      <c r="AU55" s="1351"/>
      <c r="AV55" s="1254"/>
      <c r="AW55" s="1351"/>
      <c r="AX55" s="1254"/>
      <c r="AY55" s="1254"/>
      <c r="AZ55" s="1254"/>
      <c r="BA55" s="1254"/>
      <c r="BB55" s="1258"/>
      <c r="BC55" s="3552"/>
      <c r="BE55" s="398"/>
      <c r="BF55" s="398"/>
      <c r="BG55" s="398"/>
      <c r="BH55" s="398"/>
    </row>
    <row r="56" spans="1:60" ht="11.25" customHeight="1">
      <c r="A56" s="1224" t="s">
        <v>536</v>
      </c>
      <c r="B56" s="1224" t="s">
        <v>537</v>
      </c>
      <c r="C56" s="1224" t="s">
        <v>538</v>
      </c>
      <c r="D56" s="1224" t="s">
        <v>792</v>
      </c>
      <c r="E56" s="3529"/>
      <c r="F56" s="3529"/>
      <c r="G56" s="3529"/>
      <c r="H56" s="3529"/>
      <c r="I56" s="3531"/>
      <c r="J56" s="3531"/>
      <c r="K56" s="3530"/>
      <c r="L56" s="1225"/>
      <c r="P56" s="3532"/>
      <c r="Q56" s="3532"/>
      <c r="R56" s="266"/>
      <c r="S56" s="3580"/>
      <c r="T56" s="3600"/>
      <c r="U56" s="211"/>
      <c r="V56" s="1254"/>
      <c r="W56" s="1255" t="str">
        <f>Z52&amp;"-"&amp;AB52</f>
        <v>-</v>
      </c>
      <c r="X56" s="1254"/>
      <c r="Y56" s="1255" t="str">
        <f>AB52&amp;"-"&amp;AD52</f>
        <v>-да</v>
      </c>
      <c r="Z56" s="1254"/>
      <c r="AA56" s="1254"/>
      <c r="AB56" s="1254"/>
      <c r="AC56" s="1254"/>
      <c r="AD56" s="3417"/>
      <c r="AE56" s="223"/>
      <c r="AF56" s="225"/>
      <c r="AG56" s="323" t="s">
        <v>768</v>
      </c>
      <c r="AH56" s="1254"/>
      <c r="AI56" s="1254"/>
      <c r="AJ56" s="1254"/>
      <c r="AK56" s="1254"/>
      <c r="AL56" s="1254"/>
      <c r="AM56" s="1254"/>
      <c r="AN56" s="1254"/>
      <c r="AO56" s="1254"/>
      <c r="AP56" s="1254"/>
      <c r="AQ56" s="1254"/>
      <c r="AR56" s="1254"/>
      <c r="AS56" s="1254"/>
      <c r="AT56" s="1254"/>
      <c r="AU56" s="1255" t="str">
        <f>AX52&amp;"-"&amp;AZ52</f>
        <v>-</v>
      </c>
      <c r="AV56" s="1254"/>
      <c r="AW56" s="1255" t="str">
        <f>AZ52&amp;"-"&amp;BB52</f>
        <v>-</v>
      </c>
      <c r="AX56" s="1254"/>
      <c r="AY56" s="1254"/>
      <c r="AZ56" s="1254"/>
      <c r="BA56" s="1254"/>
      <c r="BB56" s="1257" t="str">
        <f>BE52&amp;"-"&amp;BG52</f>
        <v>-</v>
      </c>
      <c r="BC56" s="3552"/>
      <c r="BE56" s="398"/>
      <c r="BF56" s="398" t="str">
        <f t="shared" ref="BF56:BF63" si="4">IF(T56="","",T56)</f>
        <v/>
      </c>
      <c r="BG56" s="398"/>
      <c r="BH56" s="398"/>
    </row>
    <row r="57" spans="1:60" ht="11.25" customHeight="1">
      <c r="A57" s="1224" t="s">
        <v>536</v>
      </c>
      <c r="B57" s="1224" t="s">
        <v>537</v>
      </c>
      <c r="C57" s="1224" t="s">
        <v>538</v>
      </c>
      <c r="D57" s="1224" t="s">
        <v>792</v>
      </c>
      <c r="E57" s="3529"/>
      <c r="F57" s="3529"/>
      <c r="G57" s="3529"/>
      <c r="H57" s="3529"/>
      <c r="I57" s="3531"/>
      <c r="J57" s="3530"/>
      <c r="K57" s="1224"/>
      <c r="L57" s="1225"/>
      <c r="P57" s="3532"/>
      <c r="Q57" s="3532"/>
      <c r="R57" s="265"/>
      <c r="S57" s="1144"/>
      <c r="T57" s="199" t="s">
        <v>730</v>
      </c>
      <c r="U57" s="275"/>
      <c r="V57" s="275"/>
      <c r="W57" s="275"/>
      <c r="X57" s="275"/>
      <c r="Y57" s="275"/>
      <c r="Z57" s="275"/>
      <c r="AA57" s="275"/>
      <c r="AB57" s="275"/>
      <c r="AC57" s="235"/>
      <c r="AD57" s="1360"/>
      <c r="AE57" s="275"/>
      <c r="AF57" s="275"/>
      <c r="AG57" s="275"/>
      <c r="AH57" s="275"/>
      <c r="AI57" s="275"/>
      <c r="AJ57" s="275"/>
      <c r="AK57" s="275"/>
      <c r="AL57" s="275"/>
      <c r="AM57" s="275"/>
      <c r="AN57" s="275"/>
      <c r="AO57" s="275"/>
      <c r="AP57" s="275"/>
      <c r="AQ57" s="275"/>
      <c r="AR57" s="275"/>
      <c r="AS57" s="275"/>
      <c r="AT57" s="275"/>
      <c r="AU57" s="275"/>
      <c r="AV57" s="275"/>
      <c r="AW57" s="275"/>
      <c r="AX57" s="275"/>
      <c r="AY57" s="275"/>
      <c r="AZ57" s="275"/>
      <c r="BA57" s="275"/>
      <c r="BB57" s="235"/>
      <c r="BC57" s="3553"/>
      <c r="BE57" s="398"/>
      <c r="BF57" s="398" t="str">
        <f t="shared" si="4"/>
        <v>Добавить строку</v>
      </c>
      <c r="BG57" s="398"/>
      <c r="BH57" s="398"/>
    </row>
    <row r="58" spans="1:60" s="1866" customFormat="1" ht="0" hidden="1" customHeight="1">
      <c r="A58" s="1205" t="s">
        <v>536</v>
      </c>
      <c r="B58" s="1205" t="s">
        <v>537</v>
      </c>
      <c r="C58" s="1205" t="s">
        <v>538</v>
      </c>
      <c r="D58" s="1205" t="s">
        <v>792</v>
      </c>
      <c r="E58" s="3529"/>
      <c r="F58" s="3529"/>
      <c r="G58" s="3529"/>
      <c r="H58" s="3529"/>
      <c r="I58" s="3530"/>
      <c r="J58" s="1205"/>
      <c r="K58" s="1205"/>
      <c r="L58" s="1208"/>
      <c r="M58" s="408"/>
      <c r="N58" s="408"/>
      <c r="O58" s="408"/>
      <c r="P58" s="3532"/>
      <c r="Q58" s="1336"/>
      <c r="R58" s="265"/>
      <c r="S58" s="1247"/>
      <c r="T58" s="1248"/>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V58" s="1249"/>
      <c r="AW58" s="1249"/>
      <c r="AX58" s="1249"/>
      <c r="AY58" s="1249"/>
      <c r="AZ58" s="1249"/>
      <c r="BA58" s="1249"/>
      <c r="BB58" s="1249"/>
      <c r="BC58" s="1250"/>
      <c r="BE58" s="398"/>
      <c r="BF58" s="398" t="str">
        <f t="shared" si="4"/>
        <v/>
      </c>
      <c r="BG58" s="398"/>
      <c r="BH58" s="398"/>
    </row>
    <row r="59" spans="1:60" s="1866" customFormat="1" ht="0" hidden="1" customHeight="1">
      <c r="A59" s="1205" t="s">
        <v>536</v>
      </c>
      <c r="B59" s="1205" t="s">
        <v>537</v>
      </c>
      <c r="C59" s="1205" t="s">
        <v>538</v>
      </c>
      <c r="D59" s="1205" t="s">
        <v>792</v>
      </c>
      <c r="E59" s="3529"/>
      <c r="F59" s="3529"/>
      <c r="G59" s="3529"/>
      <c r="H59" s="3528"/>
      <c r="I59" s="1205"/>
      <c r="J59" s="1205"/>
      <c r="K59" s="1205"/>
      <c r="L59" s="1208"/>
      <c r="M59" s="1178"/>
      <c r="N59" s="1178"/>
      <c r="O59" s="416"/>
      <c r="P59" s="287"/>
      <c r="Q59" s="1206"/>
      <c r="R59" s="1262"/>
      <c r="S59" s="1247"/>
      <c r="T59" s="1248"/>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V59" s="1249"/>
      <c r="AW59" s="1249"/>
      <c r="AX59" s="1249"/>
      <c r="AY59" s="1249"/>
      <c r="AZ59" s="1249"/>
      <c r="BA59" s="1249"/>
      <c r="BB59" s="1249"/>
      <c r="BC59" s="1250"/>
      <c r="BE59" s="398"/>
      <c r="BF59" s="398" t="str">
        <f t="shared" si="4"/>
        <v/>
      </c>
      <c r="BG59" s="398"/>
      <c r="BH59" s="398"/>
    </row>
    <row r="60" spans="1:60" s="1866" customFormat="1" ht="0" hidden="1" customHeight="1">
      <c r="A60" s="1205" t="s">
        <v>536</v>
      </c>
      <c r="B60" s="1205" t="s">
        <v>537</v>
      </c>
      <c r="C60" s="1205" t="s">
        <v>538</v>
      </c>
      <c r="D60" s="1177"/>
      <c r="E60" s="3529"/>
      <c r="F60" s="3529"/>
      <c r="G60" s="3528"/>
      <c r="H60" s="1177"/>
      <c r="I60" s="1177"/>
      <c r="J60" s="1177"/>
      <c r="K60" s="1177"/>
      <c r="L60" s="1349"/>
      <c r="M60" s="1178"/>
      <c r="N60" s="1178"/>
      <c r="P60" s="1179"/>
      <c r="Q60" s="1180"/>
      <c r="R60" s="1179"/>
      <c r="S60" s="1185"/>
      <c r="T60" s="1188"/>
      <c r="U60" s="1187"/>
      <c r="V60" s="1187"/>
      <c r="W60" s="1187"/>
      <c r="X60" s="1187"/>
      <c r="Y60" s="1187"/>
      <c r="Z60" s="1187"/>
      <c r="AA60" s="1187"/>
      <c r="AB60" s="1187"/>
      <c r="AC60" s="1187"/>
      <c r="AD60" s="1187"/>
      <c r="AE60" s="1187"/>
      <c r="AF60" s="1187"/>
      <c r="AG60" s="1187"/>
      <c r="AH60" s="1187"/>
      <c r="AI60" s="1187"/>
      <c r="AJ60" s="1187"/>
      <c r="AK60" s="1187"/>
      <c r="AL60" s="1187"/>
      <c r="AM60" s="1187"/>
      <c r="AN60" s="1187"/>
      <c r="AO60" s="1187"/>
      <c r="AP60" s="1187"/>
      <c r="AQ60" s="1187"/>
      <c r="AR60" s="1187"/>
      <c r="AS60" s="1187"/>
      <c r="AT60" s="1187"/>
      <c r="AU60" s="1187"/>
      <c r="AV60" s="1187"/>
      <c r="AW60" s="1187"/>
      <c r="AX60" s="1187"/>
      <c r="AY60" s="1187"/>
      <c r="AZ60" s="1187"/>
      <c r="BA60" s="1187"/>
      <c r="BB60" s="1187"/>
      <c r="BC60" s="1187"/>
      <c r="BE60" s="670"/>
      <c r="BF60" s="670" t="str">
        <f t="shared" si="4"/>
        <v/>
      </c>
      <c r="BG60" s="670"/>
      <c r="BH60" s="670"/>
    </row>
    <row r="61" spans="1:60" s="1866" customFormat="1" ht="0" hidden="1" customHeight="1">
      <c r="A61" s="1205" t="s">
        <v>536</v>
      </c>
      <c r="B61" s="1205" t="s">
        <v>537</v>
      </c>
      <c r="C61" s="1177"/>
      <c r="D61" s="1177"/>
      <c r="E61" s="3529"/>
      <c r="F61" s="3528"/>
      <c r="G61" s="1177"/>
      <c r="H61" s="1177"/>
      <c r="I61" s="1177"/>
      <c r="J61" s="1177"/>
      <c r="K61" s="1177"/>
      <c r="L61" s="1349"/>
      <c r="M61" s="1184"/>
      <c r="N61" s="1184"/>
      <c r="P61" s="1179"/>
      <c r="Q61" s="1180"/>
      <c r="R61" s="1179"/>
      <c r="S61" s="1185"/>
      <c r="T61" s="1188" t="s">
        <v>677</v>
      </c>
      <c r="U61" s="1187"/>
      <c r="V61" s="1187"/>
      <c r="W61" s="1187"/>
      <c r="X61" s="1187"/>
      <c r="Y61" s="1187"/>
      <c r="Z61" s="1187"/>
      <c r="AA61" s="1187"/>
      <c r="AB61" s="1187"/>
      <c r="AC61" s="1187"/>
      <c r="AD61" s="1187"/>
      <c r="AE61" s="1187"/>
      <c r="AF61" s="1187"/>
      <c r="AG61" s="1187"/>
      <c r="AH61" s="1187"/>
      <c r="AI61" s="1187"/>
      <c r="AJ61" s="1187"/>
      <c r="AK61" s="1187"/>
      <c r="AL61" s="1187"/>
      <c r="AM61" s="1187"/>
      <c r="AN61" s="1187"/>
      <c r="AO61" s="1187"/>
      <c r="AP61" s="1187"/>
      <c r="AQ61" s="1187"/>
      <c r="AR61" s="1187"/>
      <c r="AS61" s="1187"/>
      <c r="AT61" s="1187"/>
      <c r="AU61" s="1187"/>
      <c r="AV61" s="1187"/>
      <c r="AW61" s="1187"/>
      <c r="AX61" s="1187"/>
      <c r="AY61" s="1187"/>
      <c r="AZ61" s="1187"/>
      <c r="BA61" s="1187"/>
      <c r="BB61" s="1187"/>
      <c r="BC61" s="1187"/>
      <c r="BE61" s="670"/>
      <c r="BF61" s="670" t="str">
        <f t="shared" si="4"/>
        <v>Добавить централизованную систему для дифференциации</v>
      </c>
      <c r="BG61" s="670"/>
      <c r="BH61" s="670"/>
    </row>
    <row r="62" spans="1:60" s="1866" customFormat="1" ht="0" hidden="1" customHeight="1">
      <c r="A62" s="1205" t="s">
        <v>536</v>
      </c>
      <c r="B62" s="1205"/>
      <c r="C62" s="1205"/>
      <c r="D62" s="1205"/>
      <c r="E62" s="3528"/>
      <c r="F62" s="1205"/>
      <c r="G62" s="1205"/>
      <c r="H62" s="1205"/>
      <c r="I62" s="1205"/>
      <c r="J62" s="1205"/>
      <c r="K62" s="1205"/>
      <c r="L62" s="1208"/>
      <c r="M62" s="1184"/>
      <c r="N62" s="1184"/>
      <c r="O62" s="416"/>
      <c r="P62" s="287"/>
      <c r="Q62" s="1206"/>
      <c r="R62" s="287"/>
      <c r="S62" s="1185"/>
      <c r="T62" s="1188" t="s">
        <v>678</v>
      </c>
      <c r="U62" s="1187"/>
      <c r="V62" s="1187"/>
      <c r="W62" s="1187"/>
      <c r="X62" s="1187"/>
      <c r="Y62" s="1187"/>
      <c r="Z62" s="1187"/>
      <c r="AA62" s="1187"/>
      <c r="AB62" s="1187"/>
      <c r="AC62" s="1187"/>
      <c r="AD62" s="1187"/>
      <c r="AE62" s="1187"/>
      <c r="AF62" s="1187"/>
      <c r="AG62" s="1187"/>
      <c r="AH62" s="1187"/>
      <c r="AI62" s="1187"/>
      <c r="AJ62" s="1187"/>
      <c r="AK62" s="1187"/>
      <c r="AL62" s="1187"/>
      <c r="AM62" s="1187"/>
      <c r="AN62" s="1187"/>
      <c r="AO62" s="1187"/>
      <c r="AP62" s="1187"/>
      <c r="AQ62" s="1187"/>
      <c r="AR62" s="1187"/>
      <c r="AS62" s="1187"/>
      <c r="AT62" s="1187"/>
      <c r="AU62" s="1187"/>
      <c r="AV62" s="1187"/>
      <c r="AW62" s="1187"/>
      <c r="AX62" s="1187"/>
      <c r="AY62" s="1187"/>
      <c r="AZ62" s="1187"/>
      <c r="BA62" s="1187"/>
      <c r="BB62" s="1187"/>
      <c r="BC62" s="1187"/>
      <c r="BE62" s="398"/>
      <c r="BF62" s="398" t="str">
        <f t="shared" si="4"/>
        <v>Добавить территорию для дифференциации</v>
      </c>
      <c r="BG62" s="398"/>
      <c r="BH62" s="398"/>
    </row>
    <row r="63" spans="1:60" s="1866" customFormat="1" ht="0" hidden="1" customHeight="1">
      <c r="A63" s="1177"/>
      <c r="B63" s="1177"/>
      <c r="C63" s="1177"/>
      <c r="D63" s="1177"/>
      <c r="E63" s="1205"/>
      <c r="F63" s="1177"/>
      <c r="G63" s="1177"/>
      <c r="H63" s="1177"/>
      <c r="I63" s="1177"/>
      <c r="J63" s="1177"/>
      <c r="K63" s="1177"/>
      <c r="L63" s="1349"/>
      <c r="M63" s="1184"/>
      <c r="N63" s="1184"/>
      <c r="P63" s="1179"/>
      <c r="Q63" s="1180"/>
      <c r="R63" s="1179"/>
      <c r="S63" s="1185"/>
      <c r="T63" s="1188" t="s">
        <v>710</v>
      </c>
      <c r="U63" s="1187"/>
      <c r="V63" s="1187"/>
      <c r="W63" s="1187"/>
      <c r="X63" s="1187"/>
      <c r="Y63" s="1187"/>
      <c r="Z63" s="1187"/>
      <c r="AA63" s="1187"/>
      <c r="AB63" s="1187"/>
      <c r="AC63" s="1187"/>
      <c r="AD63" s="1187"/>
      <c r="AE63" s="1187"/>
      <c r="AF63" s="1187"/>
      <c r="AG63" s="1187"/>
      <c r="AH63" s="1187"/>
      <c r="AI63" s="1187"/>
      <c r="AJ63" s="1187"/>
      <c r="AK63" s="1187"/>
      <c r="AL63" s="1187"/>
      <c r="AM63" s="1187"/>
      <c r="AN63" s="1187"/>
      <c r="AO63" s="1187"/>
      <c r="AP63" s="1187"/>
      <c r="AQ63" s="1187"/>
      <c r="AR63" s="1187"/>
      <c r="AS63" s="1187"/>
      <c r="AT63" s="1187"/>
      <c r="AU63" s="1187"/>
      <c r="AV63" s="1187"/>
      <c r="AW63" s="1187"/>
      <c r="AX63" s="1187"/>
      <c r="AY63" s="1187"/>
      <c r="AZ63" s="1187"/>
      <c r="BA63" s="1187"/>
      <c r="BB63" s="1187"/>
      <c r="BC63" s="1187"/>
      <c r="BE63" s="670"/>
      <c r="BF63" s="670" t="str">
        <f t="shared" si="4"/>
        <v>Добавить наименование тарифа</v>
      </c>
      <c r="BG63" s="670"/>
      <c r="BH63" s="670"/>
    </row>
    <row r="64" spans="1:60" ht="11.25" customHeight="1">
      <c r="M64" s="1023"/>
      <c r="N64" s="1023"/>
      <c r="O64" s="434"/>
      <c r="P64" s="1023"/>
      <c r="Q64" s="1023"/>
      <c r="R64" s="1018"/>
      <c r="S64" s="1018"/>
      <c r="BD64" s="1018"/>
      <c r="BE64" s="1018"/>
      <c r="BF64" s="1018"/>
      <c r="BG64" s="1018"/>
      <c r="BH64" s="1018"/>
    </row>
    <row r="65" spans="15:55" ht="14.25" customHeight="1">
      <c r="O65" s="434"/>
      <c r="S65" s="1119"/>
      <c r="T65" s="3527"/>
      <c r="U65" s="3527"/>
      <c r="V65" s="3527"/>
      <c r="W65" s="3527"/>
      <c r="X65" s="3527"/>
      <c r="Y65" s="3527"/>
      <c r="Z65" s="3527"/>
      <c r="AA65" s="3527"/>
      <c r="AB65" s="3527"/>
      <c r="AC65" s="3527"/>
      <c r="AD65" s="3527"/>
      <c r="AE65" s="3527"/>
      <c r="AF65" s="3527"/>
      <c r="AG65" s="3527"/>
      <c r="AH65" s="3527"/>
      <c r="AI65" s="3527"/>
      <c r="AJ65" s="3527"/>
      <c r="AK65" s="3527"/>
      <c r="AL65" s="3527"/>
      <c r="AM65" s="3527"/>
      <c r="AN65" s="3527"/>
      <c r="AO65" s="3527"/>
      <c r="AP65" s="3527"/>
      <c r="AQ65" s="3527"/>
      <c r="AR65" s="3527"/>
      <c r="AS65" s="3527"/>
      <c r="AT65" s="3527"/>
      <c r="AU65" s="3527"/>
      <c r="AV65" s="3527"/>
      <c r="AW65" s="3527"/>
      <c r="AX65" s="3527"/>
      <c r="AY65" s="3527"/>
      <c r="AZ65" s="3527"/>
      <c r="BA65" s="3527"/>
      <c r="BB65" s="3527"/>
      <c r="BC65" s="3527"/>
    </row>
    <row r="66" spans="15:55" ht="14.25" customHeight="1">
      <c r="O66" s="434"/>
      <c r="T66" s="1335"/>
      <c r="U66" s="1335"/>
      <c r="V66" s="1335"/>
      <c r="W66" s="1335"/>
      <c r="X66" s="1335"/>
      <c r="Y66" s="1335"/>
      <c r="Z66" s="1335"/>
      <c r="AA66" s="1335"/>
      <c r="AB66" s="1335"/>
      <c r="AC66" s="1335"/>
      <c r="AD66" s="1335"/>
      <c r="AE66" s="1335"/>
      <c r="AF66" s="1335"/>
      <c r="AG66" s="1335"/>
      <c r="AH66" s="1335"/>
      <c r="AI66" s="1335"/>
      <c r="AJ66" s="1335"/>
      <c r="AK66" s="1335"/>
      <c r="AL66" s="1335"/>
      <c r="AM66" s="1335"/>
      <c r="AN66" s="1335"/>
      <c r="AO66" s="1335"/>
      <c r="AP66" s="1335"/>
      <c r="AQ66" s="1335"/>
      <c r="AR66" s="1335"/>
      <c r="AS66" s="1335"/>
      <c r="AT66" s="1335"/>
      <c r="AU66" s="1335"/>
      <c r="AV66" s="1335"/>
      <c r="AW66" s="1335"/>
      <c r="AX66" s="1335"/>
      <c r="AY66" s="1335"/>
      <c r="AZ66" s="1335"/>
      <c r="BA66" s="1335"/>
      <c r="BB66" s="1335"/>
      <c r="BC66" s="1335"/>
    </row>
    <row r="67" spans="15:55" ht="14.25" customHeight="1">
      <c r="O67" s="434"/>
      <c r="S67" s="1119"/>
      <c r="T67" s="3527"/>
      <c r="U67" s="3527"/>
      <c r="V67" s="3527"/>
      <c r="W67" s="3527"/>
      <c r="X67" s="3527"/>
      <c r="Y67" s="3527"/>
      <c r="Z67" s="3527"/>
      <c r="AA67" s="3527"/>
      <c r="AB67" s="3527"/>
      <c r="AC67" s="3527"/>
      <c r="AD67" s="3527"/>
      <c r="AE67" s="3527"/>
      <c r="AF67" s="3527"/>
      <c r="AG67" s="3527"/>
      <c r="AH67" s="3527"/>
      <c r="AI67" s="3527"/>
      <c r="AJ67" s="3527"/>
      <c r="AK67" s="3527"/>
      <c r="AL67" s="3527"/>
      <c r="AM67" s="3527"/>
      <c r="AN67" s="3527"/>
      <c r="AO67" s="3527"/>
      <c r="AP67" s="3527"/>
      <c r="AQ67" s="3527"/>
      <c r="AR67" s="3527"/>
      <c r="AS67" s="3527"/>
      <c r="AT67" s="3527"/>
      <c r="AU67" s="3527"/>
      <c r="AV67" s="3527"/>
      <c r="AW67" s="3527"/>
      <c r="AX67" s="3527"/>
      <c r="AY67" s="3527"/>
      <c r="AZ67" s="3527"/>
      <c r="BA67" s="3527"/>
      <c r="BB67" s="3527"/>
      <c r="BC67" s="3527"/>
    </row>
    <row r="68" spans="15:55" ht="14.25" customHeight="1">
      <c r="O68" s="434"/>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C3EA5-B6A6-F07B-568A-3FFC4A6BC2C3}">
  <sheetPr>
    <tabColor rgb="FFCCCCFF"/>
    <pageSetUpPr fitToPage="1"/>
  </sheetPr>
  <dimension ref="A1:AB28"/>
  <sheetViews>
    <sheetView showGridLines="0" topLeftCell="C2" zoomScale="90" workbookViewId="0">
      <selection activeCell="G13" sqref="G13"/>
    </sheetView>
  </sheetViews>
  <sheetFormatPr defaultColWidth="9.140625" defaultRowHeight="14.25" customHeight="1"/>
  <cols>
    <col min="1" max="1" width="8" style="1910" hidden="1" customWidth="1"/>
    <col min="2" max="2" width="6" style="1903" hidden="1" customWidth="1"/>
    <col min="3" max="3" width="3.7109375" style="1910" customWidth="1"/>
    <col min="4" max="4" width="3.7109375" style="1940" customWidth="1"/>
    <col min="5" max="5" width="6.28515625" style="1910" customWidth="1"/>
    <col min="6" max="6" width="2.7109375" style="1910" hidden="1" customWidth="1"/>
    <col min="7" max="7" width="46.7109375" style="1910" customWidth="1"/>
    <col min="8" max="8" width="43.140625" style="1910" customWidth="1"/>
    <col min="9" max="9" width="14.85546875" style="1910" customWidth="1"/>
    <col min="10" max="10" width="3.7109375" style="1904" customWidth="1"/>
    <col min="11" max="13" width="9.140625" style="1904" hidden="1"/>
    <col min="14" max="14" width="25.7109375" style="1904" hidden="1" customWidth="1"/>
    <col min="15" max="15" width="14.42578125" style="1904" hidden="1" customWidth="1"/>
    <col min="16" max="19" width="9.140625" style="1819" hidden="1"/>
    <col min="20" max="27" width="9.140625" style="1910" hidden="1"/>
    <col min="28" max="28" width="9.140625" style="1910"/>
  </cols>
  <sheetData>
    <row r="1" spans="1:28" s="1866" customFormat="1" ht="5.25" hidden="1" customHeight="1">
      <c r="A1" s="394"/>
      <c r="B1" s="409"/>
      <c r="C1" s="409"/>
      <c r="D1" s="137"/>
      <c r="F1" s="409"/>
      <c r="G1" s="161" t="s">
        <v>80</v>
      </c>
      <c r="H1" s="392" t="s">
        <v>81</v>
      </c>
      <c r="I1" s="143" t="s">
        <v>82</v>
      </c>
      <c r="J1" s="161" t="s">
        <v>80</v>
      </c>
      <c r="K1" s="161"/>
      <c r="L1" s="161"/>
      <c r="M1" s="161"/>
      <c r="N1" s="162"/>
      <c r="O1" s="161"/>
      <c r="P1" s="161"/>
      <c r="Q1" s="161"/>
      <c r="R1" s="161"/>
      <c r="S1" s="161"/>
      <c r="T1" s="143"/>
      <c r="U1" s="143"/>
      <c r="V1" s="143"/>
      <c r="W1" s="143"/>
      <c r="X1" s="143"/>
      <c r="Y1" s="143"/>
      <c r="Z1" s="143"/>
      <c r="AA1" s="143"/>
      <c r="AB1" s="143"/>
    </row>
    <row r="2" spans="1:28" s="1840" customFormat="1" ht="11.25" customHeight="1">
      <c r="A2" s="712"/>
      <c r="B2" s="144"/>
      <c r="C2" s="144"/>
      <c r="D2" s="145"/>
      <c r="E2" s="144"/>
      <c r="F2" s="144"/>
      <c r="G2" s="144"/>
      <c r="H2" s="144"/>
      <c r="I2" s="144"/>
      <c r="J2" s="161"/>
      <c r="K2" s="161"/>
      <c r="L2" s="161"/>
      <c r="M2" s="161"/>
      <c r="N2" s="162"/>
      <c r="O2" s="161"/>
      <c r="P2" s="146"/>
      <c r="Q2" s="146"/>
      <c r="R2" s="146"/>
      <c r="S2" s="146"/>
      <c r="T2" s="145"/>
      <c r="U2" s="145"/>
      <c r="V2" s="145"/>
      <c r="W2" s="145"/>
      <c r="X2" s="145"/>
      <c r="Y2" s="145"/>
      <c r="Z2" s="145"/>
      <c r="AA2" s="145"/>
      <c r="AB2" s="145"/>
    </row>
    <row r="3" spans="1:28" s="1932" customFormat="1" ht="3" customHeight="1">
      <c r="A3" s="644"/>
      <c r="B3" s="324"/>
      <c r="C3" s="644"/>
      <c r="D3" s="81"/>
      <c r="E3" s="31"/>
      <c r="F3" s="407"/>
      <c r="G3" s="31"/>
      <c r="H3" s="31"/>
      <c r="I3" s="83"/>
      <c r="J3" s="161"/>
      <c r="K3" s="73"/>
      <c r="L3" s="73"/>
      <c r="M3" s="73"/>
      <c r="N3" s="142"/>
      <c r="O3" s="73"/>
      <c r="P3" s="141"/>
      <c r="Q3" s="141"/>
      <c r="R3" s="141"/>
      <c r="S3" s="141"/>
    </row>
    <row r="4" spans="1:28" s="1932" customFormat="1" ht="25.5" customHeight="1">
      <c r="A4" s="644"/>
      <c r="B4" s="324"/>
      <c r="C4" s="644"/>
      <c r="D4" s="81"/>
      <c r="E4" s="3387" t="str">
        <f>NameTemplatesInListMO</f>
        <v>Перечень муниципальных районов и муниципальных образований (территорий действия тарифа)</v>
      </c>
      <c r="F4" s="3387"/>
      <c r="G4" s="3387"/>
      <c r="H4" s="3387"/>
      <c r="I4" s="3387"/>
      <c r="J4" s="161"/>
      <c r="K4" s="73"/>
      <c r="L4" s="73"/>
      <c r="M4" s="73"/>
      <c r="N4" s="142"/>
      <c r="O4" s="73"/>
      <c r="P4" s="141"/>
      <c r="Q4" s="141"/>
      <c r="R4" s="141"/>
      <c r="S4" s="141"/>
    </row>
    <row r="5" spans="1:28" s="1932" customFormat="1" ht="3" customHeight="1">
      <c r="A5" s="644"/>
      <c r="B5" s="324"/>
      <c r="C5" s="644"/>
      <c r="D5" s="81"/>
      <c r="E5" s="31"/>
      <c r="F5" s="407"/>
      <c r="G5" s="84"/>
      <c r="H5" s="84"/>
      <c r="I5" s="85"/>
      <c r="J5" s="73"/>
      <c r="K5" s="73"/>
      <c r="L5" s="73"/>
      <c r="M5" s="73"/>
      <c r="N5" s="142"/>
      <c r="O5" s="73"/>
      <c r="P5" s="141"/>
      <c r="Q5" s="141"/>
      <c r="R5" s="141"/>
      <c r="S5" s="141"/>
    </row>
    <row r="6" spans="1:28" s="1932" customFormat="1" ht="20.25" hidden="1" customHeight="1">
      <c r="A6" s="718"/>
      <c r="B6" s="714"/>
      <c r="C6" s="86"/>
      <c r="D6" s="81"/>
      <c r="E6" s="661"/>
      <c r="F6" s="661"/>
      <c r="G6" s="84"/>
      <c r="H6" s="87"/>
      <c r="I6" s="87"/>
      <c r="J6" s="73"/>
      <c r="K6" s="73"/>
      <c r="L6" s="73"/>
      <c r="M6" s="73"/>
      <c r="N6" s="142"/>
      <c r="O6" s="73"/>
      <c r="P6" s="141"/>
      <c r="Q6" s="141"/>
      <c r="R6" s="141"/>
      <c r="S6" s="141"/>
    </row>
    <row r="7" spans="1:28" ht="25.5" hidden="1" customHeight="1"/>
    <row r="8" spans="1:28" s="1932" customFormat="1" ht="14.25" customHeight="1">
      <c r="A8" s="644"/>
      <c r="B8" s="324"/>
      <c r="C8" s="644"/>
      <c r="D8" s="81"/>
      <c r="E8" s="3383" t="s">
        <v>83</v>
      </c>
      <c r="F8" s="3388"/>
      <c r="G8" s="3382"/>
      <c r="H8" s="3389" t="s">
        <v>84</v>
      </c>
      <c r="I8" s="3389"/>
      <c r="J8" s="73"/>
      <c r="K8" s="73"/>
      <c r="L8" s="73"/>
      <c r="M8" s="73"/>
      <c r="N8" s="142"/>
      <c r="O8" s="73"/>
      <c r="P8" s="141"/>
      <c r="Q8" s="141"/>
      <c r="R8" s="141"/>
      <c r="S8" s="141"/>
    </row>
    <row r="9" spans="1:28" s="1932" customFormat="1" ht="20.25" customHeight="1">
      <c r="A9" s="644"/>
      <c r="B9" s="324"/>
      <c r="C9" s="644"/>
      <c r="D9" s="81"/>
      <c r="E9" s="659" t="s">
        <v>85</v>
      </c>
      <c r="F9" s="659"/>
      <c r="G9" s="89" t="s">
        <v>86</v>
      </c>
      <c r="H9" s="89" t="s">
        <v>86</v>
      </c>
      <c r="I9" s="89" t="s">
        <v>82</v>
      </c>
      <c r="J9" s="73"/>
      <c r="K9" s="73"/>
      <c r="L9" s="73"/>
      <c r="M9" s="73"/>
      <c r="N9" s="142"/>
      <c r="O9" s="73"/>
      <c r="P9" s="141"/>
      <c r="Q9" s="141"/>
      <c r="R9" s="141"/>
      <c r="S9" s="141"/>
    </row>
    <row r="10" spans="1:28" ht="11.25" customHeight="1">
      <c r="D10" s="93"/>
      <c r="E10" s="660" t="s">
        <v>87</v>
      </c>
      <c r="F10" s="660"/>
      <c r="G10" s="139" t="s">
        <v>88</v>
      </c>
      <c r="H10" s="139" t="s">
        <v>89</v>
      </c>
      <c r="I10" s="139" t="s">
        <v>90</v>
      </c>
      <c r="J10" s="103"/>
      <c r="K10" s="103"/>
      <c r="L10" s="103"/>
      <c r="M10" s="103"/>
      <c r="N10" s="88"/>
      <c r="O10" s="103"/>
      <c r="P10" s="140"/>
      <c r="Q10" s="140"/>
      <c r="R10" s="140"/>
      <c r="S10" s="140"/>
    </row>
    <row r="11" spans="1:28" s="1932" customFormat="1" ht="0.75" customHeight="1">
      <c r="A11" s="644"/>
      <c r="B11" s="324"/>
      <c r="C11" s="644"/>
      <c r="D11" s="81"/>
      <c r="E11" s="671"/>
      <c r="F11" s="671"/>
      <c r="G11" s="90"/>
      <c r="H11" s="90"/>
      <c r="I11" s="92"/>
      <c r="J11" s="163" t="s">
        <v>91</v>
      </c>
      <c r="K11" s="73"/>
      <c r="L11" s="73"/>
      <c r="M11" s="73" t="s">
        <v>92</v>
      </c>
      <c r="N11" s="142" t="s">
        <v>93</v>
      </c>
      <c r="O11" s="73" t="s">
        <v>94</v>
      </c>
      <c r="P11" s="141"/>
      <c r="Q11" s="141"/>
      <c r="R11" s="141"/>
      <c r="S11" s="141"/>
    </row>
    <row r="12" spans="1:28" s="1932" customFormat="1" ht="14.25" customHeight="1">
      <c r="A12" s="3386">
        <v>1</v>
      </c>
      <c r="B12" s="324"/>
      <c r="C12" s="644"/>
      <c r="D12" s="663"/>
      <c r="E12" s="135">
        <f>A12</f>
        <v>1</v>
      </c>
      <c r="F12" s="683" t="s">
        <v>95</v>
      </c>
      <c r="G12" s="437" t="str">
        <f>"Территория "&amp;E12</f>
        <v>Территория 1</v>
      </c>
      <c r="H12" s="673"/>
      <c r="I12" s="673"/>
      <c r="J12" s="670"/>
      <c r="K12" s="398"/>
      <c r="L12" s="398"/>
      <c r="M12" s="398"/>
      <c r="N12" s="142"/>
      <c r="O12" s="398"/>
      <c r="P12" s="141"/>
      <c r="Q12" s="141"/>
      <c r="R12" s="141"/>
      <c r="S12" s="141"/>
    </row>
    <row r="13" spans="1:28" s="1962" customFormat="1" ht="15" customHeight="1">
      <c r="A13" s="3386"/>
      <c r="B13" s="324">
        <v>1</v>
      </c>
      <c r="C13" s="324"/>
      <c r="D13" s="681"/>
      <c r="E13" s="662" t="str">
        <f>A12&amp;"."&amp;B13</f>
        <v>1.1</v>
      </c>
      <c r="F13" s="676" t="s">
        <v>96</v>
      </c>
      <c r="G13" s="674" t="s">
        <v>97</v>
      </c>
      <c r="H13" s="674" t="s">
        <v>97</v>
      </c>
      <c r="I13" s="672" t="s">
        <v>98</v>
      </c>
      <c r="J13" s="398" t="e">
        <f ca="1">MERGEVALUE(G13)</f>
        <v>#NAME?</v>
      </c>
      <c r="K13" s="409"/>
      <c r="L13" s="409"/>
      <c r="M13" s="398" t="str">
        <f t="array" ref="M13">IF(ISERROR(MATCH(MID(N13,1,250),MID(note_ter,1,250),0)),"n","y")</f>
        <v>n</v>
      </c>
      <c r="N13" s="409"/>
      <c r="O13" s="398" t="str">
        <f>H13&amp;"("&amp;I13&amp;")"</f>
        <v>Город Орёл(54701000)</v>
      </c>
      <c r="P13" s="324"/>
      <c r="Q13" s="324"/>
      <c r="R13" s="326"/>
      <c r="S13" s="324"/>
      <c r="T13" s="324"/>
      <c r="U13" s="324"/>
      <c r="V13" s="328"/>
      <c r="W13" s="328"/>
      <c r="X13" s="325"/>
      <c r="Y13" s="325"/>
      <c r="Z13" s="325"/>
      <c r="AA13" s="325"/>
      <c r="AB13" s="325"/>
    </row>
    <row r="14" spans="1:28" s="1962" customFormat="1" ht="15" customHeight="1">
      <c r="A14" s="3386"/>
      <c r="B14" s="324"/>
      <c r="C14" s="319"/>
      <c r="D14" s="682"/>
      <c r="E14" s="327"/>
      <c r="F14" s="94"/>
      <c r="G14" s="322" t="s">
        <v>99</v>
      </c>
      <c r="H14" s="104"/>
      <c r="I14" s="329"/>
      <c r="J14" s="409"/>
      <c r="K14" s="409"/>
      <c r="L14" s="409"/>
      <c r="M14" s="409"/>
      <c r="N14" s="398"/>
      <c r="O14" s="409"/>
      <c r="P14" s="324"/>
      <c r="Q14" s="324"/>
      <c r="R14" s="326"/>
      <c r="S14" s="324"/>
      <c r="T14" s="324"/>
      <c r="U14" s="324"/>
      <c r="V14" s="328"/>
      <c r="W14" s="328"/>
      <c r="X14" s="325"/>
      <c r="Y14" s="325"/>
      <c r="Z14" s="325"/>
      <c r="AA14" s="325"/>
      <c r="AB14" s="325"/>
    </row>
    <row r="15" spans="1:28" s="1932" customFormat="1" ht="14.25" customHeight="1">
      <c r="A15" s="644"/>
      <c r="B15" s="324"/>
      <c r="C15" s="644"/>
      <c r="D15" s="663"/>
      <c r="E15" s="675"/>
      <c r="F15" s="95"/>
      <c r="G15" s="323" t="s">
        <v>100</v>
      </c>
      <c r="H15" s="95"/>
      <c r="I15" s="96"/>
      <c r="J15" s="163"/>
      <c r="K15" s="73"/>
      <c r="L15" s="73"/>
      <c r="M15" s="73"/>
      <c r="N15" s="142" t="s">
        <v>101</v>
      </c>
      <c r="O15" s="73"/>
      <c r="P15" s="141"/>
      <c r="Q15" s="141"/>
      <c r="R15" s="141"/>
      <c r="S15" s="141"/>
    </row>
    <row r="16" spans="1:28" s="1932" customFormat="1" ht="21" customHeight="1">
      <c r="A16" s="644"/>
      <c r="B16" s="324"/>
      <c r="C16" s="644"/>
      <c r="D16" s="82"/>
      <c r="E16" s="97"/>
      <c r="F16" s="97"/>
      <c r="G16" s="97"/>
      <c r="H16" s="97"/>
      <c r="I16" s="97"/>
      <c r="J16" s="73"/>
      <c r="K16" s="73"/>
      <c r="L16" s="73"/>
      <c r="M16" s="73"/>
      <c r="N16" s="142"/>
      <c r="O16" s="73"/>
      <c r="P16" s="141"/>
      <c r="Q16" s="141"/>
      <c r="R16" s="141"/>
      <c r="S16" s="141"/>
    </row>
    <row r="17" spans="1:19" s="1932" customFormat="1" ht="14.25" customHeight="1">
      <c r="A17" s="644"/>
      <c r="B17" s="324"/>
      <c r="C17" s="644"/>
      <c r="D17" s="82"/>
      <c r="E17" s="15"/>
      <c r="F17" s="644"/>
      <c r="G17" s="15"/>
      <c r="H17" s="15"/>
      <c r="I17" s="15"/>
      <c r="J17" s="73"/>
      <c r="K17" s="73"/>
      <c r="L17" s="73"/>
      <c r="M17" s="73"/>
      <c r="N17" s="142"/>
      <c r="O17" s="73"/>
      <c r="P17" s="141"/>
      <c r="Q17" s="141"/>
      <c r="R17" s="141"/>
      <c r="S17" s="141"/>
    </row>
    <row r="18" spans="1:19" s="1932" customFormat="1" ht="0.75" customHeight="1">
      <c r="A18" s="644"/>
      <c r="B18" s="324"/>
      <c r="C18" s="644"/>
      <c r="D18" s="82"/>
      <c r="E18" s="15"/>
      <c r="F18" s="644"/>
      <c r="G18" s="15"/>
      <c r="H18" s="15"/>
      <c r="I18" s="15"/>
      <c r="J18" s="73"/>
      <c r="K18" s="73"/>
      <c r="L18" s="73"/>
      <c r="M18" s="73"/>
      <c r="N18" s="142"/>
      <c r="O18" s="73"/>
      <c r="P18" s="141"/>
      <c r="Q18" s="141"/>
      <c r="R18" s="141"/>
      <c r="S18" s="141"/>
    </row>
    <row r="19" spans="1:19" s="1897" customFormat="1" ht="10.5" customHeight="1">
      <c r="B19" s="715"/>
      <c r="D19" s="99"/>
      <c r="J19" s="73"/>
      <c r="K19" s="73"/>
      <c r="L19" s="73"/>
      <c r="M19" s="73"/>
      <c r="N19" s="142"/>
      <c r="O19" s="73"/>
      <c r="P19" s="141"/>
      <c r="Q19" s="141"/>
      <c r="R19" s="141"/>
      <c r="S19" s="141"/>
    </row>
    <row r="20" spans="1:19" s="1897" customFormat="1" ht="10.5" customHeight="1">
      <c r="B20" s="715"/>
      <c r="D20" s="99"/>
      <c r="J20" s="73"/>
      <c r="K20" s="73"/>
      <c r="L20" s="73"/>
      <c r="M20" s="73"/>
      <c r="N20" s="142"/>
      <c r="O20" s="73"/>
      <c r="P20" s="141"/>
      <c r="Q20" s="141"/>
      <c r="R20" s="141"/>
      <c r="S20" s="141"/>
    </row>
    <row r="24" spans="1:19" ht="14.25" customHeight="1">
      <c r="H24" s="1"/>
    </row>
    <row r="28" spans="1:19" ht="14.25" customHeight="1">
      <c r="J28" s="15"/>
      <c r="K28" s="15"/>
      <c r="L28" s="15"/>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BD0EA-6C8F-A701-3F9A-5A9E1CCDC85D}">
  <sheetPr>
    <tabColor theme="6" tint="0.39997558519241921"/>
  </sheetPr>
  <dimension ref="A1:AZ58"/>
  <sheetViews>
    <sheetView showGridLines="0" topLeftCell="P23" zoomScale="90" workbookViewId="0"/>
  </sheetViews>
  <sheetFormatPr defaultColWidth="10.5703125" defaultRowHeight="14.25" customHeight="1"/>
  <cols>
    <col min="1" max="1" width="10.5703125" style="1903" hidden="1"/>
    <col min="2" max="2" width="11" style="1903" hidden="1" customWidth="1"/>
    <col min="3" max="3" width="10.5703125" style="1903" hidden="1"/>
    <col min="4" max="4" width="11.85546875" style="1903" hidden="1" customWidth="1"/>
    <col min="5" max="5" width="10" style="1903" hidden="1" customWidth="1"/>
    <col min="6" max="6" width="8.7109375" style="1903" hidden="1" customWidth="1"/>
    <col min="7" max="7" width="7.5703125" style="1903" hidden="1" customWidth="1"/>
    <col min="8" max="8" width="11.42578125" style="1903" hidden="1" customWidth="1"/>
    <col min="9" max="9" width="14.140625" style="1903" hidden="1" customWidth="1"/>
    <col min="10" max="10" width="9.85546875" style="1903" hidden="1" customWidth="1"/>
    <col min="11" max="11" width="14.7109375" style="1903" hidden="1" customWidth="1"/>
    <col min="12" max="12" width="19.140625" style="1953" hidden="1" customWidth="1"/>
    <col min="13" max="14" width="12.28515625" style="1839" hidden="1" customWidth="1"/>
    <col min="15" max="15" width="23.42578125" style="1839" hidden="1" customWidth="1"/>
    <col min="16" max="16" width="3.7109375" style="1957" customWidth="1"/>
    <col min="17" max="18" width="3.7109375" style="1906" customWidth="1"/>
    <col min="19" max="19" width="12.7109375" style="1951" customWidth="1"/>
    <col min="20" max="20" width="35.7109375" style="1910" customWidth="1"/>
    <col min="21" max="21" width="0.140625" style="1910" customWidth="1"/>
    <col min="22" max="29" width="22.7109375" style="1910" hidden="1" customWidth="1"/>
    <col min="30" max="30" width="11.7109375" style="1910" hidden="1" customWidth="1"/>
    <col min="31" max="31" width="3.7109375" style="1910" hidden="1" customWidth="1"/>
    <col min="32" max="32" width="11.7109375" style="1910" hidden="1" customWidth="1"/>
    <col min="33" max="33" width="8.5703125" style="1910" hidden="1" customWidth="1"/>
    <col min="34" max="41" width="22.7109375" style="1910" customWidth="1"/>
    <col min="42" max="42" width="11.7109375" style="1910" customWidth="1"/>
    <col min="43" max="43" width="3.7109375" style="1910" customWidth="1"/>
    <col min="44" max="44" width="11.7109375" style="1910" customWidth="1"/>
    <col min="45" max="45" width="8.5703125" style="1910" customWidth="1"/>
    <col min="46" max="46" width="4.7109375" style="1910" customWidth="1"/>
    <col min="47" max="47" width="115.7109375" style="1910" customWidth="1"/>
    <col min="48" max="49" width="10.5703125" style="1866"/>
    <col min="50" max="50" width="11.140625" style="1866" customWidth="1"/>
    <col min="51" max="52" width="10.5703125" style="1866"/>
  </cols>
  <sheetData>
    <row r="1" spans="1:52" ht="14.25" hidden="1" customHeight="1">
      <c r="AD1" s="238"/>
      <c r="AP1" s="238"/>
    </row>
    <row r="2" spans="1:52" ht="23.25" hidden="1" customHeight="1">
      <c r="A2" s="1224"/>
      <c r="B2" s="1224"/>
      <c r="C2" s="1224"/>
      <c r="D2" s="1224"/>
      <c r="E2" s="3528">
        <v>1</v>
      </c>
      <c r="F2" s="1224"/>
      <c r="G2" s="1224"/>
      <c r="H2" s="1224"/>
      <c r="I2" s="1224"/>
      <c r="J2" s="1224"/>
      <c r="K2" s="1224"/>
      <c r="L2" s="1225"/>
      <c r="M2" s="1226"/>
      <c r="N2" s="1226"/>
      <c r="O2" s="1226"/>
      <c r="P2" s="270"/>
      <c r="Q2" s="269"/>
      <c r="R2" s="264"/>
      <c r="S2" s="1348" t="e">
        <f>INDEX(PT_DIFFERENTIATION_NUM_NTAR,MATCH(A2,PT_DIFFERENTIATION_NTAR_ID,0))</f>
        <v>#N/A</v>
      </c>
      <c r="T2" s="209" t="s">
        <v>391</v>
      </c>
      <c r="U2" s="211"/>
      <c r="V2" s="3522"/>
      <c r="W2" s="3523"/>
      <c r="X2" s="3523"/>
      <c r="Y2" s="3523"/>
      <c r="Z2" s="3523"/>
      <c r="AA2" s="3523"/>
      <c r="AB2" s="3523"/>
      <c r="AC2" s="3523"/>
      <c r="AD2" s="3523"/>
      <c r="AE2" s="3523"/>
      <c r="AF2" s="3523"/>
      <c r="AG2" s="3524"/>
      <c r="AH2" s="3522" t="e">
        <f>INDEX(PT_DIFFERENTIATION_NTAR,MATCH(A2,PT_DIFFERENTIATION_NTAR_ID,0))</f>
        <v>#N/A</v>
      </c>
      <c r="AI2" s="3523"/>
      <c r="AJ2" s="3523"/>
      <c r="AK2" s="3523"/>
      <c r="AL2" s="3523"/>
      <c r="AM2" s="3523"/>
      <c r="AN2" s="3523"/>
      <c r="AO2" s="3523"/>
      <c r="AP2" s="3523"/>
      <c r="AQ2" s="3523"/>
      <c r="AR2" s="3523"/>
      <c r="AS2" s="3523"/>
      <c r="AT2" s="3524"/>
      <c r="AU2" s="112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W2" s="398"/>
      <c r="AX2" s="398" t="str">
        <f t="shared" ref="AX2:AX13" si="0">IF(T2="","",T2)</f>
        <v>Наименование тарифа</v>
      </c>
      <c r="AY2" s="398"/>
      <c r="AZ2" s="398"/>
    </row>
    <row r="3" spans="1:52" ht="23.25" hidden="1" customHeight="1">
      <c r="A3" s="1224"/>
      <c r="B3" s="1224"/>
      <c r="C3" s="1224"/>
      <c r="D3" s="1224"/>
      <c r="E3" s="3529"/>
      <c r="F3" s="3528">
        <v>1</v>
      </c>
      <c r="G3" s="1224"/>
      <c r="H3" s="1224"/>
      <c r="I3" s="1224"/>
      <c r="J3" s="1224"/>
      <c r="K3" s="1224"/>
      <c r="L3" s="1225"/>
      <c r="M3" s="1226"/>
      <c r="N3" s="1226"/>
      <c r="O3" s="1226"/>
      <c r="P3" s="1342"/>
      <c r="Q3" s="261"/>
      <c r="R3" s="262"/>
      <c r="S3" s="1348" t="e">
        <f>INDEX(PT_DIFFERENTIATION_NUM_TER,MATCH(B3,PT_DIFFERENTIATION_TER_ID,0))</f>
        <v>#N/A</v>
      </c>
      <c r="T3" s="219" t="s">
        <v>659</v>
      </c>
      <c r="U3" s="211"/>
      <c r="V3" s="3522"/>
      <c r="W3" s="3523"/>
      <c r="X3" s="3523"/>
      <c r="Y3" s="3523"/>
      <c r="Z3" s="3523"/>
      <c r="AA3" s="3523"/>
      <c r="AB3" s="3523"/>
      <c r="AC3" s="3523"/>
      <c r="AD3" s="3523"/>
      <c r="AE3" s="3523"/>
      <c r="AF3" s="3523"/>
      <c r="AG3" s="3524"/>
      <c r="AH3" s="3522" t="e">
        <f>INDEX(PT_DIFFERENTIATION_TER,MATCH(B3,PT_DIFFERENTIATION_TER_ID,0))</f>
        <v>#N/A</v>
      </c>
      <c r="AI3" s="3523"/>
      <c r="AJ3" s="3523"/>
      <c r="AK3" s="3523"/>
      <c r="AL3" s="3523"/>
      <c r="AM3" s="3523"/>
      <c r="AN3" s="3523"/>
      <c r="AO3" s="3523"/>
      <c r="AP3" s="3523"/>
      <c r="AQ3" s="3523"/>
      <c r="AR3" s="3523"/>
      <c r="AS3" s="3523"/>
      <c r="AT3" s="3524"/>
      <c r="AU3" s="1124" t="s">
        <v>660</v>
      </c>
      <c r="AW3" s="398"/>
      <c r="AX3" s="398" t="str">
        <f t="shared" si="0"/>
        <v>Территория действия тарифа</v>
      </c>
      <c r="AY3" s="398"/>
      <c r="AZ3" s="398"/>
    </row>
    <row r="4" spans="1:52" ht="23.25" hidden="1" customHeight="1">
      <c r="A4" s="1224"/>
      <c r="B4" s="1224"/>
      <c r="C4" s="1224"/>
      <c r="D4" s="1224"/>
      <c r="E4" s="3529"/>
      <c r="F4" s="3529"/>
      <c r="G4" s="3528">
        <v>1</v>
      </c>
      <c r="H4" s="1224"/>
      <c r="I4" s="1224"/>
      <c r="J4" s="1224"/>
      <c r="K4" s="1224"/>
      <c r="L4" s="1225"/>
      <c r="M4" s="1226"/>
      <c r="N4" s="1226"/>
      <c r="O4" s="1226"/>
      <c r="P4" s="263"/>
      <c r="Q4" s="261"/>
      <c r="R4" s="262"/>
      <c r="S4" s="1348" t="e">
        <f>INDEX(PT_DIFFERENTIATION_NUM_CS,MATCH(C4,PT_DIFFERENTIATION_CS_ID,0))</f>
        <v>#N/A</v>
      </c>
      <c r="T4" s="220" t="s">
        <v>793</v>
      </c>
      <c r="U4" s="211"/>
      <c r="V4" s="3522"/>
      <c r="W4" s="3523"/>
      <c r="X4" s="3523"/>
      <c r="Y4" s="3523"/>
      <c r="Z4" s="3523"/>
      <c r="AA4" s="3523"/>
      <c r="AB4" s="3523"/>
      <c r="AC4" s="3523"/>
      <c r="AD4" s="3523"/>
      <c r="AE4" s="3523"/>
      <c r="AF4" s="3523"/>
      <c r="AG4" s="3524"/>
      <c r="AH4" s="3522" t="e">
        <f>INDEX(PT_DIFFERENTIATION_CS,MATCH(C4,PT_DIFFERENTIATION_CS_ID,0))</f>
        <v>#N/A</v>
      </c>
      <c r="AI4" s="3523"/>
      <c r="AJ4" s="3523"/>
      <c r="AK4" s="3523"/>
      <c r="AL4" s="3523"/>
      <c r="AM4" s="3523"/>
      <c r="AN4" s="3523"/>
      <c r="AO4" s="3523"/>
      <c r="AP4" s="3523"/>
      <c r="AQ4" s="3523"/>
      <c r="AR4" s="3523"/>
      <c r="AS4" s="3523"/>
      <c r="AT4" s="3524"/>
      <c r="AU4" s="1124" t="s">
        <v>794</v>
      </c>
      <c r="AW4" s="398"/>
      <c r="AX4" s="398" t="str">
        <f t="shared" si="0"/>
        <v>Наименование централизованной системы горячего водоснабжения</v>
      </c>
      <c r="AY4" s="398"/>
      <c r="AZ4" s="398"/>
    </row>
    <row r="5" spans="1:52" ht="23.25" hidden="1" customHeight="1">
      <c r="A5" s="1224"/>
      <c r="B5" s="1224"/>
      <c r="C5" s="1224"/>
      <c r="D5" s="1224"/>
      <c r="E5" s="3529"/>
      <c r="F5" s="3529"/>
      <c r="G5" s="3529"/>
      <c r="H5" s="3529"/>
      <c r="I5" s="3530" t="e">
        <f>S4&amp;".1"</f>
        <v>#N/A</v>
      </c>
      <c r="J5" s="1224"/>
      <c r="K5" s="1224"/>
      <c r="L5" s="1225"/>
      <c r="P5" s="3532">
        <v>1</v>
      </c>
      <c r="Q5" s="1336"/>
      <c r="R5" s="265"/>
      <c r="S5" s="1348" t="e">
        <f>$I5</f>
        <v>#N/A</v>
      </c>
      <c r="T5" s="197" t="s">
        <v>746</v>
      </c>
      <c r="U5" s="211"/>
      <c r="V5" s="3588"/>
      <c r="W5" s="3589"/>
      <c r="X5" s="3589"/>
      <c r="Y5" s="3589"/>
      <c r="Z5" s="3589"/>
      <c r="AA5" s="3589"/>
      <c r="AB5" s="3589"/>
      <c r="AC5" s="3589"/>
      <c r="AD5" s="3589"/>
      <c r="AE5" s="3589"/>
      <c r="AF5" s="3589"/>
      <c r="AG5" s="3590"/>
      <c r="AH5" s="3591"/>
      <c r="AI5" s="3592"/>
      <c r="AJ5" s="3592"/>
      <c r="AK5" s="3592"/>
      <c r="AL5" s="3592"/>
      <c r="AM5" s="3592"/>
      <c r="AN5" s="3592"/>
      <c r="AO5" s="3592"/>
      <c r="AP5" s="3592"/>
      <c r="AQ5" s="3592"/>
      <c r="AR5" s="3592"/>
      <c r="AS5" s="3592"/>
      <c r="AT5" s="3593"/>
      <c r="AU5" s="1124" t="s">
        <v>747</v>
      </c>
      <c r="AW5" s="398"/>
      <c r="AX5" s="398" t="str">
        <f t="shared" si="0"/>
        <v>Наименование признака дифференциации</v>
      </c>
      <c r="AY5" s="398"/>
      <c r="AZ5" s="398"/>
    </row>
    <row r="6" spans="1:52" ht="23.25" hidden="1" customHeight="1">
      <c r="A6" s="1224"/>
      <c r="B6" s="1224"/>
      <c r="C6" s="1224"/>
      <c r="D6" s="1224"/>
      <c r="E6" s="3529"/>
      <c r="F6" s="3529"/>
      <c r="G6" s="3529"/>
      <c r="H6" s="3529"/>
      <c r="I6" s="3531"/>
      <c r="J6" s="3530" t="e">
        <f>I5&amp;".1"</f>
        <v>#N/A</v>
      </c>
      <c r="K6" s="1224"/>
      <c r="L6" s="1225" t="s">
        <v>668</v>
      </c>
      <c r="P6" s="3532"/>
      <c r="Q6" s="3532">
        <v>1</v>
      </c>
      <c r="R6" s="266"/>
      <c r="S6" s="1348" t="e">
        <f>$J6</f>
        <v>#N/A</v>
      </c>
      <c r="T6" s="198" t="s">
        <v>669</v>
      </c>
      <c r="U6" s="211"/>
      <c r="V6" s="3516"/>
      <c r="W6" s="3517"/>
      <c r="X6" s="3517"/>
      <c r="Y6" s="3517"/>
      <c r="Z6" s="3517"/>
      <c r="AA6" s="3517"/>
      <c r="AB6" s="3517"/>
      <c r="AC6" s="3517"/>
      <c r="AD6" s="3517"/>
      <c r="AE6" s="3517"/>
      <c r="AF6" s="3517"/>
      <c r="AG6" s="3518"/>
      <c r="AH6" s="3516"/>
      <c r="AI6" s="3517"/>
      <c r="AJ6" s="3517"/>
      <c r="AK6" s="3517"/>
      <c r="AL6" s="3517"/>
      <c r="AM6" s="3517"/>
      <c r="AN6" s="3517"/>
      <c r="AO6" s="3517"/>
      <c r="AP6" s="3517"/>
      <c r="AQ6" s="3517"/>
      <c r="AR6" s="3517"/>
      <c r="AS6" s="3517"/>
      <c r="AT6" s="3518"/>
      <c r="AU6" s="1171" t="s">
        <v>748</v>
      </c>
      <c r="AW6" s="398"/>
      <c r="AX6" s="398" t="str">
        <f t="shared" si="0"/>
        <v>Группа потребителей</v>
      </c>
      <c r="AY6" s="398"/>
      <c r="AZ6" s="398"/>
    </row>
    <row r="7" spans="1:52" ht="23.25" hidden="1" customHeight="1">
      <c r="A7" s="1224"/>
      <c r="B7" s="1224"/>
      <c r="C7" s="1224"/>
      <c r="D7" s="1224"/>
      <c r="E7" s="3529"/>
      <c r="F7" s="3529"/>
      <c r="G7" s="3529"/>
      <c r="H7" s="3529"/>
      <c r="I7" s="3531"/>
      <c r="J7" s="3531"/>
      <c r="K7" s="3530" t="e">
        <f>J6&amp;".1"</f>
        <v>#N/A</v>
      </c>
      <c r="L7" s="1225"/>
      <c r="P7" s="3532"/>
      <c r="Q7" s="3532"/>
      <c r="R7" s="266">
        <v>1</v>
      </c>
      <c r="S7" s="1348" t="e">
        <f>$K7</f>
        <v>#N/A</v>
      </c>
      <c r="T7" s="1297"/>
      <c r="U7" s="211"/>
      <c r="V7" s="639"/>
      <c r="W7" s="639"/>
      <c r="X7" s="639"/>
      <c r="Y7" s="639"/>
      <c r="Z7" s="639"/>
      <c r="AA7" s="639"/>
      <c r="AB7" s="639"/>
      <c r="AC7" s="639"/>
      <c r="AD7" s="3533"/>
      <c r="AE7" s="3412" t="s">
        <v>64</v>
      </c>
      <c r="AF7" s="3533"/>
      <c r="AG7" s="3412" t="s">
        <v>64</v>
      </c>
      <c r="AH7" s="639"/>
      <c r="AI7" s="639"/>
      <c r="AJ7" s="639"/>
      <c r="AK7" s="639"/>
      <c r="AL7" s="639"/>
      <c r="AM7" s="639"/>
      <c r="AN7" s="639"/>
      <c r="AO7" s="639"/>
      <c r="AP7" s="3533"/>
      <c r="AQ7" s="3412" t="s">
        <v>64</v>
      </c>
      <c r="AR7" s="3535"/>
      <c r="AS7" s="3412" t="s">
        <v>64</v>
      </c>
      <c r="AT7" s="1298"/>
      <c r="AU7" s="35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V7" s="409" t="e">
        <f ca="1">STRCHECKDATE(V8:AT8)</f>
        <v>#NAME?</v>
      </c>
      <c r="AW7" s="398"/>
      <c r="AX7" s="398" t="str">
        <f t="shared" si="0"/>
        <v/>
      </c>
      <c r="AY7" s="398"/>
      <c r="AZ7" s="398"/>
    </row>
    <row r="8" spans="1:52" ht="14.25" hidden="1" customHeight="1">
      <c r="A8" s="1224"/>
      <c r="B8" s="1224"/>
      <c r="C8" s="1224"/>
      <c r="D8" s="1224"/>
      <c r="E8" s="3529"/>
      <c r="F8" s="3529"/>
      <c r="G8" s="3529"/>
      <c r="H8" s="3529"/>
      <c r="I8" s="3531"/>
      <c r="J8" s="3531"/>
      <c r="K8" s="3530"/>
      <c r="L8" s="1225"/>
      <c r="P8" s="3532"/>
      <c r="Q8" s="3532"/>
      <c r="R8" s="266"/>
      <c r="S8" s="1345"/>
      <c r="T8" s="211"/>
      <c r="U8" s="211"/>
      <c r="V8" s="236"/>
      <c r="W8" s="236"/>
      <c r="X8" s="236"/>
      <c r="Y8" s="236"/>
      <c r="Z8" s="236"/>
      <c r="AA8" s="236"/>
      <c r="AB8" s="236"/>
      <c r="AC8" s="236"/>
      <c r="AD8" s="3534"/>
      <c r="AE8" s="3412"/>
      <c r="AF8" s="3534"/>
      <c r="AG8" s="3412"/>
      <c r="AH8" s="236"/>
      <c r="AI8" s="236"/>
      <c r="AJ8" s="236"/>
      <c r="AK8" s="236"/>
      <c r="AL8" s="236"/>
      <c r="AM8" s="236"/>
      <c r="AN8" s="236"/>
      <c r="AO8" s="236"/>
      <c r="AP8" s="3534"/>
      <c r="AQ8" s="3412"/>
      <c r="AR8" s="3536"/>
      <c r="AS8" s="3412"/>
      <c r="AT8" s="1299"/>
      <c r="AU8" s="3594"/>
      <c r="AW8" s="398"/>
      <c r="AX8" s="398" t="str">
        <f t="shared" si="0"/>
        <v/>
      </c>
      <c r="AY8" s="398"/>
      <c r="AZ8" s="398"/>
    </row>
    <row r="9" spans="1:52" ht="21" hidden="1" customHeight="1">
      <c r="A9" s="1224"/>
      <c r="B9" s="1224"/>
      <c r="C9" s="1224"/>
      <c r="D9" s="1224"/>
      <c r="E9" s="3529"/>
      <c r="F9" s="3529"/>
      <c r="G9" s="3529"/>
      <c r="H9" s="3529"/>
      <c r="I9" s="3531"/>
      <c r="J9" s="3530"/>
      <c r="K9" s="1224"/>
      <c r="L9" s="1225"/>
      <c r="P9" s="3532"/>
      <c r="Q9" s="3532"/>
      <c r="R9" s="265"/>
      <c r="S9" s="1144"/>
      <c r="T9" s="199" t="s">
        <v>749</v>
      </c>
      <c r="U9" s="275"/>
      <c r="V9" s="275"/>
      <c r="W9" s="494"/>
      <c r="X9" s="494"/>
      <c r="Y9" s="494"/>
      <c r="Z9" s="494"/>
      <c r="AA9" s="494"/>
      <c r="AB9" s="494"/>
      <c r="AC9" s="494"/>
      <c r="AD9" s="275"/>
      <c r="AE9" s="275"/>
      <c r="AF9" s="275"/>
      <c r="AG9" s="275"/>
      <c r="AH9" s="275"/>
      <c r="AI9" s="494"/>
      <c r="AJ9" s="494"/>
      <c r="AK9" s="494"/>
      <c r="AL9" s="494"/>
      <c r="AM9" s="494"/>
      <c r="AN9" s="494"/>
      <c r="AO9" s="275"/>
      <c r="AP9" s="275"/>
      <c r="AQ9" s="275"/>
      <c r="AR9" s="275"/>
      <c r="AS9" s="275"/>
      <c r="AT9" s="275"/>
      <c r="AU9" s="1124" t="s">
        <v>750</v>
      </c>
      <c r="AW9" s="398"/>
      <c r="AX9" s="398" t="str">
        <f t="shared" si="0"/>
        <v>Добавить значение признака дифференциации</v>
      </c>
      <c r="AY9" s="398"/>
      <c r="AZ9" s="398"/>
    </row>
    <row r="10" spans="1:52" ht="21" hidden="1" customHeight="1">
      <c r="A10" s="1224"/>
      <c r="B10" s="1224"/>
      <c r="C10" s="1224"/>
      <c r="D10" s="1224"/>
      <c r="E10" s="3529"/>
      <c r="F10" s="3529"/>
      <c r="G10" s="3529"/>
      <c r="H10" s="3529"/>
      <c r="I10" s="3530"/>
      <c r="J10" s="1224"/>
      <c r="K10" s="1224"/>
      <c r="L10" s="1225"/>
      <c r="P10" s="3532"/>
      <c r="Q10" s="1336"/>
      <c r="R10" s="265"/>
      <c r="S10" s="1144"/>
      <c r="T10" s="273" t="s">
        <v>674</v>
      </c>
      <c r="U10" s="275"/>
      <c r="V10" s="275"/>
      <c r="W10" s="494"/>
      <c r="X10" s="494"/>
      <c r="Y10" s="494"/>
      <c r="Z10" s="494"/>
      <c r="AA10" s="494"/>
      <c r="AB10" s="494"/>
      <c r="AC10" s="494"/>
      <c r="AD10" s="275"/>
      <c r="AE10" s="275"/>
      <c r="AF10" s="275"/>
      <c r="AG10" s="274"/>
      <c r="AH10" s="275"/>
      <c r="AI10" s="494"/>
      <c r="AJ10" s="494"/>
      <c r="AK10" s="494"/>
      <c r="AL10" s="494"/>
      <c r="AM10" s="494"/>
      <c r="AN10" s="494"/>
      <c r="AO10" s="275"/>
      <c r="AP10" s="275"/>
      <c r="AQ10" s="275"/>
      <c r="AR10" s="275"/>
      <c r="AS10" s="274"/>
      <c r="AT10" s="275"/>
      <c r="AU10" s="1300"/>
      <c r="AW10" s="398"/>
      <c r="AX10" s="398" t="str">
        <f t="shared" si="0"/>
        <v>Добавить группу потребителей</v>
      </c>
      <c r="AY10" s="398"/>
      <c r="AZ10" s="398"/>
    </row>
    <row r="11" spans="1:52" ht="21" hidden="1" customHeight="1">
      <c r="A11" s="1224"/>
      <c r="B11" s="1224"/>
      <c r="C11" s="1224"/>
      <c r="D11" s="1224"/>
      <c r="E11" s="3529"/>
      <c r="F11" s="3529"/>
      <c r="G11" s="3529"/>
      <c r="H11" s="3528"/>
      <c r="I11" s="1224"/>
      <c r="J11" s="1224"/>
      <c r="K11" s="1224"/>
      <c r="L11" s="1225"/>
      <c r="M11" s="1226"/>
      <c r="N11" s="1226"/>
      <c r="O11" s="434"/>
      <c r="P11" s="269"/>
      <c r="Q11" s="282"/>
      <c r="R11" s="264"/>
      <c r="S11" s="1144"/>
      <c r="T11" s="280" t="s">
        <v>751</v>
      </c>
      <c r="U11" s="275"/>
      <c r="V11" s="275"/>
      <c r="W11" s="494"/>
      <c r="X11" s="494"/>
      <c r="Y11" s="494"/>
      <c r="Z11" s="494"/>
      <c r="AA11" s="494"/>
      <c r="AB11" s="494"/>
      <c r="AC11" s="494"/>
      <c r="AD11" s="275"/>
      <c r="AE11" s="275"/>
      <c r="AF11" s="275"/>
      <c r="AG11" s="274"/>
      <c r="AH11" s="275"/>
      <c r="AI11" s="494"/>
      <c r="AJ11" s="494"/>
      <c r="AK11" s="494"/>
      <c r="AL11" s="494"/>
      <c r="AM11" s="494"/>
      <c r="AN11" s="494"/>
      <c r="AO11" s="275"/>
      <c r="AP11" s="275"/>
      <c r="AQ11" s="275"/>
      <c r="AR11" s="275"/>
      <c r="AS11" s="274"/>
      <c r="AT11" s="275"/>
      <c r="AU11" s="214"/>
      <c r="AW11" s="398"/>
      <c r="AX11" s="398" t="str">
        <f t="shared" si="0"/>
        <v>Добавить наименование признака дифференциации</v>
      </c>
      <c r="AY11" s="398"/>
      <c r="AZ11" s="398"/>
    </row>
    <row r="12" spans="1:52" s="1866" customFormat="1" ht="14.25" hidden="1" customHeight="1">
      <c r="A12" s="1205"/>
      <c r="B12" s="1205"/>
      <c r="C12" s="1177"/>
      <c r="D12" s="1177"/>
      <c r="E12" s="3529"/>
      <c r="F12" s="3528"/>
      <c r="G12" s="1177"/>
      <c r="H12" s="1177"/>
      <c r="I12" s="1177"/>
      <c r="J12" s="1177"/>
      <c r="K12" s="1177"/>
      <c r="L12" s="1349"/>
      <c r="M12" s="1184"/>
      <c r="N12" s="1184"/>
      <c r="P12" s="1179"/>
      <c r="Q12" s="1180"/>
      <c r="R12" s="1179"/>
      <c r="S12" s="1185"/>
      <c r="T12" s="1188" t="s">
        <v>677</v>
      </c>
      <c r="U12" s="1187"/>
      <c r="V12" s="1187"/>
      <c r="W12" s="1187"/>
      <c r="X12" s="1187"/>
      <c r="Y12" s="1187"/>
      <c r="Z12" s="1187"/>
      <c r="AA12" s="1187"/>
      <c r="AB12" s="1187"/>
      <c r="AC12" s="1187"/>
      <c r="AD12" s="1187"/>
      <c r="AE12" s="1187"/>
      <c r="AF12" s="1187"/>
      <c r="AG12" s="1187"/>
      <c r="AH12" s="1187"/>
      <c r="AI12" s="1187"/>
      <c r="AJ12" s="1187"/>
      <c r="AK12" s="1187"/>
      <c r="AL12" s="1187"/>
      <c r="AM12" s="1187"/>
      <c r="AN12" s="1187"/>
      <c r="AO12" s="1187"/>
      <c r="AP12" s="1187"/>
      <c r="AQ12" s="1187"/>
      <c r="AR12" s="1187"/>
      <c r="AS12" s="1187"/>
      <c r="AT12" s="1187"/>
      <c r="AU12" s="1187"/>
      <c r="AW12" s="670"/>
      <c r="AX12" s="670" t="str">
        <f t="shared" si="0"/>
        <v>Добавить централизованную систему для дифференциации</v>
      </c>
      <c r="AY12" s="670"/>
      <c r="AZ12" s="670"/>
    </row>
    <row r="13" spans="1:52" s="1866" customFormat="1" ht="14.25" hidden="1" customHeight="1">
      <c r="A13" s="1205"/>
      <c r="B13" s="1205"/>
      <c r="C13" s="1205"/>
      <c r="D13" s="1205"/>
      <c r="E13" s="3528"/>
      <c r="F13" s="1205"/>
      <c r="G13" s="1205"/>
      <c r="H13" s="1205"/>
      <c r="I13" s="1205"/>
      <c r="J13" s="1205"/>
      <c r="K13" s="1205"/>
      <c r="L13" s="1208"/>
      <c r="M13" s="1184"/>
      <c r="N13" s="1184"/>
      <c r="O13" s="416"/>
      <c r="P13" s="287"/>
      <c r="Q13" s="1206"/>
      <c r="R13" s="287"/>
      <c r="S13" s="1185"/>
      <c r="T13" s="1188" t="s">
        <v>678</v>
      </c>
      <c r="U13" s="1187"/>
      <c r="V13" s="1187"/>
      <c r="W13" s="1187"/>
      <c r="X13" s="1187"/>
      <c r="Y13" s="1187"/>
      <c r="Z13" s="1187"/>
      <c r="AA13" s="1187"/>
      <c r="AB13" s="1187"/>
      <c r="AC13" s="1187"/>
      <c r="AD13" s="1187"/>
      <c r="AE13" s="1187"/>
      <c r="AF13" s="1187"/>
      <c r="AG13" s="1187"/>
      <c r="AH13" s="1187"/>
      <c r="AI13" s="1187"/>
      <c r="AJ13" s="1187"/>
      <c r="AK13" s="1187"/>
      <c r="AL13" s="1187"/>
      <c r="AM13" s="1187"/>
      <c r="AN13" s="1187"/>
      <c r="AO13" s="1187"/>
      <c r="AP13" s="1187"/>
      <c r="AQ13" s="1187"/>
      <c r="AR13" s="1187"/>
      <c r="AS13" s="1187"/>
      <c r="AT13" s="1187"/>
      <c r="AU13" s="1187"/>
      <c r="AW13" s="398"/>
      <c r="AX13" s="398" t="str">
        <f t="shared" si="0"/>
        <v>Добавить территорию для дифференциации</v>
      </c>
      <c r="AY13" s="398"/>
      <c r="AZ13" s="398"/>
    </row>
    <row r="14" spans="1:52" ht="14.25" hidden="1" customHeight="1">
      <c r="AG14" s="238"/>
      <c r="AS14" s="238"/>
    </row>
    <row r="15" spans="1:52" ht="14.25" hidden="1" customHeight="1">
      <c r="AH15" s="1221"/>
      <c r="AI15" s="1221"/>
      <c r="AJ15" s="1221"/>
      <c r="AK15" s="1221"/>
      <c r="AL15" s="1221"/>
      <c r="AM15" s="1221"/>
      <c r="AN15" s="1221"/>
      <c r="AO15" s="1221"/>
      <c r="AP15" s="3526"/>
      <c r="AQ15" s="3525" t="s">
        <v>64</v>
      </c>
      <c r="AR15" s="3526"/>
      <c r="AS15" s="3525" t="s">
        <v>64</v>
      </c>
    </row>
    <row r="16" spans="1:52" ht="14.25" hidden="1" customHeight="1">
      <c r="AH16" s="1221"/>
      <c r="AI16" s="1221"/>
      <c r="AJ16" s="1221"/>
      <c r="AK16" s="1221"/>
      <c r="AL16" s="1221"/>
      <c r="AM16" s="1221"/>
      <c r="AN16" s="1221"/>
      <c r="AO16" s="1221"/>
      <c r="AP16" s="3525"/>
      <c r="AQ16" s="3525"/>
      <c r="AR16" s="3525"/>
      <c r="AS16" s="3525"/>
    </row>
    <row r="17" spans="1:52" ht="14.25" hidden="1" customHeight="1">
      <c r="AS17" s="238"/>
    </row>
    <row r="18" spans="1:52" s="1903" customFormat="1" ht="22.5" hidden="1" customHeight="1">
      <c r="L18" s="1333"/>
      <c r="M18" s="1223"/>
      <c r="N18" s="1223"/>
      <c r="O18" s="1228" t="s">
        <v>679</v>
      </c>
      <c r="P18" s="1223"/>
      <c r="Q18" s="1232"/>
      <c r="R18" s="1232"/>
      <c r="S18" s="619"/>
      <c r="W18" s="1227"/>
      <c r="X18" s="1227"/>
      <c r="Y18" s="1227"/>
      <c r="Z18" s="1227"/>
      <c r="AA18" s="1227"/>
      <c r="AB18" s="1227"/>
      <c r="AC18" s="1227"/>
      <c r="AD18" s="1228"/>
      <c r="AF18" s="1228"/>
      <c r="AG18" s="1227"/>
      <c r="AI18" s="1227"/>
      <c r="AJ18" s="1227"/>
      <c r="AK18" s="1227"/>
      <c r="AL18" s="1227"/>
      <c r="AM18" s="1227"/>
      <c r="AN18" s="1227"/>
      <c r="AP18" s="1228"/>
      <c r="AR18" s="1228"/>
      <c r="AS18" s="1227"/>
      <c r="AV18" s="409"/>
      <c r="AW18" s="409"/>
      <c r="AX18" s="409"/>
      <c r="AY18" s="409"/>
      <c r="AZ18" s="409"/>
    </row>
    <row r="19" spans="1:52" s="1903" customFormat="1" ht="14.25" hidden="1" customHeight="1">
      <c r="L19" s="1333"/>
      <c r="M19" s="1223"/>
      <c r="N19" s="1223"/>
      <c r="O19" s="1223"/>
      <c r="P19" s="1223"/>
      <c r="Q19" s="1232"/>
      <c r="R19" s="1232"/>
      <c r="S19" s="619"/>
      <c r="W19" s="1227"/>
      <c r="X19" s="1227"/>
      <c r="Y19" s="1227"/>
      <c r="Z19" s="1227"/>
      <c r="AA19" s="1227"/>
      <c r="AB19" s="1227"/>
      <c r="AC19" s="1227"/>
      <c r="AG19" s="1227"/>
      <c r="AI19" s="1227"/>
      <c r="AJ19" s="1227"/>
      <c r="AK19" s="1227"/>
      <c r="AL19" s="1227"/>
      <c r="AM19" s="1227"/>
      <c r="AN19" s="1227"/>
      <c r="AS19" s="1227"/>
      <c r="AV19" s="409"/>
      <c r="AW19" s="409"/>
      <c r="AX19" s="409"/>
      <c r="AY19" s="409"/>
      <c r="AZ19" s="409"/>
    </row>
    <row r="20" spans="1:52" s="1903" customFormat="1" ht="12" hidden="1" customHeight="1">
      <c r="L20" s="1333"/>
      <c r="M20" s="1223"/>
      <c r="N20" s="1223"/>
      <c r="O20" s="1225" t="s">
        <v>680</v>
      </c>
      <c r="P20" s="1223"/>
      <c r="Q20" s="1301"/>
      <c r="R20" s="1301"/>
      <c r="S20" s="619"/>
      <c r="T20" s="1023" t="s">
        <v>681</v>
      </c>
      <c r="W20" s="1227"/>
      <c r="X20" s="1227"/>
      <c r="Y20" s="1227"/>
      <c r="Z20" s="1227"/>
      <c r="AA20" s="1227"/>
      <c r="AB20" s="1227"/>
      <c r="AC20" s="1227"/>
      <c r="AE20" s="103" t="s">
        <v>682</v>
      </c>
      <c r="AG20" s="103" t="s">
        <v>683</v>
      </c>
      <c r="AH20" s="1023" t="s">
        <v>681</v>
      </c>
      <c r="AI20" s="1227"/>
      <c r="AJ20" s="1227"/>
      <c r="AK20" s="1227"/>
      <c r="AL20" s="1227"/>
      <c r="AM20" s="1227"/>
      <c r="AN20" s="1227"/>
      <c r="AQ20" s="103" t="s">
        <v>684</v>
      </c>
      <c r="AS20" s="103" t="s">
        <v>683</v>
      </c>
    </row>
    <row r="21" spans="1:52" ht="14.25" hidden="1" customHeight="1">
      <c r="O21" s="1225"/>
    </row>
    <row r="22" spans="1:52" ht="14.25" hidden="1" customHeight="1">
      <c r="O22" s="1225"/>
    </row>
    <row r="23" spans="1:52" ht="14.25" customHeight="1">
      <c r="Q23" s="283"/>
      <c r="R23" s="283"/>
      <c r="S23" s="1141"/>
      <c r="T23" s="272"/>
      <c r="U23" s="272"/>
      <c r="V23" s="407"/>
      <c r="W23" s="1480"/>
      <c r="X23" s="1480"/>
      <c r="Y23" s="1480"/>
      <c r="Z23" s="1480"/>
      <c r="AA23" s="1480"/>
      <c r="AB23" s="1480"/>
      <c r="AC23" s="1480"/>
      <c r="AD23" s="407"/>
      <c r="AE23" s="407"/>
      <c r="AF23" s="407"/>
      <c r="AG23" s="407"/>
      <c r="AH23" s="407"/>
      <c r="AI23" s="1480"/>
      <c r="AJ23" s="1480"/>
      <c r="AK23" s="1480"/>
      <c r="AL23" s="1480"/>
      <c r="AM23" s="1480"/>
      <c r="AN23" s="1480"/>
      <c r="AO23" s="407"/>
      <c r="AP23" s="407"/>
      <c r="AQ23" s="407"/>
      <c r="AR23" s="407"/>
      <c r="AS23" s="407"/>
    </row>
    <row r="24" spans="1:52" ht="29.25" customHeight="1">
      <c r="Q24" s="283"/>
      <c r="R24" s="283"/>
      <c r="S24" s="350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509"/>
      <c r="U24" s="3509"/>
      <c r="V24" s="3509"/>
      <c r="W24" s="3509"/>
      <c r="X24" s="3509"/>
      <c r="Y24" s="3509"/>
      <c r="Z24" s="3509"/>
      <c r="AA24" s="3509"/>
      <c r="AB24" s="3509"/>
      <c r="AC24" s="3509"/>
      <c r="AD24" s="3509"/>
      <c r="AE24" s="3509"/>
      <c r="AF24" s="3509"/>
      <c r="AG24" s="3509"/>
      <c r="AH24" s="3509"/>
      <c r="AI24" s="3509"/>
      <c r="AJ24" s="3509"/>
      <c r="AK24" s="3509"/>
      <c r="AL24" s="3509"/>
      <c r="AM24" s="3509"/>
      <c r="AN24" s="3509"/>
      <c r="AO24" s="3509"/>
      <c r="AP24" s="3509"/>
      <c r="AQ24" s="3509"/>
      <c r="AR24" s="3509"/>
      <c r="AS24" s="1109"/>
    </row>
    <row r="25" spans="1:52" ht="14.25" customHeight="1">
      <c r="Q25" s="283"/>
      <c r="R25" s="283"/>
      <c r="S25" s="3480" t="str">
        <f>IF(org=0,"Не определено",org)</f>
        <v>АО "Орелгортеплоэнерго"</v>
      </c>
      <c r="T25" s="3480"/>
      <c r="U25" s="3480"/>
      <c r="V25" s="3480"/>
      <c r="W25" s="3480"/>
      <c r="X25" s="3480"/>
      <c r="Y25" s="3480"/>
      <c r="Z25" s="3480"/>
      <c r="AA25" s="3480"/>
      <c r="AB25" s="3480"/>
      <c r="AC25" s="3480"/>
      <c r="AD25" s="3480"/>
      <c r="AE25" s="3480"/>
      <c r="AF25" s="3480"/>
      <c r="AG25" s="3480"/>
      <c r="AH25" s="3480"/>
      <c r="AI25" s="3480"/>
      <c r="AJ25" s="3480"/>
      <c r="AK25" s="3480"/>
      <c r="AL25" s="3480"/>
      <c r="AM25" s="3480"/>
      <c r="AN25" s="3480"/>
      <c r="AO25" s="3480"/>
      <c r="AP25" s="3480"/>
      <c r="AQ25" s="3480"/>
      <c r="AR25" s="3480"/>
      <c r="AS25" s="1109"/>
    </row>
    <row r="26" spans="1:52" ht="14.25" hidden="1" customHeight="1">
      <c r="Q26" s="283"/>
      <c r="R26" s="283"/>
      <c r="S26" s="1141"/>
      <c r="T26" s="272"/>
      <c r="U26" s="272"/>
      <c r="V26" s="233"/>
      <c r="W26" s="233"/>
      <c r="X26" s="233"/>
      <c r="Y26" s="233"/>
      <c r="Z26" s="233"/>
      <c r="AA26" s="233"/>
      <c r="AB26" s="233"/>
      <c r="AC26" s="233"/>
      <c r="AD26" s="233"/>
      <c r="AE26" s="233"/>
      <c r="AF26" s="233"/>
      <c r="AG26" s="233"/>
      <c r="AH26" s="233"/>
      <c r="AI26" s="233"/>
      <c r="AJ26" s="233"/>
      <c r="AK26" s="233"/>
      <c r="AL26" s="233"/>
      <c r="AM26" s="233"/>
      <c r="AN26" s="233"/>
      <c r="AO26" s="233"/>
      <c r="AP26" s="233"/>
      <c r="AQ26" s="233"/>
      <c r="AR26" s="233"/>
      <c r="AS26" s="233"/>
      <c r="AT26" s="407"/>
    </row>
    <row r="27" spans="1:52" s="1944" customFormat="1" ht="25.5" hidden="1" customHeight="1">
      <c r="A27" s="1229"/>
      <c r="B27" s="1229"/>
      <c r="C27" s="1229"/>
      <c r="D27" s="1229"/>
      <c r="E27" s="1229"/>
      <c r="F27" s="1229"/>
      <c r="G27" s="1229"/>
      <c r="H27" s="1229"/>
      <c r="I27" s="1229"/>
      <c r="J27" s="1229"/>
      <c r="K27" s="1229"/>
      <c r="L27" s="1230"/>
      <c r="M27" s="1229"/>
      <c r="N27" s="1229"/>
      <c r="O27" s="1229"/>
      <c r="S27" s="3519" t="s">
        <v>38</v>
      </c>
      <c r="T27" s="3519"/>
      <c r="U27" s="1233"/>
      <c r="V27" s="3521" t="str">
        <f>IF(TITLE_NAME_OR_PR_CHANGE="",IF(TITLE_NAME_OR_PR="","",TITLE_NAME_OR_PR),TITLE_NAME_OR_PR_CHANGE)</f>
        <v/>
      </c>
      <c r="W27" s="3521"/>
      <c r="X27" s="3521"/>
      <c r="Y27" s="3521"/>
      <c r="Z27" s="3521"/>
      <c r="AA27" s="3521"/>
      <c r="AB27" s="3521"/>
      <c r="AC27" s="3521"/>
      <c r="AD27" s="3521"/>
      <c r="AE27" s="3521"/>
      <c r="AF27" s="3521"/>
      <c r="AG27" s="237"/>
      <c r="AH27" s="3521" t="str">
        <f>IF(TITLE_NAME_OR_PR_CHANGE="",IF(TITLE_NAME_OR_PR="","",TITLE_NAME_OR_PR),TITLE_NAME_OR_PR_CHANGE)</f>
        <v/>
      </c>
      <c r="AI27" s="3521"/>
      <c r="AJ27" s="3521"/>
      <c r="AK27" s="3521"/>
      <c r="AL27" s="3521"/>
      <c r="AM27" s="3521"/>
      <c r="AN27" s="3521"/>
      <c r="AO27" s="3521"/>
      <c r="AP27" s="3521"/>
      <c r="AQ27" s="3521"/>
      <c r="AR27" s="3521"/>
      <c r="AS27" s="237"/>
      <c r="AT27" s="237"/>
      <c r="AU27" s="193"/>
      <c r="AV27" s="276"/>
      <c r="AW27" s="276"/>
      <c r="AX27" s="276"/>
      <c r="AY27" s="276"/>
      <c r="AZ27" s="276"/>
    </row>
    <row r="28" spans="1:52" s="1944" customFormat="1" ht="18.75" hidden="1" customHeight="1">
      <c r="A28" s="1229"/>
      <c r="B28" s="1229"/>
      <c r="C28" s="1229"/>
      <c r="D28" s="1229"/>
      <c r="E28" s="1229"/>
      <c r="F28" s="1229"/>
      <c r="G28" s="1229"/>
      <c r="H28" s="1229"/>
      <c r="I28" s="1229"/>
      <c r="J28" s="1229"/>
      <c r="K28" s="1229"/>
      <c r="L28" s="1230"/>
      <c r="M28" s="1229"/>
      <c r="N28" s="1229"/>
      <c r="O28" s="1229"/>
      <c r="S28" s="3519" t="s">
        <v>685</v>
      </c>
      <c r="T28" s="3519"/>
      <c r="U28" s="1233"/>
      <c r="V28" s="3520" t="str">
        <f>IF(TITLE_DATE_PR_CHANGE="",IF(TITLE_DATE_PR="","",TITLE_DATE_PR),TITLE_DATE_PR_CHANGE)</f>
        <v/>
      </c>
      <c r="W28" s="3520"/>
      <c r="X28" s="3520"/>
      <c r="Y28" s="3520"/>
      <c r="Z28" s="3520"/>
      <c r="AA28" s="3520"/>
      <c r="AB28" s="3520"/>
      <c r="AC28" s="3520"/>
      <c r="AD28" s="3520"/>
      <c r="AE28" s="3520"/>
      <c r="AF28" s="3520"/>
      <c r="AG28" s="237"/>
      <c r="AH28" s="3520" t="str">
        <f>IF(TITLE_DATE_PR_CHANGE="",IF(TITLE_DATE_PR="","",TITLE_DATE_PR),TITLE_DATE_PR_CHANGE)</f>
        <v/>
      </c>
      <c r="AI28" s="3520"/>
      <c r="AJ28" s="3520"/>
      <c r="AK28" s="3520"/>
      <c r="AL28" s="3520"/>
      <c r="AM28" s="3520"/>
      <c r="AN28" s="3520"/>
      <c r="AO28" s="3520"/>
      <c r="AP28" s="3520"/>
      <c r="AQ28" s="3520"/>
      <c r="AR28" s="3520"/>
      <c r="AS28" s="237"/>
      <c r="AT28" s="237"/>
      <c r="AU28" s="193"/>
      <c r="AV28" s="276"/>
      <c r="AW28" s="276"/>
      <c r="AX28" s="276"/>
      <c r="AY28" s="276"/>
      <c r="AZ28" s="276"/>
    </row>
    <row r="29" spans="1:52" s="1944" customFormat="1" ht="18.75" hidden="1" customHeight="1">
      <c r="A29" s="1229"/>
      <c r="B29" s="1229"/>
      <c r="C29" s="1229"/>
      <c r="D29" s="1229"/>
      <c r="E29" s="1229"/>
      <c r="F29" s="1229"/>
      <c r="G29" s="1229"/>
      <c r="H29" s="1229"/>
      <c r="I29" s="1229"/>
      <c r="J29" s="1229"/>
      <c r="K29" s="1229"/>
      <c r="L29" s="1230"/>
      <c r="M29" s="1229"/>
      <c r="N29" s="1229"/>
      <c r="O29" s="1229"/>
      <c r="S29" s="3519" t="s">
        <v>686</v>
      </c>
      <c r="T29" s="3519"/>
      <c r="U29" s="1233"/>
      <c r="V29" s="3521" t="str">
        <f>IF(TITLE_NUMBER_PR_CHANGE="",IF(TITLE_NUMBER_PR="","",TITLE_NUMBER_PR),TITLE_NUMBER_PR_CHANGE)</f>
        <v/>
      </c>
      <c r="W29" s="3521"/>
      <c r="X29" s="3521"/>
      <c r="Y29" s="3521"/>
      <c r="Z29" s="3521"/>
      <c r="AA29" s="3521"/>
      <c r="AB29" s="3521"/>
      <c r="AC29" s="3521"/>
      <c r="AD29" s="3521"/>
      <c r="AE29" s="3521"/>
      <c r="AF29" s="3521"/>
      <c r="AG29" s="237"/>
      <c r="AH29" s="3521" t="str">
        <f>IF(TITLE_NUMBER_PR_CHANGE="",IF(TITLE_NUMBER_PR="","",TITLE_NUMBER_PR),TITLE_NUMBER_PR_CHANGE)</f>
        <v/>
      </c>
      <c r="AI29" s="3521"/>
      <c r="AJ29" s="3521"/>
      <c r="AK29" s="3521"/>
      <c r="AL29" s="3521"/>
      <c r="AM29" s="3521"/>
      <c r="AN29" s="3521"/>
      <c r="AO29" s="3521"/>
      <c r="AP29" s="3521"/>
      <c r="AQ29" s="3521"/>
      <c r="AR29" s="3521"/>
      <c r="AS29" s="237"/>
      <c r="AT29" s="237"/>
      <c r="AU29" s="193"/>
      <c r="AV29" s="276"/>
      <c r="AW29" s="276"/>
      <c r="AX29" s="276"/>
      <c r="AY29" s="276"/>
      <c r="AZ29" s="276"/>
    </row>
    <row r="30" spans="1:52" s="1944" customFormat="1" ht="18.75" hidden="1" customHeight="1">
      <c r="A30" s="1229"/>
      <c r="B30" s="1229"/>
      <c r="C30" s="1229"/>
      <c r="D30" s="1229"/>
      <c r="E30" s="1229"/>
      <c r="F30" s="1229"/>
      <c r="G30" s="1229"/>
      <c r="H30" s="1229"/>
      <c r="I30" s="1229"/>
      <c r="J30" s="1229"/>
      <c r="K30" s="1229"/>
      <c r="L30" s="1230"/>
      <c r="M30" s="1229"/>
      <c r="N30" s="1229"/>
      <c r="O30" s="1229"/>
      <c r="S30" s="3519" t="s">
        <v>39</v>
      </c>
      <c r="T30" s="3519"/>
      <c r="U30" s="1233"/>
      <c r="V30" s="3521" t="str">
        <f>IF(TITLE_IST_PUB_CHANGE="",IF(TITLE_IST_PUB="","",TITLE_IST_PUB),TITLE_IST_PUB_CHANGE)</f>
        <v/>
      </c>
      <c r="W30" s="3521"/>
      <c r="X30" s="3521"/>
      <c r="Y30" s="3521"/>
      <c r="Z30" s="3521"/>
      <c r="AA30" s="3521"/>
      <c r="AB30" s="3521"/>
      <c r="AC30" s="3521"/>
      <c r="AD30" s="3521"/>
      <c r="AE30" s="3521"/>
      <c r="AF30" s="3521"/>
      <c r="AG30" s="237"/>
      <c r="AH30" s="3521" t="str">
        <f>IF(TITLE_IST_PUB_CHANGE="",IF(TITLE_IST_PUB="","",TITLE_IST_PUB),TITLE_IST_PUB_CHANGE)</f>
        <v/>
      </c>
      <c r="AI30" s="3521"/>
      <c r="AJ30" s="3521"/>
      <c r="AK30" s="3521"/>
      <c r="AL30" s="3521"/>
      <c r="AM30" s="3521"/>
      <c r="AN30" s="3521"/>
      <c r="AO30" s="3521"/>
      <c r="AP30" s="3521"/>
      <c r="AQ30" s="3521"/>
      <c r="AR30" s="3521"/>
      <c r="AS30" s="237"/>
      <c r="AT30" s="237"/>
      <c r="AU30" s="193"/>
      <c r="AV30" s="276"/>
      <c r="AW30" s="276"/>
      <c r="AX30" s="276"/>
      <c r="AY30" s="276"/>
      <c r="AZ30" s="276"/>
    </row>
    <row r="31" spans="1:52" ht="14.25" hidden="1" customHeight="1">
      <c r="Q31" s="283"/>
      <c r="R31" s="283"/>
      <c r="S31" s="1141"/>
      <c r="T31" s="272"/>
      <c r="U31" s="272"/>
      <c r="V31" s="233"/>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407"/>
    </row>
    <row r="32" spans="1:52" s="1944" customFormat="1" ht="18.75" hidden="1" customHeight="1">
      <c r="A32" s="1229"/>
      <c r="B32" s="1229"/>
      <c r="C32" s="1229"/>
      <c r="D32" s="1229"/>
      <c r="E32" s="1229"/>
      <c r="F32" s="1229"/>
      <c r="G32" s="1229"/>
      <c r="H32" s="1229"/>
      <c r="I32" s="1229"/>
      <c r="J32" s="1229"/>
      <c r="K32" s="1229"/>
      <c r="L32" s="1230"/>
      <c r="M32" s="1229"/>
      <c r="N32" s="1229"/>
      <c r="O32" s="1229"/>
      <c r="S32" s="3519" t="s">
        <v>687</v>
      </c>
      <c r="T32" s="3519"/>
      <c r="U32" s="1233"/>
      <c r="V32" s="3520" t="str">
        <f>IF(TITLE_DATE_PR_CHANGE="",IF(TITLE_DATE_PR="","",TITLE_DATE_PR),TITLE_DATE_PR_CHANGE)</f>
        <v/>
      </c>
      <c r="W32" s="3520"/>
      <c r="X32" s="3520"/>
      <c r="Y32" s="3520"/>
      <c r="Z32" s="3520"/>
      <c r="AA32" s="3520"/>
      <c r="AB32" s="3520"/>
      <c r="AC32" s="3520"/>
      <c r="AD32" s="3520"/>
      <c r="AE32" s="3520"/>
      <c r="AF32" s="3520"/>
      <c r="AG32" s="237"/>
      <c r="AH32" s="3520" t="str">
        <f>IF(TITLE_DATE_PR_CHANGE="",IF(TITLE_DATE_PR="","",TITLE_DATE_PR),TITLE_DATE_PR_CHANGE)</f>
        <v/>
      </c>
      <c r="AI32" s="3520"/>
      <c r="AJ32" s="3520"/>
      <c r="AK32" s="3520"/>
      <c r="AL32" s="3520"/>
      <c r="AM32" s="3520"/>
      <c r="AN32" s="3520"/>
      <c r="AO32" s="3520"/>
      <c r="AP32" s="3520"/>
      <c r="AQ32" s="3520"/>
      <c r="AR32" s="3520"/>
      <c r="AS32" s="237"/>
      <c r="AT32" s="237"/>
      <c r="AU32" s="193"/>
      <c r="AV32" s="276"/>
      <c r="AW32" s="276"/>
      <c r="AX32" s="276"/>
      <c r="AY32" s="276"/>
      <c r="AZ32" s="276"/>
    </row>
    <row r="33" spans="1:52" s="1944" customFormat="1" ht="18.75" hidden="1" customHeight="1">
      <c r="A33" s="1229"/>
      <c r="B33" s="1229"/>
      <c r="C33" s="1229"/>
      <c r="D33" s="1229"/>
      <c r="E33" s="1229"/>
      <c r="F33" s="1229"/>
      <c r="G33" s="1229"/>
      <c r="H33" s="1229"/>
      <c r="I33" s="1229"/>
      <c r="J33" s="1229"/>
      <c r="K33" s="1229"/>
      <c r="L33" s="1230"/>
      <c r="M33" s="1229"/>
      <c r="N33" s="1229"/>
      <c r="O33" s="1229"/>
      <c r="S33" s="3519" t="s">
        <v>688</v>
      </c>
      <c r="T33" s="3519"/>
      <c r="U33" s="1233"/>
      <c r="V33" s="3521" t="str">
        <f>IF(TITLE_NUMBER_PR_CHANGE="",IF(TITLE_NUMBER_PR="","",TITLE_NUMBER_PR),TITLE_NUMBER_PR_CHANGE)</f>
        <v/>
      </c>
      <c r="W33" s="3521"/>
      <c r="X33" s="3521"/>
      <c r="Y33" s="3521"/>
      <c r="Z33" s="3521"/>
      <c r="AA33" s="3521"/>
      <c r="AB33" s="3521"/>
      <c r="AC33" s="3521"/>
      <c r="AD33" s="3521"/>
      <c r="AE33" s="3521"/>
      <c r="AF33" s="3521"/>
      <c r="AG33" s="237"/>
      <c r="AH33" s="3521" t="str">
        <f>IF(TITLE_NUMBER_PR_CHANGE="",IF(TITLE_NUMBER_PR="","",TITLE_NUMBER_PR),TITLE_NUMBER_PR_CHANGE)</f>
        <v/>
      </c>
      <c r="AI33" s="3521"/>
      <c r="AJ33" s="3521"/>
      <c r="AK33" s="3521"/>
      <c r="AL33" s="3521"/>
      <c r="AM33" s="3521"/>
      <c r="AN33" s="3521"/>
      <c r="AO33" s="3521"/>
      <c r="AP33" s="3521"/>
      <c r="AQ33" s="3521"/>
      <c r="AR33" s="3521"/>
      <c r="AS33" s="237"/>
      <c r="AT33" s="237"/>
      <c r="AU33" s="193"/>
      <c r="AV33" s="276"/>
      <c r="AW33" s="276"/>
      <c r="AX33" s="276"/>
      <c r="AY33" s="276"/>
      <c r="AZ33" s="276"/>
    </row>
    <row r="34" spans="1:52" s="1944" customFormat="1" ht="0.75" customHeight="1">
      <c r="A34" s="1229"/>
      <c r="B34" s="1229"/>
      <c r="C34" s="1229"/>
      <c r="D34" s="1229"/>
      <c r="E34" s="1229"/>
      <c r="F34" s="1229"/>
      <c r="G34" s="1229"/>
      <c r="H34" s="1229"/>
      <c r="I34" s="1229"/>
      <c r="J34" s="1229"/>
      <c r="K34" s="1229"/>
      <c r="L34" s="1230"/>
      <c r="M34" s="1229"/>
      <c r="N34" s="1229"/>
      <c r="O34" s="1229"/>
      <c r="S34" s="234"/>
      <c r="T34" s="234"/>
      <c r="U34" s="1343"/>
      <c r="V34" s="237"/>
      <c r="W34" s="1480"/>
      <c r="X34" s="1480"/>
      <c r="Y34" s="1480"/>
      <c r="Z34" s="1480"/>
      <c r="AA34" s="1480"/>
      <c r="AB34" s="1480"/>
      <c r="AC34" s="1480"/>
      <c r="AD34" s="237"/>
      <c r="AE34" s="237"/>
      <c r="AF34" s="237"/>
      <c r="AG34" s="191" t="s">
        <v>689</v>
      </c>
      <c r="AH34" s="237"/>
      <c r="AI34" s="1480"/>
      <c r="AJ34" s="1480"/>
      <c r="AK34" s="1480"/>
      <c r="AL34" s="1480"/>
      <c r="AM34" s="1480"/>
      <c r="AN34" s="1480"/>
      <c r="AO34" s="237"/>
      <c r="AP34" s="237"/>
      <c r="AQ34" s="237"/>
      <c r="AR34" s="237"/>
      <c r="AS34" s="191" t="s">
        <v>689</v>
      </c>
      <c r="AV34" s="276"/>
      <c r="AW34" s="276"/>
      <c r="AX34" s="276"/>
      <c r="AY34" s="276"/>
      <c r="AZ34" s="276"/>
    </row>
    <row r="35" spans="1:52" ht="14.25" customHeight="1">
      <c r="Q35" s="283"/>
      <c r="R35" s="283"/>
      <c r="S35" s="1141"/>
      <c r="T35" s="272"/>
      <c r="U35" s="1110"/>
      <c r="V35" s="3540"/>
      <c r="W35" s="3540"/>
      <c r="X35" s="3540"/>
      <c r="Y35" s="3540"/>
      <c r="Z35" s="3540"/>
      <c r="AA35" s="3540"/>
      <c r="AB35" s="3540"/>
      <c r="AC35" s="3540"/>
      <c r="AD35" s="3540"/>
      <c r="AE35" s="3540"/>
      <c r="AF35" s="3540"/>
      <c r="AG35" s="3540"/>
      <c r="AH35" s="3540"/>
      <c r="AI35" s="3540"/>
      <c r="AJ35" s="3540"/>
      <c r="AK35" s="3540"/>
      <c r="AL35" s="3540"/>
      <c r="AM35" s="3540"/>
      <c r="AN35" s="3540"/>
      <c r="AO35" s="3540"/>
      <c r="AP35" s="3540"/>
      <c r="AQ35" s="3540"/>
      <c r="AR35" s="3540"/>
      <c r="AS35" s="3540"/>
    </row>
    <row r="36" spans="1:52" ht="14.25" customHeight="1">
      <c r="Q36" s="283"/>
      <c r="R36" s="283"/>
      <c r="S36" s="3401" t="s">
        <v>560</v>
      </c>
      <c r="T36" s="3401"/>
      <c r="U36" s="3401"/>
      <c r="V36" s="3401"/>
      <c r="W36" s="3401"/>
      <c r="X36" s="3401"/>
      <c r="Y36" s="3401"/>
      <c r="Z36" s="3401"/>
      <c r="AA36" s="3401"/>
      <c r="AB36" s="3401"/>
      <c r="AC36" s="3401"/>
      <c r="AD36" s="3401"/>
      <c r="AE36" s="3401"/>
      <c r="AF36" s="3401"/>
      <c r="AG36" s="3401"/>
      <c r="AH36" s="3401"/>
      <c r="AI36" s="3401"/>
      <c r="AJ36" s="3401"/>
      <c r="AK36" s="3401"/>
      <c r="AL36" s="3401"/>
      <c r="AM36" s="3401"/>
      <c r="AN36" s="3401"/>
      <c r="AO36" s="3401"/>
      <c r="AP36" s="3401"/>
      <c r="AQ36" s="3401"/>
      <c r="AR36" s="3401"/>
      <c r="AS36" s="3401"/>
      <c r="AT36" s="3401"/>
      <c r="AU36" s="3401" t="s">
        <v>561</v>
      </c>
    </row>
    <row r="37" spans="1:52" ht="14.25" customHeight="1">
      <c r="Q37" s="283"/>
      <c r="R37" s="283"/>
      <c r="S37" s="3541" t="s">
        <v>85</v>
      </c>
      <c r="T37" s="3489" t="s">
        <v>690</v>
      </c>
      <c r="U37" s="212"/>
      <c r="V37" s="3542" t="s">
        <v>691</v>
      </c>
      <c r="W37" s="3558"/>
      <c r="X37" s="3558"/>
      <c r="Y37" s="3558"/>
      <c r="Z37" s="3558"/>
      <c r="AA37" s="3558"/>
      <c r="AB37" s="3558"/>
      <c r="AC37" s="3558"/>
      <c r="AD37" s="3543"/>
      <c r="AE37" s="3543"/>
      <c r="AF37" s="3544"/>
      <c r="AG37" s="3545" t="s">
        <v>692</v>
      </c>
      <c r="AH37" s="3542" t="s">
        <v>691</v>
      </c>
      <c r="AI37" s="3543"/>
      <c r="AJ37" s="3543"/>
      <c r="AK37" s="3543"/>
      <c r="AL37" s="3543"/>
      <c r="AM37" s="3543"/>
      <c r="AN37" s="3543"/>
      <c r="AO37" s="3543"/>
      <c r="AP37" s="3543"/>
      <c r="AQ37" s="3543"/>
      <c r="AR37" s="3544"/>
      <c r="AS37" s="3545" t="s">
        <v>693</v>
      </c>
      <c r="AT37" s="3548" t="s">
        <v>694</v>
      </c>
      <c r="AU37" s="3401"/>
    </row>
    <row r="38" spans="1:52" ht="18.75" customHeight="1">
      <c r="Q38" s="283"/>
      <c r="R38" s="283"/>
      <c r="S38" s="3541"/>
      <c r="T38" s="3489"/>
      <c r="U38" s="901"/>
      <c r="V38" s="3383" t="s">
        <v>795</v>
      </c>
      <c r="W38" s="3388"/>
      <c r="X38" s="3382"/>
      <c r="Y38" s="3383" t="s">
        <v>796</v>
      </c>
      <c r="Z38" s="3388"/>
      <c r="AA38" s="3388"/>
      <c r="AB38" s="3388"/>
      <c r="AC38" s="3382"/>
      <c r="AD38" s="3459" t="s">
        <v>698</v>
      </c>
      <c r="AE38" s="3563"/>
      <c r="AF38" s="3460"/>
      <c r="AG38" s="3546"/>
      <c r="AH38" s="3383" t="s">
        <v>795</v>
      </c>
      <c r="AI38" s="3388"/>
      <c r="AJ38" s="3382"/>
      <c r="AK38" s="3383" t="s">
        <v>796</v>
      </c>
      <c r="AL38" s="3388"/>
      <c r="AM38" s="3388"/>
      <c r="AN38" s="3388"/>
      <c r="AO38" s="3382"/>
      <c r="AP38" s="3459" t="s">
        <v>698</v>
      </c>
      <c r="AQ38" s="3563"/>
      <c r="AR38" s="3460"/>
      <c r="AS38" s="3546"/>
      <c r="AT38" s="3549"/>
      <c r="AU38" s="3401"/>
    </row>
    <row r="39" spans="1:52" s="1910" customFormat="1" ht="18.75" customHeight="1">
      <c r="A39" s="1227"/>
      <c r="B39" s="1227"/>
      <c r="C39" s="1227"/>
      <c r="D39" s="1227"/>
      <c r="E39" s="1227"/>
      <c r="F39" s="1227"/>
      <c r="G39" s="1227"/>
      <c r="H39" s="1227"/>
      <c r="I39" s="1227"/>
      <c r="J39" s="1227"/>
      <c r="K39" s="1227"/>
      <c r="L39" s="1787"/>
      <c r="M39" s="1223"/>
      <c r="N39" s="1223"/>
      <c r="O39" s="1223"/>
      <c r="P39" s="1804"/>
      <c r="Q39" s="283"/>
      <c r="R39" s="283"/>
      <c r="S39" s="3541"/>
      <c r="T39" s="3489"/>
      <c r="U39" s="901"/>
      <c r="V39" s="3458" t="s">
        <v>797</v>
      </c>
      <c r="W39" s="3383" t="s">
        <v>697</v>
      </c>
      <c r="X39" s="3382"/>
      <c r="Y39" s="3383" t="s">
        <v>752</v>
      </c>
      <c r="Z39" s="3382"/>
      <c r="AA39" s="3383" t="s">
        <v>697</v>
      </c>
      <c r="AB39" s="3388"/>
      <c r="AC39" s="3382"/>
      <c r="AD39" s="3464"/>
      <c r="AE39" s="3564"/>
      <c r="AF39" s="3465"/>
      <c r="AG39" s="3546"/>
      <c r="AH39" s="3458" t="s">
        <v>797</v>
      </c>
      <c r="AI39" s="3383" t="s">
        <v>697</v>
      </c>
      <c r="AJ39" s="3382"/>
      <c r="AK39" s="3383" t="s">
        <v>752</v>
      </c>
      <c r="AL39" s="3382"/>
      <c r="AM39" s="3383" t="s">
        <v>697</v>
      </c>
      <c r="AN39" s="3388"/>
      <c r="AO39" s="3382"/>
      <c r="AP39" s="3464"/>
      <c r="AQ39" s="3564"/>
      <c r="AR39" s="3465"/>
      <c r="AS39" s="3546"/>
      <c r="AT39" s="3549"/>
      <c r="AU39" s="3401"/>
      <c r="AV39" s="1481"/>
      <c r="AW39" s="1481"/>
      <c r="AX39" s="1481"/>
      <c r="AY39" s="1481"/>
      <c r="AZ39" s="1481"/>
    </row>
    <row r="40" spans="1:52" ht="86.25" customHeight="1">
      <c r="A40" s="1231"/>
      <c r="B40" s="1231" t="s">
        <v>403</v>
      </c>
      <c r="C40" s="1231" t="s">
        <v>404</v>
      </c>
      <c r="D40" s="1231" t="s">
        <v>405</v>
      </c>
      <c r="E40" s="1225" t="s">
        <v>699</v>
      </c>
      <c r="F40" s="1225" t="s">
        <v>700</v>
      </c>
      <c r="G40" s="1225" t="s">
        <v>701</v>
      </c>
      <c r="H40" s="1225"/>
      <c r="I40" s="1225" t="s">
        <v>753</v>
      </c>
      <c r="J40" s="1225" t="s">
        <v>704</v>
      </c>
      <c r="K40" s="1225" t="s">
        <v>754</v>
      </c>
      <c r="L40" s="1225" t="s">
        <v>680</v>
      </c>
      <c r="Q40" s="283"/>
      <c r="R40" s="283"/>
      <c r="S40" s="3541"/>
      <c r="T40" s="3489"/>
      <c r="U40" s="213"/>
      <c r="V40" s="3514"/>
      <c r="W40" s="1799" t="s">
        <v>798</v>
      </c>
      <c r="X40" s="1799" t="s">
        <v>799</v>
      </c>
      <c r="Y40" s="1796" t="s">
        <v>800</v>
      </c>
      <c r="Z40" s="1797" t="s">
        <v>801</v>
      </c>
      <c r="AA40" s="1799" t="s">
        <v>802</v>
      </c>
      <c r="AB40" s="1799" t="s">
        <v>803</v>
      </c>
      <c r="AC40" s="1799" t="s">
        <v>804</v>
      </c>
      <c r="AD40" s="1344" t="s">
        <v>708</v>
      </c>
      <c r="AE40" s="3494" t="s">
        <v>709</v>
      </c>
      <c r="AF40" s="3508"/>
      <c r="AG40" s="3547"/>
      <c r="AH40" s="3514"/>
      <c r="AI40" s="1799" t="s">
        <v>798</v>
      </c>
      <c r="AJ40" s="1799" t="s">
        <v>799</v>
      </c>
      <c r="AK40" s="1796" t="s">
        <v>800</v>
      </c>
      <c r="AL40" s="1797" t="s">
        <v>805</v>
      </c>
      <c r="AM40" s="1799" t="s">
        <v>802</v>
      </c>
      <c r="AN40" s="1799" t="s">
        <v>803</v>
      </c>
      <c r="AO40" s="1799" t="s">
        <v>806</v>
      </c>
      <c r="AP40" s="1344" t="s">
        <v>708</v>
      </c>
      <c r="AQ40" s="3494" t="s">
        <v>709</v>
      </c>
      <c r="AR40" s="3508"/>
      <c r="AS40" s="3547"/>
      <c r="AT40" s="3550"/>
      <c r="AU40" s="3401"/>
    </row>
    <row r="41" spans="1:52" s="1838" customFormat="1" ht="11.25" hidden="1" customHeight="1">
      <c r="A41" s="1231"/>
      <c r="B41" s="1231"/>
      <c r="C41" s="1231"/>
      <c r="D41" s="1231"/>
      <c r="E41" s="1231"/>
      <c r="F41" s="1231"/>
      <c r="G41" s="1231"/>
      <c r="H41" s="1231"/>
      <c r="I41" s="1231"/>
      <c r="J41" s="1231"/>
      <c r="K41" s="1231"/>
      <c r="L41" s="1225"/>
      <c r="M41" s="1223"/>
      <c r="N41" s="1223"/>
      <c r="O41" s="1223"/>
      <c r="P41" s="1112"/>
      <c r="Q41" s="1113"/>
      <c r="R41" s="1120">
        <v>1</v>
      </c>
      <c r="S41" s="1143" t="s">
        <v>106</v>
      </c>
      <c r="T41" s="1121" t="s">
        <v>107</v>
      </c>
      <c r="U41" s="1111" t="str">
        <f ca="1">OFFSET(U41,0,-1)</f>
        <v>2</v>
      </c>
      <c r="V41" s="1337">
        <f ca="1">OFFSET(V41,0,-1)+1</f>
        <v>3</v>
      </c>
      <c r="W41" s="1203"/>
      <c r="X41" s="1203"/>
      <c r="Y41" s="1203"/>
      <c r="Z41" s="1203"/>
      <c r="AA41" s="1203"/>
      <c r="AB41" s="1203"/>
      <c r="AC41" s="1203"/>
      <c r="AD41" s="1337">
        <f ca="1">OFFSET(AD41,0,-1)+1</f>
        <v>1</v>
      </c>
      <c r="AE41" s="3539">
        <f ca="1">OFFSET(AE41,0,-1)+1</f>
        <v>2</v>
      </c>
      <c r="AF41" s="3539"/>
      <c r="AG41" s="1337">
        <f ca="1">OFFSET(AG41,0,-2)+1</f>
        <v>3</v>
      </c>
      <c r="AH41" s="1337">
        <f ca="1">OFFSET(AH41,0,-1)+1</f>
        <v>4</v>
      </c>
      <c r="AI41" s="1792"/>
      <c r="AJ41" s="1792"/>
      <c r="AK41" s="1792"/>
      <c r="AL41" s="1792"/>
      <c r="AM41" s="1792"/>
      <c r="AN41" s="1792"/>
      <c r="AO41" s="1337">
        <f ca="1">OFFSET(AO41,0,-1)+1</f>
        <v>1</v>
      </c>
      <c r="AP41" s="1337">
        <f ca="1">OFFSET(AP41,0,-1)+1</f>
        <v>2</v>
      </c>
      <c r="AQ41" s="3539">
        <f ca="1">OFFSET(AQ41,0,-1)+1</f>
        <v>3</v>
      </c>
      <c r="AR41" s="3539"/>
      <c r="AS41" s="1337">
        <f ca="1">OFFSET(AS41,0,-2)+1</f>
        <v>4</v>
      </c>
      <c r="AT41" s="1111">
        <f ca="1">OFFSET(AT41,0,-1)</f>
        <v>4</v>
      </c>
      <c r="AU41" s="1337">
        <f ca="1">OFFSET(AU41,0,-1)+1</f>
        <v>5</v>
      </c>
      <c r="AV41" s="409"/>
      <c r="AW41" s="409"/>
      <c r="AX41" s="409"/>
      <c r="AY41" s="409"/>
      <c r="AZ41" s="409"/>
    </row>
    <row r="42" spans="1:52" ht="23.25" customHeight="1">
      <c r="A42" s="1224" t="s">
        <v>511</v>
      </c>
      <c r="B42" s="1224"/>
      <c r="C42" s="1224"/>
      <c r="D42" s="1224"/>
      <c r="E42" s="3528">
        <v>1</v>
      </c>
      <c r="F42" s="1224"/>
      <c r="G42" s="1224"/>
      <c r="H42" s="1224"/>
      <c r="I42" s="1224"/>
      <c r="J42" s="1224"/>
      <c r="K42" s="1224"/>
      <c r="L42" s="1225"/>
      <c r="M42" s="1226"/>
      <c r="N42" s="1226"/>
      <c r="O42" s="1226"/>
      <c r="P42" s="270"/>
      <c r="Q42" s="269"/>
      <c r="R42" s="264"/>
      <c r="S42" s="1348">
        <f>INDEX(PT_DIFFERENTIATION_NUM_NTAR,MATCH(A42,PT_DIFFERENTIATION_NTAR_ID,0))</f>
        <v>0</v>
      </c>
      <c r="T42" s="209" t="s">
        <v>391</v>
      </c>
      <c r="U42" s="211"/>
      <c r="V42" s="3522"/>
      <c r="W42" s="3523"/>
      <c r="X42" s="3523"/>
      <c r="Y42" s="3523"/>
      <c r="Z42" s="3523"/>
      <c r="AA42" s="3523"/>
      <c r="AB42" s="3523"/>
      <c r="AC42" s="3523"/>
      <c r="AD42" s="3523"/>
      <c r="AE42" s="3523"/>
      <c r="AF42" s="3523"/>
      <c r="AG42" s="3524"/>
      <c r="AH42" s="3522" t="str">
        <f>INDEX(PT_DIFFERENTIATION_NTAR,MATCH(A42,PT_DIFFERENTIATION_NTAR_ID,0))</f>
        <v/>
      </c>
      <c r="AI42" s="3523"/>
      <c r="AJ42" s="3523"/>
      <c r="AK42" s="3523"/>
      <c r="AL42" s="3523"/>
      <c r="AM42" s="3523"/>
      <c r="AN42" s="3523"/>
      <c r="AO42" s="3523"/>
      <c r="AP42" s="3523"/>
      <c r="AQ42" s="3523"/>
      <c r="AR42" s="3523"/>
      <c r="AS42" s="3523"/>
      <c r="AT42" s="3524"/>
      <c r="AU42" s="112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W42" s="398"/>
      <c r="AX42" s="398" t="str">
        <f t="shared" ref="AX42:AX54" si="1">IF(T42="","",T42)</f>
        <v>Наименование тарифа</v>
      </c>
      <c r="AY42" s="398"/>
      <c r="AZ42" s="398"/>
    </row>
    <row r="43" spans="1:52" ht="23.25" customHeight="1">
      <c r="A43" s="1224" t="s">
        <v>511</v>
      </c>
      <c r="B43" s="1224" t="s">
        <v>512</v>
      </c>
      <c r="C43" s="1224"/>
      <c r="D43" s="1224"/>
      <c r="E43" s="3529"/>
      <c r="F43" s="3528">
        <v>1</v>
      </c>
      <c r="G43" s="1224"/>
      <c r="H43" s="1224"/>
      <c r="I43" s="1224"/>
      <c r="J43" s="1224"/>
      <c r="K43" s="1224"/>
      <c r="L43" s="1225"/>
      <c r="M43" s="1226"/>
      <c r="N43" s="1226"/>
      <c r="O43" s="1226"/>
      <c r="P43" s="1342"/>
      <c r="Q43" s="261"/>
      <c r="R43" s="262"/>
      <c r="S43" s="1348" t="str">
        <f>INDEX(PT_DIFFERENTIATION_NUM_TER,MATCH(B43,PT_DIFFERENTIATION_TER_ID,0))</f>
        <v>.</v>
      </c>
      <c r="T43" s="219" t="s">
        <v>659</v>
      </c>
      <c r="U43" s="211"/>
      <c r="V43" s="3522"/>
      <c r="W43" s="3523"/>
      <c r="X43" s="3523"/>
      <c r="Y43" s="3523"/>
      <c r="Z43" s="3523"/>
      <c r="AA43" s="3523"/>
      <c r="AB43" s="3523"/>
      <c r="AC43" s="3523"/>
      <c r="AD43" s="3523"/>
      <c r="AE43" s="3523"/>
      <c r="AF43" s="3523"/>
      <c r="AG43" s="3524"/>
      <c r="AH43" s="3522" t="str">
        <f>INDEX(PT_DIFFERENTIATION_TER,MATCH(B43,PT_DIFFERENTIATION_TER_ID,0))</f>
        <v/>
      </c>
      <c r="AI43" s="3523"/>
      <c r="AJ43" s="3523"/>
      <c r="AK43" s="3523"/>
      <c r="AL43" s="3523"/>
      <c r="AM43" s="3523"/>
      <c r="AN43" s="3523"/>
      <c r="AO43" s="3523"/>
      <c r="AP43" s="3523"/>
      <c r="AQ43" s="3523"/>
      <c r="AR43" s="3523"/>
      <c r="AS43" s="3523"/>
      <c r="AT43" s="3524"/>
      <c r="AU43" s="1124" t="s">
        <v>660</v>
      </c>
      <c r="AW43" s="398"/>
      <c r="AX43" s="398" t="str">
        <f t="shared" si="1"/>
        <v>Территория действия тарифа</v>
      </c>
      <c r="AY43" s="398"/>
      <c r="AZ43" s="398"/>
    </row>
    <row r="44" spans="1:52" ht="23.25" customHeight="1">
      <c r="A44" s="1224" t="s">
        <v>511</v>
      </c>
      <c r="B44" s="1224" t="s">
        <v>512</v>
      </c>
      <c r="C44" s="1224" t="s">
        <v>513</v>
      </c>
      <c r="D44" s="1224"/>
      <c r="E44" s="3529"/>
      <c r="F44" s="3529"/>
      <c r="G44" s="3528">
        <v>1</v>
      </c>
      <c r="H44" s="1224"/>
      <c r="I44" s="1224"/>
      <c r="J44" s="1224"/>
      <c r="K44" s="1224"/>
      <c r="L44" s="1225"/>
      <c r="M44" s="1226"/>
      <c r="N44" s="1226"/>
      <c r="O44" s="1226"/>
      <c r="P44" s="263"/>
      <c r="Q44" s="261"/>
      <c r="R44" s="262"/>
      <c r="S44" s="1348" t="str">
        <f>INDEX(PT_DIFFERENTIATION_NUM_CS,MATCH(C44,PT_DIFFERENTIATION_CS_ID,0))</f>
        <v>..</v>
      </c>
      <c r="T44" s="220" t="s">
        <v>793</v>
      </c>
      <c r="U44" s="211"/>
      <c r="V44" s="3522"/>
      <c r="W44" s="3523"/>
      <c r="X44" s="3523"/>
      <c r="Y44" s="3523"/>
      <c r="Z44" s="3523"/>
      <c r="AA44" s="3523"/>
      <c r="AB44" s="3523"/>
      <c r="AC44" s="3523"/>
      <c r="AD44" s="3523"/>
      <c r="AE44" s="3523"/>
      <c r="AF44" s="3523"/>
      <c r="AG44" s="3524"/>
      <c r="AH44" s="3522" t="str">
        <f>INDEX(PT_DIFFERENTIATION_CS,MATCH(C44,PT_DIFFERENTIATION_CS_ID,0))</f>
        <v/>
      </c>
      <c r="AI44" s="3523"/>
      <c r="AJ44" s="3523"/>
      <c r="AK44" s="3523"/>
      <c r="AL44" s="3523"/>
      <c r="AM44" s="3523"/>
      <c r="AN44" s="3523"/>
      <c r="AO44" s="3523"/>
      <c r="AP44" s="3523"/>
      <c r="AQ44" s="3523"/>
      <c r="AR44" s="3523"/>
      <c r="AS44" s="3523"/>
      <c r="AT44" s="3524"/>
      <c r="AU44" s="1124" t="s">
        <v>794</v>
      </c>
      <c r="AW44" s="398"/>
      <c r="AX44" s="398" t="str">
        <f t="shared" si="1"/>
        <v>Наименование централизованной системы горячего водоснабжения</v>
      </c>
      <c r="AY44" s="398"/>
      <c r="AZ44" s="398"/>
    </row>
    <row r="45" spans="1:52" ht="23.25" customHeight="1">
      <c r="A45" s="1224" t="s">
        <v>511</v>
      </c>
      <c r="B45" s="1224" t="s">
        <v>512</v>
      </c>
      <c r="C45" s="1224" t="s">
        <v>513</v>
      </c>
      <c r="D45" s="1224" t="s">
        <v>807</v>
      </c>
      <c r="E45" s="3529"/>
      <c r="F45" s="3529"/>
      <c r="G45" s="3529"/>
      <c r="H45" s="3529"/>
      <c r="I45" s="3530" t="str">
        <f>S44&amp;".1"</f>
        <v>...1</v>
      </c>
      <c r="J45" s="1224"/>
      <c r="K45" s="1224"/>
      <c r="L45" s="1225"/>
      <c r="P45" s="3532">
        <v>1</v>
      </c>
      <c r="Q45" s="1336"/>
      <c r="R45" s="265"/>
      <c r="S45" s="1348" t="str">
        <f>$I45</f>
        <v>...1</v>
      </c>
      <c r="T45" s="197" t="s">
        <v>746</v>
      </c>
      <c r="U45" s="211"/>
      <c r="V45" s="3588"/>
      <c r="W45" s="3589"/>
      <c r="X45" s="3589"/>
      <c r="Y45" s="3589"/>
      <c r="Z45" s="3589"/>
      <c r="AA45" s="3589"/>
      <c r="AB45" s="3589"/>
      <c r="AC45" s="3589"/>
      <c r="AD45" s="3589"/>
      <c r="AE45" s="3589"/>
      <c r="AF45" s="3589"/>
      <c r="AG45" s="3590"/>
      <c r="AH45" s="3591"/>
      <c r="AI45" s="3592"/>
      <c r="AJ45" s="3592"/>
      <c r="AK45" s="3592"/>
      <c r="AL45" s="3592"/>
      <c r="AM45" s="3592"/>
      <c r="AN45" s="3592"/>
      <c r="AO45" s="3592"/>
      <c r="AP45" s="3592"/>
      <c r="AQ45" s="3592"/>
      <c r="AR45" s="3592"/>
      <c r="AS45" s="3592"/>
      <c r="AT45" s="3593"/>
      <c r="AU45" s="1124" t="s">
        <v>747</v>
      </c>
      <c r="AW45" s="398"/>
      <c r="AX45" s="398" t="str">
        <f t="shared" si="1"/>
        <v>Наименование признака дифференциации</v>
      </c>
      <c r="AY45" s="398"/>
      <c r="AZ45" s="398"/>
    </row>
    <row r="46" spans="1:52" ht="23.25" customHeight="1">
      <c r="A46" s="1224" t="s">
        <v>511</v>
      </c>
      <c r="B46" s="1224" t="s">
        <v>512</v>
      </c>
      <c r="C46" s="1224" t="s">
        <v>513</v>
      </c>
      <c r="D46" s="1224" t="s">
        <v>807</v>
      </c>
      <c r="E46" s="3529"/>
      <c r="F46" s="3529"/>
      <c r="G46" s="3529"/>
      <c r="H46" s="3529"/>
      <c r="I46" s="3531"/>
      <c r="J46" s="3530" t="str">
        <f>I45&amp;".1"</f>
        <v>...1.1</v>
      </c>
      <c r="K46" s="1224"/>
      <c r="L46" s="1225" t="s">
        <v>668</v>
      </c>
      <c r="P46" s="3532"/>
      <c r="Q46" s="3532">
        <v>1</v>
      </c>
      <c r="R46" s="266"/>
      <c r="S46" s="1348" t="str">
        <f>$J46</f>
        <v>...1.1</v>
      </c>
      <c r="T46" s="198" t="s">
        <v>669</v>
      </c>
      <c r="U46" s="211"/>
      <c r="V46" s="3516"/>
      <c r="W46" s="3517"/>
      <c r="X46" s="3517"/>
      <c r="Y46" s="3517"/>
      <c r="Z46" s="3517"/>
      <c r="AA46" s="3517"/>
      <c r="AB46" s="3517"/>
      <c r="AC46" s="3517"/>
      <c r="AD46" s="3517"/>
      <c r="AE46" s="3517"/>
      <c r="AF46" s="3517"/>
      <c r="AG46" s="3518"/>
      <c r="AH46" s="3516"/>
      <c r="AI46" s="3517"/>
      <c r="AJ46" s="3517"/>
      <c r="AK46" s="3517"/>
      <c r="AL46" s="3517"/>
      <c r="AM46" s="3517"/>
      <c r="AN46" s="3517"/>
      <c r="AO46" s="3517"/>
      <c r="AP46" s="3517"/>
      <c r="AQ46" s="3517"/>
      <c r="AR46" s="3517"/>
      <c r="AS46" s="3517"/>
      <c r="AT46" s="3518"/>
      <c r="AU46" s="1171" t="s">
        <v>748</v>
      </c>
      <c r="AW46" s="398"/>
      <c r="AX46" s="398" t="str">
        <f t="shared" si="1"/>
        <v>Группа потребителей</v>
      </c>
      <c r="AY46" s="398"/>
      <c r="AZ46" s="398"/>
    </row>
    <row r="47" spans="1:52" ht="23.25" customHeight="1">
      <c r="A47" s="1224" t="s">
        <v>511</v>
      </c>
      <c r="B47" s="1224" t="s">
        <v>512</v>
      </c>
      <c r="C47" s="1224" t="s">
        <v>513</v>
      </c>
      <c r="D47" s="1224" t="s">
        <v>807</v>
      </c>
      <c r="E47" s="3529"/>
      <c r="F47" s="3529"/>
      <c r="G47" s="3529"/>
      <c r="H47" s="3529"/>
      <c r="I47" s="3531"/>
      <c r="J47" s="3531"/>
      <c r="K47" s="3530" t="str">
        <f>J46&amp;".1"</f>
        <v>...1.1.1</v>
      </c>
      <c r="L47" s="1225"/>
      <c r="P47" s="3532"/>
      <c r="Q47" s="3532"/>
      <c r="R47" s="266">
        <v>1</v>
      </c>
      <c r="S47" s="1348" t="str">
        <f>$K47</f>
        <v>...1.1.1</v>
      </c>
      <c r="T47" s="1297"/>
      <c r="U47" s="211"/>
      <c r="V47" s="639"/>
      <c r="W47" s="639"/>
      <c r="X47" s="639"/>
      <c r="Y47" s="639"/>
      <c r="Z47" s="639"/>
      <c r="AA47" s="639"/>
      <c r="AB47" s="639"/>
      <c r="AC47" s="639"/>
      <c r="AD47" s="3526"/>
      <c r="AE47" s="3525" t="s">
        <v>64</v>
      </c>
      <c r="AF47" s="3526"/>
      <c r="AG47" s="3525" t="s">
        <v>64</v>
      </c>
      <c r="AH47" s="639"/>
      <c r="AI47" s="639"/>
      <c r="AJ47" s="639"/>
      <c r="AK47" s="639"/>
      <c r="AL47" s="639"/>
      <c r="AM47" s="639"/>
      <c r="AN47" s="639"/>
      <c r="AO47" s="639"/>
      <c r="AP47" s="3533"/>
      <c r="AQ47" s="3412" t="s">
        <v>64</v>
      </c>
      <c r="AR47" s="3535"/>
      <c r="AS47" s="3412" t="s">
        <v>54</v>
      </c>
      <c r="AT47" s="1298"/>
      <c r="AU47" s="35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V47" s="409" t="e">
        <f ca="1">STRCHECKDATE(V48:AT48)</f>
        <v>#NAME?</v>
      </c>
      <c r="AW47" s="398"/>
      <c r="AX47" s="398" t="str">
        <f t="shared" si="1"/>
        <v/>
      </c>
      <c r="AY47" s="398"/>
      <c r="AZ47" s="398"/>
    </row>
    <row r="48" spans="1:52" ht="0" hidden="1" customHeight="1">
      <c r="A48" s="1224" t="s">
        <v>511</v>
      </c>
      <c r="B48" s="1224" t="s">
        <v>512</v>
      </c>
      <c r="C48" s="1224" t="s">
        <v>513</v>
      </c>
      <c r="D48" s="1224" t="s">
        <v>807</v>
      </c>
      <c r="E48" s="3529"/>
      <c r="F48" s="3529"/>
      <c r="G48" s="3529"/>
      <c r="H48" s="3529"/>
      <c r="I48" s="3531"/>
      <c r="J48" s="3531"/>
      <c r="K48" s="3530"/>
      <c r="L48" s="1225"/>
      <c r="P48" s="3532"/>
      <c r="Q48" s="3532"/>
      <c r="R48" s="266"/>
      <c r="S48" s="1345"/>
      <c r="T48" s="211"/>
      <c r="U48" s="211"/>
      <c r="V48" s="1221"/>
      <c r="W48" s="1221"/>
      <c r="X48" s="1221"/>
      <c r="Y48" s="1221"/>
      <c r="Z48" s="1221"/>
      <c r="AA48" s="1221"/>
      <c r="AB48" s="1221"/>
      <c r="AC48" s="1221"/>
      <c r="AD48" s="3525"/>
      <c r="AE48" s="3525"/>
      <c r="AF48" s="3525"/>
      <c r="AG48" s="3525"/>
      <c r="AH48" s="236"/>
      <c r="AI48" s="236"/>
      <c r="AJ48" s="236"/>
      <c r="AK48" s="236"/>
      <c r="AL48" s="236"/>
      <c r="AM48" s="236"/>
      <c r="AN48" s="236"/>
      <c r="AO48" s="236"/>
      <c r="AP48" s="3534"/>
      <c r="AQ48" s="3412"/>
      <c r="AR48" s="3536"/>
      <c r="AS48" s="3412"/>
      <c r="AT48" s="1299"/>
      <c r="AU48" s="3594"/>
      <c r="AW48" s="398"/>
      <c r="AX48" s="398" t="str">
        <f t="shared" si="1"/>
        <v/>
      </c>
      <c r="AY48" s="398"/>
      <c r="AZ48" s="398"/>
    </row>
    <row r="49" spans="1:52" ht="21" customHeight="1">
      <c r="A49" s="1224" t="s">
        <v>511</v>
      </c>
      <c r="B49" s="1224" t="s">
        <v>512</v>
      </c>
      <c r="C49" s="1224" t="s">
        <v>513</v>
      </c>
      <c r="D49" s="1224" t="s">
        <v>807</v>
      </c>
      <c r="E49" s="3529"/>
      <c r="F49" s="3529"/>
      <c r="G49" s="3529"/>
      <c r="H49" s="3529"/>
      <c r="I49" s="3531"/>
      <c r="J49" s="3530"/>
      <c r="K49" s="1224"/>
      <c r="L49" s="1225"/>
      <c r="P49" s="3532"/>
      <c r="Q49" s="3532"/>
      <c r="R49" s="265"/>
      <c r="S49" s="1144"/>
      <c r="T49" s="199" t="s">
        <v>749</v>
      </c>
      <c r="U49" s="275"/>
      <c r="V49" s="275"/>
      <c r="W49" s="494"/>
      <c r="X49" s="494"/>
      <c r="Y49" s="494"/>
      <c r="Z49" s="494"/>
      <c r="AA49" s="494"/>
      <c r="AB49" s="494"/>
      <c r="AC49" s="494"/>
      <c r="AD49" s="275"/>
      <c r="AE49" s="275"/>
      <c r="AF49" s="275"/>
      <c r="AG49" s="275"/>
      <c r="AH49" s="275"/>
      <c r="AI49" s="494"/>
      <c r="AJ49" s="494"/>
      <c r="AK49" s="494"/>
      <c r="AL49" s="494"/>
      <c r="AM49" s="494"/>
      <c r="AN49" s="494"/>
      <c r="AO49" s="275"/>
      <c r="AP49" s="275"/>
      <c r="AQ49" s="275"/>
      <c r="AR49" s="275"/>
      <c r="AS49" s="275"/>
      <c r="AT49" s="275"/>
      <c r="AU49" s="1124" t="s">
        <v>750</v>
      </c>
      <c r="AW49" s="398"/>
      <c r="AX49" s="398" t="str">
        <f t="shared" si="1"/>
        <v>Добавить значение признака дифференциации</v>
      </c>
      <c r="AY49" s="398"/>
      <c r="AZ49" s="398"/>
    </row>
    <row r="50" spans="1:52" ht="21" customHeight="1">
      <c r="A50" s="1224" t="s">
        <v>511</v>
      </c>
      <c r="B50" s="1224" t="s">
        <v>512</v>
      </c>
      <c r="C50" s="1224" t="s">
        <v>513</v>
      </c>
      <c r="D50" s="1224" t="s">
        <v>807</v>
      </c>
      <c r="E50" s="3529"/>
      <c r="F50" s="3529"/>
      <c r="G50" s="3529"/>
      <c r="H50" s="3529"/>
      <c r="I50" s="3530"/>
      <c r="J50" s="1224"/>
      <c r="K50" s="1224"/>
      <c r="L50" s="1225"/>
      <c r="P50" s="3532"/>
      <c r="Q50" s="1336"/>
      <c r="R50" s="265"/>
      <c r="S50" s="1144"/>
      <c r="T50" s="273" t="s">
        <v>674</v>
      </c>
      <c r="U50" s="275"/>
      <c r="V50" s="275"/>
      <c r="W50" s="494"/>
      <c r="X50" s="494"/>
      <c r="Y50" s="494"/>
      <c r="Z50" s="494"/>
      <c r="AA50" s="494"/>
      <c r="AB50" s="494"/>
      <c r="AC50" s="494"/>
      <c r="AD50" s="275"/>
      <c r="AE50" s="275"/>
      <c r="AF50" s="275"/>
      <c r="AG50" s="274"/>
      <c r="AH50" s="275"/>
      <c r="AI50" s="494"/>
      <c r="AJ50" s="494"/>
      <c r="AK50" s="494"/>
      <c r="AL50" s="494"/>
      <c r="AM50" s="494"/>
      <c r="AN50" s="494"/>
      <c r="AO50" s="275"/>
      <c r="AP50" s="275"/>
      <c r="AQ50" s="275"/>
      <c r="AR50" s="275"/>
      <c r="AS50" s="274"/>
      <c r="AT50" s="275"/>
      <c r="AU50" s="1300"/>
      <c r="AW50" s="398"/>
      <c r="AX50" s="398" t="str">
        <f t="shared" si="1"/>
        <v>Добавить группу потребителей</v>
      </c>
      <c r="AY50" s="398"/>
      <c r="AZ50" s="398"/>
    </row>
    <row r="51" spans="1:52" ht="21" customHeight="1">
      <c r="A51" s="1224" t="s">
        <v>511</v>
      </c>
      <c r="B51" s="1224" t="s">
        <v>512</v>
      </c>
      <c r="C51" s="1224" t="s">
        <v>513</v>
      </c>
      <c r="D51" s="1224" t="s">
        <v>807</v>
      </c>
      <c r="E51" s="3529"/>
      <c r="F51" s="3529"/>
      <c r="G51" s="3529"/>
      <c r="H51" s="3528"/>
      <c r="I51" s="1224"/>
      <c r="J51" s="1224"/>
      <c r="K51" s="1224"/>
      <c r="L51" s="1225"/>
      <c r="M51" s="1226"/>
      <c r="N51" s="1226"/>
      <c r="O51" s="434"/>
      <c r="P51" s="269"/>
      <c r="Q51" s="282"/>
      <c r="R51" s="264"/>
      <c r="S51" s="1144"/>
      <c r="T51" s="280" t="s">
        <v>751</v>
      </c>
      <c r="U51" s="275"/>
      <c r="V51" s="275"/>
      <c r="W51" s="494"/>
      <c r="X51" s="494"/>
      <c r="Y51" s="494"/>
      <c r="Z51" s="494"/>
      <c r="AA51" s="494"/>
      <c r="AB51" s="494"/>
      <c r="AC51" s="494"/>
      <c r="AD51" s="275"/>
      <c r="AE51" s="275"/>
      <c r="AF51" s="275"/>
      <c r="AG51" s="274"/>
      <c r="AH51" s="275"/>
      <c r="AI51" s="494"/>
      <c r="AJ51" s="494"/>
      <c r="AK51" s="494"/>
      <c r="AL51" s="494"/>
      <c r="AM51" s="494"/>
      <c r="AN51" s="494"/>
      <c r="AO51" s="275"/>
      <c r="AP51" s="275"/>
      <c r="AQ51" s="275"/>
      <c r="AR51" s="275"/>
      <c r="AS51" s="274"/>
      <c r="AT51" s="275"/>
      <c r="AU51" s="214"/>
      <c r="AW51" s="398"/>
      <c r="AX51" s="398" t="str">
        <f t="shared" si="1"/>
        <v>Добавить наименование признака дифференциации</v>
      </c>
      <c r="AY51" s="398"/>
      <c r="AZ51" s="398"/>
    </row>
    <row r="52" spans="1:52" s="1866" customFormat="1" ht="0" hidden="1" customHeight="1">
      <c r="A52" s="1205" t="s">
        <v>511</v>
      </c>
      <c r="B52" s="1205" t="s">
        <v>512</v>
      </c>
      <c r="C52" s="1177"/>
      <c r="D52" s="1177"/>
      <c r="E52" s="3529"/>
      <c r="F52" s="3528"/>
      <c r="G52" s="1177"/>
      <c r="H52" s="1177"/>
      <c r="I52" s="1177"/>
      <c r="J52" s="1177"/>
      <c r="K52" s="1177"/>
      <c r="L52" s="1349"/>
      <c r="M52" s="1184"/>
      <c r="N52" s="1184"/>
      <c r="P52" s="1179"/>
      <c r="Q52" s="1180"/>
      <c r="R52" s="1179"/>
      <c r="S52" s="1185"/>
      <c r="T52" s="1188" t="s">
        <v>677</v>
      </c>
      <c r="U52" s="1187"/>
      <c r="V52" s="1187"/>
      <c r="W52" s="1187"/>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187"/>
      <c r="AS52" s="1187"/>
      <c r="AT52" s="1187"/>
      <c r="AU52" s="1187"/>
      <c r="AW52" s="670"/>
      <c r="AX52" s="670" t="str">
        <f t="shared" si="1"/>
        <v>Добавить централизованную систему для дифференциации</v>
      </c>
      <c r="AY52" s="670"/>
      <c r="AZ52" s="670"/>
    </row>
    <row r="53" spans="1:52" s="1866" customFormat="1" ht="0" hidden="1" customHeight="1">
      <c r="A53" s="1205" t="s">
        <v>511</v>
      </c>
      <c r="B53" s="1205"/>
      <c r="C53" s="1205"/>
      <c r="D53" s="1205"/>
      <c r="E53" s="3528"/>
      <c r="F53" s="1205"/>
      <c r="G53" s="1205"/>
      <c r="H53" s="1205"/>
      <c r="I53" s="1205"/>
      <c r="J53" s="1205"/>
      <c r="K53" s="1205"/>
      <c r="L53" s="1208"/>
      <c r="M53" s="1184"/>
      <c r="N53" s="1184"/>
      <c r="O53" s="416"/>
      <c r="P53" s="287"/>
      <c r="Q53" s="1206"/>
      <c r="R53" s="287"/>
      <c r="S53" s="1185"/>
      <c r="T53" s="1188" t="s">
        <v>678</v>
      </c>
      <c r="U53" s="1187"/>
      <c r="V53" s="1187"/>
      <c r="W53" s="1187"/>
      <c r="X53" s="1187"/>
      <c r="Y53" s="1187"/>
      <c r="Z53" s="1187"/>
      <c r="AA53" s="1187"/>
      <c r="AB53" s="1187"/>
      <c r="AC53" s="1187"/>
      <c r="AD53" s="1187"/>
      <c r="AE53" s="1187"/>
      <c r="AF53" s="1187"/>
      <c r="AG53" s="1187"/>
      <c r="AH53" s="1187"/>
      <c r="AI53" s="1187"/>
      <c r="AJ53" s="1187"/>
      <c r="AK53" s="1187"/>
      <c r="AL53" s="1187"/>
      <c r="AM53" s="1187"/>
      <c r="AN53" s="1187"/>
      <c r="AO53" s="1187"/>
      <c r="AP53" s="1187"/>
      <c r="AQ53" s="1187"/>
      <c r="AR53" s="1187"/>
      <c r="AS53" s="1187"/>
      <c r="AT53" s="1187"/>
      <c r="AU53" s="1187"/>
      <c r="AW53" s="398"/>
      <c r="AX53" s="398" t="str">
        <f t="shared" si="1"/>
        <v>Добавить территорию для дифференциации</v>
      </c>
      <c r="AY53" s="398"/>
      <c r="AZ53" s="398"/>
    </row>
    <row r="54" spans="1:52" s="1866" customFormat="1" ht="0" hidden="1" customHeight="1">
      <c r="A54" s="1177"/>
      <c r="B54" s="1177"/>
      <c r="C54" s="1177"/>
      <c r="D54" s="1177"/>
      <c r="E54" s="1205"/>
      <c r="F54" s="1177"/>
      <c r="G54" s="1177"/>
      <c r="H54" s="1177"/>
      <c r="I54" s="1177"/>
      <c r="J54" s="1177"/>
      <c r="K54" s="1177"/>
      <c r="L54" s="1349"/>
      <c r="M54" s="1184"/>
      <c r="N54" s="1184"/>
      <c r="P54" s="1179"/>
      <c r="Q54" s="1180"/>
      <c r="R54" s="1179"/>
      <c r="S54" s="1185"/>
      <c r="T54" s="1188" t="s">
        <v>710</v>
      </c>
      <c r="U54" s="1187"/>
      <c r="V54" s="1187"/>
      <c r="W54" s="1187"/>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187"/>
      <c r="AS54" s="1187"/>
      <c r="AT54" s="1187"/>
      <c r="AU54" s="1187"/>
      <c r="AW54" s="670"/>
      <c r="AX54" s="670" t="str">
        <f t="shared" si="1"/>
        <v>Добавить наименование тарифа</v>
      </c>
      <c r="AY54" s="670"/>
      <c r="AZ54" s="670"/>
    </row>
    <row r="55" spans="1:52" ht="11.25" customHeight="1">
      <c r="M55" s="1023"/>
      <c r="N55" s="1023"/>
      <c r="O55" s="434"/>
      <c r="P55" s="1018"/>
      <c r="Q55" s="1018"/>
      <c r="R55" s="1018"/>
      <c r="S55" s="1018"/>
      <c r="AV55" s="1018"/>
      <c r="AW55" s="1018"/>
      <c r="AX55" s="1018"/>
      <c r="AY55" s="1018"/>
      <c r="AZ55" s="1018"/>
    </row>
    <row r="56" spans="1:52" ht="14.25" customHeight="1">
      <c r="O56" s="434"/>
      <c r="S56" s="1119"/>
      <c r="T56" s="3527"/>
      <c r="U56" s="3527"/>
      <c r="V56" s="3527"/>
      <c r="W56" s="3527"/>
      <c r="X56" s="3527"/>
      <c r="Y56" s="3527"/>
      <c r="Z56" s="3527"/>
      <c r="AA56" s="3527"/>
      <c r="AB56" s="3527"/>
      <c r="AC56" s="3527"/>
      <c r="AD56" s="3527"/>
      <c r="AE56" s="3527"/>
      <c r="AF56" s="3527"/>
      <c r="AG56" s="3527"/>
      <c r="AH56" s="3527"/>
      <c r="AI56" s="3527"/>
      <c r="AJ56" s="3527"/>
      <c r="AK56" s="3527"/>
      <c r="AL56" s="3527"/>
      <c r="AM56" s="3527"/>
      <c r="AN56" s="3527"/>
      <c r="AO56" s="3527"/>
      <c r="AP56" s="3527"/>
      <c r="AQ56" s="3527"/>
      <c r="AR56" s="3527"/>
      <c r="AS56" s="3527"/>
      <c r="AT56" s="3527"/>
      <c r="AU56" s="3527"/>
    </row>
    <row r="57" spans="1:52" ht="14.25" customHeight="1">
      <c r="O57" s="434"/>
    </row>
    <row r="58" spans="1:52" ht="14.25" customHeight="1">
      <c r="O58" s="434"/>
      <c r="S58" s="1119"/>
      <c r="T58" s="3527"/>
      <c r="U58" s="3527"/>
      <c r="V58" s="3527"/>
      <c r="W58" s="3527"/>
      <c r="X58" s="3527"/>
      <c r="Y58" s="3527"/>
      <c r="Z58" s="3527"/>
      <c r="AA58" s="3527"/>
      <c r="AB58" s="3527"/>
      <c r="AC58" s="3527"/>
      <c r="AD58" s="3527"/>
      <c r="AE58" s="3527"/>
      <c r="AF58" s="3527"/>
      <c r="AG58" s="3527"/>
      <c r="AH58" s="3527"/>
      <c r="AI58" s="3527"/>
      <c r="AJ58" s="3527"/>
      <c r="AK58" s="3527"/>
      <c r="AL58" s="3527"/>
      <c r="AM58" s="3527"/>
      <c r="AN58" s="3527"/>
      <c r="AO58" s="3527"/>
      <c r="AP58" s="3527"/>
      <c r="AQ58" s="3527"/>
      <c r="AR58" s="3527"/>
      <c r="AS58" s="3527"/>
      <c r="AT58" s="3527"/>
      <c r="AU58" s="3527"/>
    </row>
  </sheetData>
  <sheetProtection formatColumns="0" formatRows="0" insertRows="0" deleteColumns="0" deleteRows="0" sort="0" autoFilter="0"/>
  <mergeCells count="111">
    <mergeCell ref="E2:E13"/>
    <mergeCell ref="V2:AG2"/>
    <mergeCell ref="AH2:AT2"/>
    <mergeCell ref="F3:F12"/>
    <mergeCell ref="V3:AG3"/>
    <mergeCell ref="AH3:AT3"/>
    <mergeCell ref="G4:G11"/>
    <mergeCell ref="V4:AG4"/>
    <mergeCell ref="AH4:AT4"/>
    <mergeCell ref="H5:H11"/>
    <mergeCell ref="I5:I10"/>
    <mergeCell ref="P5:P10"/>
    <mergeCell ref="V5:AG5"/>
    <mergeCell ref="AH5:AT5"/>
    <mergeCell ref="J6:J9"/>
    <mergeCell ref="Q6:Q9"/>
    <mergeCell ref="V6:AG6"/>
    <mergeCell ref="AH6:AT6"/>
    <mergeCell ref="K7:K8"/>
    <mergeCell ref="AD7:AD8"/>
    <mergeCell ref="AS7:AS8"/>
    <mergeCell ref="AU7:AU8"/>
    <mergeCell ref="AP15:AP16"/>
    <mergeCell ref="AQ15:AQ16"/>
    <mergeCell ref="AR15:AR16"/>
    <mergeCell ref="AS15:AS16"/>
    <mergeCell ref="AE7:AE8"/>
    <mergeCell ref="AF7:AF8"/>
    <mergeCell ref="AG7:AG8"/>
    <mergeCell ref="AP7:AP8"/>
    <mergeCell ref="AQ7:AQ8"/>
    <mergeCell ref="AR7:AR8"/>
    <mergeCell ref="S29:T29"/>
    <mergeCell ref="V29:AF29"/>
    <mergeCell ref="AH29:AR29"/>
    <mergeCell ref="S30:T30"/>
    <mergeCell ref="V30:AF30"/>
    <mergeCell ref="AH30:AR30"/>
    <mergeCell ref="S24:AR24"/>
    <mergeCell ref="S25:AR25"/>
    <mergeCell ref="S27:T27"/>
    <mergeCell ref="V27:AF27"/>
    <mergeCell ref="AH27:AR27"/>
    <mergeCell ref="S28:T28"/>
    <mergeCell ref="V28:AF28"/>
    <mergeCell ref="AH28:AR28"/>
    <mergeCell ref="AU36:AU40"/>
    <mergeCell ref="S37:S40"/>
    <mergeCell ref="T37:T40"/>
    <mergeCell ref="V37:AF37"/>
    <mergeCell ref="AG37:AG40"/>
    <mergeCell ref="AH37:AR37"/>
    <mergeCell ref="AS37:AS40"/>
    <mergeCell ref="S32:T32"/>
    <mergeCell ref="V32:AF32"/>
    <mergeCell ref="AH32:AR32"/>
    <mergeCell ref="S33:T33"/>
    <mergeCell ref="V33:AF33"/>
    <mergeCell ref="AH33:AR33"/>
    <mergeCell ref="AT37:AT40"/>
    <mergeCell ref="AE40:AF40"/>
    <mergeCell ref="AQ40:AR40"/>
    <mergeCell ref="V35:AG35"/>
    <mergeCell ref="AH35:AS35"/>
    <mergeCell ref="S36:AT36"/>
    <mergeCell ref="AE41:AF41"/>
    <mergeCell ref="AQ41:AR41"/>
    <mergeCell ref="E42:E53"/>
    <mergeCell ref="V42:AG42"/>
    <mergeCell ref="AH42:AT42"/>
    <mergeCell ref="F43:F52"/>
    <mergeCell ref="V43:AG43"/>
    <mergeCell ref="AH43:AT43"/>
    <mergeCell ref="G44:G51"/>
    <mergeCell ref="V44:AG44"/>
    <mergeCell ref="AH44:AT44"/>
    <mergeCell ref="H45:H51"/>
    <mergeCell ref="I45:I50"/>
    <mergeCell ref="P45:P50"/>
    <mergeCell ref="V45:AG45"/>
    <mergeCell ref="AH45:AT45"/>
    <mergeCell ref="J46:J49"/>
    <mergeCell ref="Q46:Q49"/>
    <mergeCell ref="V46:AG46"/>
    <mergeCell ref="AH46:AT46"/>
    <mergeCell ref="AQ47:AQ48"/>
    <mergeCell ref="AR47:AR48"/>
    <mergeCell ref="AS47:AS48"/>
    <mergeCell ref="AU47:AU48"/>
    <mergeCell ref="T56:AU56"/>
    <mergeCell ref="T58:AU58"/>
    <mergeCell ref="K47:K48"/>
    <mergeCell ref="AD47:AD48"/>
    <mergeCell ref="AE47:AE48"/>
    <mergeCell ref="AF47:AF48"/>
    <mergeCell ref="AG47:AG48"/>
    <mergeCell ref="AP47:AP48"/>
    <mergeCell ref="AP38:AR39"/>
    <mergeCell ref="V38:X38"/>
    <mergeCell ref="V39:V40"/>
    <mergeCell ref="W39:X39"/>
    <mergeCell ref="Y38:AC38"/>
    <mergeCell ref="Y39:Z39"/>
    <mergeCell ref="AA39:AC39"/>
    <mergeCell ref="AD38:AF39"/>
    <mergeCell ref="AH38:AJ38"/>
    <mergeCell ref="AK38:AO38"/>
    <mergeCell ref="AH39:AH40"/>
    <mergeCell ref="AI39:AJ39"/>
    <mergeCell ref="AK39:AL39"/>
    <mergeCell ref="AM39:AO39"/>
  </mergeCells>
  <dataValidations count="7">
    <dataValidation allowBlank="1" showInputMessage="1" showErrorMessage="1" prompt="Для выбора выполните двойной щелчок левой клавиши мыши по соответствующей ячейке." sqref="AE65579 AE131115 AE196651 AE262187 AE327723 AE393259 AE458795 AE524331 AE589867 AE655403 AE720939 AE786475 AE852011 AE917547 AE983083 AG131115 AG458795 AG196651 AG262187 AG327723 AG393259 AG524331 AG589867 AG655403 AG720939 AG786475 AG852011 AG917547 AG983083 AG65579 AQ65579 AQ131115 AQ196651 AQ262187 AQ327723 AQ393259 AQ458795 AQ524331 AQ589867 AQ655403 AQ720939 AQ786475 AQ852011 AQ917547 AQ983083 AS524331 AS196651 AS589867 AS655403 AS15 AS720939 AS786475 AS852011 AS917547 AS983083 AS65579 AS131115 AS458795 AS262187 AS7 AQ47 AS327723 AQ15 AQ7 AE7 AG7 AS393259 AS47 AE47 AG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65579 AD131115 AD196651 AD262187 AD327723 AD393259 AD458795 AD524331 AD589867 AD655403 AD720939 AD786475 AD852011 AD917547 AD983083 AF65579 AF131115 AF196651 AF262187 AF327723 AF393259 AF458795 AF524331 AF589867 AF655403 AF720939 AF786475 AF852011 AF917547 AF983083 AP15 AP65579 AP131115 AP196651 AP262187 AP327723 AP393259 AP458795 AP524331 AP589867 AP655403 AP720939 AP786475 AP852011 AP917547 AP983083 AR65579 AR131115 AR196651 AR262187 AR327723 AR393259 AR458795 AR524331 AR589867 AR655403 AR720939 AR786475 AR852011 AR917547 AR983083 AR47 AP47 AR15 AR7 AP7 AD7 AF7 AD47 AF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U65573:AU65580 AU131109:AU131116 AU196645:AU196652 AU262181:AU262188 AU327717:AU327724 AU393253:AU393260 AU458789:AU458796 AU524325:AU524332 AU589861:AU589868 AU655397:AU655404 AU720933:AU720940 AU786469:AU786476 AU852005:AU852012 AU917541:AU917548 AU983077:AU983084 T47 T7 AH5:AT5 AH45:AT45" xr:uid="{00000000-0002-0000-1D00-000003000000}">
      <formula1>900</formula1>
    </dataValidation>
    <dataValidation type="list" allowBlank="1" showInputMessage="1" showErrorMessage="1" errorTitle="Ошибка" error="Выберите значение из списка" sqref="AH917545:AN917545 AH852009:AN852009 AH786473:AN786473 AH720937:AN720937 AH655401:AN655401 AH589865:AN589865 AH524329:AN524329 AH458793:AN458793 AH393257:AN393257 AH327721:AN327721 AH262185:AN262185 AH196649:AN196649 AH131113:AN131113 AH65577:AN65577 AH983081:AN983081 V917545:AC917545 V852009:AC852009 V786473:AC786473 V720937:AC720937 V655401:AC655401 V589865:AC589865 V524329:AC524329 V458793:AC458793 V393257:AC393257 V327721:AC327721 V262185:AC262185 V196649:AC196649 V131113:AC131113 V65577:AC65577 V983081:AC983081"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T983082 V65578:AT65578 V131114:AT131114 V196650:AT196650 V262186:AT262186 V327722:AT327722 V393258:AT393258 V458794:AT458794 V524330:AT524330 V589866:AT589866 V655402:AT655402 V720938:AT720938 V786474:AT786474 V852010:AT852010 V917546:AT917546" xr:uid="{00000000-0002-0000-1D00-000005000000}">
      <formula1>kind_of_cons</formula1>
    </dataValidation>
    <dataValidation allowBlank="1" sqref="S131117:AU131123 S196653:AU196659 S262189:AU262195 S327725:AU327731 S393261:AU393267 S458797:AU458803 S524333:AU524339 S589869:AU589875 S655405:AU655411 S720941:AU720947 S786477:AU786483 S852013:AU852019 S917549:AU917555 S983085:AU983091 S65581:AU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2CEA9-3C58-3F67-21A3-6A3765ECF34E}">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03" hidden="1"/>
    <col min="2" max="2" width="11" style="1903" hidden="1" customWidth="1"/>
    <col min="3" max="3" width="10.5703125" style="1903" hidden="1"/>
    <col min="4" max="4" width="11.85546875" style="1903" hidden="1" customWidth="1"/>
    <col min="5" max="5" width="10" style="1903" hidden="1" customWidth="1"/>
    <col min="6" max="6" width="8.7109375" style="1903" hidden="1" customWidth="1"/>
    <col min="7" max="7" width="7.5703125" style="1903" hidden="1" customWidth="1"/>
    <col min="8" max="8" width="11.42578125" style="1903" hidden="1" customWidth="1"/>
    <col min="9" max="9" width="14.140625" style="1903" hidden="1" customWidth="1"/>
    <col min="10" max="10" width="9.85546875" style="1903" hidden="1" customWidth="1"/>
    <col min="11" max="11" width="14.7109375" style="1903" hidden="1" customWidth="1"/>
    <col min="12" max="12" width="19.140625" style="1953" hidden="1" customWidth="1"/>
    <col min="13" max="14" width="12.28515625" style="1839" hidden="1" customWidth="1"/>
    <col min="15" max="15" width="23.42578125" style="1839" hidden="1" customWidth="1"/>
    <col min="16" max="16" width="3.7109375" style="1957" customWidth="1"/>
    <col min="17" max="18" width="3.7109375" style="1906" customWidth="1"/>
    <col min="19" max="19" width="12.7109375" style="1951" customWidth="1"/>
    <col min="20" max="20" width="35.7109375" style="1910" customWidth="1"/>
    <col min="21" max="21" width="0.140625" style="1910" customWidth="1"/>
    <col min="22" max="24" width="24.7109375" style="1910" hidden="1" customWidth="1"/>
    <col min="25" max="25" width="11.7109375" style="1910" hidden="1" customWidth="1"/>
    <col min="26" max="26" width="3.7109375" style="1910" hidden="1" customWidth="1"/>
    <col min="27" max="27" width="11.7109375" style="1910" hidden="1" customWidth="1"/>
    <col min="28" max="28" width="8.5703125" style="1910" hidden="1" customWidth="1"/>
    <col min="29" max="31" width="24.7109375" style="1910" customWidth="1"/>
    <col min="32" max="32" width="11.7109375" style="1910" customWidth="1"/>
    <col min="33" max="33" width="3.7109375" style="1910" customWidth="1"/>
    <col min="34" max="34" width="11.7109375" style="1910" customWidth="1"/>
    <col min="35" max="35" width="8.5703125" style="1910" hidden="1" customWidth="1"/>
    <col min="36" max="36" width="4.7109375" style="1910" customWidth="1"/>
    <col min="37" max="37" width="115.7109375" style="1910" customWidth="1"/>
    <col min="38" max="39" width="10.5703125" style="1866"/>
    <col min="40" max="40" width="11.140625" style="1866" customWidth="1"/>
    <col min="41" max="42" width="10.5703125" style="1866"/>
  </cols>
  <sheetData>
    <row r="1" spans="1:42" ht="14.25" hidden="1" customHeight="1">
      <c r="X1" s="238"/>
      <c r="Y1" s="238"/>
      <c r="AE1" s="238"/>
      <c r="AF1" s="238"/>
    </row>
    <row r="2" spans="1:42" ht="23.25" hidden="1" customHeight="1">
      <c r="A2" s="1224"/>
      <c r="B2" s="1224"/>
      <c r="C2" s="1224"/>
      <c r="D2" s="1224"/>
      <c r="E2" s="3528">
        <v>1</v>
      </c>
      <c r="F2" s="1224"/>
      <c r="G2" s="1224"/>
      <c r="H2" s="1224"/>
      <c r="I2" s="1224"/>
      <c r="J2" s="1224"/>
      <c r="K2" s="1224"/>
      <c r="L2" s="1225"/>
      <c r="M2" s="1226"/>
      <c r="N2" s="1226"/>
      <c r="O2" s="1226"/>
      <c r="P2" s="270"/>
      <c r="Q2" s="269"/>
      <c r="R2" s="264"/>
      <c r="S2" s="1348" t="e">
        <f>INDEX(PT_DIFFERENTIATION_NUM_NTAR,MATCH(A2,PT_DIFFERENTIATION_NTAR_ID,0))</f>
        <v>#N/A</v>
      </c>
      <c r="T2" s="209" t="s">
        <v>391</v>
      </c>
      <c r="U2" s="211"/>
      <c r="V2" s="3522"/>
      <c r="W2" s="3523"/>
      <c r="X2" s="3523"/>
      <c r="Y2" s="3523"/>
      <c r="Z2" s="3523"/>
      <c r="AA2" s="3523"/>
      <c r="AB2" s="3524"/>
      <c r="AC2" s="3522" t="e">
        <f>INDEX(PT_DIFFERENTIATION_NTAR,MATCH(A2,PT_DIFFERENTIATION_NTAR_ID,0))</f>
        <v>#N/A</v>
      </c>
      <c r="AD2" s="3523"/>
      <c r="AE2" s="3523"/>
      <c r="AF2" s="3523"/>
      <c r="AG2" s="3523"/>
      <c r="AH2" s="3523"/>
      <c r="AI2" s="3523"/>
      <c r="AJ2" s="3524"/>
      <c r="AK2" s="112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398"/>
      <c r="AN2" s="398" t="str">
        <f t="shared" ref="AN2:AN13" si="0">IF(T2="","",T2)</f>
        <v>Наименование тарифа</v>
      </c>
      <c r="AO2" s="398"/>
      <c r="AP2" s="398"/>
    </row>
    <row r="3" spans="1:42" ht="23.25" hidden="1" customHeight="1">
      <c r="A3" s="1224"/>
      <c r="B3" s="1224"/>
      <c r="C3" s="1224"/>
      <c r="D3" s="1224"/>
      <c r="E3" s="3529"/>
      <c r="F3" s="3528">
        <v>1</v>
      </c>
      <c r="G3" s="1224"/>
      <c r="H3" s="1224"/>
      <c r="I3" s="1224"/>
      <c r="J3" s="1224"/>
      <c r="K3" s="1224"/>
      <c r="L3" s="1225"/>
      <c r="M3" s="1226"/>
      <c r="N3" s="1226"/>
      <c r="O3" s="1226"/>
      <c r="P3" s="1342"/>
      <c r="Q3" s="261"/>
      <c r="R3" s="262"/>
      <c r="S3" s="1348" t="e">
        <f>INDEX(PT_DIFFERENTIATION_NUM_TER,MATCH(B3,PT_DIFFERENTIATION_TER_ID,0))</f>
        <v>#N/A</v>
      </c>
      <c r="T3" s="219" t="s">
        <v>659</v>
      </c>
      <c r="U3" s="211"/>
      <c r="V3" s="3522"/>
      <c r="W3" s="3523"/>
      <c r="X3" s="3523"/>
      <c r="Y3" s="3523"/>
      <c r="Z3" s="3523"/>
      <c r="AA3" s="3523"/>
      <c r="AB3" s="3524"/>
      <c r="AC3" s="3522" t="e">
        <f>INDEX(PT_DIFFERENTIATION_TER,MATCH(B3,PT_DIFFERENTIATION_TER_ID,0))</f>
        <v>#N/A</v>
      </c>
      <c r="AD3" s="3523"/>
      <c r="AE3" s="3523"/>
      <c r="AF3" s="3523"/>
      <c r="AG3" s="3523"/>
      <c r="AH3" s="3523"/>
      <c r="AI3" s="3523"/>
      <c r="AJ3" s="3524"/>
      <c r="AK3" s="1124" t="s">
        <v>660</v>
      </c>
      <c r="AM3" s="398"/>
      <c r="AN3" s="398" t="str">
        <f t="shared" si="0"/>
        <v>Территория действия тарифа</v>
      </c>
      <c r="AO3" s="398"/>
      <c r="AP3" s="398"/>
    </row>
    <row r="4" spans="1:42" ht="23.25" hidden="1" customHeight="1">
      <c r="A4" s="1224"/>
      <c r="B4" s="1224"/>
      <c r="C4" s="1224"/>
      <c r="D4" s="1224"/>
      <c r="E4" s="3529"/>
      <c r="F4" s="3529"/>
      <c r="G4" s="3528">
        <v>1</v>
      </c>
      <c r="H4" s="1224"/>
      <c r="I4" s="1224"/>
      <c r="J4" s="1224"/>
      <c r="K4" s="1224"/>
      <c r="L4" s="1225"/>
      <c r="M4" s="1226"/>
      <c r="N4" s="1226"/>
      <c r="O4" s="1226"/>
      <c r="P4" s="263"/>
      <c r="Q4" s="261"/>
      <c r="R4" s="262"/>
      <c r="S4" s="1348" t="e">
        <f>INDEX(PT_DIFFERENTIATION_NUM_CS,MATCH(C4,PT_DIFFERENTIATION_CS_ID,0))</f>
        <v>#N/A</v>
      </c>
      <c r="T4" s="220" t="s">
        <v>793</v>
      </c>
      <c r="U4" s="211"/>
      <c r="V4" s="3522"/>
      <c r="W4" s="3523"/>
      <c r="X4" s="3523"/>
      <c r="Y4" s="3523"/>
      <c r="Z4" s="3523"/>
      <c r="AA4" s="3523"/>
      <c r="AB4" s="3524"/>
      <c r="AC4" s="3522" t="e">
        <f>INDEX(PT_DIFFERENTIATION_CS,MATCH(C4,PT_DIFFERENTIATION_CS_ID,0))</f>
        <v>#N/A</v>
      </c>
      <c r="AD4" s="3523"/>
      <c r="AE4" s="3523"/>
      <c r="AF4" s="3523"/>
      <c r="AG4" s="3523"/>
      <c r="AH4" s="3523"/>
      <c r="AI4" s="3523"/>
      <c r="AJ4" s="3524"/>
      <c r="AK4" s="1124" t="s">
        <v>794</v>
      </c>
      <c r="AM4" s="398"/>
      <c r="AN4" s="398" t="str">
        <f t="shared" si="0"/>
        <v>Наименование централизованной системы горячего водоснабжения</v>
      </c>
      <c r="AO4" s="398"/>
      <c r="AP4" s="398"/>
    </row>
    <row r="5" spans="1:42" ht="23.25" hidden="1" customHeight="1">
      <c r="A5" s="1224"/>
      <c r="B5" s="1224"/>
      <c r="C5" s="1224"/>
      <c r="D5" s="1224"/>
      <c r="E5" s="3529"/>
      <c r="F5" s="3529"/>
      <c r="G5" s="3529"/>
      <c r="H5" s="3529"/>
      <c r="I5" s="3530" t="e">
        <f>S4&amp;".1"</f>
        <v>#N/A</v>
      </c>
      <c r="J5" s="1224"/>
      <c r="K5" s="1224"/>
      <c r="L5" s="1225"/>
      <c r="P5" s="3532">
        <v>1</v>
      </c>
      <c r="Q5" s="1336"/>
      <c r="R5" s="265"/>
      <c r="S5" s="1348" t="e">
        <f>$I5</f>
        <v>#N/A</v>
      </c>
      <c r="T5" s="197" t="s">
        <v>746</v>
      </c>
      <c r="U5" s="211"/>
      <c r="V5" s="3588"/>
      <c r="W5" s="3589"/>
      <c r="X5" s="3589"/>
      <c r="Y5" s="3589"/>
      <c r="Z5" s="3589"/>
      <c r="AA5" s="3589"/>
      <c r="AB5" s="3590"/>
      <c r="AC5" s="3591"/>
      <c r="AD5" s="3592"/>
      <c r="AE5" s="3592"/>
      <c r="AF5" s="3592"/>
      <c r="AG5" s="3592"/>
      <c r="AH5" s="3592"/>
      <c r="AI5" s="3592"/>
      <c r="AJ5" s="3593"/>
      <c r="AK5" s="1124" t="s">
        <v>747</v>
      </c>
      <c r="AM5" s="398"/>
      <c r="AN5" s="398" t="str">
        <f t="shared" si="0"/>
        <v>Наименование признака дифференциации</v>
      </c>
      <c r="AO5" s="398"/>
      <c r="AP5" s="398"/>
    </row>
    <row r="6" spans="1:42" ht="23.25" hidden="1" customHeight="1">
      <c r="A6" s="1224"/>
      <c r="B6" s="1224"/>
      <c r="C6" s="1224"/>
      <c r="D6" s="1224"/>
      <c r="E6" s="3529"/>
      <c r="F6" s="3529"/>
      <c r="G6" s="3529"/>
      <c r="H6" s="3529"/>
      <c r="I6" s="3531"/>
      <c r="J6" s="3530" t="e">
        <f>I5&amp;".1"</f>
        <v>#N/A</v>
      </c>
      <c r="K6" s="1224"/>
      <c r="L6" s="1225" t="s">
        <v>668</v>
      </c>
      <c r="P6" s="3532"/>
      <c r="Q6" s="3532">
        <v>1</v>
      </c>
      <c r="R6" s="266"/>
      <c r="S6" s="1348" t="e">
        <f>$J6</f>
        <v>#N/A</v>
      </c>
      <c r="T6" s="198" t="s">
        <v>669</v>
      </c>
      <c r="U6" s="211"/>
      <c r="V6" s="3516"/>
      <c r="W6" s="3517"/>
      <c r="X6" s="3517"/>
      <c r="Y6" s="3517"/>
      <c r="Z6" s="3517"/>
      <c r="AA6" s="3517"/>
      <c r="AB6" s="3518"/>
      <c r="AC6" s="3516"/>
      <c r="AD6" s="3517"/>
      <c r="AE6" s="3517"/>
      <c r="AF6" s="3517"/>
      <c r="AG6" s="3517"/>
      <c r="AH6" s="3517"/>
      <c r="AI6" s="3517"/>
      <c r="AJ6" s="3518"/>
      <c r="AK6" s="1171" t="s">
        <v>748</v>
      </c>
      <c r="AM6" s="398"/>
      <c r="AN6" s="398" t="str">
        <f t="shared" si="0"/>
        <v>Группа потребителей</v>
      </c>
      <c r="AO6" s="398"/>
      <c r="AP6" s="398"/>
    </row>
    <row r="7" spans="1:42" ht="23.25" hidden="1" customHeight="1">
      <c r="A7" s="1224"/>
      <c r="B7" s="1224"/>
      <c r="C7" s="1224"/>
      <c r="D7" s="1224"/>
      <c r="E7" s="3529"/>
      <c r="F7" s="3529"/>
      <c r="G7" s="3529"/>
      <c r="H7" s="3529"/>
      <c r="I7" s="3531"/>
      <c r="J7" s="3531"/>
      <c r="K7" s="3530" t="e">
        <f>J6&amp;".1"</f>
        <v>#N/A</v>
      </c>
      <c r="L7" s="1225"/>
      <c r="P7" s="3532"/>
      <c r="Q7" s="3532"/>
      <c r="R7" s="266">
        <v>1</v>
      </c>
      <c r="S7" s="1348" t="e">
        <f>$K7</f>
        <v>#N/A</v>
      </c>
      <c r="T7" s="1297"/>
      <c r="U7" s="211"/>
      <c r="V7" s="639"/>
      <c r="W7" s="639"/>
      <c r="X7" s="1123"/>
      <c r="Y7" s="3533"/>
      <c r="Z7" s="3412" t="s">
        <v>64</v>
      </c>
      <c r="AA7" s="3533"/>
      <c r="AB7" s="3412" t="s">
        <v>64</v>
      </c>
      <c r="AC7" s="639"/>
      <c r="AD7" s="639"/>
      <c r="AE7" s="1123"/>
      <c r="AF7" s="3533"/>
      <c r="AG7" s="3412" t="s">
        <v>64</v>
      </c>
      <c r="AH7" s="3535"/>
      <c r="AI7" s="3412" t="s">
        <v>64</v>
      </c>
      <c r="AJ7" s="1298"/>
      <c r="AK7" s="35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09" t="e">
        <f ca="1">STRCHECKDATE(V8:AJ8)</f>
        <v>#NAME?</v>
      </c>
      <c r="AM7" s="398"/>
      <c r="AN7" s="398" t="str">
        <f t="shared" si="0"/>
        <v/>
      </c>
      <c r="AO7" s="398"/>
      <c r="AP7" s="398"/>
    </row>
    <row r="8" spans="1:42" ht="14.25" hidden="1" customHeight="1">
      <c r="A8" s="1224"/>
      <c r="B8" s="1224"/>
      <c r="C8" s="1224"/>
      <c r="D8" s="1224"/>
      <c r="E8" s="3529"/>
      <c r="F8" s="3529"/>
      <c r="G8" s="3529"/>
      <c r="H8" s="3529"/>
      <c r="I8" s="3531"/>
      <c r="J8" s="3531"/>
      <c r="K8" s="3530"/>
      <c r="L8" s="1225"/>
      <c r="P8" s="3532"/>
      <c r="Q8" s="3532"/>
      <c r="R8" s="266"/>
      <c r="S8" s="1345"/>
      <c r="T8" s="211"/>
      <c r="U8" s="211"/>
      <c r="V8" s="236"/>
      <c r="W8" s="236"/>
      <c r="X8" s="239" t="str">
        <f>Y7&amp;"-"&amp;AA7</f>
        <v>-</v>
      </c>
      <c r="Y8" s="3534"/>
      <c r="Z8" s="3412"/>
      <c r="AA8" s="3534"/>
      <c r="AB8" s="3412"/>
      <c r="AC8" s="236"/>
      <c r="AD8" s="236"/>
      <c r="AE8" s="239" t="str">
        <f>AF7&amp;"-"&amp;AH7</f>
        <v>-</v>
      </c>
      <c r="AF8" s="3534"/>
      <c r="AG8" s="3412"/>
      <c r="AH8" s="3536"/>
      <c r="AI8" s="3412"/>
      <c r="AJ8" s="1299"/>
      <c r="AK8" s="3594"/>
      <c r="AM8" s="398"/>
      <c r="AN8" s="398" t="str">
        <f t="shared" si="0"/>
        <v/>
      </c>
      <c r="AO8" s="398"/>
      <c r="AP8" s="398"/>
    </row>
    <row r="9" spans="1:42" ht="21" hidden="1" customHeight="1">
      <c r="A9" s="1224"/>
      <c r="B9" s="1224"/>
      <c r="C9" s="1224"/>
      <c r="D9" s="1224"/>
      <c r="E9" s="3529"/>
      <c r="F9" s="3529"/>
      <c r="G9" s="3529"/>
      <c r="H9" s="3529"/>
      <c r="I9" s="3531"/>
      <c r="J9" s="3530"/>
      <c r="K9" s="1224"/>
      <c r="L9" s="1225"/>
      <c r="P9" s="3532"/>
      <c r="Q9" s="3532"/>
      <c r="R9" s="265"/>
      <c r="S9" s="1144"/>
      <c r="T9" s="199" t="s">
        <v>749</v>
      </c>
      <c r="U9" s="275"/>
      <c r="V9" s="275"/>
      <c r="W9" s="275"/>
      <c r="X9" s="275"/>
      <c r="Y9" s="275"/>
      <c r="Z9" s="275"/>
      <c r="AA9" s="275"/>
      <c r="AB9" s="275"/>
      <c r="AC9" s="275"/>
      <c r="AD9" s="275"/>
      <c r="AE9" s="275"/>
      <c r="AF9" s="275"/>
      <c r="AG9" s="275"/>
      <c r="AH9" s="275"/>
      <c r="AI9" s="275"/>
      <c r="AJ9" s="275"/>
      <c r="AK9" s="1124" t="s">
        <v>750</v>
      </c>
      <c r="AM9" s="398"/>
      <c r="AN9" s="398" t="str">
        <f t="shared" si="0"/>
        <v>Добавить значение признака дифференциации</v>
      </c>
      <c r="AO9" s="398"/>
      <c r="AP9" s="398"/>
    </row>
    <row r="10" spans="1:42" ht="21" hidden="1" customHeight="1">
      <c r="A10" s="1224"/>
      <c r="B10" s="1224"/>
      <c r="C10" s="1224"/>
      <c r="D10" s="1224"/>
      <c r="E10" s="3529"/>
      <c r="F10" s="3529"/>
      <c r="G10" s="3529"/>
      <c r="H10" s="3529"/>
      <c r="I10" s="3530"/>
      <c r="J10" s="1224"/>
      <c r="K10" s="1224"/>
      <c r="L10" s="1225"/>
      <c r="P10" s="3532"/>
      <c r="Q10" s="1336"/>
      <c r="R10" s="265"/>
      <c r="S10" s="1144"/>
      <c r="T10" s="273" t="s">
        <v>674</v>
      </c>
      <c r="U10" s="275"/>
      <c r="V10" s="275"/>
      <c r="W10" s="275"/>
      <c r="X10" s="275"/>
      <c r="Y10" s="275"/>
      <c r="Z10" s="275"/>
      <c r="AA10" s="275"/>
      <c r="AB10" s="274"/>
      <c r="AC10" s="275"/>
      <c r="AD10" s="275"/>
      <c r="AE10" s="275"/>
      <c r="AF10" s="275"/>
      <c r="AG10" s="275"/>
      <c r="AH10" s="275"/>
      <c r="AI10" s="274"/>
      <c r="AJ10" s="275"/>
      <c r="AK10" s="1300"/>
      <c r="AM10" s="398"/>
      <c r="AN10" s="398" t="str">
        <f t="shared" si="0"/>
        <v>Добавить группу потребителей</v>
      </c>
      <c r="AO10" s="398"/>
      <c r="AP10" s="398"/>
    </row>
    <row r="11" spans="1:42" ht="21" hidden="1" customHeight="1">
      <c r="A11" s="1224"/>
      <c r="B11" s="1224"/>
      <c r="C11" s="1224"/>
      <c r="D11" s="1224"/>
      <c r="E11" s="3529"/>
      <c r="F11" s="3529"/>
      <c r="G11" s="3529"/>
      <c r="H11" s="3528"/>
      <c r="I11" s="1224"/>
      <c r="J11" s="1224"/>
      <c r="K11" s="1224"/>
      <c r="L11" s="1225"/>
      <c r="M11" s="1226"/>
      <c r="N11" s="1226"/>
      <c r="O11" s="434"/>
      <c r="P11" s="269"/>
      <c r="Q11" s="282"/>
      <c r="R11" s="264"/>
      <c r="S11" s="1144"/>
      <c r="T11" s="280" t="s">
        <v>751</v>
      </c>
      <c r="U11" s="275"/>
      <c r="V11" s="275"/>
      <c r="W11" s="275"/>
      <c r="X11" s="275"/>
      <c r="Y11" s="275"/>
      <c r="Z11" s="275"/>
      <c r="AA11" s="275"/>
      <c r="AB11" s="274"/>
      <c r="AC11" s="275"/>
      <c r="AD11" s="275"/>
      <c r="AE11" s="275"/>
      <c r="AF11" s="275"/>
      <c r="AG11" s="275"/>
      <c r="AH11" s="275"/>
      <c r="AI11" s="274"/>
      <c r="AJ11" s="275"/>
      <c r="AK11" s="214"/>
      <c r="AM11" s="398"/>
      <c r="AN11" s="398" t="str">
        <f t="shared" si="0"/>
        <v>Добавить наименование признака дифференциации</v>
      </c>
      <c r="AO11" s="398"/>
      <c r="AP11" s="398"/>
    </row>
    <row r="12" spans="1:42" s="1866" customFormat="1" ht="14.25" hidden="1" customHeight="1">
      <c r="A12" s="1205"/>
      <c r="B12" s="1205"/>
      <c r="C12" s="1177"/>
      <c r="D12" s="1177"/>
      <c r="E12" s="3529"/>
      <c r="F12" s="3528"/>
      <c r="G12" s="1177"/>
      <c r="H12" s="1177"/>
      <c r="I12" s="1177"/>
      <c r="J12" s="1177"/>
      <c r="K12" s="1177"/>
      <c r="L12" s="1349"/>
      <c r="M12" s="1184"/>
      <c r="N12" s="1184"/>
      <c r="P12" s="1179"/>
      <c r="Q12" s="1180"/>
      <c r="R12" s="1179"/>
      <c r="S12" s="1185"/>
      <c r="T12" s="1188" t="s">
        <v>677</v>
      </c>
      <c r="U12" s="1187"/>
      <c r="V12" s="1187"/>
      <c r="W12" s="1187"/>
      <c r="X12" s="1187"/>
      <c r="Y12" s="1187"/>
      <c r="Z12" s="1187"/>
      <c r="AA12" s="1187"/>
      <c r="AB12" s="1187"/>
      <c r="AC12" s="1187"/>
      <c r="AD12" s="1187"/>
      <c r="AE12" s="1187"/>
      <c r="AF12" s="1187"/>
      <c r="AG12" s="1187"/>
      <c r="AH12" s="1187"/>
      <c r="AI12" s="1187"/>
      <c r="AJ12" s="1187"/>
      <c r="AK12" s="1187"/>
      <c r="AM12" s="670"/>
      <c r="AN12" s="670" t="str">
        <f t="shared" si="0"/>
        <v>Добавить централизованную систему для дифференциации</v>
      </c>
      <c r="AO12" s="670"/>
      <c r="AP12" s="670"/>
    </row>
    <row r="13" spans="1:42" s="1866" customFormat="1" ht="14.25" hidden="1" customHeight="1">
      <c r="A13" s="1205"/>
      <c r="B13" s="1205"/>
      <c r="C13" s="1205"/>
      <c r="D13" s="1205"/>
      <c r="E13" s="3528"/>
      <c r="F13" s="1205"/>
      <c r="G13" s="1205"/>
      <c r="H13" s="1205"/>
      <c r="I13" s="1205"/>
      <c r="J13" s="1205"/>
      <c r="K13" s="1205"/>
      <c r="L13" s="1208"/>
      <c r="M13" s="1184"/>
      <c r="N13" s="1184"/>
      <c r="O13" s="416"/>
      <c r="P13" s="287"/>
      <c r="Q13" s="1206"/>
      <c r="R13" s="287"/>
      <c r="S13" s="1185"/>
      <c r="T13" s="1188" t="s">
        <v>678</v>
      </c>
      <c r="U13" s="1187"/>
      <c r="V13" s="1187"/>
      <c r="W13" s="1187"/>
      <c r="X13" s="1187"/>
      <c r="Y13" s="1187"/>
      <c r="Z13" s="1187"/>
      <c r="AA13" s="1187"/>
      <c r="AB13" s="1187"/>
      <c r="AC13" s="1187"/>
      <c r="AD13" s="1187"/>
      <c r="AE13" s="1187"/>
      <c r="AF13" s="1187"/>
      <c r="AG13" s="1187"/>
      <c r="AH13" s="1187"/>
      <c r="AI13" s="1187"/>
      <c r="AJ13" s="1187"/>
      <c r="AK13" s="1187"/>
      <c r="AM13" s="398"/>
      <c r="AN13" s="398" t="str">
        <f t="shared" si="0"/>
        <v>Добавить территорию для дифференциации</v>
      </c>
      <c r="AO13" s="398"/>
      <c r="AP13" s="398"/>
    </row>
    <row r="14" spans="1:42" ht="14.25" hidden="1" customHeight="1">
      <c r="AB14" s="238"/>
      <c r="AI14" s="238"/>
    </row>
    <row r="15" spans="1:42" ht="14.25" hidden="1" customHeight="1">
      <c r="AC15" s="1221"/>
      <c r="AD15" s="1221"/>
      <c r="AE15" s="1222"/>
      <c r="AF15" s="3526"/>
      <c r="AG15" s="3525" t="s">
        <v>64</v>
      </c>
      <c r="AH15" s="3526"/>
      <c r="AI15" s="3525" t="s">
        <v>64</v>
      </c>
    </row>
    <row r="16" spans="1:42" ht="14.25" hidden="1" customHeight="1">
      <c r="AC16" s="1221"/>
      <c r="AD16" s="1221"/>
      <c r="AE16" s="239" t="str">
        <f>AF15&amp;"-"&amp;AH15</f>
        <v>-</v>
      </c>
      <c r="AF16" s="3525"/>
      <c r="AG16" s="3525"/>
      <c r="AH16" s="3525"/>
      <c r="AI16" s="3525"/>
    </row>
    <row r="17" spans="1:42" ht="14.25" hidden="1" customHeight="1">
      <c r="AI17" s="238"/>
    </row>
    <row r="18" spans="1:42" s="1903" customFormat="1" ht="22.5" hidden="1" customHeight="1">
      <c r="L18" s="1333"/>
      <c r="M18" s="1223"/>
      <c r="N18" s="1223"/>
      <c r="O18" s="1228" t="s">
        <v>679</v>
      </c>
      <c r="P18" s="1223"/>
      <c r="Q18" s="1232"/>
      <c r="R18" s="1232"/>
      <c r="S18" s="619"/>
      <c r="Y18" s="1228"/>
      <c r="AA18" s="1228"/>
      <c r="AB18" s="1227"/>
      <c r="AF18" s="1228"/>
      <c r="AH18" s="1228"/>
      <c r="AI18" s="1227"/>
      <c r="AL18" s="409"/>
      <c r="AM18" s="409"/>
      <c r="AN18" s="409"/>
      <c r="AO18" s="409"/>
      <c r="AP18" s="409"/>
    </row>
    <row r="19" spans="1:42" s="1903" customFormat="1" ht="14.25" hidden="1" customHeight="1">
      <c r="L19" s="1333"/>
      <c r="M19" s="1223"/>
      <c r="N19" s="1223"/>
      <c r="O19" s="1223"/>
      <c r="P19" s="1223"/>
      <c r="Q19" s="1232"/>
      <c r="R19" s="1232"/>
      <c r="S19" s="619"/>
      <c r="AB19" s="1227"/>
      <c r="AI19" s="1227"/>
      <c r="AL19" s="409"/>
      <c r="AM19" s="409"/>
      <c r="AN19" s="409"/>
      <c r="AO19" s="409"/>
      <c r="AP19" s="409"/>
    </row>
    <row r="20" spans="1:42" s="1903" customFormat="1" ht="12" hidden="1" customHeight="1">
      <c r="L20" s="1333"/>
      <c r="M20" s="1223"/>
      <c r="N20" s="1223"/>
      <c r="O20" s="1225" t="s">
        <v>680</v>
      </c>
      <c r="P20" s="1223"/>
      <c r="Q20" s="1301"/>
      <c r="R20" s="1301"/>
      <c r="S20" s="619"/>
      <c r="T20" s="1023" t="s">
        <v>681</v>
      </c>
      <c r="Z20" s="103" t="s">
        <v>682</v>
      </c>
      <c r="AB20" s="103" t="s">
        <v>683</v>
      </c>
      <c r="AC20" s="1023" t="s">
        <v>681</v>
      </c>
      <c r="AG20" s="103" t="s">
        <v>684</v>
      </c>
      <c r="AI20" s="103" t="s">
        <v>683</v>
      </c>
    </row>
    <row r="21" spans="1:42" ht="14.25" hidden="1" customHeight="1">
      <c r="O21" s="1225"/>
    </row>
    <row r="22" spans="1:42" ht="14.25" hidden="1" customHeight="1">
      <c r="O22" s="1225"/>
    </row>
    <row r="23" spans="1:42" ht="14.25" customHeight="1">
      <c r="Q23" s="283"/>
      <c r="R23" s="283"/>
      <c r="S23" s="1141"/>
      <c r="T23" s="272"/>
      <c r="U23" s="272"/>
      <c r="V23" s="407"/>
      <c r="W23" s="407"/>
      <c r="X23" s="407"/>
      <c r="Y23" s="407"/>
      <c r="Z23" s="407"/>
      <c r="AA23" s="407"/>
      <c r="AB23" s="407"/>
      <c r="AC23" s="407"/>
      <c r="AD23" s="407"/>
      <c r="AE23" s="407"/>
      <c r="AF23" s="407"/>
      <c r="AG23" s="407"/>
      <c r="AH23" s="407"/>
      <c r="AI23" s="407"/>
    </row>
    <row r="24" spans="1:42" ht="26.25" customHeight="1">
      <c r="Q24" s="283"/>
      <c r="R24" s="283"/>
      <c r="S24" s="350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509"/>
      <c r="U24" s="3509"/>
      <c r="V24" s="3509"/>
      <c r="W24" s="3509"/>
      <c r="X24" s="3509"/>
      <c r="Y24" s="3509"/>
      <c r="Z24" s="3509"/>
      <c r="AA24" s="3509"/>
      <c r="AB24" s="3509"/>
      <c r="AC24" s="3509"/>
      <c r="AD24" s="3509"/>
      <c r="AE24" s="3509"/>
      <c r="AF24" s="3509"/>
      <c r="AG24" s="3509"/>
      <c r="AH24" s="3509"/>
      <c r="AI24" s="1109"/>
    </row>
    <row r="25" spans="1:42" ht="14.25" customHeight="1">
      <c r="Q25" s="283"/>
      <c r="R25" s="283"/>
      <c r="S25" s="3480" t="str">
        <f>IF(org=0,"Не определено",org)</f>
        <v>АО "Орелгортеплоэнерго"</v>
      </c>
      <c r="T25" s="3480"/>
      <c r="U25" s="3480"/>
      <c r="V25" s="3480"/>
      <c r="W25" s="3480"/>
      <c r="X25" s="3480"/>
      <c r="Y25" s="3480"/>
      <c r="Z25" s="3480"/>
      <c r="AA25" s="3480"/>
      <c r="AB25" s="3480"/>
      <c r="AC25" s="3480"/>
      <c r="AD25" s="3480"/>
      <c r="AE25" s="3480"/>
      <c r="AF25" s="3480"/>
      <c r="AG25" s="3480"/>
      <c r="AH25" s="3480"/>
      <c r="AI25" s="1109"/>
    </row>
    <row r="26" spans="1:42" ht="14.25" customHeight="1">
      <c r="Q26" s="283"/>
      <c r="R26" s="283"/>
      <c r="S26" s="1141"/>
      <c r="T26" s="272"/>
      <c r="U26" s="272"/>
      <c r="V26" s="233"/>
      <c r="W26" s="233"/>
      <c r="X26" s="233"/>
      <c r="Y26" s="233"/>
      <c r="Z26" s="233"/>
      <c r="AA26" s="233"/>
      <c r="AB26" s="233"/>
      <c r="AC26" s="233"/>
      <c r="AD26" s="233"/>
      <c r="AE26" s="233"/>
      <c r="AF26" s="233"/>
      <c r="AG26" s="233"/>
      <c r="AH26" s="233"/>
      <c r="AI26" s="233"/>
      <c r="AJ26" s="407"/>
    </row>
    <row r="27" spans="1:42" s="1944" customFormat="1" ht="25.5" customHeight="1">
      <c r="A27" s="1229"/>
      <c r="B27" s="1229"/>
      <c r="C27" s="1229"/>
      <c r="D27" s="1229"/>
      <c r="E27" s="1229"/>
      <c r="F27" s="1229"/>
      <c r="G27" s="1229"/>
      <c r="H27" s="1229"/>
      <c r="I27" s="1229"/>
      <c r="J27" s="1229"/>
      <c r="K27" s="1229"/>
      <c r="L27" s="1230"/>
      <c r="M27" s="1229"/>
      <c r="N27" s="1229"/>
      <c r="O27" s="1229"/>
      <c r="S27" s="3519" t="s">
        <v>38</v>
      </c>
      <c r="T27" s="3519"/>
      <c r="U27" s="1233"/>
      <c r="V27" s="3521" t="str">
        <f>IF(TITLE_NAME_OR_PR_CHANGE="",IF(TITLE_NAME_OR_PR="","",TITLE_NAME_OR_PR),TITLE_NAME_OR_PR_CHANGE)</f>
        <v/>
      </c>
      <c r="W27" s="3521"/>
      <c r="X27" s="3521"/>
      <c r="Y27" s="3521"/>
      <c r="Z27" s="3521"/>
      <c r="AA27" s="3521"/>
      <c r="AB27" s="237"/>
      <c r="AC27" s="3521" t="str">
        <f>IF(TITLE_NAME_OR_PR_CHANGE="",IF(TITLE_NAME_OR_PR="","",TITLE_NAME_OR_PR),TITLE_NAME_OR_PR_CHANGE)</f>
        <v/>
      </c>
      <c r="AD27" s="3521"/>
      <c r="AE27" s="3521"/>
      <c r="AF27" s="3521"/>
      <c r="AG27" s="3521"/>
      <c r="AH27" s="3521"/>
      <c r="AI27" s="237"/>
      <c r="AJ27" s="237"/>
      <c r="AK27" s="193"/>
      <c r="AL27" s="276"/>
      <c r="AM27" s="276"/>
      <c r="AN27" s="276"/>
      <c r="AO27" s="276"/>
      <c r="AP27" s="276"/>
    </row>
    <row r="28" spans="1:42" s="1944" customFormat="1" ht="18.75" customHeight="1">
      <c r="A28" s="1229"/>
      <c r="B28" s="1229"/>
      <c r="C28" s="1229"/>
      <c r="D28" s="1229"/>
      <c r="E28" s="1229"/>
      <c r="F28" s="1229"/>
      <c r="G28" s="1229"/>
      <c r="H28" s="1229"/>
      <c r="I28" s="1229"/>
      <c r="J28" s="1229"/>
      <c r="K28" s="1229"/>
      <c r="L28" s="1230"/>
      <c r="M28" s="1229"/>
      <c r="N28" s="1229"/>
      <c r="O28" s="1229"/>
      <c r="S28" s="3519" t="s">
        <v>685</v>
      </c>
      <c r="T28" s="3519"/>
      <c r="U28" s="1233"/>
      <c r="V28" s="3520" t="str">
        <f>IF(TITLE_DATE_PR_CHANGE="",IF(TITLE_DATE_PR="","",TITLE_DATE_PR),TITLE_DATE_PR_CHANGE)</f>
        <v/>
      </c>
      <c r="W28" s="3520"/>
      <c r="X28" s="3520"/>
      <c r="Y28" s="3520"/>
      <c r="Z28" s="3520"/>
      <c r="AA28" s="3520"/>
      <c r="AB28" s="237"/>
      <c r="AC28" s="3520" t="str">
        <f>IF(TITLE_DATE_PR_CHANGE="",IF(TITLE_DATE_PR="","",TITLE_DATE_PR),TITLE_DATE_PR_CHANGE)</f>
        <v/>
      </c>
      <c r="AD28" s="3520"/>
      <c r="AE28" s="3520"/>
      <c r="AF28" s="3520"/>
      <c r="AG28" s="3520"/>
      <c r="AH28" s="3520"/>
      <c r="AI28" s="237"/>
      <c r="AJ28" s="237"/>
      <c r="AK28" s="193"/>
      <c r="AL28" s="276"/>
      <c r="AM28" s="276"/>
      <c r="AN28" s="276"/>
      <c r="AO28" s="276"/>
      <c r="AP28" s="276"/>
    </row>
    <row r="29" spans="1:42" s="1944" customFormat="1" ht="18.75" customHeight="1">
      <c r="A29" s="1229"/>
      <c r="B29" s="1229"/>
      <c r="C29" s="1229"/>
      <c r="D29" s="1229"/>
      <c r="E29" s="1229"/>
      <c r="F29" s="1229"/>
      <c r="G29" s="1229"/>
      <c r="H29" s="1229"/>
      <c r="I29" s="1229"/>
      <c r="J29" s="1229"/>
      <c r="K29" s="1229"/>
      <c r="L29" s="1230"/>
      <c r="M29" s="1229"/>
      <c r="N29" s="1229"/>
      <c r="O29" s="1229"/>
      <c r="S29" s="3519" t="s">
        <v>686</v>
      </c>
      <c r="T29" s="3519"/>
      <c r="U29" s="1233"/>
      <c r="V29" s="3521" t="str">
        <f>IF(TITLE_NUMBER_PR_CHANGE="",IF(TITLE_NUMBER_PR="","",TITLE_NUMBER_PR),TITLE_NUMBER_PR_CHANGE)</f>
        <v/>
      </c>
      <c r="W29" s="3521"/>
      <c r="X29" s="3521"/>
      <c r="Y29" s="3521"/>
      <c r="Z29" s="3521"/>
      <c r="AA29" s="3521"/>
      <c r="AB29" s="237"/>
      <c r="AC29" s="3521" t="str">
        <f>IF(TITLE_NUMBER_PR_CHANGE="",IF(TITLE_NUMBER_PR="","",TITLE_NUMBER_PR),TITLE_NUMBER_PR_CHANGE)</f>
        <v/>
      </c>
      <c r="AD29" s="3521"/>
      <c r="AE29" s="3521"/>
      <c r="AF29" s="3521"/>
      <c r="AG29" s="3521"/>
      <c r="AH29" s="3521"/>
      <c r="AI29" s="237"/>
      <c r="AJ29" s="237"/>
      <c r="AK29" s="193"/>
      <c r="AL29" s="276"/>
      <c r="AM29" s="276"/>
      <c r="AN29" s="276"/>
      <c r="AO29" s="276"/>
      <c r="AP29" s="276"/>
    </row>
    <row r="30" spans="1:42" s="1944" customFormat="1" ht="18.75" customHeight="1">
      <c r="A30" s="1229"/>
      <c r="B30" s="1229"/>
      <c r="C30" s="1229"/>
      <c r="D30" s="1229"/>
      <c r="E30" s="1229"/>
      <c r="F30" s="1229"/>
      <c r="G30" s="1229"/>
      <c r="H30" s="1229"/>
      <c r="I30" s="1229"/>
      <c r="J30" s="1229"/>
      <c r="K30" s="1229"/>
      <c r="L30" s="1230"/>
      <c r="M30" s="1229"/>
      <c r="N30" s="1229"/>
      <c r="O30" s="1229"/>
      <c r="S30" s="3519" t="s">
        <v>39</v>
      </c>
      <c r="T30" s="3519"/>
      <c r="U30" s="1233"/>
      <c r="V30" s="3521" t="str">
        <f>IF(TITLE_IST_PUB_CHANGE="",IF(TITLE_IST_PUB="","",TITLE_IST_PUB),TITLE_IST_PUB_CHANGE)</f>
        <v/>
      </c>
      <c r="W30" s="3521"/>
      <c r="X30" s="3521"/>
      <c r="Y30" s="3521"/>
      <c r="Z30" s="3521"/>
      <c r="AA30" s="3521"/>
      <c r="AB30" s="237"/>
      <c r="AC30" s="3521" t="str">
        <f>IF(TITLE_IST_PUB_CHANGE="",IF(TITLE_IST_PUB="","",TITLE_IST_PUB),TITLE_IST_PUB_CHANGE)</f>
        <v/>
      </c>
      <c r="AD30" s="3521"/>
      <c r="AE30" s="3521"/>
      <c r="AF30" s="3521"/>
      <c r="AG30" s="3521"/>
      <c r="AH30" s="3521"/>
      <c r="AI30" s="237"/>
      <c r="AJ30" s="237"/>
      <c r="AK30" s="193"/>
      <c r="AL30" s="276"/>
      <c r="AM30" s="276"/>
      <c r="AN30" s="276"/>
      <c r="AO30" s="276"/>
      <c r="AP30" s="276"/>
    </row>
    <row r="31" spans="1:42" ht="14.25" customHeight="1">
      <c r="Q31" s="283"/>
      <c r="R31" s="283"/>
      <c r="S31" s="1141"/>
      <c r="T31" s="272"/>
      <c r="U31" s="272"/>
      <c r="V31" s="233"/>
      <c r="W31" s="233"/>
      <c r="X31" s="233"/>
      <c r="Y31" s="233"/>
      <c r="Z31" s="233"/>
      <c r="AA31" s="233"/>
      <c r="AB31" s="233"/>
      <c r="AC31" s="233"/>
      <c r="AD31" s="233"/>
      <c r="AE31" s="233"/>
      <c r="AF31" s="233"/>
      <c r="AG31" s="233"/>
      <c r="AH31" s="233"/>
      <c r="AI31" s="233"/>
      <c r="AJ31" s="407"/>
    </row>
    <row r="32" spans="1:42" s="1944" customFormat="1" ht="18.75" customHeight="1">
      <c r="A32" s="1229"/>
      <c r="B32" s="1229"/>
      <c r="C32" s="1229"/>
      <c r="D32" s="1229"/>
      <c r="E32" s="1229"/>
      <c r="F32" s="1229"/>
      <c r="G32" s="1229"/>
      <c r="H32" s="1229"/>
      <c r="I32" s="1229"/>
      <c r="J32" s="1229"/>
      <c r="K32" s="1229"/>
      <c r="L32" s="1230"/>
      <c r="M32" s="1229"/>
      <c r="N32" s="1229"/>
      <c r="O32" s="1229"/>
      <c r="S32" s="3519" t="s">
        <v>687</v>
      </c>
      <c r="T32" s="3519"/>
      <c r="U32" s="1233"/>
      <c r="V32" s="3520" t="str">
        <f>IF(TITLE_DATE_PR_CHANGE="",IF(TITLE_DATE_PR="","",TITLE_DATE_PR),TITLE_DATE_PR_CHANGE)</f>
        <v/>
      </c>
      <c r="W32" s="3520"/>
      <c r="X32" s="3520"/>
      <c r="Y32" s="3520"/>
      <c r="Z32" s="3520"/>
      <c r="AA32" s="3520"/>
      <c r="AB32" s="237"/>
      <c r="AC32" s="3520" t="str">
        <f>IF(TITLE_DATE_PR_CHANGE="",IF(TITLE_DATE_PR="","",TITLE_DATE_PR),TITLE_DATE_PR_CHANGE)</f>
        <v/>
      </c>
      <c r="AD32" s="3520"/>
      <c r="AE32" s="3520"/>
      <c r="AF32" s="3520"/>
      <c r="AG32" s="3520"/>
      <c r="AH32" s="3520"/>
      <c r="AI32" s="237"/>
      <c r="AJ32" s="237"/>
      <c r="AK32" s="193"/>
      <c r="AL32" s="276"/>
      <c r="AM32" s="276"/>
      <c r="AN32" s="276"/>
      <c r="AO32" s="276"/>
      <c r="AP32" s="276"/>
    </row>
    <row r="33" spans="1:42" s="1944" customFormat="1" ht="18.75" customHeight="1">
      <c r="A33" s="1229"/>
      <c r="B33" s="1229"/>
      <c r="C33" s="1229"/>
      <c r="D33" s="1229"/>
      <c r="E33" s="1229"/>
      <c r="F33" s="1229"/>
      <c r="G33" s="1229"/>
      <c r="H33" s="1229"/>
      <c r="I33" s="1229"/>
      <c r="J33" s="1229"/>
      <c r="K33" s="1229"/>
      <c r="L33" s="1230"/>
      <c r="M33" s="1229"/>
      <c r="N33" s="1229"/>
      <c r="O33" s="1229"/>
      <c r="S33" s="3519" t="s">
        <v>688</v>
      </c>
      <c r="T33" s="3519"/>
      <c r="U33" s="1233"/>
      <c r="V33" s="3521" t="str">
        <f>IF(TITLE_NUMBER_PR_CHANGE="",IF(TITLE_NUMBER_PR="","",TITLE_NUMBER_PR),TITLE_NUMBER_PR_CHANGE)</f>
        <v/>
      </c>
      <c r="W33" s="3521"/>
      <c r="X33" s="3521"/>
      <c r="Y33" s="3521"/>
      <c r="Z33" s="3521"/>
      <c r="AA33" s="3521"/>
      <c r="AB33" s="237"/>
      <c r="AC33" s="3521" t="str">
        <f>IF(TITLE_NUMBER_PR_CHANGE="",IF(TITLE_NUMBER_PR="","",TITLE_NUMBER_PR),TITLE_NUMBER_PR_CHANGE)</f>
        <v/>
      </c>
      <c r="AD33" s="3521"/>
      <c r="AE33" s="3521"/>
      <c r="AF33" s="3521"/>
      <c r="AG33" s="3521"/>
      <c r="AH33" s="3521"/>
      <c r="AI33" s="237"/>
      <c r="AJ33" s="237"/>
      <c r="AK33" s="193"/>
      <c r="AL33" s="276"/>
      <c r="AM33" s="276"/>
      <c r="AN33" s="276"/>
      <c r="AO33" s="276"/>
      <c r="AP33" s="276"/>
    </row>
    <row r="34" spans="1:42" s="1944" customFormat="1" ht="0.75" customHeight="1">
      <c r="A34" s="1229"/>
      <c r="B34" s="1229"/>
      <c r="C34" s="1229"/>
      <c r="D34" s="1229"/>
      <c r="E34" s="1229"/>
      <c r="F34" s="1229"/>
      <c r="G34" s="1229"/>
      <c r="H34" s="1229"/>
      <c r="I34" s="1229"/>
      <c r="J34" s="1229"/>
      <c r="K34" s="1229"/>
      <c r="L34" s="1230"/>
      <c r="M34" s="1229"/>
      <c r="N34" s="1229"/>
      <c r="O34" s="1229"/>
      <c r="S34" s="234"/>
      <c r="T34" s="234"/>
      <c r="U34" s="1343"/>
      <c r="V34" s="237"/>
      <c r="W34" s="237"/>
      <c r="X34" s="237"/>
      <c r="Y34" s="237"/>
      <c r="Z34" s="237"/>
      <c r="AA34" s="237"/>
      <c r="AB34" s="191" t="s">
        <v>689</v>
      </c>
      <c r="AC34" s="237"/>
      <c r="AD34" s="237"/>
      <c r="AE34" s="237"/>
      <c r="AF34" s="237"/>
      <c r="AG34" s="237"/>
      <c r="AH34" s="237"/>
      <c r="AI34" s="191" t="s">
        <v>689</v>
      </c>
      <c r="AL34" s="276"/>
      <c r="AM34" s="276"/>
      <c r="AN34" s="276"/>
      <c r="AO34" s="276"/>
      <c r="AP34" s="276"/>
    </row>
    <row r="35" spans="1:42" ht="14.25" customHeight="1">
      <c r="Q35" s="283"/>
      <c r="R35" s="283"/>
      <c r="S35" s="1141"/>
      <c r="T35" s="272"/>
      <c r="U35" s="1110"/>
      <c r="V35" s="3540"/>
      <c r="W35" s="3540"/>
      <c r="X35" s="3540"/>
      <c r="Y35" s="3540"/>
      <c r="Z35" s="3540"/>
      <c r="AA35" s="3540"/>
      <c r="AB35" s="3540"/>
      <c r="AC35" s="3540"/>
      <c r="AD35" s="3540"/>
      <c r="AE35" s="3540"/>
      <c r="AF35" s="3540"/>
      <c r="AG35" s="3540"/>
      <c r="AH35" s="3540"/>
      <c r="AI35" s="3540"/>
    </row>
    <row r="36" spans="1:42" ht="14.25" customHeight="1">
      <c r="Q36" s="283"/>
      <c r="R36" s="283"/>
      <c r="S36" s="3401" t="s">
        <v>560</v>
      </c>
      <c r="T36" s="3401"/>
      <c r="U36" s="3401"/>
      <c r="V36" s="3401"/>
      <c r="W36" s="3401"/>
      <c r="X36" s="3401"/>
      <c r="Y36" s="3401"/>
      <c r="Z36" s="3401"/>
      <c r="AA36" s="3401"/>
      <c r="AB36" s="3401"/>
      <c r="AC36" s="3401"/>
      <c r="AD36" s="3401"/>
      <c r="AE36" s="3401"/>
      <c r="AF36" s="3401"/>
      <c r="AG36" s="3401"/>
      <c r="AH36" s="3401"/>
      <c r="AI36" s="3401"/>
      <c r="AJ36" s="3401"/>
      <c r="AK36" s="3401" t="s">
        <v>561</v>
      </c>
    </row>
    <row r="37" spans="1:42" ht="14.25" customHeight="1">
      <c r="Q37" s="283"/>
      <c r="R37" s="283"/>
      <c r="S37" s="3541" t="s">
        <v>85</v>
      </c>
      <c r="T37" s="3489" t="s">
        <v>690</v>
      </c>
      <c r="U37" s="212"/>
      <c r="V37" s="3542" t="s">
        <v>691</v>
      </c>
      <c r="W37" s="3543"/>
      <c r="X37" s="3543"/>
      <c r="Y37" s="3543"/>
      <c r="Z37" s="3543"/>
      <c r="AA37" s="3544"/>
      <c r="AB37" s="3545" t="s">
        <v>692</v>
      </c>
      <c r="AC37" s="3542" t="s">
        <v>691</v>
      </c>
      <c r="AD37" s="3543"/>
      <c r="AE37" s="3543"/>
      <c r="AF37" s="3543"/>
      <c r="AG37" s="3543"/>
      <c r="AH37" s="3544"/>
      <c r="AI37" s="3545" t="s">
        <v>693</v>
      </c>
      <c r="AJ37" s="3548" t="s">
        <v>694</v>
      </c>
      <c r="AK37" s="3401"/>
    </row>
    <row r="38" spans="1:42" ht="33.75" customHeight="1">
      <c r="Q38" s="283"/>
      <c r="R38" s="283"/>
      <c r="S38" s="3541"/>
      <c r="T38" s="3489"/>
      <c r="U38" s="901"/>
      <c r="V38" s="1338" t="s">
        <v>808</v>
      </c>
      <c r="W38" s="3383" t="s">
        <v>796</v>
      </c>
      <c r="X38" s="3382"/>
      <c r="Y38" s="3383" t="s">
        <v>698</v>
      </c>
      <c r="Z38" s="3388"/>
      <c r="AA38" s="3382"/>
      <c r="AB38" s="3546"/>
      <c r="AC38" s="1338" t="s">
        <v>808</v>
      </c>
      <c r="AD38" s="3383" t="s">
        <v>796</v>
      </c>
      <c r="AE38" s="3382"/>
      <c r="AF38" s="3383" t="s">
        <v>698</v>
      </c>
      <c r="AG38" s="3388"/>
      <c r="AH38" s="3382"/>
      <c r="AI38" s="3546"/>
      <c r="AJ38" s="3549"/>
      <c r="AK38" s="3401"/>
    </row>
    <row r="39" spans="1:42" ht="86.25" customHeight="1">
      <c r="A39" s="1231"/>
      <c r="B39" s="1231" t="s">
        <v>403</v>
      </c>
      <c r="C39" s="1231" t="s">
        <v>404</v>
      </c>
      <c r="D39" s="1231" t="s">
        <v>405</v>
      </c>
      <c r="E39" s="1225" t="s">
        <v>699</v>
      </c>
      <c r="F39" s="1225" t="s">
        <v>700</v>
      </c>
      <c r="G39" s="1225" t="s">
        <v>701</v>
      </c>
      <c r="H39" s="1225"/>
      <c r="I39" s="1225" t="s">
        <v>753</v>
      </c>
      <c r="J39" s="1225" t="s">
        <v>704</v>
      </c>
      <c r="K39" s="1225" t="s">
        <v>754</v>
      </c>
      <c r="L39" s="1225" t="s">
        <v>680</v>
      </c>
      <c r="Q39" s="283"/>
      <c r="R39" s="283"/>
      <c r="S39" s="3541"/>
      <c r="T39" s="3489"/>
      <c r="U39" s="213"/>
      <c r="V39" s="1338" t="s">
        <v>797</v>
      </c>
      <c r="W39" s="1088" t="s">
        <v>801</v>
      </c>
      <c r="X39" s="1088" t="s">
        <v>804</v>
      </c>
      <c r="Y39" s="1344" t="s">
        <v>708</v>
      </c>
      <c r="Z39" s="3494" t="s">
        <v>709</v>
      </c>
      <c r="AA39" s="3508"/>
      <c r="AB39" s="3547"/>
      <c r="AC39" s="1338" t="s">
        <v>797</v>
      </c>
      <c r="AD39" s="1088" t="s">
        <v>801</v>
      </c>
      <c r="AE39" s="1088" t="s">
        <v>804</v>
      </c>
      <c r="AF39" s="1344" t="s">
        <v>708</v>
      </c>
      <c r="AG39" s="3494" t="s">
        <v>709</v>
      </c>
      <c r="AH39" s="3508"/>
      <c r="AI39" s="3547"/>
      <c r="AJ39" s="3550"/>
      <c r="AK39" s="3401"/>
    </row>
    <row r="40" spans="1:42" s="1838" customFormat="1" ht="11.25" hidden="1" customHeight="1">
      <c r="A40" s="1231"/>
      <c r="B40" s="1231"/>
      <c r="C40" s="1231"/>
      <c r="D40" s="1231"/>
      <c r="E40" s="1231"/>
      <c r="F40" s="1231"/>
      <c r="G40" s="1231"/>
      <c r="H40" s="1231"/>
      <c r="I40" s="1231"/>
      <c r="J40" s="1231"/>
      <c r="K40" s="1231"/>
      <c r="L40" s="1225"/>
      <c r="M40" s="1223"/>
      <c r="N40" s="1223"/>
      <c r="O40" s="1223"/>
      <c r="P40" s="1112"/>
      <c r="Q40" s="1113"/>
      <c r="R40" s="1120">
        <v>1</v>
      </c>
      <c r="S40" s="1143" t="s">
        <v>106</v>
      </c>
      <c r="T40" s="1121" t="s">
        <v>107</v>
      </c>
      <c r="U40" s="1111" t="str">
        <f ca="1">OFFSET(U40,0,-1)</f>
        <v>2</v>
      </c>
      <c r="V40" s="1337">
        <f ca="1">OFFSET(V40,0,-1)+1</f>
        <v>3</v>
      </c>
      <c r="W40" s="1337">
        <f ca="1">OFFSET(W40,0,-1)+1</f>
        <v>4</v>
      </c>
      <c r="X40" s="1337">
        <f ca="1">OFFSET(X40,0,-1)+1</f>
        <v>5</v>
      </c>
      <c r="Y40" s="1337">
        <f ca="1">OFFSET(Y40,0,-1)+1</f>
        <v>6</v>
      </c>
      <c r="Z40" s="3539">
        <f ca="1">OFFSET(Z40,0,-1)+1</f>
        <v>7</v>
      </c>
      <c r="AA40" s="3539"/>
      <c r="AB40" s="1337">
        <f ca="1">OFFSET(AB40,0,-2)+1</f>
        <v>8</v>
      </c>
      <c r="AC40" s="1337">
        <f ca="1">OFFSET(AC40,0,-1)+1</f>
        <v>9</v>
      </c>
      <c r="AD40" s="1337">
        <f ca="1">OFFSET(AD40,0,-1)+1</f>
        <v>10</v>
      </c>
      <c r="AE40" s="1337">
        <f ca="1">OFFSET(AE40,0,-1)+1</f>
        <v>11</v>
      </c>
      <c r="AF40" s="1337">
        <f ca="1">OFFSET(AF40,0,-1)+1</f>
        <v>12</v>
      </c>
      <c r="AG40" s="3539">
        <f ca="1">OFFSET(AG40,0,-1)+1</f>
        <v>13</v>
      </c>
      <c r="AH40" s="3539"/>
      <c r="AI40" s="1337">
        <f ca="1">OFFSET(AI40,0,-2)+1</f>
        <v>14</v>
      </c>
      <c r="AJ40" s="1111">
        <f ca="1">OFFSET(AJ40,0,-1)</f>
        <v>14</v>
      </c>
      <c r="AK40" s="1337">
        <f ca="1">OFFSET(AK40,0,-1)+1</f>
        <v>15</v>
      </c>
      <c r="AL40" s="409"/>
      <c r="AM40" s="409"/>
      <c r="AN40" s="409"/>
      <c r="AO40" s="409"/>
      <c r="AP40" s="409"/>
    </row>
    <row r="41" spans="1:42" ht="23.25" customHeight="1">
      <c r="A41" s="1224" t="s">
        <v>511</v>
      </c>
      <c r="B41" s="1224"/>
      <c r="C41" s="1224"/>
      <c r="D41" s="1224"/>
      <c r="E41" s="3528">
        <v>1</v>
      </c>
      <c r="F41" s="1224"/>
      <c r="G41" s="1224"/>
      <c r="H41" s="1224"/>
      <c r="I41" s="1224"/>
      <c r="J41" s="1224"/>
      <c r="K41" s="1224"/>
      <c r="L41" s="1225"/>
      <c r="M41" s="1226"/>
      <c r="N41" s="1226"/>
      <c r="O41" s="1226"/>
      <c r="P41" s="270"/>
      <c r="Q41" s="269"/>
      <c r="R41" s="264"/>
      <c r="S41" s="1348">
        <f>INDEX(PT_DIFFERENTIATION_NUM_NTAR,MATCH(A41,PT_DIFFERENTIATION_NTAR_ID,0))</f>
        <v>0</v>
      </c>
      <c r="T41" s="209" t="s">
        <v>391</v>
      </c>
      <c r="U41" s="211"/>
      <c r="V41" s="3522"/>
      <c r="W41" s="3523"/>
      <c r="X41" s="3523"/>
      <c r="Y41" s="3523"/>
      <c r="Z41" s="3523"/>
      <c r="AA41" s="3523"/>
      <c r="AB41" s="3524"/>
      <c r="AC41" s="3522" t="str">
        <f>INDEX(PT_DIFFERENTIATION_NTAR,MATCH(A41,PT_DIFFERENTIATION_NTAR_ID,0))</f>
        <v/>
      </c>
      <c r="AD41" s="3523"/>
      <c r="AE41" s="3523"/>
      <c r="AF41" s="3523"/>
      <c r="AG41" s="3523"/>
      <c r="AH41" s="3523"/>
      <c r="AI41" s="3523"/>
      <c r="AJ41" s="3524"/>
      <c r="AK41" s="112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398"/>
      <c r="AN41" s="398" t="str">
        <f t="shared" ref="AN41:AN53" si="1">IF(T41="","",T41)</f>
        <v>Наименование тарифа</v>
      </c>
      <c r="AO41" s="398"/>
      <c r="AP41" s="398"/>
    </row>
    <row r="42" spans="1:42" ht="23.25" customHeight="1">
      <c r="A42" s="1224" t="s">
        <v>511</v>
      </c>
      <c r="B42" s="1224" t="s">
        <v>512</v>
      </c>
      <c r="C42" s="1224"/>
      <c r="D42" s="1224"/>
      <c r="E42" s="3529"/>
      <c r="F42" s="3528">
        <v>1</v>
      </c>
      <c r="G42" s="1224"/>
      <c r="H42" s="1224"/>
      <c r="I42" s="1224"/>
      <c r="J42" s="1224"/>
      <c r="K42" s="1224"/>
      <c r="L42" s="1225"/>
      <c r="M42" s="1226"/>
      <c r="N42" s="1226"/>
      <c r="O42" s="1226"/>
      <c r="P42" s="1342"/>
      <c r="Q42" s="261"/>
      <c r="R42" s="262"/>
      <c r="S42" s="1348" t="str">
        <f>INDEX(PT_DIFFERENTIATION_NUM_TER,MATCH(B42,PT_DIFFERENTIATION_TER_ID,0))</f>
        <v>.</v>
      </c>
      <c r="T42" s="219" t="s">
        <v>659</v>
      </c>
      <c r="U42" s="211"/>
      <c r="V42" s="3522"/>
      <c r="W42" s="3523"/>
      <c r="X42" s="3523"/>
      <c r="Y42" s="3523"/>
      <c r="Z42" s="3523"/>
      <c r="AA42" s="3523"/>
      <c r="AB42" s="3524"/>
      <c r="AC42" s="3522" t="str">
        <f>INDEX(PT_DIFFERENTIATION_TER,MATCH(B42,PT_DIFFERENTIATION_TER_ID,0))</f>
        <v/>
      </c>
      <c r="AD42" s="3523"/>
      <c r="AE42" s="3523"/>
      <c r="AF42" s="3523"/>
      <c r="AG42" s="3523"/>
      <c r="AH42" s="3523"/>
      <c r="AI42" s="3523"/>
      <c r="AJ42" s="3524"/>
      <c r="AK42" s="1124" t="s">
        <v>660</v>
      </c>
      <c r="AM42" s="398"/>
      <c r="AN42" s="398" t="str">
        <f t="shared" si="1"/>
        <v>Территория действия тарифа</v>
      </c>
      <c r="AO42" s="398"/>
      <c r="AP42" s="398"/>
    </row>
    <row r="43" spans="1:42" ht="23.25" customHeight="1">
      <c r="A43" s="1224" t="s">
        <v>511</v>
      </c>
      <c r="B43" s="1224" t="s">
        <v>512</v>
      </c>
      <c r="C43" s="1224" t="s">
        <v>513</v>
      </c>
      <c r="D43" s="1224"/>
      <c r="E43" s="3529"/>
      <c r="F43" s="3529"/>
      <c r="G43" s="3528">
        <v>1</v>
      </c>
      <c r="H43" s="1224"/>
      <c r="I43" s="1224"/>
      <c r="J43" s="1224"/>
      <c r="K43" s="1224"/>
      <c r="L43" s="1225"/>
      <c r="M43" s="1226"/>
      <c r="N43" s="1226"/>
      <c r="O43" s="1226"/>
      <c r="P43" s="263"/>
      <c r="Q43" s="261"/>
      <c r="R43" s="262"/>
      <c r="S43" s="1348" t="str">
        <f>INDEX(PT_DIFFERENTIATION_NUM_CS,MATCH(C43,PT_DIFFERENTIATION_CS_ID,0))</f>
        <v>..</v>
      </c>
      <c r="T43" s="220" t="s">
        <v>793</v>
      </c>
      <c r="U43" s="211"/>
      <c r="V43" s="3522"/>
      <c r="W43" s="3523"/>
      <c r="X43" s="3523"/>
      <c r="Y43" s="3523"/>
      <c r="Z43" s="3523"/>
      <c r="AA43" s="3523"/>
      <c r="AB43" s="3524"/>
      <c r="AC43" s="3522" t="str">
        <f>INDEX(PT_DIFFERENTIATION_CS,MATCH(C43,PT_DIFFERENTIATION_CS_ID,0))</f>
        <v/>
      </c>
      <c r="AD43" s="3523"/>
      <c r="AE43" s="3523"/>
      <c r="AF43" s="3523"/>
      <c r="AG43" s="3523"/>
      <c r="AH43" s="3523"/>
      <c r="AI43" s="3523"/>
      <c r="AJ43" s="3524"/>
      <c r="AK43" s="1124" t="s">
        <v>794</v>
      </c>
      <c r="AM43" s="398"/>
      <c r="AN43" s="398" t="str">
        <f t="shared" si="1"/>
        <v>Наименование централизованной системы горячего водоснабжения</v>
      </c>
      <c r="AO43" s="398"/>
      <c r="AP43" s="398"/>
    </row>
    <row r="44" spans="1:42" ht="23.25" customHeight="1">
      <c r="A44" s="1224" t="s">
        <v>511</v>
      </c>
      <c r="B44" s="1224" t="s">
        <v>512</v>
      </c>
      <c r="C44" s="1224" t="s">
        <v>513</v>
      </c>
      <c r="D44" s="1224" t="s">
        <v>807</v>
      </c>
      <c r="E44" s="3529"/>
      <c r="F44" s="3529"/>
      <c r="G44" s="3529"/>
      <c r="H44" s="3529"/>
      <c r="I44" s="3530" t="str">
        <f>S43&amp;".1"</f>
        <v>...1</v>
      </c>
      <c r="J44" s="1224"/>
      <c r="K44" s="1224"/>
      <c r="L44" s="1225"/>
      <c r="P44" s="3532">
        <v>1</v>
      </c>
      <c r="Q44" s="1336"/>
      <c r="R44" s="265"/>
      <c r="S44" s="1348" t="str">
        <f>$I44</f>
        <v>...1</v>
      </c>
      <c r="T44" s="197" t="s">
        <v>746</v>
      </c>
      <c r="U44" s="211"/>
      <c r="V44" s="3588"/>
      <c r="W44" s="3589"/>
      <c r="X44" s="3589"/>
      <c r="Y44" s="3589"/>
      <c r="Z44" s="3589"/>
      <c r="AA44" s="3589"/>
      <c r="AB44" s="3590"/>
      <c r="AC44" s="3591"/>
      <c r="AD44" s="3592"/>
      <c r="AE44" s="3592"/>
      <c r="AF44" s="3592"/>
      <c r="AG44" s="3592"/>
      <c r="AH44" s="3592"/>
      <c r="AI44" s="3592"/>
      <c r="AJ44" s="3593"/>
      <c r="AK44" s="1124" t="s">
        <v>747</v>
      </c>
      <c r="AM44" s="398"/>
      <c r="AN44" s="398" t="str">
        <f t="shared" si="1"/>
        <v>Наименование признака дифференциации</v>
      </c>
      <c r="AO44" s="398"/>
      <c r="AP44" s="398"/>
    </row>
    <row r="45" spans="1:42" ht="23.25" customHeight="1">
      <c r="A45" s="1224" t="s">
        <v>511</v>
      </c>
      <c r="B45" s="1224" t="s">
        <v>512</v>
      </c>
      <c r="C45" s="1224" t="s">
        <v>513</v>
      </c>
      <c r="D45" s="1224" t="s">
        <v>807</v>
      </c>
      <c r="E45" s="3529"/>
      <c r="F45" s="3529"/>
      <c r="G45" s="3529"/>
      <c r="H45" s="3529"/>
      <c r="I45" s="3531"/>
      <c r="J45" s="3530" t="str">
        <f>I44&amp;".1"</f>
        <v>...1.1</v>
      </c>
      <c r="K45" s="1224"/>
      <c r="L45" s="1225" t="s">
        <v>668</v>
      </c>
      <c r="P45" s="3532"/>
      <c r="Q45" s="3532">
        <v>1</v>
      </c>
      <c r="R45" s="266"/>
      <c r="S45" s="1348" t="str">
        <f>$J45</f>
        <v>...1.1</v>
      </c>
      <c r="T45" s="198" t="s">
        <v>669</v>
      </c>
      <c r="U45" s="211"/>
      <c r="V45" s="3516"/>
      <c r="W45" s="3517"/>
      <c r="X45" s="3517"/>
      <c r="Y45" s="3517"/>
      <c r="Z45" s="3517"/>
      <c r="AA45" s="3517"/>
      <c r="AB45" s="3518"/>
      <c r="AC45" s="3516"/>
      <c r="AD45" s="3517"/>
      <c r="AE45" s="3517"/>
      <c r="AF45" s="3517"/>
      <c r="AG45" s="3517"/>
      <c r="AH45" s="3517"/>
      <c r="AI45" s="3517"/>
      <c r="AJ45" s="3518"/>
      <c r="AK45" s="1171" t="s">
        <v>748</v>
      </c>
      <c r="AM45" s="398"/>
      <c r="AN45" s="398" t="str">
        <f t="shared" si="1"/>
        <v>Группа потребителей</v>
      </c>
      <c r="AO45" s="398"/>
      <c r="AP45" s="398"/>
    </row>
    <row r="46" spans="1:42" ht="23.25" customHeight="1">
      <c r="A46" s="1224" t="s">
        <v>511</v>
      </c>
      <c r="B46" s="1224" t="s">
        <v>512</v>
      </c>
      <c r="C46" s="1224" t="s">
        <v>513</v>
      </c>
      <c r="D46" s="1224" t="s">
        <v>807</v>
      </c>
      <c r="E46" s="3529"/>
      <c r="F46" s="3529"/>
      <c r="G46" s="3529"/>
      <c r="H46" s="3529"/>
      <c r="I46" s="3531"/>
      <c r="J46" s="3531"/>
      <c r="K46" s="3530" t="str">
        <f>J45&amp;".1"</f>
        <v>...1.1.1</v>
      </c>
      <c r="L46" s="1225"/>
      <c r="P46" s="3532"/>
      <c r="Q46" s="3532"/>
      <c r="R46" s="266">
        <v>1</v>
      </c>
      <c r="S46" s="1348" t="str">
        <f>$K46</f>
        <v>...1.1.1</v>
      </c>
      <c r="T46" s="1297"/>
      <c r="U46" s="211"/>
      <c r="V46" s="1221"/>
      <c r="W46" s="1221"/>
      <c r="X46" s="1222"/>
      <c r="Y46" s="3526"/>
      <c r="Z46" s="3525" t="s">
        <v>64</v>
      </c>
      <c r="AA46" s="3526"/>
      <c r="AB46" s="3525" t="s">
        <v>64</v>
      </c>
      <c r="AC46" s="639"/>
      <c r="AD46" s="639"/>
      <c r="AE46" s="1123"/>
      <c r="AF46" s="3533"/>
      <c r="AG46" s="3412" t="s">
        <v>64</v>
      </c>
      <c r="AH46" s="3535"/>
      <c r="AI46" s="3412" t="s">
        <v>54</v>
      </c>
      <c r="AJ46" s="1298"/>
      <c r="AK46" s="359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09" t="e">
        <f ca="1">STRCHECKDATE(V47:AJ47)</f>
        <v>#NAME?</v>
      </c>
      <c r="AM46" s="398"/>
      <c r="AN46" s="398" t="str">
        <f t="shared" si="1"/>
        <v/>
      </c>
      <c r="AO46" s="398"/>
      <c r="AP46" s="398"/>
    </row>
    <row r="47" spans="1:42" ht="0" hidden="1" customHeight="1">
      <c r="A47" s="1224" t="s">
        <v>511</v>
      </c>
      <c r="B47" s="1224" t="s">
        <v>512</v>
      </c>
      <c r="C47" s="1224" t="s">
        <v>513</v>
      </c>
      <c r="D47" s="1224" t="s">
        <v>807</v>
      </c>
      <c r="E47" s="3529"/>
      <c r="F47" s="3529"/>
      <c r="G47" s="3529"/>
      <c r="H47" s="3529"/>
      <c r="I47" s="3531"/>
      <c r="J47" s="3531"/>
      <c r="K47" s="3530"/>
      <c r="L47" s="1225"/>
      <c r="P47" s="3532"/>
      <c r="Q47" s="3532"/>
      <c r="R47" s="266"/>
      <c r="S47" s="1345"/>
      <c r="T47" s="211"/>
      <c r="U47" s="211"/>
      <c r="V47" s="1221"/>
      <c r="W47" s="1221"/>
      <c r="X47" s="239" t="str">
        <f>Y46&amp;"-"&amp;AA46</f>
        <v>-</v>
      </c>
      <c r="Y47" s="3525"/>
      <c r="Z47" s="3525"/>
      <c r="AA47" s="3525"/>
      <c r="AB47" s="3525"/>
      <c r="AC47" s="236"/>
      <c r="AD47" s="236"/>
      <c r="AE47" s="239" t="str">
        <f>AF46&amp;"-"&amp;AH46</f>
        <v>-</v>
      </c>
      <c r="AF47" s="3534"/>
      <c r="AG47" s="3412"/>
      <c r="AH47" s="3536"/>
      <c r="AI47" s="3412"/>
      <c r="AJ47" s="1299"/>
      <c r="AK47" s="3594"/>
      <c r="AM47" s="398"/>
      <c r="AN47" s="398" t="str">
        <f t="shared" si="1"/>
        <v/>
      </c>
      <c r="AO47" s="398"/>
      <c r="AP47" s="398"/>
    </row>
    <row r="48" spans="1:42" ht="21" customHeight="1">
      <c r="A48" s="1224" t="s">
        <v>511</v>
      </c>
      <c r="B48" s="1224" t="s">
        <v>512</v>
      </c>
      <c r="C48" s="1224" t="s">
        <v>513</v>
      </c>
      <c r="D48" s="1224" t="s">
        <v>807</v>
      </c>
      <c r="E48" s="3529"/>
      <c r="F48" s="3529"/>
      <c r="G48" s="3529"/>
      <c r="H48" s="3529"/>
      <c r="I48" s="3531"/>
      <c r="J48" s="3530"/>
      <c r="K48" s="1224"/>
      <c r="L48" s="1225"/>
      <c r="P48" s="3532"/>
      <c r="Q48" s="3532"/>
      <c r="R48" s="265"/>
      <c r="S48" s="1144"/>
      <c r="T48" s="199" t="s">
        <v>749</v>
      </c>
      <c r="U48" s="275"/>
      <c r="V48" s="275"/>
      <c r="W48" s="275"/>
      <c r="X48" s="275"/>
      <c r="Y48" s="275"/>
      <c r="Z48" s="275"/>
      <c r="AA48" s="275"/>
      <c r="AB48" s="275"/>
      <c r="AC48" s="275"/>
      <c r="AD48" s="275"/>
      <c r="AE48" s="275"/>
      <c r="AF48" s="275"/>
      <c r="AG48" s="275"/>
      <c r="AH48" s="275"/>
      <c r="AI48" s="275"/>
      <c r="AJ48" s="275"/>
      <c r="AK48" s="1124" t="s">
        <v>750</v>
      </c>
      <c r="AM48" s="398"/>
      <c r="AN48" s="398" t="str">
        <f t="shared" si="1"/>
        <v>Добавить значение признака дифференциации</v>
      </c>
      <c r="AO48" s="398"/>
      <c r="AP48" s="398"/>
    </row>
    <row r="49" spans="1:42" ht="21" customHeight="1">
      <c r="A49" s="1224" t="s">
        <v>511</v>
      </c>
      <c r="B49" s="1224" t="s">
        <v>512</v>
      </c>
      <c r="C49" s="1224" t="s">
        <v>513</v>
      </c>
      <c r="D49" s="1224" t="s">
        <v>807</v>
      </c>
      <c r="E49" s="3529"/>
      <c r="F49" s="3529"/>
      <c r="G49" s="3529"/>
      <c r="H49" s="3529"/>
      <c r="I49" s="3530"/>
      <c r="J49" s="1224"/>
      <c r="K49" s="1224"/>
      <c r="L49" s="1225"/>
      <c r="P49" s="3532"/>
      <c r="Q49" s="1336"/>
      <c r="R49" s="265"/>
      <c r="S49" s="1144"/>
      <c r="T49" s="273" t="s">
        <v>674</v>
      </c>
      <c r="U49" s="275"/>
      <c r="V49" s="275"/>
      <c r="W49" s="275"/>
      <c r="X49" s="275"/>
      <c r="Y49" s="275"/>
      <c r="Z49" s="275"/>
      <c r="AA49" s="275"/>
      <c r="AB49" s="274"/>
      <c r="AC49" s="275"/>
      <c r="AD49" s="275"/>
      <c r="AE49" s="275"/>
      <c r="AF49" s="275"/>
      <c r="AG49" s="275"/>
      <c r="AH49" s="275"/>
      <c r="AI49" s="274"/>
      <c r="AJ49" s="275"/>
      <c r="AK49" s="1300"/>
      <c r="AM49" s="398"/>
      <c r="AN49" s="398" t="str">
        <f t="shared" si="1"/>
        <v>Добавить группу потребителей</v>
      </c>
      <c r="AO49" s="398"/>
      <c r="AP49" s="398"/>
    </row>
    <row r="50" spans="1:42" ht="21" customHeight="1">
      <c r="A50" s="1224" t="s">
        <v>511</v>
      </c>
      <c r="B50" s="1224" t="s">
        <v>512</v>
      </c>
      <c r="C50" s="1224" t="s">
        <v>513</v>
      </c>
      <c r="D50" s="1224" t="s">
        <v>807</v>
      </c>
      <c r="E50" s="3529"/>
      <c r="F50" s="3529"/>
      <c r="G50" s="3529"/>
      <c r="H50" s="3528"/>
      <c r="I50" s="1224"/>
      <c r="J50" s="1224"/>
      <c r="K50" s="1224"/>
      <c r="L50" s="1225"/>
      <c r="M50" s="1226"/>
      <c r="N50" s="1226"/>
      <c r="O50" s="434"/>
      <c r="P50" s="269"/>
      <c r="Q50" s="282"/>
      <c r="R50" s="264"/>
      <c r="S50" s="1144"/>
      <c r="T50" s="280" t="s">
        <v>751</v>
      </c>
      <c r="U50" s="275"/>
      <c r="V50" s="275"/>
      <c r="W50" s="275"/>
      <c r="X50" s="275"/>
      <c r="Y50" s="275"/>
      <c r="Z50" s="275"/>
      <c r="AA50" s="275"/>
      <c r="AB50" s="274"/>
      <c r="AC50" s="275"/>
      <c r="AD50" s="275"/>
      <c r="AE50" s="275"/>
      <c r="AF50" s="275"/>
      <c r="AG50" s="275"/>
      <c r="AH50" s="275"/>
      <c r="AI50" s="274"/>
      <c r="AJ50" s="275"/>
      <c r="AK50" s="214"/>
      <c r="AM50" s="398"/>
      <c r="AN50" s="398" t="str">
        <f t="shared" si="1"/>
        <v>Добавить наименование признака дифференциации</v>
      </c>
      <c r="AO50" s="398"/>
      <c r="AP50" s="398"/>
    </row>
    <row r="51" spans="1:42" s="1866" customFormat="1" ht="0" hidden="1" customHeight="1">
      <c r="A51" s="1205" t="s">
        <v>511</v>
      </c>
      <c r="B51" s="1205" t="s">
        <v>512</v>
      </c>
      <c r="C51" s="1177"/>
      <c r="D51" s="1177"/>
      <c r="E51" s="3529"/>
      <c r="F51" s="3528"/>
      <c r="G51" s="1177"/>
      <c r="H51" s="1177"/>
      <c r="I51" s="1177"/>
      <c r="J51" s="1177"/>
      <c r="K51" s="1177"/>
      <c r="L51" s="1349"/>
      <c r="M51" s="1184"/>
      <c r="N51" s="1184"/>
      <c r="P51" s="1179"/>
      <c r="Q51" s="1180"/>
      <c r="R51" s="1179"/>
      <c r="S51" s="1185"/>
      <c r="T51" s="1188" t="s">
        <v>677</v>
      </c>
      <c r="U51" s="1187"/>
      <c r="V51" s="1187"/>
      <c r="W51" s="1187"/>
      <c r="X51" s="1187"/>
      <c r="Y51" s="1187"/>
      <c r="Z51" s="1187"/>
      <c r="AA51" s="1187"/>
      <c r="AB51" s="1187"/>
      <c r="AC51" s="1187"/>
      <c r="AD51" s="1187"/>
      <c r="AE51" s="1187"/>
      <c r="AF51" s="1187"/>
      <c r="AG51" s="1187"/>
      <c r="AH51" s="1187"/>
      <c r="AI51" s="1187"/>
      <c r="AJ51" s="1187"/>
      <c r="AK51" s="1187"/>
      <c r="AM51" s="670"/>
      <c r="AN51" s="670" t="str">
        <f t="shared" si="1"/>
        <v>Добавить централизованную систему для дифференциации</v>
      </c>
      <c r="AO51" s="670"/>
      <c r="AP51" s="670"/>
    </row>
    <row r="52" spans="1:42" s="1866" customFormat="1" ht="0" hidden="1" customHeight="1">
      <c r="A52" s="1205" t="s">
        <v>511</v>
      </c>
      <c r="B52" s="1205"/>
      <c r="C52" s="1205"/>
      <c r="D52" s="1205"/>
      <c r="E52" s="3528"/>
      <c r="F52" s="1205"/>
      <c r="G52" s="1205"/>
      <c r="H52" s="1205"/>
      <c r="I52" s="1205"/>
      <c r="J52" s="1205"/>
      <c r="K52" s="1205"/>
      <c r="L52" s="1208"/>
      <c r="M52" s="1184"/>
      <c r="N52" s="1184"/>
      <c r="O52" s="416"/>
      <c r="P52" s="287"/>
      <c r="Q52" s="1206"/>
      <c r="R52" s="287"/>
      <c r="S52" s="1185"/>
      <c r="T52" s="1188" t="s">
        <v>678</v>
      </c>
      <c r="U52" s="1187"/>
      <c r="V52" s="1187"/>
      <c r="W52" s="1187"/>
      <c r="X52" s="1187"/>
      <c r="Y52" s="1187"/>
      <c r="Z52" s="1187"/>
      <c r="AA52" s="1187"/>
      <c r="AB52" s="1187"/>
      <c r="AC52" s="1187"/>
      <c r="AD52" s="1187"/>
      <c r="AE52" s="1187"/>
      <c r="AF52" s="1187"/>
      <c r="AG52" s="1187"/>
      <c r="AH52" s="1187"/>
      <c r="AI52" s="1187"/>
      <c r="AJ52" s="1187"/>
      <c r="AK52" s="1187"/>
      <c r="AM52" s="398"/>
      <c r="AN52" s="398" t="str">
        <f t="shared" si="1"/>
        <v>Добавить территорию для дифференциации</v>
      </c>
      <c r="AO52" s="398"/>
      <c r="AP52" s="398"/>
    </row>
    <row r="53" spans="1:42" s="1866" customFormat="1" ht="0" hidden="1" customHeight="1">
      <c r="A53" s="1177"/>
      <c r="B53" s="1177"/>
      <c r="C53" s="1177"/>
      <c r="D53" s="1177"/>
      <c r="E53" s="1205"/>
      <c r="F53" s="1177"/>
      <c r="G53" s="1177"/>
      <c r="H53" s="1177"/>
      <c r="I53" s="1177"/>
      <c r="J53" s="1177"/>
      <c r="K53" s="1177"/>
      <c r="L53" s="1349"/>
      <c r="M53" s="1184"/>
      <c r="N53" s="1184"/>
      <c r="P53" s="1179"/>
      <c r="Q53" s="1180"/>
      <c r="R53" s="1179"/>
      <c r="S53" s="1185"/>
      <c r="T53" s="1188" t="s">
        <v>710</v>
      </c>
      <c r="U53" s="1187"/>
      <c r="V53" s="1187"/>
      <c r="W53" s="1187"/>
      <c r="X53" s="1187"/>
      <c r="Y53" s="1187"/>
      <c r="Z53" s="1187"/>
      <c r="AA53" s="1187"/>
      <c r="AB53" s="1187"/>
      <c r="AC53" s="1187"/>
      <c r="AD53" s="1187"/>
      <c r="AE53" s="1187"/>
      <c r="AF53" s="1187"/>
      <c r="AG53" s="1187"/>
      <c r="AH53" s="1187"/>
      <c r="AI53" s="1187"/>
      <c r="AJ53" s="1187"/>
      <c r="AK53" s="1187"/>
      <c r="AM53" s="670"/>
      <c r="AN53" s="670" t="str">
        <f t="shared" si="1"/>
        <v>Добавить наименование тарифа</v>
      </c>
      <c r="AO53" s="670"/>
      <c r="AP53" s="670"/>
    </row>
    <row r="54" spans="1:42" ht="11.25" customHeight="1">
      <c r="M54" s="1023"/>
      <c r="N54" s="1023"/>
      <c r="O54" s="434"/>
      <c r="P54" s="1018"/>
      <c r="Q54" s="1018"/>
      <c r="R54" s="1018"/>
      <c r="S54" s="1018"/>
      <c r="AL54" s="1018"/>
      <c r="AM54" s="1018"/>
      <c r="AN54" s="1018"/>
      <c r="AO54" s="1018"/>
      <c r="AP54" s="1018"/>
    </row>
    <row r="55" spans="1:42" ht="14.25" customHeight="1">
      <c r="O55" s="434"/>
      <c r="S55" s="1119"/>
      <c r="T55" s="3527"/>
      <c r="U55" s="3527"/>
      <c r="V55" s="3527"/>
      <c r="W55" s="3527"/>
      <c r="X55" s="3527"/>
      <c r="Y55" s="3527"/>
      <c r="Z55" s="3527"/>
      <c r="AA55" s="3527"/>
      <c r="AB55" s="3527"/>
      <c r="AC55" s="3527"/>
      <c r="AD55" s="3527"/>
      <c r="AE55" s="3527"/>
      <c r="AF55" s="3527"/>
      <c r="AG55" s="3527"/>
      <c r="AH55" s="3527"/>
      <c r="AI55" s="3527"/>
      <c r="AJ55" s="3527"/>
      <c r="AK55" s="3527"/>
    </row>
    <row r="56" spans="1:42" ht="14.25" customHeight="1">
      <c r="O56" s="434"/>
    </row>
    <row r="57" spans="1:42" ht="14.25" customHeight="1">
      <c r="O57" s="434"/>
      <c r="S57" s="1119"/>
      <c r="T57" s="3527"/>
      <c r="U57" s="3527"/>
      <c r="V57" s="3527"/>
      <c r="W57" s="3527"/>
      <c r="X57" s="3527"/>
      <c r="Y57" s="3527"/>
      <c r="Z57" s="3527"/>
      <c r="AA57" s="3527"/>
      <c r="AB57" s="3527"/>
      <c r="AC57" s="3527"/>
      <c r="AD57" s="3527"/>
      <c r="AE57" s="3527"/>
      <c r="AF57" s="3527"/>
      <c r="AG57" s="3527"/>
      <c r="AH57" s="3527"/>
      <c r="AI57" s="3527"/>
      <c r="AJ57" s="3527"/>
      <c r="AK57" s="3527"/>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E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E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E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E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E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01CDB-5598-BFF3-71D7-336AFE8748EE}">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03" hidden="1" customWidth="1"/>
    <col min="2" max="2" width="11" style="1903" hidden="1" customWidth="1"/>
    <col min="3" max="3" width="10.5703125" style="1903" hidden="1"/>
    <col min="4" max="4" width="12.85546875" style="1903" hidden="1" customWidth="1"/>
    <col min="5" max="5" width="10" style="1903" hidden="1" customWidth="1"/>
    <col min="6" max="6" width="8.7109375" style="1903" hidden="1" customWidth="1"/>
    <col min="7" max="7" width="7.5703125" style="1903" hidden="1" customWidth="1"/>
    <col min="8" max="8" width="11.42578125" style="1903" hidden="1" customWidth="1"/>
    <col min="9" max="9" width="12" style="1903" hidden="1" customWidth="1"/>
    <col min="10" max="10" width="9.85546875" style="1903" hidden="1" customWidth="1"/>
    <col min="11" max="11" width="11.42578125" style="1903" hidden="1" customWidth="1"/>
    <col min="12" max="12" width="19.140625" style="1953" hidden="1" customWidth="1"/>
    <col min="13" max="14" width="12.28515625" style="1839" hidden="1" customWidth="1"/>
    <col min="15" max="15" width="23.42578125" style="1839" hidden="1" customWidth="1"/>
    <col min="16" max="16" width="3.7109375" style="1839" hidden="1" customWidth="1"/>
    <col min="17" max="17" width="3.7109375" style="1833" hidden="1" customWidth="1"/>
    <col min="18" max="18" width="3.7109375" style="1906" customWidth="1"/>
    <col min="19" max="19" width="12.7109375" style="1951" customWidth="1"/>
    <col min="20" max="20" width="32" style="1910" customWidth="1"/>
    <col min="21" max="21" width="0.140625" style="1910" customWidth="1"/>
    <col min="22" max="25" width="21.7109375" style="1910" hidden="1" customWidth="1"/>
    <col min="26" max="26" width="11.7109375" style="1910" hidden="1" customWidth="1"/>
    <col min="27" max="27" width="3.7109375" style="1910" hidden="1" customWidth="1"/>
    <col min="28" max="28" width="11.7109375" style="1910" hidden="1" customWidth="1"/>
    <col min="29" max="29" width="8.5703125" style="1910" hidden="1" customWidth="1"/>
    <col min="30" max="32" width="3.7109375" style="1910" customWidth="1"/>
    <col min="33" max="33" width="24.7109375" style="1910" customWidth="1"/>
    <col min="34" max="36" width="3.7109375" style="1910" customWidth="1"/>
    <col min="37" max="37" width="24.7109375" style="1910" customWidth="1"/>
    <col min="38" max="40" width="3.7109375" style="1910" customWidth="1"/>
    <col min="41" max="41" width="18.85546875" style="1910" customWidth="1"/>
    <col min="42" max="44" width="3.7109375" style="1910" customWidth="1"/>
    <col min="45" max="45" width="18.85546875" style="1910" customWidth="1"/>
    <col min="46" max="49" width="21.7109375" style="1910" customWidth="1"/>
    <col min="50" max="50" width="11.7109375" style="1910" customWidth="1"/>
    <col min="51" max="51" width="3.7109375" style="1910" customWidth="1"/>
    <col min="52" max="52" width="11.7109375" style="1910" customWidth="1"/>
    <col min="53" max="53" width="8.5703125" style="1910" hidden="1" customWidth="1"/>
    <col min="54" max="54" width="4.7109375" style="1910" customWidth="1"/>
    <col min="55" max="55" width="115.7109375" style="1910" customWidth="1"/>
    <col min="56" max="57" width="10.5703125" style="1866"/>
    <col min="58" max="58" width="11.140625" style="1866" customWidth="1"/>
    <col min="59" max="60" width="10.5703125" style="1866"/>
  </cols>
  <sheetData>
    <row r="1" spans="1:60" ht="14.25" hidden="1" customHeight="1">
      <c r="W1" s="238"/>
      <c r="Y1" s="238"/>
      <c r="Z1" s="238"/>
      <c r="AW1" s="238"/>
      <c r="AX1" s="238"/>
    </row>
    <row r="2" spans="1:60" ht="21" hidden="1" customHeight="1">
      <c r="A2" s="1224"/>
      <c r="B2" s="1224"/>
      <c r="C2" s="1224"/>
      <c r="D2" s="1224"/>
      <c r="E2" s="3528">
        <v>1</v>
      </c>
      <c r="F2" s="1224"/>
      <c r="G2" s="1224"/>
      <c r="H2" s="1224"/>
      <c r="I2" s="1224"/>
      <c r="J2" s="1224"/>
      <c r="K2" s="1224"/>
      <c r="L2" s="1225"/>
      <c r="M2" s="1226"/>
      <c r="N2" s="1226"/>
      <c r="O2" s="1226"/>
      <c r="P2" s="1270"/>
      <c r="Q2" s="750"/>
      <c r="R2" s="264"/>
      <c r="S2" s="1348" t="e">
        <f>INDEX(PT_DIFFERENTIATION_NUM_NTAR,MATCH(A2,PT_DIFFERENTIATION_NTAR_ID,0))</f>
        <v>#N/A</v>
      </c>
      <c r="T2" s="209" t="s">
        <v>391</v>
      </c>
      <c r="U2" s="211"/>
      <c r="V2" s="3523"/>
      <c r="W2" s="3523"/>
      <c r="X2" s="3523"/>
      <c r="Y2" s="3523"/>
      <c r="Z2" s="3523"/>
      <c r="AA2" s="3523"/>
      <c r="AB2" s="3523"/>
      <c r="AC2" s="3524"/>
      <c r="AD2" s="3522" t="e">
        <f>INDEX(PT_DIFFERENTIATION_NTAR,MATCH(A2,PT_DIFFERENTIATION_NTAR_ID,0))</f>
        <v>#N/A</v>
      </c>
      <c r="AE2" s="3523"/>
      <c r="AF2" s="3523"/>
      <c r="AG2" s="3523"/>
      <c r="AH2" s="3523"/>
      <c r="AI2" s="3523"/>
      <c r="AJ2" s="3523"/>
      <c r="AK2" s="3523"/>
      <c r="AL2" s="3523"/>
      <c r="AM2" s="3523"/>
      <c r="AN2" s="3523"/>
      <c r="AO2" s="3523"/>
      <c r="AP2" s="3523"/>
      <c r="AQ2" s="3523"/>
      <c r="AR2" s="3523"/>
      <c r="AS2" s="3523"/>
      <c r="AT2" s="3523"/>
      <c r="AU2" s="3523"/>
      <c r="AV2" s="3523"/>
      <c r="AW2" s="3523"/>
      <c r="AX2" s="3523"/>
      <c r="AY2" s="3523"/>
      <c r="AZ2" s="3523"/>
      <c r="BA2" s="3523"/>
      <c r="BB2" s="3524"/>
      <c r="BC2" s="112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398"/>
      <c r="BF2" s="398" t="str">
        <f t="shared" ref="BF2:BF8" si="0">IF(T2="","",T2)</f>
        <v>Наименование тарифа</v>
      </c>
      <c r="BG2" s="398"/>
      <c r="BH2" s="398"/>
    </row>
    <row r="3" spans="1:60" ht="21" hidden="1" customHeight="1">
      <c r="A3" s="1224"/>
      <c r="B3" s="1224"/>
      <c r="C3" s="1224"/>
      <c r="D3" s="1224"/>
      <c r="E3" s="3529"/>
      <c r="F3" s="3528">
        <v>1</v>
      </c>
      <c r="G3" s="1224"/>
      <c r="H3" s="1224"/>
      <c r="I3" s="1224"/>
      <c r="J3" s="1224"/>
      <c r="K3" s="1224"/>
      <c r="L3" s="1225"/>
      <c r="M3" s="1226"/>
      <c r="N3" s="1226"/>
      <c r="O3" s="1226"/>
      <c r="P3" s="1271"/>
      <c r="Q3" s="1272"/>
      <c r="R3" s="262"/>
      <c r="S3" s="1348" t="e">
        <f>INDEX(PT_DIFFERENTIATION_NUM_TER,MATCH(B3,PT_DIFFERENTIATION_TER_ID,0))</f>
        <v>#N/A</v>
      </c>
      <c r="T3" s="219" t="s">
        <v>659</v>
      </c>
      <c r="U3" s="211"/>
      <c r="V3" s="3523"/>
      <c r="W3" s="3523"/>
      <c r="X3" s="3523"/>
      <c r="Y3" s="3523"/>
      <c r="Z3" s="3523"/>
      <c r="AA3" s="3523"/>
      <c r="AB3" s="3523"/>
      <c r="AC3" s="3524"/>
      <c r="AD3" s="3522" t="e">
        <f>INDEX(PT_DIFFERENTIATION_TER,MATCH(B3,PT_DIFFERENTIATION_TER_ID,0))</f>
        <v>#N/A</v>
      </c>
      <c r="AE3" s="3523"/>
      <c r="AF3" s="3523"/>
      <c r="AG3" s="3523"/>
      <c r="AH3" s="3523"/>
      <c r="AI3" s="3523"/>
      <c r="AJ3" s="3523"/>
      <c r="AK3" s="3523"/>
      <c r="AL3" s="3523"/>
      <c r="AM3" s="3523"/>
      <c r="AN3" s="3523"/>
      <c r="AO3" s="3523"/>
      <c r="AP3" s="3523"/>
      <c r="AQ3" s="3523"/>
      <c r="AR3" s="3523"/>
      <c r="AS3" s="3523"/>
      <c r="AT3" s="3523"/>
      <c r="AU3" s="3523"/>
      <c r="AV3" s="3523"/>
      <c r="AW3" s="3523"/>
      <c r="AX3" s="3523"/>
      <c r="AY3" s="3523"/>
      <c r="AZ3" s="3523"/>
      <c r="BA3" s="3523"/>
      <c r="BB3" s="3524"/>
      <c r="BC3" s="1124" t="s">
        <v>660</v>
      </c>
      <c r="BE3" s="398"/>
      <c r="BF3" s="398" t="str">
        <f t="shared" si="0"/>
        <v>Территория действия тарифа</v>
      </c>
      <c r="BG3" s="398"/>
      <c r="BH3" s="398"/>
    </row>
    <row r="4" spans="1:60" ht="33.75" hidden="1" customHeight="1">
      <c r="A4" s="1224"/>
      <c r="B4" s="1224"/>
      <c r="C4" s="1224"/>
      <c r="D4" s="1224"/>
      <c r="E4" s="3529"/>
      <c r="F4" s="3529"/>
      <c r="G4" s="3528">
        <v>1</v>
      </c>
      <c r="H4" s="1224"/>
      <c r="I4" s="1224"/>
      <c r="J4" s="1224"/>
      <c r="K4" s="1224"/>
      <c r="L4" s="1225"/>
      <c r="M4" s="1226"/>
      <c r="N4" s="1226"/>
      <c r="O4" s="1226"/>
      <c r="P4" s="1273"/>
      <c r="Q4" s="1272"/>
      <c r="R4" s="262"/>
      <c r="S4" s="1348" t="e">
        <f>INDEX(PT_DIFFERENTIATION_NUM_CS,MATCH(C4,PT_DIFFERENTIATION_CS_ID,0))</f>
        <v>#N/A</v>
      </c>
      <c r="T4" s="220" t="s">
        <v>793</v>
      </c>
      <c r="U4" s="211"/>
      <c r="V4" s="3523"/>
      <c r="W4" s="3523"/>
      <c r="X4" s="3523"/>
      <c r="Y4" s="3523"/>
      <c r="Z4" s="3523"/>
      <c r="AA4" s="3523"/>
      <c r="AB4" s="3523"/>
      <c r="AC4" s="3524"/>
      <c r="AD4" s="3522" t="e">
        <f>INDEX(PT_DIFFERENTIATION_CS,MATCH(C4,PT_DIFFERENTIATION_CS_ID,0))</f>
        <v>#N/A</v>
      </c>
      <c r="AE4" s="3523"/>
      <c r="AF4" s="3523"/>
      <c r="AG4" s="3523"/>
      <c r="AH4" s="3523"/>
      <c r="AI4" s="3523"/>
      <c r="AJ4" s="3523"/>
      <c r="AK4" s="3523"/>
      <c r="AL4" s="3523"/>
      <c r="AM4" s="3523"/>
      <c r="AN4" s="3523"/>
      <c r="AO4" s="3523"/>
      <c r="AP4" s="3523"/>
      <c r="AQ4" s="3523"/>
      <c r="AR4" s="3523"/>
      <c r="AS4" s="3523"/>
      <c r="AT4" s="3523"/>
      <c r="AU4" s="3523"/>
      <c r="AV4" s="3523"/>
      <c r="AW4" s="3523"/>
      <c r="AX4" s="3523"/>
      <c r="AY4" s="3523"/>
      <c r="AZ4" s="3523"/>
      <c r="BA4" s="3523"/>
      <c r="BB4" s="3524"/>
      <c r="BC4" s="1124" t="s">
        <v>794</v>
      </c>
      <c r="BE4" s="398"/>
      <c r="BF4" s="398" t="str">
        <f t="shared" si="0"/>
        <v>Наименование централизованной системы горячего водоснабжения</v>
      </c>
      <c r="BG4" s="398"/>
      <c r="BH4" s="398"/>
    </row>
    <row r="5" spans="1:60" s="1866" customFormat="1" ht="14.25" hidden="1" customHeight="1">
      <c r="A5" s="1205"/>
      <c r="B5" s="1205"/>
      <c r="C5" s="1205"/>
      <c r="D5" s="1205"/>
      <c r="E5" s="3529"/>
      <c r="F5" s="3529"/>
      <c r="G5" s="3529"/>
      <c r="H5" s="3528">
        <v>1</v>
      </c>
      <c r="I5" s="1205"/>
      <c r="J5" s="1205"/>
      <c r="K5" s="1205"/>
      <c r="L5" s="1208"/>
      <c r="M5" s="1178"/>
      <c r="N5" s="1178"/>
      <c r="O5" s="1178"/>
      <c r="P5" s="1352"/>
      <c r="Q5" s="1353"/>
      <c r="R5" s="266"/>
      <c r="S5" s="912"/>
      <c r="T5" s="1354"/>
      <c r="U5" s="1245"/>
      <c r="V5" s="3560"/>
      <c r="W5" s="3560"/>
      <c r="X5" s="3560"/>
      <c r="Y5" s="3560"/>
      <c r="Z5" s="3560"/>
      <c r="AA5" s="3560"/>
      <c r="AB5" s="3560"/>
      <c r="AC5" s="3561"/>
      <c r="AD5" s="3559"/>
      <c r="AE5" s="3560"/>
      <c r="AF5" s="3560"/>
      <c r="AG5" s="3560"/>
      <c r="AH5" s="3560"/>
      <c r="AI5" s="3560"/>
      <c r="AJ5" s="3560"/>
      <c r="AK5" s="3560"/>
      <c r="AL5" s="3560"/>
      <c r="AM5" s="3560"/>
      <c r="AN5" s="3560"/>
      <c r="AO5" s="3560"/>
      <c r="AP5" s="3560"/>
      <c r="AQ5" s="3560"/>
      <c r="AR5" s="3560"/>
      <c r="AS5" s="3560"/>
      <c r="AT5" s="3560"/>
      <c r="AU5" s="3560"/>
      <c r="AV5" s="3560"/>
      <c r="AW5" s="3560"/>
      <c r="AX5" s="3560"/>
      <c r="AY5" s="3560"/>
      <c r="AZ5" s="3560"/>
      <c r="BA5" s="3560"/>
      <c r="BB5" s="3561"/>
      <c r="BC5" s="1246" t="s">
        <v>664</v>
      </c>
      <c r="BE5" s="398"/>
      <c r="BF5" s="398" t="str">
        <f t="shared" si="0"/>
        <v/>
      </c>
      <c r="BG5" s="398"/>
      <c r="BH5" s="398"/>
    </row>
    <row r="6" spans="1:60" s="1866" customFormat="1" ht="14.25" hidden="1" customHeight="1">
      <c r="A6" s="1205"/>
      <c r="B6" s="1205"/>
      <c r="C6" s="1205"/>
      <c r="D6" s="1205"/>
      <c r="E6" s="3529"/>
      <c r="F6" s="3529"/>
      <c r="G6" s="3529"/>
      <c r="H6" s="3529"/>
      <c r="I6" s="3530" t="str">
        <f>S5&amp;".1"</f>
        <v>.1</v>
      </c>
      <c r="J6" s="1205"/>
      <c r="K6" s="1205"/>
      <c r="L6" s="1208" t="s">
        <v>665</v>
      </c>
      <c r="M6" s="408"/>
      <c r="N6" s="408"/>
      <c r="O6" s="408"/>
      <c r="P6" s="3532">
        <v>1</v>
      </c>
      <c r="Q6" s="1336"/>
      <c r="R6" s="265"/>
      <c r="S6" s="912"/>
      <c r="T6" s="1244"/>
      <c r="U6" s="1245"/>
      <c r="V6" s="3560"/>
      <c r="W6" s="3560"/>
      <c r="X6" s="3560"/>
      <c r="Y6" s="3560"/>
      <c r="Z6" s="3560"/>
      <c r="AA6" s="3560"/>
      <c r="AB6" s="3560"/>
      <c r="AC6" s="3561"/>
      <c r="AD6" s="3559"/>
      <c r="AE6" s="3560"/>
      <c r="AF6" s="3560"/>
      <c r="AG6" s="3560"/>
      <c r="AH6" s="3560"/>
      <c r="AI6" s="3560"/>
      <c r="AJ6" s="3560"/>
      <c r="AK6" s="3560"/>
      <c r="AL6" s="3560"/>
      <c r="AM6" s="3560"/>
      <c r="AN6" s="3560"/>
      <c r="AO6" s="3560"/>
      <c r="AP6" s="3560"/>
      <c r="AQ6" s="3560"/>
      <c r="AR6" s="3560"/>
      <c r="AS6" s="3560"/>
      <c r="AT6" s="3560"/>
      <c r="AU6" s="3560"/>
      <c r="AV6" s="3560"/>
      <c r="AW6" s="3560"/>
      <c r="AX6" s="3560"/>
      <c r="AY6" s="3560"/>
      <c r="AZ6" s="3560"/>
      <c r="BA6" s="3560"/>
      <c r="BB6" s="3561"/>
      <c r="BC6" s="1246"/>
      <c r="BE6" s="398"/>
      <c r="BF6" s="398" t="str">
        <f t="shared" si="0"/>
        <v/>
      </c>
      <c r="BG6" s="398"/>
      <c r="BH6" s="398"/>
    </row>
    <row r="7" spans="1:60" s="1866" customFormat="1" ht="14.25" hidden="1" customHeight="1">
      <c r="A7" s="1205"/>
      <c r="B7" s="1205"/>
      <c r="C7" s="1205"/>
      <c r="D7" s="1205"/>
      <c r="E7" s="3529"/>
      <c r="F7" s="3529"/>
      <c r="G7" s="3529"/>
      <c r="H7" s="3529"/>
      <c r="I7" s="3531"/>
      <c r="J7" s="3530" t="str">
        <f>S5&amp;".1"</f>
        <v>.1</v>
      </c>
      <c r="K7" s="1205"/>
      <c r="L7" s="1208"/>
      <c r="M7" s="408"/>
      <c r="N7" s="408"/>
      <c r="O7" s="408"/>
      <c r="P7" s="3532"/>
      <c r="Q7" s="3532">
        <v>1</v>
      </c>
      <c r="R7" s="266"/>
      <c r="S7" s="912"/>
      <c r="T7" s="1260"/>
      <c r="U7" s="1245"/>
      <c r="V7" s="3560"/>
      <c r="W7" s="3560"/>
      <c r="X7" s="3560"/>
      <c r="Y7" s="3560"/>
      <c r="Z7" s="3560"/>
      <c r="AA7" s="3560"/>
      <c r="AB7" s="3560"/>
      <c r="AC7" s="3561"/>
      <c r="AD7" s="3559"/>
      <c r="AE7" s="3560"/>
      <c r="AF7" s="3560"/>
      <c r="AG7" s="3560"/>
      <c r="AH7" s="3560"/>
      <c r="AI7" s="3560"/>
      <c r="AJ7" s="3560"/>
      <c r="AK7" s="3560"/>
      <c r="AL7" s="3560"/>
      <c r="AM7" s="3560"/>
      <c r="AN7" s="3560"/>
      <c r="AO7" s="3560"/>
      <c r="AP7" s="3560"/>
      <c r="AQ7" s="3560"/>
      <c r="AR7" s="3560"/>
      <c r="AS7" s="3560"/>
      <c r="AT7" s="3560"/>
      <c r="AU7" s="3560"/>
      <c r="AV7" s="3560"/>
      <c r="AW7" s="3560"/>
      <c r="AX7" s="3560"/>
      <c r="AY7" s="3560"/>
      <c r="AZ7" s="3560"/>
      <c r="BA7" s="3560"/>
      <c r="BB7" s="3561"/>
      <c r="BC7" s="1246"/>
      <c r="BE7" s="398"/>
      <c r="BF7" s="398" t="str">
        <f t="shared" si="0"/>
        <v/>
      </c>
      <c r="BG7" s="398"/>
      <c r="BH7" s="398"/>
    </row>
    <row r="8" spans="1:60" ht="11.25" hidden="1" customHeight="1">
      <c r="A8" s="1224"/>
      <c r="B8" s="1224"/>
      <c r="C8" s="1224"/>
      <c r="D8" s="1224"/>
      <c r="E8" s="3529"/>
      <c r="F8" s="3529"/>
      <c r="G8" s="3529"/>
      <c r="H8" s="3529"/>
      <c r="I8" s="3531"/>
      <c r="J8" s="3531"/>
      <c r="K8" s="3530" t="e">
        <f>S4&amp;".1"</f>
        <v>#N/A</v>
      </c>
      <c r="L8" s="1225"/>
      <c r="P8" s="3532"/>
      <c r="Q8" s="3532"/>
      <c r="R8" s="3581">
        <v>1</v>
      </c>
      <c r="S8" s="3578" t="e">
        <f>$K8</f>
        <v>#N/A</v>
      </c>
      <c r="T8" s="3598"/>
      <c r="U8" s="211"/>
      <c r="V8" s="639"/>
      <c r="W8" s="1123"/>
      <c r="X8" s="639"/>
      <c r="Y8" s="1123"/>
      <c r="Z8" s="1577"/>
      <c r="AA8" s="1325" t="s">
        <v>64</v>
      </c>
      <c r="AB8" s="1577"/>
      <c r="AC8" s="1325" t="s">
        <v>64</v>
      </c>
      <c r="AD8" s="3471" t="s">
        <v>64</v>
      </c>
      <c r="AE8" s="3574"/>
      <c r="AF8" s="3484">
        <v>1</v>
      </c>
      <c r="AG8" s="3597"/>
      <c r="AH8" s="3412" t="s">
        <v>64</v>
      </c>
      <c r="AI8" s="3574"/>
      <c r="AJ8" s="3484">
        <v>1</v>
      </c>
      <c r="AK8" s="3596" t="s">
        <v>18</v>
      </c>
      <c r="AL8" s="3412" t="s">
        <v>64</v>
      </c>
      <c r="AM8" s="3459"/>
      <c r="AN8" s="3484">
        <v>1</v>
      </c>
      <c r="AO8" s="3601"/>
      <c r="AP8" s="3602" t="s">
        <v>64</v>
      </c>
      <c r="AQ8" s="222"/>
      <c r="AR8" s="1341">
        <v>1</v>
      </c>
      <c r="AS8" s="1347" t="s">
        <v>18</v>
      </c>
      <c r="AT8" s="639"/>
      <c r="AU8" s="1123"/>
      <c r="AV8" s="639"/>
      <c r="AW8" s="1123"/>
      <c r="AX8" s="1577"/>
      <c r="AY8" s="1325" t="s">
        <v>64</v>
      </c>
      <c r="AZ8" s="1577"/>
      <c r="BA8" s="1325" t="s">
        <v>64</v>
      </c>
      <c r="BB8" s="1210"/>
      <c r="BC8" s="3551" t="s">
        <v>764</v>
      </c>
      <c r="BE8" s="398"/>
      <c r="BF8" s="398" t="str">
        <f t="shared" si="0"/>
        <v/>
      </c>
      <c r="BG8" s="398"/>
      <c r="BH8" s="398"/>
    </row>
    <row r="9" spans="1:60" ht="11.25" hidden="1" customHeight="1">
      <c r="A9" s="1224"/>
      <c r="B9" s="1224"/>
      <c r="C9" s="1224"/>
      <c r="D9" s="1224"/>
      <c r="E9" s="3529"/>
      <c r="F9" s="3529"/>
      <c r="G9" s="3529"/>
      <c r="H9" s="3529"/>
      <c r="I9" s="3531"/>
      <c r="J9" s="3531"/>
      <c r="K9" s="3530"/>
      <c r="L9" s="1225"/>
      <c r="P9" s="3532"/>
      <c r="Q9" s="3532"/>
      <c r="R9" s="3581"/>
      <c r="S9" s="3579"/>
      <c r="T9" s="3599"/>
      <c r="U9" s="211"/>
      <c r="V9" s="1254"/>
      <c r="W9" s="1351"/>
      <c r="X9" s="1254"/>
      <c r="Y9" s="1351"/>
      <c r="Z9" s="1254"/>
      <c r="AA9" s="1254"/>
      <c r="AB9" s="1254"/>
      <c r="AC9" s="1254"/>
      <c r="AD9" s="3472"/>
      <c r="AE9" s="3574"/>
      <c r="AF9" s="3484"/>
      <c r="AG9" s="3597"/>
      <c r="AH9" s="3412"/>
      <c r="AI9" s="3574"/>
      <c r="AJ9" s="3484"/>
      <c r="AK9" s="3596"/>
      <c r="AL9" s="3412"/>
      <c r="AM9" s="3464"/>
      <c r="AN9" s="3484"/>
      <c r="AO9" s="3601"/>
      <c r="AP9" s="3603"/>
      <c r="AQ9" s="227"/>
      <c r="AR9" s="323"/>
      <c r="AS9" s="323" t="s">
        <v>765</v>
      </c>
      <c r="AT9" s="1254"/>
      <c r="AU9" s="1351"/>
      <c r="AV9" s="1254"/>
      <c r="AW9" s="1351"/>
      <c r="AX9" s="1254"/>
      <c r="AY9" s="1254"/>
      <c r="AZ9" s="1254"/>
      <c r="BA9" s="1254"/>
      <c r="BB9" s="1258"/>
      <c r="BC9" s="3552"/>
      <c r="BE9" s="398"/>
      <c r="BF9" s="398"/>
      <c r="BG9" s="398"/>
      <c r="BH9" s="398"/>
    </row>
    <row r="10" spans="1:60" ht="11.25" hidden="1" customHeight="1">
      <c r="A10" s="1224"/>
      <c r="B10" s="1224"/>
      <c r="C10" s="1224"/>
      <c r="D10" s="1224"/>
      <c r="E10" s="3529"/>
      <c r="F10" s="3529"/>
      <c r="G10" s="3529"/>
      <c r="H10" s="3529"/>
      <c r="I10" s="3531"/>
      <c r="J10" s="3531"/>
      <c r="K10" s="3530"/>
      <c r="L10" s="1225"/>
      <c r="P10" s="3532"/>
      <c r="Q10" s="3532"/>
      <c r="R10" s="3581"/>
      <c r="S10" s="3579"/>
      <c r="T10" s="3599"/>
      <c r="U10" s="211"/>
      <c r="V10" s="1254"/>
      <c r="W10" s="1351"/>
      <c r="X10" s="1254"/>
      <c r="Y10" s="1351"/>
      <c r="Z10" s="1254"/>
      <c r="AA10" s="1254"/>
      <c r="AB10" s="1254"/>
      <c r="AC10" s="1254"/>
      <c r="AD10" s="3472"/>
      <c r="AE10" s="3574"/>
      <c r="AF10" s="3484"/>
      <c r="AG10" s="3597"/>
      <c r="AH10" s="3412"/>
      <c r="AI10" s="3574"/>
      <c r="AJ10" s="3484"/>
      <c r="AK10" s="3596"/>
      <c r="AL10" s="3412"/>
      <c r="AM10" s="227"/>
      <c r="AN10" s="1355"/>
      <c r="AO10" s="1355" t="s">
        <v>766</v>
      </c>
      <c r="AP10" s="323"/>
      <c r="AQ10" s="323"/>
      <c r="AR10" s="323"/>
      <c r="AS10" s="1254"/>
      <c r="AT10" s="1254"/>
      <c r="AU10" s="1351"/>
      <c r="AV10" s="1254"/>
      <c r="AW10" s="1351"/>
      <c r="AX10" s="1254"/>
      <c r="AY10" s="1254"/>
      <c r="AZ10" s="1254"/>
      <c r="BA10" s="1254"/>
      <c r="BB10" s="1258"/>
      <c r="BC10" s="3552"/>
      <c r="BE10" s="398"/>
      <c r="BF10" s="398"/>
      <c r="BG10" s="398"/>
      <c r="BH10" s="398"/>
    </row>
    <row r="11" spans="1:60" ht="11.25" hidden="1" customHeight="1">
      <c r="A11" s="1224"/>
      <c r="B11" s="1224"/>
      <c r="C11" s="1224"/>
      <c r="D11" s="1224"/>
      <c r="E11" s="3529"/>
      <c r="F11" s="3529"/>
      <c r="G11" s="3529"/>
      <c r="H11" s="3529"/>
      <c r="I11" s="3531"/>
      <c r="J11" s="3531"/>
      <c r="K11" s="3530"/>
      <c r="L11" s="1225"/>
      <c r="P11" s="3532"/>
      <c r="Q11" s="3532"/>
      <c r="R11" s="3581"/>
      <c r="S11" s="3579"/>
      <c r="T11" s="3599"/>
      <c r="U11" s="211"/>
      <c r="V11" s="1254"/>
      <c r="W11" s="1351"/>
      <c r="X11" s="1254"/>
      <c r="Y11" s="1351"/>
      <c r="Z11" s="1254"/>
      <c r="AA11" s="1254"/>
      <c r="AB11" s="1254"/>
      <c r="AC11" s="1254"/>
      <c r="AD11" s="3472"/>
      <c r="AE11" s="3574"/>
      <c r="AF11" s="3484"/>
      <c r="AG11" s="3597"/>
      <c r="AH11" s="3412"/>
      <c r="AI11" s="205"/>
      <c r="AJ11" s="322"/>
      <c r="AK11" s="224" t="s">
        <v>767</v>
      </c>
      <c r="AL11" s="1254"/>
      <c r="AM11" s="1254"/>
      <c r="AN11" s="1254"/>
      <c r="AO11" s="1254"/>
      <c r="AP11" s="1254"/>
      <c r="AQ11" s="1254"/>
      <c r="AR11" s="1254"/>
      <c r="AS11" s="1254"/>
      <c r="AT11" s="1254"/>
      <c r="AU11" s="1351"/>
      <c r="AV11" s="1254"/>
      <c r="AW11" s="1351"/>
      <c r="AX11" s="1254"/>
      <c r="AY11" s="1254"/>
      <c r="AZ11" s="1254"/>
      <c r="BA11" s="1254"/>
      <c r="BB11" s="1258"/>
      <c r="BC11" s="3552"/>
      <c r="BE11" s="398"/>
      <c r="BF11" s="398"/>
      <c r="BG11" s="398"/>
      <c r="BH11" s="398"/>
    </row>
    <row r="12" spans="1:60" ht="11.25" hidden="1" customHeight="1">
      <c r="A12" s="1224"/>
      <c r="B12" s="1224"/>
      <c r="C12" s="1224"/>
      <c r="D12" s="1224"/>
      <c r="E12" s="3529"/>
      <c r="F12" s="3529"/>
      <c r="G12" s="3529"/>
      <c r="H12" s="3529"/>
      <c r="I12" s="3531"/>
      <c r="J12" s="3531"/>
      <c r="K12" s="3530"/>
      <c r="L12" s="1225"/>
      <c r="P12" s="3532"/>
      <c r="Q12" s="3532"/>
      <c r="R12" s="3581"/>
      <c r="S12" s="3580"/>
      <c r="T12" s="3600"/>
      <c r="U12" s="211"/>
      <c r="V12" s="1254"/>
      <c r="W12" s="1255" t="str">
        <f>Z8&amp;"-"&amp;AB8</f>
        <v>-</v>
      </c>
      <c r="X12" s="1254"/>
      <c r="Y12" s="1255" t="str">
        <f>AB8&amp;"-"&amp;AD8</f>
        <v>-да</v>
      </c>
      <c r="Z12" s="1254"/>
      <c r="AA12" s="1254"/>
      <c r="AB12" s="1254"/>
      <c r="AC12" s="1254"/>
      <c r="AD12" s="3417"/>
      <c r="AE12" s="223"/>
      <c r="AF12" s="225"/>
      <c r="AG12" s="323" t="s">
        <v>768</v>
      </c>
      <c r="AH12" s="1254"/>
      <c r="AI12" s="1254"/>
      <c r="AJ12" s="1254"/>
      <c r="AK12" s="1254"/>
      <c r="AL12" s="1254"/>
      <c r="AM12" s="1254"/>
      <c r="AN12" s="1254"/>
      <c r="AO12" s="1254"/>
      <c r="AP12" s="1254"/>
      <c r="AQ12" s="1254"/>
      <c r="AR12" s="1254"/>
      <c r="AS12" s="1254"/>
      <c r="AT12" s="1254"/>
      <c r="AU12" s="1255" t="str">
        <f>AX8&amp;"-"&amp;AZ8</f>
        <v>-</v>
      </c>
      <c r="AV12" s="1254"/>
      <c r="AW12" s="1255" t="str">
        <f>AZ8&amp;"-"&amp;BB8</f>
        <v>-</v>
      </c>
      <c r="AX12" s="1254"/>
      <c r="AY12" s="1254"/>
      <c r="AZ12" s="1254"/>
      <c r="BA12" s="1254"/>
      <c r="BB12" s="1257" t="str">
        <f>BE8&amp;"-"&amp;BG8</f>
        <v>-</v>
      </c>
      <c r="BC12" s="3552"/>
      <c r="BE12" s="398"/>
      <c r="BF12" s="398" t="str">
        <f t="shared" ref="BF12:BF18" si="1">IF(T12="","",T12)</f>
        <v/>
      </c>
      <c r="BG12" s="398"/>
      <c r="BH12" s="398"/>
    </row>
    <row r="13" spans="1:60" ht="11.25" hidden="1" customHeight="1">
      <c r="A13" s="1224"/>
      <c r="B13" s="1224"/>
      <c r="C13" s="1224"/>
      <c r="D13" s="1224"/>
      <c r="E13" s="3529"/>
      <c r="F13" s="3529"/>
      <c r="G13" s="3529"/>
      <c r="H13" s="3529"/>
      <c r="I13" s="3531"/>
      <c r="J13" s="3530"/>
      <c r="K13" s="1224"/>
      <c r="L13" s="1225"/>
      <c r="P13" s="3532"/>
      <c r="Q13" s="3532"/>
      <c r="R13" s="265"/>
      <c r="S13" s="1144"/>
      <c r="T13" s="199" t="s">
        <v>730</v>
      </c>
      <c r="U13" s="275"/>
      <c r="V13" s="275"/>
      <c r="W13" s="275"/>
      <c r="X13" s="275"/>
      <c r="Y13" s="275"/>
      <c r="Z13" s="275"/>
      <c r="AA13" s="275"/>
      <c r="AB13" s="275"/>
      <c r="AC13" s="275"/>
      <c r="AD13" s="1360"/>
      <c r="AE13" s="275"/>
      <c r="AF13" s="275"/>
      <c r="AG13" s="275"/>
      <c r="AH13" s="275"/>
      <c r="AI13" s="275"/>
      <c r="AJ13" s="275"/>
      <c r="AK13" s="275"/>
      <c r="AL13" s="275"/>
      <c r="AM13" s="275"/>
      <c r="AN13" s="275"/>
      <c r="AO13" s="275"/>
      <c r="AP13" s="275"/>
      <c r="AQ13" s="275"/>
      <c r="AR13" s="275"/>
      <c r="AS13" s="275"/>
      <c r="AT13" s="275"/>
      <c r="AU13" s="275"/>
      <c r="AV13" s="275"/>
      <c r="AW13" s="275"/>
      <c r="AX13" s="275"/>
      <c r="AY13" s="275"/>
      <c r="AZ13" s="275"/>
      <c r="BA13" s="275"/>
      <c r="BB13" s="235"/>
      <c r="BC13" s="3553"/>
      <c r="BE13" s="398"/>
      <c r="BF13" s="398" t="str">
        <f t="shared" si="1"/>
        <v>Добавить строку</v>
      </c>
      <c r="BG13" s="398"/>
      <c r="BH13" s="398"/>
    </row>
    <row r="14" spans="1:60" s="1866" customFormat="1" ht="14.25" hidden="1" customHeight="1">
      <c r="A14" s="1205"/>
      <c r="B14" s="1205"/>
      <c r="C14" s="1205"/>
      <c r="D14" s="1205"/>
      <c r="E14" s="3529"/>
      <c r="F14" s="3529"/>
      <c r="G14" s="3529"/>
      <c r="H14" s="3529"/>
      <c r="I14" s="3530"/>
      <c r="J14" s="1205"/>
      <c r="K14" s="1205"/>
      <c r="L14" s="1208"/>
      <c r="M14" s="408"/>
      <c r="N14" s="408"/>
      <c r="O14" s="408"/>
      <c r="P14" s="3532"/>
      <c r="Q14" s="1336"/>
      <c r="R14" s="265"/>
      <c r="S14" s="1247"/>
      <c r="T14" s="1248"/>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V14" s="1249"/>
      <c r="AW14" s="1249"/>
      <c r="AX14" s="1249"/>
      <c r="AY14" s="1249"/>
      <c r="AZ14" s="1249"/>
      <c r="BA14" s="1249"/>
      <c r="BB14" s="1249"/>
      <c r="BC14" s="1250"/>
      <c r="BE14" s="398"/>
      <c r="BF14" s="398" t="str">
        <f t="shared" si="1"/>
        <v/>
      </c>
      <c r="BG14" s="398"/>
      <c r="BH14" s="398"/>
    </row>
    <row r="15" spans="1:60" s="1866" customFormat="1" ht="14.25" hidden="1" customHeight="1">
      <c r="A15" s="1205"/>
      <c r="B15" s="1205"/>
      <c r="C15" s="1205"/>
      <c r="D15" s="1205"/>
      <c r="E15" s="3529"/>
      <c r="F15" s="3529"/>
      <c r="G15" s="3529"/>
      <c r="H15" s="3528"/>
      <c r="I15" s="1205"/>
      <c r="J15" s="1205"/>
      <c r="K15" s="1205"/>
      <c r="L15" s="1208"/>
      <c r="M15" s="1178"/>
      <c r="N15" s="1178"/>
      <c r="O15" s="416"/>
      <c r="P15" s="287"/>
      <c r="Q15" s="1206"/>
      <c r="R15" s="1262"/>
      <c r="S15" s="1247"/>
      <c r="T15" s="1248"/>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V15" s="1249"/>
      <c r="AW15" s="1249"/>
      <c r="AX15" s="1249"/>
      <c r="AY15" s="1249"/>
      <c r="AZ15" s="1249"/>
      <c r="BA15" s="1249"/>
      <c r="BB15" s="1249"/>
      <c r="BC15" s="1250"/>
      <c r="BE15" s="398"/>
      <c r="BF15" s="398" t="str">
        <f t="shared" si="1"/>
        <v/>
      </c>
      <c r="BG15" s="398"/>
      <c r="BH15" s="398"/>
    </row>
    <row r="16" spans="1:60" s="1866" customFormat="1" ht="14.25" hidden="1" customHeight="1">
      <c r="A16" s="1205"/>
      <c r="B16" s="1205"/>
      <c r="C16" s="1205"/>
      <c r="D16" s="1177"/>
      <c r="E16" s="3529"/>
      <c r="F16" s="3529"/>
      <c r="G16" s="3528"/>
      <c r="H16" s="1177"/>
      <c r="I16" s="1177"/>
      <c r="J16" s="1177"/>
      <c r="K16" s="1177"/>
      <c r="L16" s="1349"/>
      <c r="M16" s="1178"/>
      <c r="N16" s="1178"/>
      <c r="P16" s="1179"/>
      <c r="Q16" s="1180"/>
      <c r="R16" s="1179"/>
      <c r="S16" s="1185"/>
      <c r="T16" s="1188"/>
      <c r="U16" s="1187"/>
      <c r="V16" s="1187"/>
      <c r="W16" s="1187"/>
      <c r="X16" s="1187"/>
      <c r="Y16" s="1187"/>
      <c r="Z16" s="1187"/>
      <c r="AA16" s="1187"/>
      <c r="AB16" s="1187"/>
      <c r="AC16" s="1187"/>
      <c r="AD16" s="1187"/>
      <c r="AE16" s="1187"/>
      <c r="AF16" s="1187"/>
      <c r="AG16" s="1187"/>
      <c r="AH16" s="1187"/>
      <c r="AI16" s="1187"/>
      <c r="AJ16" s="1187"/>
      <c r="AK16" s="1187"/>
      <c r="AL16" s="1187"/>
      <c r="AM16" s="1187"/>
      <c r="AN16" s="1187"/>
      <c r="AO16" s="1187"/>
      <c r="AP16" s="1187"/>
      <c r="AQ16" s="1187"/>
      <c r="AR16" s="1187"/>
      <c r="AS16" s="1187"/>
      <c r="AT16" s="1187"/>
      <c r="AU16" s="1187"/>
      <c r="AV16" s="1187"/>
      <c r="AW16" s="1187"/>
      <c r="AX16" s="1187"/>
      <c r="AY16" s="1187"/>
      <c r="AZ16" s="1187"/>
      <c r="BA16" s="1187"/>
      <c r="BB16" s="1187"/>
      <c r="BC16" s="1187"/>
      <c r="BE16" s="670"/>
      <c r="BF16" s="670" t="str">
        <f t="shared" si="1"/>
        <v/>
      </c>
      <c r="BG16" s="670"/>
      <c r="BH16" s="670"/>
    </row>
    <row r="17" spans="1:60" s="1866" customFormat="1" ht="14.25" hidden="1" customHeight="1">
      <c r="A17" s="1205"/>
      <c r="B17" s="1205"/>
      <c r="C17" s="1177"/>
      <c r="D17" s="1177"/>
      <c r="E17" s="3529"/>
      <c r="F17" s="3528"/>
      <c r="G17" s="1177"/>
      <c r="H17" s="1177"/>
      <c r="I17" s="1177"/>
      <c r="J17" s="1177"/>
      <c r="K17" s="1177"/>
      <c r="L17" s="1349"/>
      <c r="M17" s="1184"/>
      <c r="N17" s="1184"/>
      <c r="P17" s="1179"/>
      <c r="Q17" s="1180"/>
      <c r="R17" s="1179"/>
      <c r="S17" s="1185"/>
      <c r="T17" s="1188" t="s">
        <v>677</v>
      </c>
      <c r="U17" s="1187"/>
      <c r="V17" s="1187"/>
      <c r="W17" s="1187"/>
      <c r="X17" s="1187"/>
      <c r="Y17" s="1187"/>
      <c r="Z17" s="1187"/>
      <c r="AA17" s="1187"/>
      <c r="AB17" s="1187"/>
      <c r="AC17" s="1187"/>
      <c r="AD17" s="1187"/>
      <c r="AE17" s="1187"/>
      <c r="AF17" s="1187"/>
      <c r="AG17" s="1187"/>
      <c r="AH17" s="1187"/>
      <c r="AI17" s="1187"/>
      <c r="AJ17" s="1187"/>
      <c r="AK17" s="1187"/>
      <c r="AL17" s="1187"/>
      <c r="AM17" s="1187"/>
      <c r="AN17" s="1187"/>
      <c r="AO17" s="1187"/>
      <c r="AP17" s="1187"/>
      <c r="AQ17" s="1187"/>
      <c r="AR17" s="1187"/>
      <c r="AS17" s="1187"/>
      <c r="AT17" s="1187"/>
      <c r="AU17" s="1187"/>
      <c r="AV17" s="1187"/>
      <c r="AW17" s="1187"/>
      <c r="AX17" s="1187"/>
      <c r="AY17" s="1187"/>
      <c r="AZ17" s="1187"/>
      <c r="BA17" s="1187"/>
      <c r="BB17" s="1187"/>
      <c r="BC17" s="1187"/>
      <c r="BE17" s="670"/>
      <c r="BF17" s="670" t="str">
        <f t="shared" si="1"/>
        <v>Добавить централизованную систему для дифференциации</v>
      </c>
      <c r="BG17" s="670"/>
      <c r="BH17" s="670"/>
    </row>
    <row r="18" spans="1:60" s="1866" customFormat="1" ht="14.25" hidden="1" customHeight="1">
      <c r="A18" s="1205"/>
      <c r="B18" s="1205"/>
      <c r="C18" s="1205"/>
      <c r="D18" s="1205"/>
      <c r="E18" s="3528"/>
      <c r="F18" s="1205"/>
      <c r="G18" s="1205"/>
      <c r="H18" s="1205"/>
      <c r="I18" s="1205"/>
      <c r="J18" s="1205"/>
      <c r="K18" s="1205"/>
      <c r="L18" s="1208"/>
      <c r="M18" s="1184"/>
      <c r="N18" s="1184"/>
      <c r="O18" s="416"/>
      <c r="P18" s="287"/>
      <c r="Q18" s="1206"/>
      <c r="R18" s="287"/>
      <c r="S18" s="1185"/>
      <c r="T18" s="1188" t="s">
        <v>678</v>
      </c>
      <c r="U18" s="1187"/>
      <c r="V18" s="1187"/>
      <c r="W18" s="1187"/>
      <c r="X18" s="1187"/>
      <c r="Y18" s="1187"/>
      <c r="Z18" s="1187"/>
      <c r="AA18" s="1187"/>
      <c r="AB18" s="1187"/>
      <c r="AC18" s="1187"/>
      <c r="AD18" s="1187"/>
      <c r="AE18" s="1187"/>
      <c r="AF18" s="1187"/>
      <c r="AG18" s="1187"/>
      <c r="AH18" s="1187"/>
      <c r="AI18" s="1187"/>
      <c r="AJ18" s="1187"/>
      <c r="AK18" s="1187"/>
      <c r="AL18" s="1187"/>
      <c r="AM18" s="1187"/>
      <c r="AN18" s="1187"/>
      <c r="AO18" s="1187"/>
      <c r="AP18" s="1187"/>
      <c r="AQ18" s="1187"/>
      <c r="AR18" s="1187"/>
      <c r="AS18" s="1187"/>
      <c r="AT18" s="1187"/>
      <c r="AU18" s="1187"/>
      <c r="AV18" s="1187"/>
      <c r="AW18" s="1187"/>
      <c r="AX18" s="1187"/>
      <c r="AY18" s="1187"/>
      <c r="AZ18" s="1187"/>
      <c r="BA18" s="1187"/>
      <c r="BB18" s="1187"/>
      <c r="BC18" s="1187"/>
      <c r="BE18" s="398"/>
      <c r="BF18" s="398" t="str">
        <f t="shared" si="1"/>
        <v>Добавить территорию для дифференциации</v>
      </c>
      <c r="BG18" s="398"/>
      <c r="BH18" s="398"/>
    </row>
    <row r="19" spans="1:60" ht="14.25" hidden="1" customHeight="1">
      <c r="AC19" s="238"/>
      <c r="BA19" s="238"/>
    </row>
    <row r="20" spans="1:60" ht="14.25" hidden="1" customHeight="1">
      <c r="AD20" s="1187" t="s">
        <v>54</v>
      </c>
      <c r="AE20" s="1356"/>
      <c r="AF20" s="445">
        <v>1</v>
      </c>
      <c r="AG20" s="1357"/>
      <c r="AH20" s="1187" t="s">
        <v>54</v>
      </c>
      <c r="AI20" s="1356"/>
      <c r="AJ20" s="445">
        <v>1</v>
      </c>
      <c r="AK20" s="1357"/>
      <c r="AL20" s="1187" t="s">
        <v>54</v>
      </c>
      <c r="AM20" s="1358"/>
      <c r="AN20" s="445">
        <v>1</v>
      </c>
      <c r="AO20" s="1359"/>
      <c r="AP20" s="1187" t="s">
        <v>54</v>
      </c>
      <c r="AQ20" s="1358"/>
      <c r="AR20" s="445">
        <v>1</v>
      </c>
      <c r="AS20" s="1359"/>
      <c r="AT20" s="236"/>
      <c r="AU20" s="291"/>
      <c r="AV20" s="236"/>
      <c r="AW20" s="291"/>
      <c r="AX20" s="1579"/>
      <c r="AY20" s="1340" t="s">
        <v>64</v>
      </c>
      <c r="AZ20" s="1579"/>
      <c r="BA20" s="1340" t="s">
        <v>64</v>
      </c>
    </row>
    <row r="21" spans="1:60" ht="14.25" hidden="1" customHeight="1">
      <c r="BD21" s="394"/>
      <c r="BE21" s="394"/>
      <c r="BF21" s="394"/>
      <c r="BG21" s="394"/>
      <c r="BH21" s="394"/>
    </row>
    <row r="22" spans="1:60" ht="14.25" hidden="1" customHeight="1">
      <c r="O22" s="1228" t="s">
        <v>679</v>
      </c>
      <c r="Z22" s="1207"/>
      <c r="AB22" s="1207"/>
      <c r="AC22" s="238"/>
      <c r="AX22" s="1207"/>
      <c r="AZ22" s="1207"/>
      <c r="BA22" s="238"/>
      <c r="BD22" s="394"/>
      <c r="BE22" s="394"/>
      <c r="BF22" s="394"/>
      <c r="BG22" s="394"/>
      <c r="BH22" s="394"/>
    </row>
    <row r="23" spans="1:60" ht="14.25" hidden="1" customHeight="1">
      <c r="AC23" s="238"/>
      <c r="BA23" s="238"/>
      <c r="BD23" s="394"/>
      <c r="BE23" s="394"/>
      <c r="BF23" s="394"/>
      <c r="BG23" s="394"/>
      <c r="BH23" s="394"/>
    </row>
    <row r="24" spans="1:60" s="1841" customFormat="1" ht="14.25" hidden="1" customHeight="1">
      <c r="M24" s="1363"/>
      <c r="N24" s="1363"/>
      <c r="O24" s="1364" t="s">
        <v>680</v>
      </c>
      <c r="P24" s="1363"/>
      <c r="Q24" s="1365"/>
      <c r="R24" s="1365"/>
      <c r="AA24" s="1362" t="s">
        <v>682</v>
      </c>
      <c r="AC24" s="1362" t="s">
        <v>683</v>
      </c>
      <c r="AD24" s="1362" t="s">
        <v>731</v>
      </c>
      <c r="AH24" s="1362" t="s">
        <v>731</v>
      </c>
      <c r="AK24" s="1362" t="s">
        <v>769</v>
      </c>
      <c r="AL24" s="1362" t="s">
        <v>731</v>
      </c>
      <c r="AP24" s="1362" t="s">
        <v>731</v>
      </c>
      <c r="AY24" s="1362" t="s">
        <v>682</v>
      </c>
      <c r="BA24" s="1362" t="s">
        <v>683</v>
      </c>
      <c r="BD24" s="1366"/>
      <c r="BE24" s="1366"/>
      <c r="BF24" s="1366"/>
      <c r="BG24" s="1366"/>
      <c r="BH24" s="1366"/>
    </row>
    <row r="25" spans="1:60" ht="14.25" hidden="1" customHeight="1">
      <c r="O25" s="1225"/>
      <c r="BD25" s="394"/>
      <c r="BE25" s="394"/>
      <c r="BF25" s="394"/>
      <c r="BG25" s="394"/>
      <c r="BH25" s="394"/>
    </row>
    <row r="26" spans="1:60" ht="14.25" hidden="1" customHeight="1">
      <c r="O26" s="1225"/>
      <c r="BD26" s="394"/>
      <c r="BE26" s="394"/>
      <c r="BF26" s="394"/>
      <c r="BG26" s="394"/>
      <c r="BH26" s="394"/>
    </row>
    <row r="27" spans="1:60" ht="14.25" customHeight="1">
      <c r="Q27" s="203"/>
      <c r="R27" s="283"/>
      <c r="S27" s="1141"/>
      <c r="T27" s="272"/>
      <c r="U27" s="272"/>
      <c r="V27" s="407"/>
      <c r="W27" s="407"/>
      <c r="X27" s="407"/>
      <c r="Y27" s="407"/>
      <c r="Z27" s="407"/>
      <c r="AA27" s="407"/>
      <c r="AB27" s="407"/>
      <c r="AC27" s="407"/>
      <c r="AD27" s="407"/>
      <c r="AE27" s="407"/>
      <c r="AF27" s="407"/>
      <c r="AG27" s="407"/>
      <c r="AH27" s="407"/>
      <c r="AI27" s="407"/>
      <c r="AJ27" s="407"/>
      <c r="AK27" s="407"/>
      <c r="AL27" s="407"/>
      <c r="AM27" s="407"/>
      <c r="AN27" s="407"/>
      <c r="AO27" s="407"/>
      <c r="AP27" s="407"/>
      <c r="AQ27" s="407"/>
      <c r="AR27" s="407"/>
      <c r="AS27" s="407"/>
      <c r="AT27" s="407"/>
      <c r="AU27" s="407"/>
      <c r="AV27" s="407"/>
      <c r="AW27" s="407"/>
      <c r="AX27" s="407"/>
      <c r="AY27" s="407"/>
      <c r="AZ27" s="407"/>
      <c r="BA27" s="407"/>
    </row>
    <row r="28" spans="1:60" ht="14.25" customHeight="1">
      <c r="Q28" s="203"/>
      <c r="R28" s="283"/>
      <c r="S28" s="350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3509"/>
      <c r="U28" s="3509"/>
      <c r="V28" s="3509"/>
      <c r="W28" s="3509"/>
      <c r="X28" s="3509"/>
      <c r="Y28" s="3509"/>
      <c r="Z28" s="3509"/>
      <c r="AA28" s="3509"/>
      <c r="AB28" s="3509"/>
      <c r="AC28" s="3509"/>
      <c r="AD28" s="3509"/>
      <c r="AE28" s="3509"/>
      <c r="AF28" s="3509"/>
      <c r="AG28" s="3509"/>
      <c r="AH28" s="3509"/>
      <c r="AI28" s="3509"/>
      <c r="AJ28" s="3509"/>
      <c r="AK28" s="3509"/>
      <c r="AL28" s="3509"/>
      <c r="AM28" s="3509"/>
      <c r="AN28" s="3509"/>
      <c r="AO28" s="3509"/>
      <c r="AP28" s="3509"/>
      <c r="AQ28" s="3509"/>
      <c r="AR28" s="3509"/>
      <c r="AS28" s="3509"/>
      <c r="AT28" s="3509"/>
      <c r="AU28" s="3509"/>
      <c r="AV28" s="3509"/>
      <c r="AW28" s="3509"/>
      <c r="AX28" s="3509"/>
      <c r="AY28" s="3509"/>
      <c r="AZ28" s="3509"/>
      <c r="BA28" s="1109"/>
    </row>
    <row r="29" spans="1:60" ht="14.25" customHeight="1">
      <c r="Q29" s="203"/>
      <c r="R29" s="283"/>
      <c r="S29" s="3480" t="str">
        <f>IF(org=0,"Не определено",org)</f>
        <v>АО "Орелгортеплоэнерго"</v>
      </c>
      <c r="T29" s="3480"/>
      <c r="U29" s="3480"/>
      <c r="V29" s="3480"/>
      <c r="W29" s="3480"/>
      <c r="X29" s="3480"/>
      <c r="Y29" s="3480"/>
      <c r="Z29" s="3480"/>
      <c r="AA29" s="3480"/>
      <c r="AB29" s="3480"/>
      <c r="AC29" s="3480"/>
      <c r="AD29" s="3480"/>
      <c r="AE29" s="3480"/>
      <c r="AF29" s="3480"/>
      <c r="AG29" s="3480"/>
      <c r="AH29" s="3480"/>
      <c r="AI29" s="3480"/>
      <c r="AJ29" s="3480"/>
      <c r="AK29" s="3480"/>
      <c r="AL29" s="3480"/>
      <c r="AM29" s="3480"/>
      <c r="AN29" s="3480"/>
      <c r="AO29" s="3480"/>
      <c r="AP29" s="3480"/>
      <c r="AQ29" s="3480"/>
      <c r="AR29" s="3480"/>
      <c r="AS29" s="3480"/>
      <c r="AT29" s="3480"/>
      <c r="AU29" s="3480"/>
      <c r="AV29" s="3480"/>
      <c r="AW29" s="3480"/>
      <c r="AX29" s="3480"/>
      <c r="AY29" s="3480"/>
      <c r="AZ29" s="3480"/>
      <c r="BA29" s="1109"/>
    </row>
    <row r="30" spans="1:60" ht="14.25" hidden="1" customHeight="1">
      <c r="Q30" s="203"/>
      <c r="R30" s="283"/>
      <c r="S30" s="1141"/>
      <c r="T30" s="272"/>
      <c r="U30" s="272"/>
      <c r="V30" s="233"/>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407"/>
    </row>
    <row r="31" spans="1:60" s="1944" customFormat="1" ht="25.5" hidden="1" customHeight="1">
      <c r="A31" s="1229"/>
      <c r="B31" s="1229"/>
      <c r="C31" s="1229"/>
      <c r="D31" s="1229"/>
      <c r="E31" s="1229"/>
      <c r="F31" s="1229"/>
      <c r="G31" s="1229"/>
      <c r="H31" s="1229"/>
      <c r="I31" s="1229"/>
      <c r="J31" s="1229"/>
      <c r="K31" s="1229"/>
      <c r="L31" s="1230"/>
      <c r="M31" s="1229"/>
      <c r="N31" s="1229"/>
      <c r="O31" s="1229"/>
      <c r="P31" s="1229"/>
      <c r="Q31" s="1229"/>
      <c r="S31" s="3519" t="s">
        <v>38</v>
      </c>
      <c r="T31" s="3519"/>
      <c r="U31" s="1233"/>
      <c r="V31" s="3521" t="str">
        <f>IF(TITLE_NAME_OR_PR_CHANGE="",IF(TITLE_NAME_OR_PR="","",TITLE_NAME_OR_PR),TITLE_NAME_OR_PR_CHANGE)</f>
        <v/>
      </c>
      <c r="W31" s="3521"/>
      <c r="X31" s="3521"/>
      <c r="Y31" s="3521"/>
      <c r="Z31" s="3521"/>
      <c r="AA31" s="3521"/>
      <c r="AB31" s="3521"/>
      <c r="AC31" s="237"/>
      <c r="AD31" s="3521" t="str">
        <f>IF(TITLE_NAME_OR_PR_CHANGE="",IF(TITLE_NAME_OR_PR="","",TITLE_NAME_OR_PR),TITLE_NAME_OR_PR_CHANGE)</f>
        <v/>
      </c>
      <c r="AE31" s="3521"/>
      <c r="AF31" s="3521"/>
      <c r="AG31" s="3521"/>
      <c r="AH31" s="3521"/>
      <c r="AI31" s="3521"/>
      <c r="AJ31" s="3521"/>
      <c r="AK31" s="3521"/>
      <c r="AL31" s="3521"/>
      <c r="AM31" s="3521"/>
      <c r="AN31" s="3521"/>
      <c r="AO31" s="3521"/>
      <c r="AP31" s="3521"/>
      <c r="AQ31" s="3521"/>
      <c r="AR31" s="3521"/>
      <c r="AS31" s="3521"/>
      <c r="AT31" s="3521"/>
      <c r="AU31" s="3521"/>
      <c r="AV31" s="3521"/>
      <c r="AW31" s="3521"/>
      <c r="AX31" s="3521"/>
      <c r="AY31" s="3521"/>
      <c r="AZ31" s="3521"/>
      <c r="BA31" s="237"/>
      <c r="BB31" s="237"/>
      <c r="BC31" s="193"/>
      <c r="BD31" s="276"/>
      <c r="BE31" s="276"/>
      <c r="BF31" s="276"/>
      <c r="BG31" s="276"/>
      <c r="BH31" s="276"/>
    </row>
    <row r="32" spans="1:60" s="1944" customFormat="1" ht="18.75" hidden="1" customHeight="1">
      <c r="A32" s="1229"/>
      <c r="B32" s="1229"/>
      <c r="C32" s="1229"/>
      <c r="D32" s="1229"/>
      <c r="E32" s="1229"/>
      <c r="F32" s="1229"/>
      <c r="G32" s="1229"/>
      <c r="H32" s="1229"/>
      <c r="I32" s="1229"/>
      <c r="J32" s="1229"/>
      <c r="K32" s="1229"/>
      <c r="L32" s="1230"/>
      <c r="M32" s="1229"/>
      <c r="N32" s="1229"/>
      <c r="O32" s="1229"/>
      <c r="P32" s="1229"/>
      <c r="Q32" s="1229"/>
      <c r="S32" s="3519" t="s">
        <v>685</v>
      </c>
      <c r="T32" s="3519"/>
      <c r="U32" s="1233"/>
      <c r="V32" s="3520" t="str">
        <f>IF(TITLE_DATE_PR_CHANGE="",IF(TITLE_DATE_PR="","",TITLE_DATE_PR),TITLE_DATE_PR_CHANGE)</f>
        <v/>
      </c>
      <c r="W32" s="3520"/>
      <c r="X32" s="3520"/>
      <c r="Y32" s="3520"/>
      <c r="Z32" s="3520"/>
      <c r="AA32" s="3520"/>
      <c r="AB32" s="3520"/>
      <c r="AC32" s="237"/>
      <c r="AD32" s="3520" t="str">
        <f>IF(TITLE_DATE_PR_CHANGE="",IF(TITLE_DATE_PR="","",TITLE_DATE_PR),TITLE_DATE_PR_CHANGE)</f>
        <v/>
      </c>
      <c r="AE32" s="3520"/>
      <c r="AF32" s="3520"/>
      <c r="AG32" s="3520"/>
      <c r="AH32" s="3520"/>
      <c r="AI32" s="3520"/>
      <c r="AJ32" s="3520"/>
      <c r="AK32" s="3520"/>
      <c r="AL32" s="3520"/>
      <c r="AM32" s="3520"/>
      <c r="AN32" s="3520"/>
      <c r="AO32" s="3520"/>
      <c r="AP32" s="3520"/>
      <c r="AQ32" s="3520"/>
      <c r="AR32" s="3520"/>
      <c r="AS32" s="3520"/>
      <c r="AT32" s="3520"/>
      <c r="AU32" s="3520"/>
      <c r="AV32" s="3520"/>
      <c r="AW32" s="3520"/>
      <c r="AX32" s="3520"/>
      <c r="AY32" s="3520"/>
      <c r="AZ32" s="3520"/>
      <c r="BA32" s="237"/>
      <c r="BB32" s="237"/>
      <c r="BC32" s="193"/>
      <c r="BD32" s="276"/>
      <c r="BE32" s="276"/>
      <c r="BF32" s="276"/>
      <c r="BG32" s="276"/>
      <c r="BH32" s="276"/>
    </row>
    <row r="33" spans="1:60" s="1944" customFormat="1" ht="18.75" hidden="1" customHeight="1">
      <c r="A33" s="1229"/>
      <c r="B33" s="1229"/>
      <c r="C33" s="1229"/>
      <c r="D33" s="1229"/>
      <c r="E33" s="1229"/>
      <c r="F33" s="1229"/>
      <c r="G33" s="1229"/>
      <c r="H33" s="1229"/>
      <c r="I33" s="1229"/>
      <c r="J33" s="1229"/>
      <c r="K33" s="1229"/>
      <c r="L33" s="1230"/>
      <c r="M33" s="1229"/>
      <c r="N33" s="1229"/>
      <c r="O33" s="1229"/>
      <c r="P33" s="1229"/>
      <c r="Q33" s="1229"/>
      <c r="S33" s="3519" t="s">
        <v>686</v>
      </c>
      <c r="T33" s="3519"/>
      <c r="U33" s="1233"/>
      <c r="V33" s="3521" t="str">
        <f>IF(TITLE_NUMBER_PR_CHANGE="",IF(TITLE_NUMBER_PR="","",TITLE_NUMBER_PR),TITLE_NUMBER_PR_CHANGE)</f>
        <v/>
      </c>
      <c r="W33" s="3521"/>
      <c r="X33" s="3521"/>
      <c r="Y33" s="3521"/>
      <c r="Z33" s="3521"/>
      <c r="AA33" s="3521"/>
      <c r="AB33" s="3521"/>
      <c r="AC33" s="237"/>
      <c r="AD33" s="3521" t="str">
        <f>IF(TITLE_NUMBER_PR_CHANGE="",IF(TITLE_NUMBER_PR="","",TITLE_NUMBER_PR),TITLE_NUMBER_PR_CHANGE)</f>
        <v/>
      </c>
      <c r="AE33" s="3521"/>
      <c r="AF33" s="3521"/>
      <c r="AG33" s="3521"/>
      <c r="AH33" s="3521"/>
      <c r="AI33" s="3521"/>
      <c r="AJ33" s="3521"/>
      <c r="AK33" s="3521"/>
      <c r="AL33" s="3521"/>
      <c r="AM33" s="3521"/>
      <c r="AN33" s="3521"/>
      <c r="AO33" s="3521"/>
      <c r="AP33" s="3521"/>
      <c r="AQ33" s="3521"/>
      <c r="AR33" s="3521"/>
      <c r="AS33" s="3521"/>
      <c r="AT33" s="3521"/>
      <c r="AU33" s="3521"/>
      <c r="AV33" s="3521"/>
      <c r="AW33" s="3521"/>
      <c r="AX33" s="3521"/>
      <c r="AY33" s="3521"/>
      <c r="AZ33" s="3521"/>
      <c r="BA33" s="237"/>
      <c r="BB33" s="237"/>
      <c r="BC33" s="193"/>
      <c r="BD33" s="276"/>
      <c r="BE33" s="276"/>
      <c r="BF33" s="276"/>
      <c r="BG33" s="276"/>
      <c r="BH33" s="276"/>
    </row>
    <row r="34" spans="1:60" s="1944" customFormat="1" ht="18.75" hidden="1" customHeight="1">
      <c r="A34" s="1229"/>
      <c r="B34" s="1229"/>
      <c r="C34" s="1229"/>
      <c r="D34" s="1229"/>
      <c r="E34" s="1229"/>
      <c r="F34" s="1229"/>
      <c r="G34" s="1229"/>
      <c r="H34" s="1229"/>
      <c r="I34" s="1229"/>
      <c r="J34" s="1229"/>
      <c r="K34" s="1229"/>
      <c r="L34" s="1230"/>
      <c r="M34" s="1229"/>
      <c r="N34" s="1229"/>
      <c r="O34" s="1229"/>
      <c r="P34" s="1229"/>
      <c r="Q34" s="1229"/>
      <c r="S34" s="3519" t="s">
        <v>39</v>
      </c>
      <c r="T34" s="3519"/>
      <c r="U34" s="1233"/>
      <c r="V34" s="3521" t="str">
        <f>IF(TITLE_IST_PUB_CHANGE="",IF(TITLE_IST_PUB="","",TITLE_IST_PUB),TITLE_IST_PUB_CHANGE)</f>
        <v/>
      </c>
      <c r="W34" s="3521"/>
      <c r="X34" s="3521"/>
      <c r="Y34" s="3521"/>
      <c r="Z34" s="3521"/>
      <c r="AA34" s="3521"/>
      <c r="AB34" s="3521"/>
      <c r="AC34" s="237"/>
      <c r="AD34" s="3521" t="str">
        <f>IF(TITLE_IST_PUB_CHANGE="",IF(TITLE_IST_PUB="","",TITLE_IST_PUB),TITLE_IST_PUB_CHANGE)</f>
        <v/>
      </c>
      <c r="AE34" s="3521"/>
      <c r="AF34" s="3521"/>
      <c r="AG34" s="3521"/>
      <c r="AH34" s="3521"/>
      <c r="AI34" s="3521"/>
      <c r="AJ34" s="3521"/>
      <c r="AK34" s="3521"/>
      <c r="AL34" s="3521"/>
      <c r="AM34" s="3521"/>
      <c r="AN34" s="3521"/>
      <c r="AO34" s="3521"/>
      <c r="AP34" s="3521"/>
      <c r="AQ34" s="3521"/>
      <c r="AR34" s="3521"/>
      <c r="AS34" s="3521"/>
      <c r="AT34" s="3521"/>
      <c r="AU34" s="3521"/>
      <c r="AV34" s="3521"/>
      <c r="AW34" s="3521"/>
      <c r="AX34" s="3521"/>
      <c r="AY34" s="3521"/>
      <c r="AZ34" s="3521"/>
      <c r="BA34" s="237"/>
      <c r="BB34" s="237"/>
      <c r="BC34" s="193"/>
      <c r="BD34" s="276"/>
      <c r="BE34" s="276"/>
      <c r="BF34" s="276"/>
      <c r="BG34" s="276"/>
      <c r="BH34" s="276"/>
    </row>
    <row r="35" spans="1:60" ht="14.25" hidden="1" customHeight="1">
      <c r="Q35" s="203"/>
      <c r="R35" s="283"/>
      <c r="S35" s="1141"/>
      <c r="T35" s="272"/>
      <c r="U35" s="272"/>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407"/>
    </row>
    <row r="36" spans="1:60" s="1944" customFormat="1" ht="18.75" hidden="1" customHeight="1">
      <c r="A36" s="1229"/>
      <c r="B36" s="1229"/>
      <c r="C36" s="1229"/>
      <c r="D36" s="1229"/>
      <c r="E36" s="1229"/>
      <c r="F36" s="1229"/>
      <c r="G36" s="1229"/>
      <c r="H36" s="1229"/>
      <c r="I36" s="1229"/>
      <c r="J36" s="1229"/>
      <c r="K36" s="1229"/>
      <c r="L36" s="1230"/>
      <c r="M36" s="1229"/>
      <c r="N36" s="1229"/>
      <c r="O36" s="1229"/>
      <c r="P36" s="1229"/>
      <c r="Q36" s="1229"/>
      <c r="S36" s="3519" t="s">
        <v>685</v>
      </c>
      <c r="T36" s="3519"/>
      <c r="U36" s="1233"/>
      <c r="V36" s="3520" t="str">
        <f>IF(TITLE_DATE_PR_CHANGE="",IF(TITLE_DATE_PR="","",TITLE_DATE_PR),TITLE_DATE_PR_CHANGE)</f>
        <v/>
      </c>
      <c r="W36" s="3520"/>
      <c r="X36" s="3520"/>
      <c r="Y36" s="3520"/>
      <c r="Z36" s="3520"/>
      <c r="AA36" s="3520"/>
      <c r="AB36" s="3520"/>
      <c r="AC36" s="237"/>
      <c r="AD36" s="3520" t="str">
        <f>IF(TITLE_DATE_PR_CHANGE="",IF(TITLE_DATE_PR="","",TITLE_DATE_PR),TITLE_DATE_PR_CHANGE)</f>
        <v/>
      </c>
      <c r="AE36" s="3520"/>
      <c r="AF36" s="3520"/>
      <c r="AG36" s="3520"/>
      <c r="AH36" s="3520"/>
      <c r="AI36" s="3520"/>
      <c r="AJ36" s="3520"/>
      <c r="AK36" s="3520"/>
      <c r="AL36" s="3520"/>
      <c r="AM36" s="3520"/>
      <c r="AN36" s="3520"/>
      <c r="AO36" s="3520"/>
      <c r="AP36" s="3520"/>
      <c r="AQ36" s="3520"/>
      <c r="AR36" s="3520"/>
      <c r="AS36" s="3520"/>
      <c r="AT36" s="3520"/>
      <c r="AU36" s="3520"/>
      <c r="AV36" s="3520"/>
      <c r="AW36" s="3520"/>
      <c r="AX36" s="3520"/>
      <c r="AY36" s="3520"/>
      <c r="AZ36" s="3520"/>
      <c r="BA36" s="237"/>
      <c r="BB36" s="237"/>
      <c r="BC36" s="193"/>
      <c r="BD36" s="276"/>
      <c r="BE36" s="276"/>
      <c r="BF36" s="276"/>
      <c r="BG36" s="276"/>
      <c r="BH36" s="276"/>
    </row>
    <row r="37" spans="1:60" s="1944" customFormat="1" ht="18.75" hidden="1" customHeight="1">
      <c r="A37" s="1229"/>
      <c r="B37" s="1229"/>
      <c r="C37" s="1229"/>
      <c r="D37" s="1229"/>
      <c r="E37" s="1229"/>
      <c r="F37" s="1229"/>
      <c r="G37" s="1229"/>
      <c r="H37" s="1229"/>
      <c r="I37" s="1229"/>
      <c r="J37" s="1229"/>
      <c r="K37" s="1229"/>
      <c r="L37" s="1230"/>
      <c r="M37" s="1229"/>
      <c r="N37" s="1229"/>
      <c r="O37" s="1229"/>
      <c r="P37" s="1229"/>
      <c r="Q37" s="1229"/>
      <c r="S37" s="3519" t="s">
        <v>686</v>
      </c>
      <c r="T37" s="3519"/>
      <c r="U37" s="1233"/>
      <c r="V37" s="3521" t="str">
        <f>IF(TITLE_NUMBER_PR_CHANGE="",IF(TITLE_NUMBER_PR="","",TITLE_NUMBER_PR),TITLE_NUMBER_PR_CHANGE)</f>
        <v/>
      </c>
      <c r="W37" s="3521"/>
      <c r="X37" s="3521"/>
      <c r="Y37" s="3521"/>
      <c r="Z37" s="3521"/>
      <c r="AA37" s="3521"/>
      <c r="AB37" s="3521"/>
      <c r="AC37" s="237"/>
      <c r="AD37" s="3521" t="str">
        <f>IF(TITLE_NUMBER_PR_CHANGE="",IF(TITLE_NUMBER_PR="","",TITLE_NUMBER_PR),TITLE_NUMBER_PR_CHANGE)</f>
        <v/>
      </c>
      <c r="AE37" s="3521"/>
      <c r="AF37" s="3521"/>
      <c r="AG37" s="3521"/>
      <c r="AH37" s="3521"/>
      <c r="AI37" s="3521"/>
      <c r="AJ37" s="3521"/>
      <c r="AK37" s="3521"/>
      <c r="AL37" s="3521"/>
      <c r="AM37" s="3521"/>
      <c r="AN37" s="3521"/>
      <c r="AO37" s="3521"/>
      <c r="AP37" s="3521"/>
      <c r="AQ37" s="3521"/>
      <c r="AR37" s="3521"/>
      <c r="AS37" s="3521"/>
      <c r="AT37" s="3521"/>
      <c r="AU37" s="3521"/>
      <c r="AV37" s="3521"/>
      <c r="AW37" s="3521"/>
      <c r="AX37" s="3521"/>
      <c r="AY37" s="3521"/>
      <c r="AZ37" s="3521"/>
      <c r="BA37" s="237"/>
      <c r="BB37" s="237"/>
      <c r="BC37" s="193"/>
      <c r="BD37" s="276"/>
      <c r="BE37" s="276"/>
      <c r="BF37" s="276"/>
      <c r="BG37" s="276"/>
      <c r="BH37" s="276"/>
    </row>
    <row r="38" spans="1:60" s="1944" customFormat="1" ht="0" hidden="1" customHeight="1">
      <c r="A38" s="1229"/>
      <c r="B38" s="1229"/>
      <c r="C38" s="1229"/>
      <c r="D38" s="1229"/>
      <c r="E38" s="1229"/>
      <c r="F38" s="1229"/>
      <c r="G38" s="1229"/>
      <c r="H38" s="1229"/>
      <c r="I38" s="1229"/>
      <c r="J38" s="1229"/>
      <c r="K38" s="1229"/>
      <c r="L38" s="1230"/>
      <c r="M38" s="1229"/>
      <c r="N38" s="1229"/>
      <c r="O38" s="1229"/>
      <c r="P38" s="1229"/>
      <c r="Q38" s="1229"/>
      <c r="S38" s="234"/>
      <c r="T38" s="234"/>
      <c r="U38" s="1343"/>
      <c r="V38" s="237"/>
      <c r="W38" s="237"/>
      <c r="X38" s="237"/>
      <c r="Y38" s="237"/>
      <c r="Z38" s="237"/>
      <c r="AA38" s="237"/>
      <c r="AB38" s="237"/>
      <c r="AC38" s="191" t="s">
        <v>689</v>
      </c>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191" t="s">
        <v>689</v>
      </c>
      <c r="BD38" s="276"/>
      <c r="BE38" s="276"/>
      <c r="BF38" s="276"/>
      <c r="BG38" s="276"/>
      <c r="BH38" s="276"/>
    </row>
    <row r="39" spans="1:60" ht="14.25" customHeight="1">
      <c r="Q39" s="203"/>
      <c r="R39" s="283"/>
      <c r="S39" s="1141"/>
      <c r="T39" s="272"/>
      <c r="U39" s="1110"/>
      <c r="V39" s="3540"/>
      <c r="W39" s="3540"/>
      <c r="X39" s="3540"/>
      <c r="Y39" s="3540"/>
      <c r="Z39" s="3540"/>
      <c r="AA39" s="3540"/>
      <c r="AB39" s="3540"/>
      <c r="AC39" s="3540"/>
      <c r="AD39" s="3540"/>
      <c r="AE39" s="3540"/>
      <c r="AF39" s="3540"/>
      <c r="AG39" s="3540"/>
      <c r="AH39" s="3540"/>
      <c r="AI39" s="3540"/>
      <c r="AJ39" s="3540"/>
      <c r="AK39" s="3540"/>
      <c r="AL39" s="3540"/>
      <c r="AM39" s="3540"/>
      <c r="AN39" s="3540"/>
      <c r="AO39" s="3540"/>
      <c r="AP39" s="3540"/>
      <c r="AQ39" s="3540"/>
      <c r="AR39" s="3540"/>
      <c r="AS39" s="3540"/>
      <c r="AT39" s="3540"/>
      <c r="AU39" s="3540"/>
      <c r="AV39" s="3540"/>
      <c r="AW39" s="3540"/>
      <c r="AX39" s="3540"/>
      <c r="AY39" s="3540"/>
      <c r="AZ39" s="3540"/>
      <c r="BA39" s="3540"/>
    </row>
    <row r="40" spans="1:60" ht="14.25" customHeight="1">
      <c r="Q40" s="203"/>
      <c r="R40" s="283"/>
      <c r="S40" s="3401" t="s">
        <v>560</v>
      </c>
      <c r="T40" s="3401"/>
      <c r="U40" s="3401"/>
      <c r="V40" s="3401"/>
      <c r="W40" s="3401"/>
      <c r="X40" s="3401"/>
      <c r="Y40" s="3401"/>
      <c r="Z40" s="3401"/>
      <c r="AA40" s="3401"/>
      <c r="AB40" s="3401"/>
      <c r="AC40" s="3401"/>
      <c r="AD40" s="3401"/>
      <c r="AE40" s="3401"/>
      <c r="AF40" s="3401"/>
      <c r="AG40" s="3401"/>
      <c r="AH40" s="3401"/>
      <c r="AI40" s="3401"/>
      <c r="AJ40" s="3401"/>
      <c r="AK40" s="3401"/>
      <c r="AL40" s="3401"/>
      <c r="AM40" s="3401"/>
      <c r="AN40" s="3401"/>
      <c r="AO40" s="3401"/>
      <c r="AP40" s="3401"/>
      <c r="AQ40" s="3401"/>
      <c r="AR40" s="3401"/>
      <c r="AS40" s="3401"/>
      <c r="AT40" s="3401"/>
      <c r="AU40" s="3401"/>
      <c r="AV40" s="3401"/>
      <c r="AW40" s="3401"/>
      <c r="AX40" s="3401"/>
      <c r="AY40" s="3401"/>
      <c r="AZ40" s="3401"/>
      <c r="BA40" s="3401"/>
      <c r="BB40" s="3401"/>
      <c r="BC40" s="3401" t="s">
        <v>561</v>
      </c>
    </row>
    <row r="41" spans="1:60" ht="14.25" customHeight="1">
      <c r="Q41" s="203"/>
      <c r="R41" s="283"/>
      <c r="S41" s="3541" t="s">
        <v>85</v>
      </c>
      <c r="T41" s="3489" t="s">
        <v>770</v>
      </c>
      <c r="U41" s="212"/>
      <c r="V41" s="3542" t="s">
        <v>691</v>
      </c>
      <c r="W41" s="3543"/>
      <c r="X41" s="3543"/>
      <c r="Y41" s="3543"/>
      <c r="Z41" s="3543"/>
      <c r="AA41" s="3543"/>
      <c r="AB41" s="3544"/>
      <c r="AC41" s="3545" t="s">
        <v>692</v>
      </c>
      <c r="AD41" s="3567" t="s">
        <v>771</v>
      </c>
      <c r="AE41" s="3558"/>
      <c r="AF41" s="3558"/>
      <c r="AG41" s="3568"/>
      <c r="AH41" s="3567" t="s">
        <v>772</v>
      </c>
      <c r="AI41" s="3558"/>
      <c r="AJ41" s="3558"/>
      <c r="AK41" s="3568"/>
      <c r="AL41" s="3567" t="s">
        <v>773</v>
      </c>
      <c r="AM41" s="3558"/>
      <c r="AN41" s="3558"/>
      <c r="AO41" s="3568"/>
      <c r="AP41" s="3567" t="s">
        <v>774</v>
      </c>
      <c r="AQ41" s="3558"/>
      <c r="AR41" s="3558"/>
      <c r="AS41" s="3568"/>
      <c r="AT41" s="3542" t="s">
        <v>691</v>
      </c>
      <c r="AU41" s="3543"/>
      <c r="AV41" s="3543"/>
      <c r="AW41" s="3543"/>
      <c r="AX41" s="3543"/>
      <c r="AY41" s="3543"/>
      <c r="AZ41" s="3544"/>
      <c r="BA41" s="3545" t="s">
        <v>692</v>
      </c>
      <c r="BB41" s="3548" t="s">
        <v>694</v>
      </c>
      <c r="BC41" s="3401"/>
    </row>
    <row r="42" spans="1:60" ht="33.75" customHeight="1">
      <c r="Q42" s="203"/>
      <c r="R42" s="283"/>
      <c r="S42" s="3541"/>
      <c r="T42" s="3489"/>
      <c r="U42" s="901"/>
      <c r="V42" s="3459" t="s">
        <v>775</v>
      </c>
      <c r="W42" s="3460"/>
      <c r="X42" s="3459" t="s">
        <v>776</v>
      </c>
      <c r="Y42" s="3460"/>
      <c r="Z42" s="3459" t="s">
        <v>777</v>
      </c>
      <c r="AA42" s="3563"/>
      <c r="AB42" s="3460"/>
      <c r="AC42" s="3546"/>
      <c r="AD42" s="3569"/>
      <c r="AE42" s="3570"/>
      <c r="AF42" s="3570"/>
      <c r="AG42" s="3582"/>
      <c r="AH42" s="3569"/>
      <c r="AI42" s="3570"/>
      <c r="AJ42" s="3570"/>
      <c r="AK42" s="3582"/>
      <c r="AL42" s="3569"/>
      <c r="AM42" s="3570"/>
      <c r="AN42" s="3570"/>
      <c r="AO42" s="3582"/>
      <c r="AP42" s="3569"/>
      <c r="AQ42" s="3570"/>
      <c r="AR42" s="3570"/>
      <c r="AS42" s="3582"/>
      <c r="AT42" s="3459" t="s">
        <v>775</v>
      </c>
      <c r="AU42" s="3460"/>
      <c r="AV42" s="3459" t="s">
        <v>776</v>
      </c>
      <c r="AW42" s="3460"/>
      <c r="AX42" s="3459" t="s">
        <v>777</v>
      </c>
      <c r="AY42" s="3563"/>
      <c r="AZ42" s="3460"/>
      <c r="BA42" s="3546"/>
      <c r="BB42" s="3549"/>
      <c r="BC42" s="3401"/>
    </row>
    <row r="43" spans="1:60" ht="14.25" customHeight="1">
      <c r="Q43" s="203"/>
      <c r="R43" s="283"/>
      <c r="S43" s="3541"/>
      <c r="T43" s="3489"/>
      <c r="U43" s="901"/>
      <c r="V43" s="3464"/>
      <c r="W43" s="3465"/>
      <c r="X43" s="3464"/>
      <c r="Y43" s="3465"/>
      <c r="Z43" s="3464"/>
      <c r="AA43" s="3564"/>
      <c r="AB43" s="3465"/>
      <c r="AC43" s="3546"/>
      <c r="AD43" s="3569"/>
      <c r="AE43" s="3570"/>
      <c r="AF43" s="3570"/>
      <c r="AG43" s="3582"/>
      <c r="AH43" s="3569"/>
      <c r="AI43" s="3570"/>
      <c r="AJ43" s="3570"/>
      <c r="AK43" s="3582"/>
      <c r="AL43" s="3569"/>
      <c r="AM43" s="3570"/>
      <c r="AN43" s="3570"/>
      <c r="AO43" s="3582"/>
      <c r="AP43" s="3569"/>
      <c r="AQ43" s="3570"/>
      <c r="AR43" s="3570"/>
      <c r="AS43" s="3582"/>
      <c r="AT43" s="3464"/>
      <c r="AU43" s="3465"/>
      <c r="AV43" s="3464"/>
      <c r="AW43" s="3465"/>
      <c r="AX43" s="3464"/>
      <c r="AY43" s="3564"/>
      <c r="AZ43" s="3465"/>
      <c r="BA43" s="3546"/>
      <c r="BB43" s="3549"/>
      <c r="BC43" s="3401"/>
    </row>
    <row r="44" spans="1:60" ht="14.25" customHeight="1">
      <c r="A44" s="1231"/>
      <c r="B44" s="1231" t="s">
        <v>403</v>
      </c>
      <c r="C44" s="1231" t="s">
        <v>404</v>
      </c>
      <c r="D44" s="1231" t="s">
        <v>405</v>
      </c>
      <c r="E44" s="1225" t="s">
        <v>699</v>
      </c>
      <c r="F44" s="1225" t="s">
        <v>700</v>
      </c>
      <c r="G44" s="1225" t="s">
        <v>701</v>
      </c>
      <c r="H44" s="1225" t="s">
        <v>702</v>
      </c>
      <c r="I44" s="1225" t="s">
        <v>703</v>
      </c>
      <c r="J44" s="1225" t="s">
        <v>704</v>
      </c>
      <c r="K44" s="1225" t="s">
        <v>705</v>
      </c>
      <c r="L44" s="1225" t="s">
        <v>680</v>
      </c>
      <c r="Q44" s="203"/>
      <c r="R44" s="283"/>
      <c r="S44" s="3541"/>
      <c r="T44" s="3489"/>
      <c r="U44" s="213"/>
      <c r="V44" s="1334" t="s">
        <v>741</v>
      </c>
      <c r="W44" s="1334" t="s">
        <v>742</v>
      </c>
      <c r="X44" s="1334" t="s">
        <v>741</v>
      </c>
      <c r="Y44" s="1334" t="s">
        <v>742</v>
      </c>
      <c r="Z44" s="1344" t="s">
        <v>708</v>
      </c>
      <c r="AA44" s="3494" t="s">
        <v>709</v>
      </c>
      <c r="AB44" s="3508"/>
      <c r="AC44" s="3547"/>
      <c r="AD44" s="3571"/>
      <c r="AE44" s="3572"/>
      <c r="AF44" s="3572"/>
      <c r="AG44" s="3573"/>
      <c r="AH44" s="3571"/>
      <c r="AI44" s="3572"/>
      <c r="AJ44" s="3572"/>
      <c r="AK44" s="3573"/>
      <c r="AL44" s="3571"/>
      <c r="AM44" s="3572"/>
      <c r="AN44" s="3572"/>
      <c r="AO44" s="3573"/>
      <c r="AP44" s="3571"/>
      <c r="AQ44" s="3572"/>
      <c r="AR44" s="3572"/>
      <c r="AS44" s="3573"/>
      <c r="AT44" s="1334" t="s">
        <v>741</v>
      </c>
      <c r="AU44" s="1334" t="s">
        <v>742</v>
      </c>
      <c r="AV44" s="1334" t="s">
        <v>741</v>
      </c>
      <c r="AW44" s="1334" t="s">
        <v>742</v>
      </c>
      <c r="AX44" s="1344" t="s">
        <v>708</v>
      </c>
      <c r="AY44" s="3494" t="s">
        <v>709</v>
      </c>
      <c r="AZ44" s="3508"/>
      <c r="BA44" s="3547"/>
      <c r="BB44" s="3550"/>
      <c r="BC44" s="3401"/>
    </row>
    <row r="45" spans="1:60" s="1838" customFormat="1" ht="0" hidden="1" customHeight="1">
      <c r="A45" s="1231"/>
      <c r="B45" s="1231"/>
      <c r="C45" s="1231"/>
      <c r="D45" s="1231"/>
      <c r="E45" s="1231"/>
      <c r="F45" s="1231"/>
      <c r="G45" s="1231"/>
      <c r="H45" s="1231"/>
      <c r="I45" s="1231"/>
      <c r="J45" s="1231"/>
      <c r="K45" s="1231"/>
      <c r="L45" s="1225"/>
      <c r="M45" s="1223"/>
      <c r="N45" s="1223"/>
      <c r="O45" s="1223"/>
      <c r="P45" s="408"/>
      <c r="Q45" s="1120"/>
      <c r="R45" s="1120">
        <v>1</v>
      </c>
      <c r="S45" s="1143" t="s">
        <v>106</v>
      </c>
      <c r="T45" s="1121" t="s">
        <v>107</v>
      </c>
      <c r="U45" s="1111" t="str">
        <f ca="1">OFFSET(U45,0,-1)</f>
        <v>2</v>
      </c>
      <c r="V45" s="1337">
        <f t="shared" ref="V45:AA45" ca="1" si="2">OFFSET(V45,0,-1)+1</f>
        <v>3</v>
      </c>
      <c r="W45" s="1337">
        <f t="shared" ca="1" si="2"/>
        <v>4</v>
      </c>
      <c r="X45" s="1337">
        <f t="shared" ca="1" si="2"/>
        <v>5</v>
      </c>
      <c r="Y45" s="1337">
        <f t="shared" ca="1" si="2"/>
        <v>6</v>
      </c>
      <c r="Z45" s="1337">
        <f t="shared" ca="1" si="2"/>
        <v>7</v>
      </c>
      <c r="AA45" s="3539">
        <f t="shared" ca="1" si="2"/>
        <v>8</v>
      </c>
      <c r="AB45" s="3539"/>
      <c r="AC45" s="1337">
        <f ca="1">OFFSET(AC45,0,-2)+1</f>
        <v>9</v>
      </c>
      <c r="AD45" s="1337">
        <f ca="1">OFFSET(AD45,0,-1)+1</f>
        <v>10</v>
      </c>
      <c r="AE45" s="1337"/>
      <c r="AF45" s="1337"/>
      <c r="AG45" s="1337"/>
      <c r="AH45" s="1337"/>
      <c r="AI45" s="1337"/>
      <c r="AJ45" s="1337"/>
      <c r="AK45" s="1337"/>
      <c r="AL45" s="1337"/>
      <c r="AM45" s="1337"/>
      <c r="AN45" s="1337"/>
      <c r="AO45" s="1337"/>
      <c r="AP45" s="1337"/>
      <c r="AQ45" s="1337"/>
      <c r="AR45" s="1337"/>
      <c r="AS45" s="1337"/>
      <c r="AT45" s="1337"/>
      <c r="AU45" s="1337"/>
      <c r="AV45" s="1337"/>
      <c r="AW45" s="1337">
        <f ca="1">OFFSET(AW45,0,-1)+1</f>
        <v>1</v>
      </c>
      <c r="AX45" s="1337">
        <f ca="1">OFFSET(AX45,0,-1)+1</f>
        <v>2</v>
      </c>
      <c r="AY45" s="3539">
        <f ca="1">OFFSET(AY45,0,-1)+1</f>
        <v>3</v>
      </c>
      <c r="AZ45" s="3539"/>
      <c r="BA45" s="1337">
        <f ca="1">OFFSET(BA45,0,-2)+1</f>
        <v>4</v>
      </c>
      <c r="BB45" s="1111">
        <f ca="1">OFFSET(BB45,0,-1)</f>
        <v>4</v>
      </c>
      <c r="BC45" s="1337">
        <f ca="1">OFFSET(BC45,0,-1)+1</f>
        <v>5</v>
      </c>
      <c r="BD45" s="409"/>
      <c r="BE45" s="409"/>
      <c r="BF45" s="409"/>
      <c r="BG45" s="409"/>
      <c r="BH45" s="409"/>
    </row>
    <row r="46" spans="1:60" ht="21" customHeight="1">
      <c r="A46" s="1224" t="s">
        <v>521</v>
      </c>
      <c r="B46" s="1224"/>
      <c r="C46" s="1224"/>
      <c r="D46" s="1224"/>
      <c r="E46" s="3528">
        <v>1</v>
      </c>
      <c r="F46" s="1224"/>
      <c r="G46" s="1224"/>
      <c r="H46" s="1224"/>
      <c r="I46" s="1224"/>
      <c r="J46" s="1224"/>
      <c r="K46" s="1224"/>
      <c r="L46" s="1225"/>
      <c r="M46" s="1226"/>
      <c r="N46" s="1226"/>
      <c r="O46" s="1226"/>
      <c r="P46" s="1270"/>
      <c r="Q46" s="750"/>
      <c r="R46" s="264"/>
      <c r="S46" s="1348" t="e">
        <f>INDEX(PT_DIFFERENTIATION_NUM_NTAR,MATCH(A46,PT_DIFFERENTIATION_NTAR_ID,0))</f>
        <v>#REF!</v>
      </c>
      <c r="T46" s="209" t="s">
        <v>391</v>
      </c>
      <c r="U46" s="211"/>
      <c r="V46" s="3523"/>
      <c r="W46" s="3523"/>
      <c r="X46" s="3523"/>
      <c r="Y46" s="3523"/>
      <c r="Z46" s="3523"/>
      <c r="AA46" s="3523"/>
      <c r="AB46" s="3523"/>
      <c r="AC46" s="3524"/>
      <c r="AD46" s="3522" t="e">
        <f>INDEX(PT_DIFFERENTIATION_NTAR,MATCH(A46,PT_DIFFERENTIATION_NTAR_ID,0))</f>
        <v>#REF!</v>
      </c>
      <c r="AE46" s="3523"/>
      <c r="AF46" s="3523"/>
      <c r="AG46" s="3523"/>
      <c r="AH46" s="3523"/>
      <c r="AI46" s="3523"/>
      <c r="AJ46" s="3523"/>
      <c r="AK46" s="3523"/>
      <c r="AL46" s="3523"/>
      <c r="AM46" s="3523"/>
      <c r="AN46" s="3523"/>
      <c r="AO46" s="3523"/>
      <c r="AP46" s="3523"/>
      <c r="AQ46" s="3523"/>
      <c r="AR46" s="3523"/>
      <c r="AS46" s="3523"/>
      <c r="AT46" s="3523"/>
      <c r="AU46" s="3523"/>
      <c r="AV46" s="3523"/>
      <c r="AW46" s="3523"/>
      <c r="AX46" s="3523"/>
      <c r="AY46" s="3523"/>
      <c r="AZ46" s="3523"/>
      <c r="BA46" s="3523"/>
      <c r="BB46" s="3524"/>
      <c r="BC46" s="112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398"/>
      <c r="BF46" s="398" t="str">
        <f t="shared" ref="BF46:BF52" si="3">IF(T46="","",T46)</f>
        <v>Наименование тарифа</v>
      </c>
      <c r="BG46" s="398"/>
      <c r="BH46" s="398"/>
    </row>
    <row r="47" spans="1:60" ht="21" customHeight="1">
      <c r="A47" s="1224" t="s">
        <v>521</v>
      </c>
      <c r="B47" s="1224" t="s">
        <v>522</v>
      </c>
      <c r="C47" s="1224"/>
      <c r="D47" s="1224"/>
      <c r="E47" s="3529"/>
      <c r="F47" s="3528">
        <v>1</v>
      </c>
      <c r="G47" s="1224"/>
      <c r="H47" s="1224"/>
      <c r="I47" s="1224"/>
      <c r="J47" s="1224"/>
      <c r="K47" s="1224"/>
      <c r="L47" s="1225"/>
      <c r="M47" s="1226"/>
      <c r="N47" s="1226"/>
      <c r="O47" s="1226"/>
      <c r="P47" s="1271"/>
      <c r="Q47" s="1272"/>
      <c r="R47" s="262"/>
      <c r="S47" s="1348" t="e">
        <f>INDEX(PT_DIFFERENTIATION_NUM_TER,MATCH(B47,PT_DIFFERENTIATION_TER_ID,0))</f>
        <v>#REF!</v>
      </c>
      <c r="T47" s="219" t="s">
        <v>659</v>
      </c>
      <c r="U47" s="211"/>
      <c r="V47" s="3523"/>
      <c r="W47" s="3523"/>
      <c r="X47" s="3523"/>
      <c r="Y47" s="3523"/>
      <c r="Z47" s="3523"/>
      <c r="AA47" s="3523"/>
      <c r="AB47" s="3523"/>
      <c r="AC47" s="3524"/>
      <c r="AD47" s="3522" t="e">
        <f>INDEX(PT_DIFFERENTIATION_TER,MATCH(B47,PT_DIFFERENTIATION_TER_ID,0))</f>
        <v>#REF!</v>
      </c>
      <c r="AE47" s="3523"/>
      <c r="AF47" s="3523"/>
      <c r="AG47" s="3523"/>
      <c r="AH47" s="3523"/>
      <c r="AI47" s="3523"/>
      <c r="AJ47" s="3523"/>
      <c r="AK47" s="3523"/>
      <c r="AL47" s="3523"/>
      <c r="AM47" s="3523"/>
      <c r="AN47" s="3523"/>
      <c r="AO47" s="3523"/>
      <c r="AP47" s="3523"/>
      <c r="AQ47" s="3523"/>
      <c r="AR47" s="3523"/>
      <c r="AS47" s="3523"/>
      <c r="AT47" s="3523"/>
      <c r="AU47" s="3523"/>
      <c r="AV47" s="3523"/>
      <c r="AW47" s="3523"/>
      <c r="AX47" s="3523"/>
      <c r="AY47" s="3523"/>
      <c r="AZ47" s="3523"/>
      <c r="BA47" s="3523"/>
      <c r="BB47" s="3524"/>
      <c r="BC47" s="1124" t="s">
        <v>660</v>
      </c>
      <c r="BE47" s="398"/>
      <c r="BF47" s="398" t="str">
        <f t="shared" si="3"/>
        <v>Территория действия тарифа</v>
      </c>
      <c r="BG47" s="398"/>
      <c r="BH47" s="398"/>
    </row>
    <row r="48" spans="1:60" ht="33.75" customHeight="1">
      <c r="A48" s="1224" t="s">
        <v>521</v>
      </c>
      <c r="B48" s="1224" t="s">
        <v>522</v>
      </c>
      <c r="C48" s="1224" t="s">
        <v>523</v>
      </c>
      <c r="D48" s="1224"/>
      <c r="E48" s="3529"/>
      <c r="F48" s="3529"/>
      <c r="G48" s="3528">
        <v>1</v>
      </c>
      <c r="H48" s="1224"/>
      <c r="I48" s="1224"/>
      <c r="J48" s="1224"/>
      <c r="K48" s="1224"/>
      <c r="L48" s="1225"/>
      <c r="M48" s="1226"/>
      <c r="N48" s="1226"/>
      <c r="O48" s="1226"/>
      <c r="P48" s="1273"/>
      <c r="Q48" s="1272"/>
      <c r="R48" s="262"/>
      <c r="S48" s="1348" t="e">
        <f>INDEX(PT_DIFFERENTIATION_NUM_CS,MATCH(C48,PT_DIFFERENTIATION_CS_ID,0))</f>
        <v>#REF!</v>
      </c>
      <c r="T48" s="220" t="s">
        <v>793</v>
      </c>
      <c r="U48" s="211"/>
      <c r="V48" s="3523"/>
      <c r="W48" s="3523"/>
      <c r="X48" s="3523"/>
      <c r="Y48" s="3523"/>
      <c r="Z48" s="3523"/>
      <c r="AA48" s="3523"/>
      <c r="AB48" s="3523"/>
      <c r="AC48" s="3524"/>
      <c r="AD48" s="3522" t="e">
        <f>INDEX(PT_DIFFERENTIATION_CS,MATCH(C48,PT_DIFFERENTIATION_CS_ID,0))</f>
        <v>#REF!</v>
      </c>
      <c r="AE48" s="3523"/>
      <c r="AF48" s="3523"/>
      <c r="AG48" s="3523"/>
      <c r="AH48" s="3523"/>
      <c r="AI48" s="3523"/>
      <c r="AJ48" s="3523"/>
      <c r="AK48" s="3523"/>
      <c r="AL48" s="3523"/>
      <c r="AM48" s="3523"/>
      <c r="AN48" s="3523"/>
      <c r="AO48" s="3523"/>
      <c r="AP48" s="3523"/>
      <c r="AQ48" s="3523"/>
      <c r="AR48" s="3523"/>
      <c r="AS48" s="3523"/>
      <c r="AT48" s="3523"/>
      <c r="AU48" s="3523"/>
      <c r="AV48" s="3523"/>
      <c r="AW48" s="3523"/>
      <c r="AX48" s="3523"/>
      <c r="AY48" s="3523"/>
      <c r="AZ48" s="3523"/>
      <c r="BA48" s="3523"/>
      <c r="BB48" s="3524"/>
      <c r="BC48" s="1124" t="s">
        <v>794</v>
      </c>
      <c r="BE48" s="398"/>
      <c r="BF48" s="398" t="str">
        <f t="shared" si="3"/>
        <v>Наименование централизованной системы горячего водоснабжения</v>
      </c>
      <c r="BG48" s="398"/>
      <c r="BH48" s="398"/>
    </row>
    <row r="49" spans="1:60" s="1866" customFormat="1" ht="0" hidden="1" customHeight="1">
      <c r="A49" s="1205" t="s">
        <v>521</v>
      </c>
      <c r="B49" s="1205" t="s">
        <v>522</v>
      </c>
      <c r="C49" s="1205" t="s">
        <v>523</v>
      </c>
      <c r="D49" s="1205" t="s">
        <v>809</v>
      </c>
      <c r="E49" s="3529"/>
      <c r="F49" s="3529"/>
      <c r="G49" s="3529"/>
      <c r="H49" s="3528">
        <v>1</v>
      </c>
      <c r="I49" s="1205"/>
      <c r="J49" s="1205"/>
      <c r="K49" s="1205"/>
      <c r="L49" s="1208"/>
      <c r="M49" s="1178"/>
      <c r="N49" s="1178"/>
      <c r="O49" s="1178"/>
      <c r="P49" s="1352"/>
      <c r="Q49" s="1353"/>
      <c r="R49" s="266"/>
      <c r="S49" s="912"/>
      <c r="T49" s="1354"/>
      <c r="U49" s="1245"/>
      <c r="V49" s="3560"/>
      <c r="W49" s="3560"/>
      <c r="X49" s="3560"/>
      <c r="Y49" s="3560"/>
      <c r="Z49" s="3560"/>
      <c r="AA49" s="3560"/>
      <c r="AB49" s="3560"/>
      <c r="AC49" s="3561"/>
      <c r="AD49" s="3559"/>
      <c r="AE49" s="3560"/>
      <c r="AF49" s="3560"/>
      <c r="AG49" s="3560"/>
      <c r="AH49" s="3560"/>
      <c r="AI49" s="3560"/>
      <c r="AJ49" s="3560"/>
      <c r="AK49" s="3560"/>
      <c r="AL49" s="3560"/>
      <c r="AM49" s="3560"/>
      <c r="AN49" s="3560"/>
      <c r="AO49" s="3560"/>
      <c r="AP49" s="3560"/>
      <c r="AQ49" s="3560"/>
      <c r="AR49" s="3560"/>
      <c r="AS49" s="3560"/>
      <c r="AT49" s="3560"/>
      <c r="AU49" s="3560"/>
      <c r="AV49" s="3560"/>
      <c r="AW49" s="3560"/>
      <c r="AX49" s="3560"/>
      <c r="AY49" s="3560"/>
      <c r="AZ49" s="3560"/>
      <c r="BA49" s="3560"/>
      <c r="BB49" s="3561"/>
      <c r="BC49" s="1246" t="s">
        <v>664</v>
      </c>
      <c r="BE49" s="398"/>
      <c r="BF49" s="398" t="str">
        <f t="shared" si="3"/>
        <v/>
      </c>
      <c r="BG49" s="398"/>
      <c r="BH49" s="398"/>
    </row>
    <row r="50" spans="1:60" s="1866" customFormat="1" ht="0" hidden="1" customHeight="1">
      <c r="A50" s="1205" t="s">
        <v>521</v>
      </c>
      <c r="B50" s="1205" t="s">
        <v>522</v>
      </c>
      <c r="C50" s="1205" t="s">
        <v>523</v>
      </c>
      <c r="D50" s="1205" t="s">
        <v>809</v>
      </c>
      <c r="E50" s="3529"/>
      <c r="F50" s="3529"/>
      <c r="G50" s="3529"/>
      <c r="H50" s="3529"/>
      <c r="I50" s="3530" t="str">
        <f>S49&amp;".1"</f>
        <v>.1</v>
      </c>
      <c r="J50" s="1205"/>
      <c r="K50" s="1205"/>
      <c r="L50" s="1208" t="s">
        <v>665</v>
      </c>
      <c r="M50" s="408"/>
      <c r="N50" s="408"/>
      <c r="O50" s="408"/>
      <c r="P50" s="3532">
        <v>1</v>
      </c>
      <c r="Q50" s="1336"/>
      <c r="R50" s="265"/>
      <c r="S50" s="912"/>
      <c r="T50" s="1244"/>
      <c r="U50" s="1245"/>
      <c r="V50" s="3560"/>
      <c r="W50" s="3560"/>
      <c r="X50" s="3560"/>
      <c r="Y50" s="3560"/>
      <c r="Z50" s="3560"/>
      <c r="AA50" s="3560"/>
      <c r="AB50" s="3560"/>
      <c r="AC50" s="3561"/>
      <c r="AD50" s="3559"/>
      <c r="AE50" s="3560"/>
      <c r="AF50" s="3560"/>
      <c r="AG50" s="3560"/>
      <c r="AH50" s="3560"/>
      <c r="AI50" s="3560"/>
      <c r="AJ50" s="3560"/>
      <c r="AK50" s="3560"/>
      <c r="AL50" s="3560"/>
      <c r="AM50" s="3560"/>
      <c r="AN50" s="3560"/>
      <c r="AO50" s="3560"/>
      <c r="AP50" s="3560"/>
      <c r="AQ50" s="3560"/>
      <c r="AR50" s="3560"/>
      <c r="AS50" s="3560"/>
      <c r="AT50" s="3560"/>
      <c r="AU50" s="3560"/>
      <c r="AV50" s="3560"/>
      <c r="AW50" s="3560"/>
      <c r="AX50" s="3560"/>
      <c r="AY50" s="3560"/>
      <c r="AZ50" s="3560"/>
      <c r="BA50" s="3560"/>
      <c r="BB50" s="3561"/>
      <c r="BC50" s="1246"/>
      <c r="BE50" s="398"/>
      <c r="BF50" s="398" t="str">
        <f t="shared" si="3"/>
        <v/>
      </c>
      <c r="BG50" s="398"/>
      <c r="BH50" s="398"/>
    </row>
    <row r="51" spans="1:60" s="1866" customFormat="1" ht="0" hidden="1" customHeight="1">
      <c r="A51" s="1205" t="s">
        <v>521</v>
      </c>
      <c r="B51" s="1205" t="s">
        <v>522</v>
      </c>
      <c r="C51" s="1205" t="s">
        <v>523</v>
      </c>
      <c r="D51" s="1205" t="s">
        <v>809</v>
      </c>
      <c r="E51" s="3529"/>
      <c r="F51" s="3529"/>
      <c r="G51" s="3529"/>
      <c r="H51" s="3529"/>
      <c r="I51" s="3531"/>
      <c r="J51" s="3530" t="str">
        <f>S49&amp;".1"</f>
        <v>.1</v>
      </c>
      <c r="K51" s="1205"/>
      <c r="L51" s="1208"/>
      <c r="M51" s="408"/>
      <c r="N51" s="408"/>
      <c r="O51" s="408"/>
      <c r="P51" s="3532"/>
      <c r="Q51" s="3532">
        <v>1</v>
      </c>
      <c r="R51" s="266"/>
      <c r="S51" s="912"/>
      <c r="T51" s="1260"/>
      <c r="U51" s="1245"/>
      <c r="V51" s="3560"/>
      <c r="W51" s="3560"/>
      <c r="X51" s="3560"/>
      <c r="Y51" s="3560"/>
      <c r="Z51" s="3560"/>
      <c r="AA51" s="3560"/>
      <c r="AB51" s="3560"/>
      <c r="AC51" s="3561"/>
      <c r="AD51" s="3559"/>
      <c r="AE51" s="3560"/>
      <c r="AF51" s="3560"/>
      <c r="AG51" s="3560"/>
      <c r="AH51" s="3560"/>
      <c r="AI51" s="3560"/>
      <c r="AJ51" s="3560"/>
      <c r="AK51" s="3560"/>
      <c r="AL51" s="3560"/>
      <c r="AM51" s="3560"/>
      <c r="AN51" s="3604"/>
      <c r="AO51" s="3604"/>
      <c r="AP51" s="3560"/>
      <c r="AQ51" s="3560"/>
      <c r="AR51" s="3560"/>
      <c r="AS51" s="3560"/>
      <c r="AT51" s="3560"/>
      <c r="AU51" s="3560"/>
      <c r="AV51" s="3560"/>
      <c r="AW51" s="3560"/>
      <c r="AX51" s="3560"/>
      <c r="AY51" s="3560"/>
      <c r="AZ51" s="3560"/>
      <c r="BA51" s="3560"/>
      <c r="BB51" s="3561"/>
      <c r="BC51" s="1246"/>
      <c r="BE51" s="398"/>
      <c r="BF51" s="398" t="str">
        <f t="shared" si="3"/>
        <v/>
      </c>
      <c r="BG51" s="398"/>
      <c r="BH51" s="398"/>
    </row>
    <row r="52" spans="1:60" ht="11.25" customHeight="1">
      <c r="A52" s="1224" t="s">
        <v>521</v>
      </c>
      <c r="B52" s="1224" t="s">
        <v>522</v>
      </c>
      <c r="C52" s="1224" t="s">
        <v>523</v>
      </c>
      <c r="D52" s="1224" t="s">
        <v>809</v>
      </c>
      <c r="E52" s="3529"/>
      <c r="F52" s="3529"/>
      <c r="G52" s="3529"/>
      <c r="H52" s="3529"/>
      <c r="I52" s="3531"/>
      <c r="J52" s="3531"/>
      <c r="K52" s="3530" t="e">
        <f>S48&amp;".1"</f>
        <v>#REF!</v>
      </c>
      <c r="L52" s="1225"/>
      <c r="P52" s="3532"/>
      <c r="Q52" s="3532"/>
      <c r="R52" s="266">
        <v>1</v>
      </c>
      <c r="S52" s="3578" t="e">
        <f>$K52</f>
        <v>#REF!</v>
      </c>
      <c r="T52" s="3598"/>
      <c r="U52" s="211"/>
      <c r="V52" s="639"/>
      <c r="W52" s="1123"/>
      <c r="X52" s="639"/>
      <c r="Y52" s="1123"/>
      <c r="Z52" s="1577"/>
      <c r="AA52" s="1325" t="s">
        <v>64</v>
      </c>
      <c r="AB52" s="1577"/>
      <c r="AC52" s="1325" t="s">
        <v>64</v>
      </c>
      <c r="AD52" s="3471" t="s">
        <v>64</v>
      </c>
      <c r="AE52" s="3574"/>
      <c r="AF52" s="3484">
        <v>1</v>
      </c>
      <c r="AG52" s="3597"/>
      <c r="AH52" s="3412" t="s">
        <v>64</v>
      </c>
      <c r="AI52" s="3574"/>
      <c r="AJ52" s="3484">
        <v>1</v>
      </c>
      <c r="AK52" s="3596" t="s">
        <v>18</v>
      </c>
      <c r="AL52" s="3412" t="s">
        <v>64</v>
      </c>
      <c r="AM52" s="3459"/>
      <c r="AN52" s="3484">
        <v>1</v>
      </c>
      <c r="AO52" s="3601"/>
      <c r="AP52" s="3602" t="s">
        <v>64</v>
      </c>
      <c r="AQ52" s="222"/>
      <c r="AR52" s="1341">
        <v>1</v>
      </c>
      <c r="AS52" s="1347" t="s">
        <v>18</v>
      </c>
      <c r="AT52" s="639"/>
      <c r="AU52" s="1123"/>
      <c r="AV52" s="639"/>
      <c r="AW52" s="1123"/>
      <c r="AX52" s="1577"/>
      <c r="AY52" s="1325" t="s">
        <v>64</v>
      </c>
      <c r="AZ52" s="1577"/>
      <c r="BA52" s="1325" t="s">
        <v>64</v>
      </c>
      <c r="BB52" s="1210"/>
      <c r="BC52" s="3551" t="s">
        <v>764</v>
      </c>
      <c r="BE52" s="398"/>
      <c r="BF52" s="398" t="str">
        <f t="shared" si="3"/>
        <v/>
      </c>
      <c r="BG52" s="398"/>
      <c r="BH52" s="398"/>
    </row>
    <row r="53" spans="1:60" ht="11.25" customHeight="1">
      <c r="A53" s="1224"/>
      <c r="B53" s="1224"/>
      <c r="C53" s="1224"/>
      <c r="D53" s="1224"/>
      <c r="E53" s="3529"/>
      <c r="F53" s="3529"/>
      <c r="G53" s="3529"/>
      <c r="H53" s="3529"/>
      <c r="I53" s="3531"/>
      <c r="J53" s="3531"/>
      <c r="K53" s="3530"/>
      <c r="L53" s="1225"/>
      <c r="P53" s="3532"/>
      <c r="Q53" s="3532"/>
      <c r="R53" s="266"/>
      <c r="S53" s="3579"/>
      <c r="T53" s="3599"/>
      <c r="U53" s="211"/>
      <c r="V53" s="1254"/>
      <c r="W53" s="1351"/>
      <c r="X53" s="1254"/>
      <c r="Y53" s="1351"/>
      <c r="Z53" s="1254"/>
      <c r="AA53" s="1254"/>
      <c r="AB53" s="1254"/>
      <c r="AC53" s="1254"/>
      <c r="AD53" s="3472"/>
      <c r="AE53" s="3574"/>
      <c r="AF53" s="3484"/>
      <c r="AG53" s="3597"/>
      <c r="AH53" s="3412"/>
      <c r="AI53" s="3574"/>
      <c r="AJ53" s="3484"/>
      <c r="AK53" s="3596"/>
      <c r="AL53" s="3412"/>
      <c r="AM53" s="3464"/>
      <c r="AN53" s="3484"/>
      <c r="AO53" s="3601"/>
      <c r="AP53" s="3603"/>
      <c r="AQ53" s="227"/>
      <c r="AR53" s="323"/>
      <c r="AS53" s="323" t="s">
        <v>765</v>
      </c>
      <c r="AT53" s="1254"/>
      <c r="AU53" s="1351"/>
      <c r="AV53" s="1254"/>
      <c r="AW53" s="1351"/>
      <c r="AX53" s="1254"/>
      <c r="AY53" s="1254"/>
      <c r="AZ53" s="1254"/>
      <c r="BA53" s="1254"/>
      <c r="BB53" s="1258"/>
      <c r="BC53" s="3552"/>
      <c r="BE53" s="398"/>
      <c r="BF53" s="398"/>
      <c r="BG53" s="398"/>
      <c r="BH53" s="398"/>
    </row>
    <row r="54" spans="1:60" ht="11.25" customHeight="1">
      <c r="A54" s="1224" t="s">
        <v>521</v>
      </c>
      <c r="B54" s="1224"/>
      <c r="C54" s="1224"/>
      <c r="D54" s="1224"/>
      <c r="E54" s="3529"/>
      <c r="F54" s="3529"/>
      <c r="G54" s="3529"/>
      <c r="H54" s="3529"/>
      <c r="I54" s="3531"/>
      <c r="J54" s="3531"/>
      <c r="K54" s="3530"/>
      <c r="L54" s="1225"/>
      <c r="P54" s="3532"/>
      <c r="Q54" s="3532"/>
      <c r="R54" s="266"/>
      <c r="S54" s="3579"/>
      <c r="T54" s="3599"/>
      <c r="U54" s="211"/>
      <c r="V54" s="1254"/>
      <c r="W54" s="1351"/>
      <c r="X54" s="1254"/>
      <c r="Y54" s="1351"/>
      <c r="Z54" s="1254"/>
      <c r="AA54" s="1254"/>
      <c r="AB54" s="1254"/>
      <c r="AC54" s="1254"/>
      <c r="AD54" s="3472"/>
      <c r="AE54" s="3574"/>
      <c r="AF54" s="3484"/>
      <c r="AG54" s="3597"/>
      <c r="AH54" s="3412"/>
      <c r="AI54" s="3574"/>
      <c r="AJ54" s="3484"/>
      <c r="AK54" s="3596"/>
      <c r="AL54" s="3412"/>
      <c r="AM54" s="227"/>
      <c r="AN54" s="1355"/>
      <c r="AO54" s="1355" t="s">
        <v>766</v>
      </c>
      <c r="AP54" s="323"/>
      <c r="AQ54" s="323"/>
      <c r="AR54" s="323"/>
      <c r="AS54" s="1254"/>
      <c r="AT54" s="1254"/>
      <c r="AU54" s="1351"/>
      <c r="AV54" s="1254"/>
      <c r="AW54" s="1351"/>
      <c r="AX54" s="1254"/>
      <c r="AY54" s="1254"/>
      <c r="AZ54" s="1254"/>
      <c r="BA54" s="1254"/>
      <c r="BB54" s="1258"/>
      <c r="BC54" s="3552"/>
      <c r="BE54" s="398"/>
      <c r="BF54" s="398"/>
      <c r="BG54" s="398"/>
      <c r="BH54" s="398"/>
    </row>
    <row r="55" spans="1:60" ht="11.25" customHeight="1">
      <c r="A55" s="1224" t="s">
        <v>521</v>
      </c>
      <c r="B55" s="1224"/>
      <c r="C55" s="1224"/>
      <c r="D55" s="1224"/>
      <c r="E55" s="3529"/>
      <c r="F55" s="3529"/>
      <c r="G55" s="3529"/>
      <c r="H55" s="3529"/>
      <c r="I55" s="3531"/>
      <c r="J55" s="3531"/>
      <c r="K55" s="3530"/>
      <c r="L55" s="1225"/>
      <c r="P55" s="3532"/>
      <c r="Q55" s="3532"/>
      <c r="R55" s="266"/>
      <c r="S55" s="3579"/>
      <c r="T55" s="3599"/>
      <c r="U55" s="211"/>
      <c r="V55" s="1254"/>
      <c r="W55" s="1351"/>
      <c r="X55" s="1254"/>
      <c r="Y55" s="1351"/>
      <c r="Z55" s="1254"/>
      <c r="AA55" s="1254"/>
      <c r="AB55" s="1254"/>
      <c r="AC55" s="1254"/>
      <c r="AD55" s="3472"/>
      <c r="AE55" s="3574"/>
      <c r="AF55" s="3484"/>
      <c r="AG55" s="3597"/>
      <c r="AH55" s="3412"/>
      <c r="AI55" s="205"/>
      <c r="AJ55" s="322"/>
      <c r="AK55" s="224" t="s">
        <v>767</v>
      </c>
      <c r="AL55" s="1254"/>
      <c r="AM55" s="1254"/>
      <c r="AN55" s="1254"/>
      <c r="AO55" s="1254"/>
      <c r="AP55" s="1254"/>
      <c r="AQ55" s="1254"/>
      <c r="AR55" s="1254"/>
      <c r="AS55" s="1254"/>
      <c r="AT55" s="1254"/>
      <c r="AU55" s="1351"/>
      <c r="AV55" s="1254"/>
      <c r="AW55" s="1351"/>
      <c r="AX55" s="1254"/>
      <c r="AY55" s="1254"/>
      <c r="AZ55" s="1254"/>
      <c r="BA55" s="1254"/>
      <c r="BB55" s="1258"/>
      <c r="BC55" s="3552"/>
      <c r="BE55" s="398"/>
      <c r="BF55" s="398"/>
      <c r="BG55" s="398"/>
      <c r="BH55" s="398"/>
    </row>
    <row r="56" spans="1:60" ht="11.25" customHeight="1">
      <c r="A56" s="1224" t="s">
        <v>521</v>
      </c>
      <c r="B56" s="1224" t="s">
        <v>522</v>
      </c>
      <c r="C56" s="1224" t="s">
        <v>523</v>
      </c>
      <c r="D56" s="1224" t="s">
        <v>809</v>
      </c>
      <c r="E56" s="3529"/>
      <c r="F56" s="3529"/>
      <c r="G56" s="3529"/>
      <c r="H56" s="3529"/>
      <c r="I56" s="3531"/>
      <c r="J56" s="3531"/>
      <c r="K56" s="3530"/>
      <c r="L56" s="1225"/>
      <c r="P56" s="3532"/>
      <c r="Q56" s="3532"/>
      <c r="R56" s="266"/>
      <c r="S56" s="3580"/>
      <c r="T56" s="3600"/>
      <c r="U56" s="211"/>
      <c r="V56" s="1254"/>
      <c r="W56" s="1255" t="str">
        <f>Z52&amp;"-"&amp;AB52</f>
        <v>-</v>
      </c>
      <c r="X56" s="1254"/>
      <c r="Y56" s="1255" t="str">
        <f>AB52&amp;"-"&amp;AD52</f>
        <v>-да</v>
      </c>
      <c r="Z56" s="1254"/>
      <c r="AA56" s="1254"/>
      <c r="AB56" s="1254"/>
      <c r="AC56" s="1254"/>
      <c r="AD56" s="3417"/>
      <c r="AE56" s="223"/>
      <c r="AF56" s="225"/>
      <c r="AG56" s="323" t="s">
        <v>768</v>
      </c>
      <c r="AH56" s="1254"/>
      <c r="AI56" s="1254"/>
      <c r="AJ56" s="1254"/>
      <c r="AK56" s="1254"/>
      <c r="AL56" s="1254"/>
      <c r="AM56" s="1254"/>
      <c r="AN56" s="1254"/>
      <c r="AO56" s="1254"/>
      <c r="AP56" s="1254"/>
      <c r="AQ56" s="1254"/>
      <c r="AR56" s="1254"/>
      <c r="AS56" s="1254"/>
      <c r="AT56" s="1254"/>
      <c r="AU56" s="1255" t="str">
        <f>AX52&amp;"-"&amp;AZ52</f>
        <v>-</v>
      </c>
      <c r="AV56" s="1254"/>
      <c r="AW56" s="1255" t="str">
        <f>AZ52&amp;"-"&amp;BB52</f>
        <v>-</v>
      </c>
      <c r="AX56" s="1254"/>
      <c r="AY56" s="1254"/>
      <c r="AZ56" s="1254"/>
      <c r="BA56" s="1254"/>
      <c r="BB56" s="1257" t="str">
        <f>BE52&amp;"-"&amp;BG52</f>
        <v>-</v>
      </c>
      <c r="BC56" s="3552"/>
      <c r="BE56" s="398"/>
      <c r="BF56" s="398" t="str">
        <f t="shared" ref="BF56:BF63" si="4">IF(T56="","",T56)</f>
        <v/>
      </c>
      <c r="BG56" s="398"/>
      <c r="BH56" s="398"/>
    </row>
    <row r="57" spans="1:60" ht="11.25" customHeight="1">
      <c r="A57" s="1224" t="s">
        <v>521</v>
      </c>
      <c r="B57" s="1224" t="s">
        <v>522</v>
      </c>
      <c r="C57" s="1224" t="s">
        <v>523</v>
      </c>
      <c r="D57" s="1224" t="s">
        <v>809</v>
      </c>
      <c r="E57" s="3529"/>
      <c r="F57" s="3529"/>
      <c r="G57" s="3529"/>
      <c r="H57" s="3529"/>
      <c r="I57" s="3531"/>
      <c r="J57" s="3530"/>
      <c r="K57" s="1224"/>
      <c r="L57" s="1225"/>
      <c r="P57" s="3532"/>
      <c r="Q57" s="3532"/>
      <c r="R57" s="265"/>
      <c r="S57" s="1144"/>
      <c r="T57" s="199" t="s">
        <v>730</v>
      </c>
      <c r="U57" s="275"/>
      <c r="V57" s="275"/>
      <c r="W57" s="275"/>
      <c r="X57" s="275"/>
      <c r="Y57" s="275"/>
      <c r="Z57" s="275"/>
      <c r="AA57" s="275"/>
      <c r="AB57" s="275"/>
      <c r="AC57" s="235"/>
      <c r="AD57" s="1360"/>
      <c r="AE57" s="275"/>
      <c r="AF57" s="275"/>
      <c r="AG57" s="275"/>
      <c r="AH57" s="275"/>
      <c r="AI57" s="275"/>
      <c r="AJ57" s="275"/>
      <c r="AK57" s="275"/>
      <c r="AL57" s="275"/>
      <c r="AM57" s="275"/>
      <c r="AN57" s="275"/>
      <c r="AO57" s="275"/>
      <c r="AP57" s="275"/>
      <c r="AQ57" s="275"/>
      <c r="AR57" s="275"/>
      <c r="AS57" s="275"/>
      <c r="AT57" s="275"/>
      <c r="AU57" s="275"/>
      <c r="AV57" s="275"/>
      <c r="AW57" s="275"/>
      <c r="AX57" s="275"/>
      <c r="AY57" s="275"/>
      <c r="AZ57" s="275"/>
      <c r="BA57" s="275"/>
      <c r="BB57" s="235"/>
      <c r="BC57" s="3553"/>
      <c r="BE57" s="398"/>
      <c r="BF57" s="398" t="str">
        <f t="shared" si="4"/>
        <v>Добавить строку</v>
      </c>
      <c r="BG57" s="398"/>
      <c r="BH57" s="398"/>
    </row>
    <row r="58" spans="1:60" s="1866" customFormat="1" ht="0" hidden="1" customHeight="1">
      <c r="A58" s="1205" t="s">
        <v>521</v>
      </c>
      <c r="B58" s="1205" t="s">
        <v>522</v>
      </c>
      <c r="C58" s="1205" t="s">
        <v>523</v>
      </c>
      <c r="D58" s="1205" t="s">
        <v>809</v>
      </c>
      <c r="E58" s="3529"/>
      <c r="F58" s="3529"/>
      <c r="G58" s="3529"/>
      <c r="H58" s="3529"/>
      <c r="I58" s="3530"/>
      <c r="J58" s="1205"/>
      <c r="K58" s="1205"/>
      <c r="L58" s="1208"/>
      <c r="M58" s="408"/>
      <c r="N58" s="408"/>
      <c r="O58" s="408"/>
      <c r="P58" s="3532"/>
      <c r="Q58" s="1336"/>
      <c r="R58" s="265"/>
      <c r="S58" s="1247"/>
      <c r="T58" s="1248"/>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V58" s="1249"/>
      <c r="AW58" s="1249"/>
      <c r="AX58" s="1249"/>
      <c r="AY58" s="1249"/>
      <c r="AZ58" s="1249"/>
      <c r="BA58" s="1249"/>
      <c r="BB58" s="1249"/>
      <c r="BC58" s="1250"/>
      <c r="BE58" s="398"/>
      <c r="BF58" s="398" t="str">
        <f t="shared" si="4"/>
        <v/>
      </c>
      <c r="BG58" s="398"/>
      <c r="BH58" s="398"/>
    </row>
    <row r="59" spans="1:60" s="1866" customFormat="1" ht="0" hidden="1" customHeight="1">
      <c r="A59" s="1205" t="s">
        <v>521</v>
      </c>
      <c r="B59" s="1205" t="s">
        <v>522</v>
      </c>
      <c r="C59" s="1205" t="s">
        <v>523</v>
      </c>
      <c r="D59" s="1205" t="s">
        <v>809</v>
      </c>
      <c r="E59" s="3529"/>
      <c r="F59" s="3529"/>
      <c r="G59" s="3529"/>
      <c r="H59" s="3528"/>
      <c r="I59" s="1205"/>
      <c r="J59" s="1205"/>
      <c r="K59" s="1205"/>
      <c r="L59" s="1208"/>
      <c r="M59" s="1178"/>
      <c r="N59" s="1178"/>
      <c r="O59" s="416"/>
      <c r="P59" s="287"/>
      <c r="Q59" s="1206"/>
      <c r="R59" s="1262"/>
      <c r="S59" s="1247"/>
      <c r="T59" s="1248"/>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V59" s="1249"/>
      <c r="AW59" s="1249"/>
      <c r="AX59" s="1249"/>
      <c r="AY59" s="1249"/>
      <c r="AZ59" s="1249"/>
      <c r="BA59" s="1249"/>
      <c r="BB59" s="1249"/>
      <c r="BC59" s="1250"/>
      <c r="BE59" s="398"/>
      <c r="BF59" s="398" t="str">
        <f t="shared" si="4"/>
        <v/>
      </c>
      <c r="BG59" s="398"/>
      <c r="BH59" s="398"/>
    </row>
    <row r="60" spans="1:60" s="1866" customFormat="1" ht="0" hidden="1" customHeight="1">
      <c r="A60" s="1205" t="s">
        <v>521</v>
      </c>
      <c r="B60" s="1205" t="s">
        <v>522</v>
      </c>
      <c r="C60" s="1205" t="s">
        <v>523</v>
      </c>
      <c r="D60" s="1177"/>
      <c r="E60" s="3529"/>
      <c r="F60" s="3529"/>
      <c r="G60" s="3528"/>
      <c r="H60" s="1177"/>
      <c r="I60" s="1177"/>
      <c r="J60" s="1177"/>
      <c r="K60" s="1177"/>
      <c r="L60" s="1349"/>
      <c r="M60" s="1178"/>
      <c r="N60" s="1178"/>
      <c r="P60" s="1179"/>
      <c r="Q60" s="1180"/>
      <c r="R60" s="1179"/>
      <c r="S60" s="1185"/>
      <c r="T60" s="1188"/>
      <c r="U60" s="1187"/>
      <c r="V60" s="1187"/>
      <c r="W60" s="1187"/>
      <c r="X60" s="1187"/>
      <c r="Y60" s="1187"/>
      <c r="Z60" s="1187"/>
      <c r="AA60" s="1187"/>
      <c r="AB60" s="1187"/>
      <c r="AC60" s="1187"/>
      <c r="AD60" s="1187"/>
      <c r="AE60" s="1187"/>
      <c r="AF60" s="1187"/>
      <c r="AG60" s="1187"/>
      <c r="AH60" s="1187"/>
      <c r="AI60" s="1187"/>
      <c r="AJ60" s="1187"/>
      <c r="AK60" s="1187"/>
      <c r="AL60" s="1187"/>
      <c r="AM60" s="1187"/>
      <c r="AN60" s="1187"/>
      <c r="AO60" s="1187"/>
      <c r="AP60" s="1187"/>
      <c r="AQ60" s="1187"/>
      <c r="AR60" s="1187"/>
      <c r="AS60" s="1187"/>
      <c r="AT60" s="1187"/>
      <c r="AU60" s="1187"/>
      <c r="AV60" s="1187"/>
      <c r="AW60" s="1187"/>
      <c r="AX60" s="1187"/>
      <c r="AY60" s="1187"/>
      <c r="AZ60" s="1187"/>
      <c r="BA60" s="1187"/>
      <c r="BB60" s="1187"/>
      <c r="BC60" s="1187"/>
      <c r="BE60" s="670"/>
      <c r="BF60" s="670" t="str">
        <f t="shared" si="4"/>
        <v/>
      </c>
      <c r="BG60" s="670"/>
      <c r="BH60" s="670"/>
    </row>
    <row r="61" spans="1:60" s="1866" customFormat="1" ht="0" hidden="1" customHeight="1">
      <c r="A61" s="1205" t="s">
        <v>521</v>
      </c>
      <c r="B61" s="1205" t="s">
        <v>522</v>
      </c>
      <c r="C61" s="1177"/>
      <c r="D61" s="1177"/>
      <c r="E61" s="3529"/>
      <c r="F61" s="3528"/>
      <c r="G61" s="1177"/>
      <c r="H61" s="1177"/>
      <c r="I61" s="1177"/>
      <c r="J61" s="1177"/>
      <c r="K61" s="1177"/>
      <c r="L61" s="1349"/>
      <c r="M61" s="1184"/>
      <c r="N61" s="1184"/>
      <c r="P61" s="1179"/>
      <c r="Q61" s="1180"/>
      <c r="R61" s="1179"/>
      <c r="S61" s="1185"/>
      <c r="T61" s="1188" t="s">
        <v>677</v>
      </c>
      <c r="U61" s="1187"/>
      <c r="V61" s="1187"/>
      <c r="W61" s="1187"/>
      <c r="X61" s="1187"/>
      <c r="Y61" s="1187"/>
      <c r="Z61" s="1187"/>
      <c r="AA61" s="1187"/>
      <c r="AB61" s="1187"/>
      <c r="AC61" s="1187"/>
      <c r="AD61" s="1187"/>
      <c r="AE61" s="1187"/>
      <c r="AF61" s="1187"/>
      <c r="AG61" s="1187"/>
      <c r="AH61" s="1187"/>
      <c r="AI61" s="1187"/>
      <c r="AJ61" s="1187"/>
      <c r="AK61" s="1187"/>
      <c r="AL61" s="1187"/>
      <c r="AM61" s="1187"/>
      <c r="AN61" s="1187"/>
      <c r="AO61" s="1187"/>
      <c r="AP61" s="1187"/>
      <c r="AQ61" s="1187"/>
      <c r="AR61" s="1187"/>
      <c r="AS61" s="1187"/>
      <c r="AT61" s="1187"/>
      <c r="AU61" s="1187"/>
      <c r="AV61" s="1187"/>
      <c r="AW61" s="1187"/>
      <c r="AX61" s="1187"/>
      <c r="AY61" s="1187"/>
      <c r="AZ61" s="1187"/>
      <c r="BA61" s="1187"/>
      <c r="BB61" s="1187"/>
      <c r="BC61" s="1187"/>
      <c r="BE61" s="670"/>
      <c r="BF61" s="670" t="str">
        <f t="shared" si="4"/>
        <v>Добавить централизованную систему для дифференциации</v>
      </c>
      <c r="BG61" s="670"/>
      <c r="BH61" s="670"/>
    </row>
    <row r="62" spans="1:60" s="1866" customFormat="1" ht="0" hidden="1" customHeight="1">
      <c r="A62" s="1205" t="s">
        <v>521</v>
      </c>
      <c r="B62" s="1205"/>
      <c r="C62" s="1205"/>
      <c r="D62" s="1205"/>
      <c r="E62" s="3528"/>
      <c r="F62" s="1205"/>
      <c r="G62" s="1205"/>
      <c r="H62" s="1205"/>
      <c r="I62" s="1205"/>
      <c r="J62" s="1205"/>
      <c r="K62" s="1205"/>
      <c r="L62" s="1208"/>
      <c r="M62" s="1184"/>
      <c r="N62" s="1184"/>
      <c r="O62" s="416"/>
      <c r="P62" s="287"/>
      <c r="Q62" s="1206"/>
      <c r="R62" s="287"/>
      <c r="S62" s="1185"/>
      <c r="T62" s="1188" t="s">
        <v>678</v>
      </c>
      <c r="U62" s="1187"/>
      <c r="V62" s="1187"/>
      <c r="W62" s="1187"/>
      <c r="X62" s="1187"/>
      <c r="Y62" s="1187"/>
      <c r="Z62" s="1187"/>
      <c r="AA62" s="1187"/>
      <c r="AB62" s="1187"/>
      <c r="AC62" s="1187"/>
      <c r="AD62" s="1187"/>
      <c r="AE62" s="1187"/>
      <c r="AF62" s="1187"/>
      <c r="AG62" s="1187"/>
      <c r="AH62" s="1187"/>
      <c r="AI62" s="1187"/>
      <c r="AJ62" s="1187"/>
      <c r="AK62" s="1187"/>
      <c r="AL62" s="1187"/>
      <c r="AM62" s="1187"/>
      <c r="AN62" s="1187"/>
      <c r="AO62" s="1187"/>
      <c r="AP62" s="1187"/>
      <c r="AQ62" s="1187"/>
      <c r="AR62" s="1187"/>
      <c r="AS62" s="1187"/>
      <c r="AT62" s="1187"/>
      <c r="AU62" s="1187"/>
      <c r="AV62" s="1187"/>
      <c r="AW62" s="1187"/>
      <c r="AX62" s="1187"/>
      <c r="AY62" s="1187"/>
      <c r="AZ62" s="1187"/>
      <c r="BA62" s="1187"/>
      <c r="BB62" s="1187"/>
      <c r="BC62" s="1187"/>
      <c r="BE62" s="398"/>
      <c r="BF62" s="398" t="str">
        <f t="shared" si="4"/>
        <v>Добавить территорию для дифференциации</v>
      </c>
      <c r="BG62" s="398"/>
      <c r="BH62" s="398"/>
    </row>
    <row r="63" spans="1:60" s="1866" customFormat="1" ht="0" hidden="1" customHeight="1">
      <c r="A63" s="1177"/>
      <c r="B63" s="1177"/>
      <c r="C63" s="1177"/>
      <c r="D63" s="1177"/>
      <c r="E63" s="1205"/>
      <c r="F63" s="1177"/>
      <c r="G63" s="1177"/>
      <c r="H63" s="1177"/>
      <c r="I63" s="1177"/>
      <c r="J63" s="1177"/>
      <c r="K63" s="1177"/>
      <c r="L63" s="1349"/>
      <c r="M63" s="1184"/>
      <c r="N63" s="1184"/>
      <c r="P63" s="1179"/>
      <c r="Q63" s="1180"/>
      <c r="R63" s="1179"/>
      <c r="S63" s="1185"/>
      <c r="T63" s="1188" t="s">
        <v>710</v>
      </c>
      <c r="U63" s="1187"/>
      <c r="V63" s="1187"/>
      <c r="W63" s="1187"/>
      <c r="X63" s="1187"/>
      <c r="Y63" s="1187"/>
      <c r="Z63" s="1187"/>
      <c r="AA63" s="1187"/>
      <c r="AB63" s="1187"/>
      <c r="AC63" s="1187"/>
      <c r="AD63" s="1187"/>
      <c r="AE63" s="1187"/>
      <c r="AF63" s="1187"/>
      <c r="AG63" s="1187"/>
      <c r="AH63" s="1187"/>
      <c r="AI63" s="1187"/>
      <c r="AJ63" s="1187"/>
      <c r="AK63" s="1187"/>
      <c r="AL63" s="1187"/>
      <c r="AM63" s="1187"/>
      <c r="AN63" s="1187"/>
      <c r="AO63" s="1187"/>
      <c r="AP63" s="1187"/>
      <c r="AQ63" s="1187"/>
      <c r="AR63" s="1187"/>
      <c r="AS63" s="1187"/>
      <c r="AT63" s="1187"/>
      <c r="AU63" s="1187"/>
      <c r="AV63" s="1187"/>
      <c r="AW63" s="1187"/>
      <c r="AX63" s="1187"/>
      <c r="AY63" s="1187"/>
      <c r="AZ63" s="1187"/>
      <c r="BA63" s="1187"/>
      <c r="BB63" s="1187"/>
      <c r="BC63" s="1187"/>
      <c r="BE63" s="670"/>
      <c r="BF63" s="670" t="str">
        <f t="shared" si="4"/>
        <v>Добавить наименование тарифа</v>
      </c>
      <c r="BG63" s="670"/>
      <c r="BH63" s="670"/>
    </row>
    <row r="64" spans="1:60" ht="11.25" customHeight="1">
      <c r="M64" s="1023"/>
      <c r="N64" s="1023"/>
      <c r="O64" s="434"/>
      <c r="P64" s="1023"/>
      <c r="Q64" s="1023"/>
      <c r="R64" s="1018"/>
      <c r="S64" s="1018"/>
      <c r="BD64" s="1018"/>
      <c r="BE64" s="1018"/>
      <c r="BF64" s="1018"/>
      <c r="BG64" s="1018"/>
      <c r="BH64" s="1018"/>
    </row>
    <row r="65" spans="15:55" ht="18.75" customHeight="1">
      <c r="O65" s="434"/>
      <c r="S65" s="1119"/>
      <c r="T65" s="3527"/>
      <c r="U65" s="3527"/>
      <c r="V65" s="3527"/>
      <c r="W65" s="3527"/>
      <c r="X65" s="3527"/>
      <c r="Y65" s="3527"/>
      <c r="Z65" s="3527"/>
      <c r="AA65" s="3527"/>
      <c r="AB65" s="3527"/>
      <c r="AC65" s="3527"/>
      <c r="AD65" s="3527"/>
      <c r="AE65" s="3527"/>
      <c r="AF65" s="3527"/>
      <c r="AG65" s="3527"/>
      <c r="AH65" s="3527"/>
      <c r="AI65" s="3527"/>
      <c r="AJ65" s="3527"/>
      <c r="AK65" s="3527"/>
      <c r="AL65" s="3527"/>
      <c r="AM65" s="3527"/>
      <c r="AN65" s="3527"/>
      <c r="AO65" s="3527"/>
      <c r="AP65" s="3527"/>
      <c r="AQ65" s="3527"/>
      <c r="AR65" s="3527"/>
      <c r="AS65" s="3527"/>
      <c r="AT65" s="3527"/>
      <c r="AU65" s="3527"/>
      <c r="AV65" s="3527"/>
      <c r="AW65" s="3527"/>
      <c r="AX65" s="3527"/>
      <c r="AY65" s="3527"/>
      <c r="AZ65" s="3527"/>
      <c r="BA65" s="3527"/>
      <c r="BB65" s="3527"/>
      <c r="BC65" s="3527"/>
    </row>
    <row r="66" spans="15:55" ht="14.25" customHeight="1">
      <c r="O66" s="434"/>
      <c r="T66" s="1335"/>
      <c r="U66" s="1335"/>
      <c r="V66" s="1335"/>
      <c r="W66" s="1335"/>
      <c r="X66" s="1335"/>
      <c r="Y66" s="1335"/>
      <c r="Z66" s="1335"/>
      <c r="AA66" s="1335"/>
      <c r="AB66" s="1335"/>
      <c r="AC66" s="1335"/>
      <c r="AD66" s="1335"/>
      <c r="AE66" s="1335"/>
      <c r="AF66" s="1335"/>
      <c r="AG66" s="1335"/>
      <c r="AH66" s="1335"/>
      <c r="AI66" s="1335"/>
      <c r="AJ66" s="1335"/>
      <c r="AK66" s="1335"/>
      <c r="AL66" s="1335"/>
      <c r="AM66" s="1335"/>
      <c r="AN66" s="1335"/>
      <c r="AO66" s="1335"/>
      <c r="AP66" s="1335"/>
      <c r="AQ66" s="1335"/>
      <c r="AR66" s="1335"/>
      <c r="AS66" s="1335"/>
      <c r="AT66" s="1335"/>
      <c r="AU66" s="1335"/>
      <c r="AV66" s="1335"/>
      <c r="AW66" s="1335"/>
      <c r="AX66" s="1335"/>
      <c r="AY66" s="1335"/>
      <c r="AZ66" s="1335"/>
      <c r="BA66" s="1335"/>
      <c r="BB66" s="1335"/>
      <c r="BC66" s="1335"/>
    </row>
    <row r="67" spans="15:55" ht="18.75" customHeight="1">
      <c r="O67" s="434"/>
      <c r="S67" s="1119"/>
      <c r="T67" s="3527"/>
      <c r="U67" s="3527"/>
      <c r="V67" s="3527"/>
      <c r="W67" s="3527"/>
      <c r="X67" s="3527"/>
      <c r="Y67" s="3527"/>
      <c r="Z67" s="3527"/>
      <c r="AA67" s="3527"/>
      <c r="AB67" s="3527"/>
      <c r="AC67" s="3527"/>
      <c r="AD67" s="3527"/>
      <c r="AE67" s="3527"/>
      <c r="AF67" s="3527"/>
      <c r="AG67" s="3527"/>
      <c r="AH67" s="3527"/>
      <c r="AI67" s="3527"/>
      <c r="AJ67" s="3527"/>
      <c r="AK67" s="3527"/>
      <c r="AL67" s="3527"/>
      <c r="AM67" s="3527"/>
      <c r="AN67" s="3527"/>
      <c r="AO67" s="3527"/>
      <c r="AP67" s="3527"/>
      <c r="AQ67" s="3527"/>
      <c r="AR67" s="3527"/>
      <c r="AS67" s="3527"/>
      <c r="AT67" s="3527"/>
      <c r="AU67" s="3527"/>
      <c r="AV67" s="3527"/>
      <c r="AW67" s="3527"/>
      <c r="AX67" s="3527"/>
      <c r="AY67" s="3527"/>
      <c r="AZ67" s="3527"/>
      <c r="BA67" s="3527"/>
      <c r="BB67" s="3527"/>
      <c r="BC67" s="3527"/>
    </row>
    <row r="68" spans="15:55" ht="14.25" customHeight="1">
      <c r="O68" s="434"/>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D05BB-AEFE-8386-F9A9-890338C27409}">
  <sheetPr>
    <tabColor theme="9" tint="-0.249977111117893"/>
  </sheetPr>
  <dimension ref="A1:DS302"/>
  <sheetViews>
    <sheetView showGridLines="0" topLeftCell="CW24" zoomScale="90" workbookViewId="0">
      <selection activeCell="CW24" sqref="CW24"/>
    </sheetView>
  </sheetViews>
  <sheetFormatPr defaultColWidth="9.140625" defaultRowHeight="11.25" customHeight="1"/>
  <cols>
    <col min="1" max="1" width="10.7109375" style="1845" hidden="1" customWidth="1"/>
    <col min="2" max="2" width="16.85546875" style="1903" hidden="1" customWidth="1"/>
    <col min="3" max="3" width="5.5703125" style="1866" hidden="1" customWidth="1"/>
    <col min="4" max="4" width="3.7109375" style="1910" customWidth="1"/>
    <col min="5" max="5" width="7.7109375" style="1910" customWidth="1"/>
    <col min="6" max="6" width="54.5703125" style="1910" customWidth="1"/>
    <col min="7" max="7" width="10.42578125" style="1910" customWidth="1"/>
    <col min="8" max="8" width="40.7109375" style="1910" hidden="1" customWidth="1"/>
    <col min="9" max="101" width="40.7109375" style="1910" customWidth="1"/>
    <col min="102" max="102" width="102.85546875" style="1910" customWidth="1"/>
    <col min="103" max="103" width="9.7109375" style="1903" customWidth="1"/>
    <col min="104" max="104" width="5.28515625" style="1866" customWidth="1"/>
    <col min="105" max="105" width="3.7109375" style="1866" customWidth="1"/>
    <col min="106" max="109" width="3.7109375" style="1903" customWidth="1"/>
    <col min="110" max="110" width="10.5703125" style="1866" customWidth="1"/>
    <col min="111" max="111" width="34.7109375" style="1903" customWidth="1"/>
    <col min="112" max="112" width="9.42578125" style="1903" customWidth="1"/>
    <col min="113" max="113" width="9.140625" style="1858"/>
    <col min="114" max="118" width="9.140625" style="1903"/>
    <col min="119" max="123" width="9.140625" style="1926"/>
  </cols>
  <sheetData>
    <row r="1" spans="1:123" ht="11.25" hidden="1" customHeight="1"/>
    <row r="2" spans="1:123" ht="23.25" hidden="1" customHeight="1">
      <c r="B2" s="3386"/>
      <c r="C2" s="1030" t="s">
        <v>810</v>
      </c>
      <c r="D2" s="1483"/>
      <c r="E2" s="443">
        <f>B2</f>
        <v>0</v>
      </c>
      <c r="F2" s="444"/>
      <c r="G2" s="1491" t="s">
        <v>811</v>
      </c>
      <c r="H2" s="1491" t="s">
        <v>811</v>
      </c>
      <c r="I2" s="1491" t="s">
        <v>811</v>
      </c>
      <c r="J2" s="1933" t="s">
        <v>811</v>
      </c>
      <c r="K2" s="1933" t="s">
        <v>811</v>
      </c>
      <c r="L2" s="1933" t="s">
        <v>811</v>
      </c>
      <c r="M2" s="1933" t="s">
        <v>811</v>
      </c>
      <c r="N2" s="1933" t="s">
        <v>811</v>
      </c>
      <c r="O2" s="1933" t="s">
        <v>811</v>
      </c>
      <c r="P2" s="1933" t="s">
        <v>811</v>
      </c>
      <c r="Q2" s="1933" t="s">
        <v>811</v>
      </c>
      <c r="R2" s="1933" t="s">
        <v>811</v>
      </c>
      <c r="S2" s="1933" t="s">
        <v>811</v>
      </c>
      <c r="T2" s="1933" t="s">
        <v>811</v>
      </c>
      <c r="U2" s="1933" t="s">
        <v>811</v>
      </c>
      <c r="V2" s="1933" t="s">
        <v>811</v>
      </c>
      <c r="W2" s="1933" t="s">
        <v>811</v>
      </c>
      <c r="X2" s="1933" t="s">
        <v>811</v>
      </c>
      <c r="Y2" s="1933" t="s">
        <v>811</v>
      </c>
      <c r="Z2" s="1933" t="s">
        <v>811</v>
      </c>
      <c r="AA2" s="1933" t="s">
        <v>811</v>
      </c>
      <c r="AB2" s="1933" t="s">
        <v>811</v>
      </c>
      <c r="AC2" s="1933" t="s">
        <v>811</v>
      </c>
      <c r="AD2" s="1933" t="s">
        <v>811</v>
      </c>
      <c r="AE2" s="1933" t="s">
        <v>811</v>
      </c>
      <c r="AF2" s="1933" t="s">
        <v>811</v>
      </c>
      <c r="AG2" s="1933" t="s">
        <v>811</v>
      </c>
      <c r="AH2" s="1933" t="s">
        <v>811</v>
      </c>
      <c r="AI2" s="1933" t="s">
        <v>811</v>
      </c>
      <c r="AJ2" s="1933" t="s">
        <v>811</v>
      </c>
      <c r="AK2" s="1933" t="s">
        <v>811</v>
      </c>
      <c r="AL2" s="1933" t="s">
        <v>811</v>
      </c>
      <c r="AM2" s="1933" t="s">
        <v>811</v>
      </c>
      <c r="AN2" s="1933" t="s">
        <v>811</v>
      </c>
      <c r="AO2" s="1933" t="s">
        <v>811</v>
      </c>
      <c r="AP2" s="1933" t="s">
        <v>811</v>
      </c>
      <c r="AQ2" s="1933" t="s">
        <v>811</v>
      </c>
      <c r="AR2" s="1933" t="s">
        <v>811</v>
      </c>
      <c r="AS2" s="1933" t="s">
        <v>811</v>
      </c>
      <c r="AT2" s="1933" t="s">
        <v>811</v>
      </c>
      <c r="AU2" s="1933" t="s">
        <v>811</v>
      </c>
      <c r="AV2" s="1933" t="s">
        <v>811</v>
      </c>
      <c r="AW2" s="1933" t="s">
        <v>811</v>
      </c>
      <c r="AX2" s="1933" t="s">
        <v>811</v>
      </c>
      <c r="AY2" s="1933" t="s">
        <v>811</v>
      </c>
      <c r="AZ2" s="1933" t="s">
        <v>811</v>
      </c>
      <c r="BA2" s="1933" t="s">
        <v>811</v>
      </c>
      <c r="BB2" s="1933" t="s">
        <v>811</v>
      </c>
      <c r="BC2" s="1933" t="s">
        <v>811</v>
      </c>
      <c r="BD2" s="1933" t="s">
        <v>811</v>
      </c>
      <c r="BE2" s="1933" t="s">
        <v>811</v>
      </c>
      <c r="BF2" s="1933" t="s">
        <v>811</v>
      </c>
      <c r="BG2" s="1933" t="s">
        <v>811</v>
      </c>
      <c r="BH2" s="1933" t="s">
        <v>811</v>
      </c>
      <c r="BI2" s="1933" t="s">
        <v>811</v>
      </c>
      <c r="BJ2" s="1933" t="s">
        <v>811</v>
      </c>
      <c r="BK2" s="1933" t="s">
        <v>811</v>
      </c>
      <c r="BL2" s="1933" t="s">
        <v>811</v>
      </c>
      <c r="BM2" s="1933" t="s">
        <v>811</v>
      </c>
      <c r="BN2" s="1933" t="s">
        <v>811</v>
      </c>
      <c r="BO2" s="1933" t="s">
        <v>811</v>
      </c>
      <c r="BP2" s="1933" t="s">
        <v>811</v>
      </c>
      <c r="BQ2" s="1933" t="s">
        <v>811</v>
      </c>
      <c r="BR2" s="1933" t="s">
        <v>811</v>
      </c>
      <c r="BS2" s="1933" t="s">
        <v>811</v>
      </c>
      <c r="BT2" s="1933" t="s">
        <v>811</v>
      </c>
      <c r="BU2" s="1933" t="s">
        <v>811</v>
      </c>
      <c r="BV2" s="1933" t="s">
        <v>811</v>
      </c>
      <c r="BW2" s="1933" t="s">
        <v>811</v>
      </c>
      <c r="BX2" s="1933" t="s">
        <v>811</v>
      </c>
      <c r="BY2" s="1933" t="s">
        <v>811</v>
      </c>
      <c r="BZ2" s="1933" t="s">
        <v>811</v>
      </c>
      <c r="CA2" s="1933" t="s">
        <v>811</v>
      </c>
      <c r="CB2" s="1933" t="s">
        <v>811</v>
      </c>
      <c r="CC2" s="1933" t="s">
        <v>811</v>
      </c>
      <c r="CD2" s="1933" t="s">
        <v>811</v>
      </c>
      <c r="CE2" s="1933" t="s">
        <v>811</v>
      </c>
      <c r="CF2" s="1933" t="s">
        <v>811</v>
      </c>
      <c r="CG2" s="1933" t="s">
        <v>811</v>
      </c>
      <c r="CH2" s="1933" t="s">
        <v>811</v>
      </c>
      <c r="CI2" s="1933" t="s">
        <v>811</v>
      </c>
      <c r="CJ2" s="1933" t="s">
        <v>811</v>
      </c>
      <c r="CK2" s="1933" t="s">
        <v>811</v>
      </c>
      <c r="CL2" s="1933" t="s">
        <v>811</v>
      </c>
      <c r="CM2" s="1933" t="s">
        <v>811</v>
      </c>
      <c r="CN2" s="1933" t="s">
        <v>811</v>
      </c>
      <c r="CO2" s="1933" t="s">
        <v>811</v>
      </c>
      <c r="CP2" s="1933" t="s">
        <v>811</v>
      </c>
      <c r="CQ2" s="1933" t="s">
        <v>811</v>
      </c>
      <c r="CR2" s="1933" t="s">
        <v>811</v>
      </c>
      <c r="CS2" s="1933" t="s">
        <v>811</v>
      </c>
      <c r="CT2" s="1933" t="s">
        <v>811</v>
      </c>
      <c r="CU2" s="1933" t="s">
        <v>811</v>
      </c>
      <c r="CV2" s="1933" t="s">
        <v>811</v>
      </c>
      <c r="CW2" s="1933" t="s">
        <v>811</v>
      </c>
      <c r="CX2" s="201" t="s">
        <v>812</v>
      </c>
      <c r="CY2" s="440"/>
    </row>
    <row r="3" spans="1:123" s="1866" customFormat="1" ht="0.75" hidden="1" customHeight="1">
      <c r="B3" s="3386"/>
      <c r="C3" s="1030"/>
      <c r="D3" s="445"/>
      <c r="E3" s="446"/>
      <c r="F3" s="447" t="s">
        <v>813</v>
      </c>
      <c r="G3" s="448"/>
      <c r="H3" s="448">
        <f>H4*H5+H7</f>
        <v>0</v>
      </c>
      <c r="I3" s="448">
        <f>I4*I5+I6</f>
        <v>0</v>
      </c>
      <c r="J3" s="1842">
        <f t="shared" ref="J3:AO3" si="0">J4*J5+J7</f>
        <v>0</v>
      </c>
      <c r="K3" s="1842">
        <f t="shared" si="0"/>
        <v>0</v>
      </c>
      <c r="L3" s="1842">
        <f t="shared" si="0"/>
        <v>0</v>
      </c>
      <c r="M3" s="1842">
        <f t="shared" si="0"/>
        <v>0</v>
      </c>
      <c r="N3" s="1842">
        <f t="shared" si="0"/>
        <v>0</v>
      </c>
      <c r="O3" s="1842">
        <f t="shared" si="0"/>
        <v>0</v>
      </c>
      <c r="P3" s="1842">
        <f t="shared" si="0"/>
        <v>0</v>
      </c>
      <c r="Q3" s="1842">
        <f t="shared" si="0"/>
        <v>0</v>
      </c>
      <c r="R3" s="1842">
        <f t="shared" si="0"/>
        <v>0</v>
      </c>
      <c r="S3" s="1842">
        <f t="shared" si="0"/>
        <v>0</v>
      </c>
      <c r="T3" s="1842">
        <f t="shared" si="0"/>
        <v>0</v>
      </c>
      <c r="U3" s="1842">
        <f t="shared" si="0"/>
        <v>0</v>
      </c>
      <c r="V3" s="1842">
        <f t="shared" si="0"/>
        <v>0</v>
      </c>
      <c r="W3" s="1842">
        <f t="shared" si="0"/>
        <v>0</v>
      </c>
      <c r="X3" s="1842">
        <f t="shared" si="0"/>
        <v>0</v>
      </c>
      <c r="Y3" s="1842">
        <f t="shared" si="0"/>
        <v>0</v>
      </c>
      <c r="Z3" s="1842">
        <f t="shared" si="0"/>
        <v>0</v>
      </c>
      <c r="AA3" s="1842">
        <f t="shared" si="0"/>
        <v>0</v>
      </c>
      <c r="AB3" s="1842">
        <f t="shared" si="0"/>
        <v>0</v>
      </c>
      <c r="AC3" s="1842">
        <f t="shared" si="0"/>
        <v>0</v>
      </c>
      <c r="AD3" s="1842">
        <f t="shared" si="0"/>
        <v>0</v>
      </c>
      <c r="AE3" s="1842">
        <f t="shared" si="0"/>
        <v>0</v>
      </c>
      <c r="AF3" s="1842">
        <f t="shared" si="0"/>
        <v>0</v>
      </c>
      <c r="AG3" s="1842">
        <f t="shared" si="0"/>
        <v>0</v>
      </c>
      <c r="AH3" s="1842">
        <f t="shared" si="0"/>
        <v>0</v>
      </c>
      <c r="AI3" s="1842">
        <f t="shared" si="0"/>
        <v>0</v>
      </c>
      <c r="AJ3" s="1842">
        <f t="shared" si="0"/>
        <v>0</v>
      </c>
      <c r="AK3" s="1842">
        <f t="shared" si="0"/>
        <v>0</v>
      </c>
      <c r="AL3" s="1842">
        <f t="shared" si="0"/>
        <v>0</v>
      </c>
      <c r="AM3" s="1842">
        <f t="shared" si="0"/>
        <v>0</v>
      </c>
      <c r="AN3" s="1842">
        <f t="shared" si="0"/>
        <v>0</v>
      </c>
      <c r="AO3" s="1842">
        <f t="shared" si="0"/>
        <v>0</v>
      </c>
      <c r="AP3" s="1842">
        <f t="shared" ref="AP3:BU3" si="1">AP4*AP5+AP7</f>
        <v>0</v>
      </c>
      <c r="AQ3" s="1842">
        <f t="shared" si="1"/>
        <v>0</v>
      </c>
      <c r="AR3" s="1842">
        <f t="shared" si="1"/>
        <v>0</v>
      </c>
      <c r="AS3" s="1842">
        <f t="shared" si="1"/>
        <v>0</v>
      </c>
      <c r="AT3" s="1842">
        <f t="shared" si="1"/>
        <v>0</v>
      </c>
      <c r="AU3" s="1842">
        <f t="shared" si="1"/>
        <v>0</v>
      </c>
      <c r="AV3" s="1842">
        <f t="shared" si="1"/>
        <v>0</v>
      </c>
      <c r="AW3" s="1842">
        <f t="shared" si="1"/>
        <v>0</v>
      </c>
      <c r="AX3" s="1842">
        <f t="shared" si="1"/>
        <v>0</v>
      </c>
      <c r="AY3" s="1842">
        <f t="shared" si="1"/>
        <v>0</v>
      </c>
      <c r="AZ3" s="1842">
        <f t="shared" si="1"/>
        <v>0</v>
      </c>
      <c r="BA3" s="1842">
        <f t="shared" si="1"/>
        <v>0</v>
      </c>
      <c r="BB3" s="1842">
        <f t="shared" si="1"/>
        <v>0</v>
      </c>
      <c r="BC3" s="1842">
        <f t="shared" si="1"/>
        <v>0</v>
      </c>
      <c r="BD3" s="1842">
        <f t="shared" si="1"/>
        <v>0</v>
      </c>
      <c r="BE3" s="1842">
        <f t="shared" si="1"/>
        <v>0</v>
      </c>
      <c r="BF3" s="1842">
        <f t="shared" si="1"/>
        <v>0</v>
      </c>
      <c r="BG3" s="1842">
        <f t="shared" si="1"/>
        <v>0</v>
      </c>
      <c r="BH3" s="1842">
        <f t="shared" si="1"/>
        <v>0</v>
      </c>
      <c r="BI3" s="1842">
        <f t="shared" si="1"/>
        <v>0</v>
      </c>
      <c r="BJ3" s="1842">
        <f t="shared" si="1"/>
        <v>0</v>
      </c>
      <c r="BK3" s="1842">
        <f t="shared" si="1"/>
        <v>0</v>
      </c>
      <c r="BL3" s="1842">
        <f t="shared" si="1"/>
        <v>0</v>
      </c>
      <c r="BM3" s="1842">
        <f t="shared" si="1"/>
        <v>0</v>
      </c>
      <c r="BN3" s="1842">
        <f t="shared" si="1"/>
        <v>0</v>
      </c>
      <c r="BO3" s="1842">
        <f t="shared" si="1"/>
        <v>0</v>
      </c>
      <c r="BP3" s="1842">
        <f t="shared" si="1"/>
        <v>0</v>
      </c>
      <c r="BQ3" s="1842">
        <f t="shared" si="1"/>
        <v>0</v>
      </c>
      <c r="BR3" s="1842">
        <f t="shared" si="1"/>
        <v>0</v>
      </c>
      <c r="BS3" s="1842">
        <f t="shared" si="1"/>
        <v>0</v>
      </c>
      <c r="BT3" s="1842">
        <f t="shared" si="1"/>
        <v>0</v>
      </c>
      <c r="BU3" s="1842">
        <f t="shared" si="1"/>
        <v>0</v>
      </c>
      <c r="BV3" s="1842">
        <f t="shared" ref="BV3:DA3" si="2">BV4*BV5+BV7</f>
        <v>0</v>
      </c>
      <c r="BW3" s="1842">
        <f t="shared" si="2"/>
        <v>0</v>
      </c>
      <c r="BX3" s="1842">
        <f t="shared" si="2"/>
        <v>0</v>
      </c>
      <c r="BY3" s="1842">
        <f t="shared" si="2"/>
        <v>0</v>
      </c>
      <c r="BZ3" s="1842">
        <f t="shared" si="2"/>
        <v>0</v>
      </c>
      <c r="CA3" s="1842">
        <f t="shared" si="2"/>
        <v>0</v>
      </c>
      <c r="CB3" s="1842">
        <f t="shared" si="2"/>
        <v>0</v>
      </c>
      <c r="CC3" s="1842">
        <f t="shared" si="2"/>
        <v>0</v>
      </c>
      <c r="CD3" s="1842">
        <f t="shared" si="2"/>
        <v>0</v>
      </c>
      <c r="CE3" s="1842">
        <f t="shared" si="2"/>
        <v>0</v>
      </c>
      <c r="CF3" s="1842">
        <f t="shared" si="2"/>
        <v>0</v>
      </c>
      <c r="CG3" s="1842">
        <f t="shared" si="2"/>
        <v>0</v>
      </c>
      <c r="CH3" s="1842">
        <f t="shared" si="2"/>
        <v>0</v>
      </c>
      <c r="CI3" s="1842">
        <f t="shared" si="2"/>
        <v>0</v>
      </c>
      <c r="CJ3" s="1842">
        <f t="shared" si="2"/>
        <v>0</v>
      </c>
      <c r="CK3" s="1842">
        <f t="shared" si="2"/>
        <v>0</v>
      </c>
      <c r="CL3" s="1842">
        <f t="shared" si="2"/>
        <v>0</v>
      </c>
      <c r="CM3" s="1842">
        <f t="shared" si="2"/>
        <v>0</v>
      </c>
      <c r="CN3" s="1842">
        <f t="shared" si="2"/>
        <v>0</v>
      </c>
      <c r="CO3" s="1842">
        <f t="shared" si="2"/>
        <v>0</v>
      </c>
      <c r="CP3" s="1842">
        <f t="shared" si="2"/>
        <v>0</v>
      </c>
      <c r="CQ3" s="1842">
        <f t="shared" si="2"/>
        <v>0</v>
      </c>
      <c r="CR3" s="1842">
        <f t="shared" si="2"/>
        <v>0</v>
      </c>
      <c r="CS3" s="1842">
        <f t="shared" si="2"/>
        <v>0</v>
      </c>
      <c r="CT3" s="1842">
        <f t="shared" si="2"/>
        <v>0</v>
      </c>
      <c r="CU3" s="1842">
        <f t="shared" si="2"/>
        <v>0</v>
      </c>
      <c r="CV3" s="1842">
        <f t="shared" si="2"/>
        <v>0</v>
      </c>
      <c r="CW3" s="1842">
        <f t="shared" si="2"/>
        <v>0</v>
      </c>
      <c r="CX3" s="449"/>
    </row>
    <row r="4" spans="1:123" ht="23.25" hidden="1" customHeight="1">
      <c r="B4" s="3386"/>
      <c r="C4" s="1030"/>
      <c r="D4" s="1483"/>
      <c r="E4" s="443" t="str">
        <f>B2&amp;".1"</f>
        <v>.1</v>
      </c>
      <c r="F4" s="450" t="s">
        <v>814</v>
      </c>
      <c r="G4" s="451"/>
      <c r="H4" s="438"/>
      <c r="I4" s="438"/>
      <c r="J4" s="1843"/>
      <c r="K4" s="1843"/>
      <c r="L4" s="1843"/>
      <c r="M4" s="1843"/>
      <c r="N4" s="1843"/>
      <c r="O4" s="1843"/>
      <c r="P4" s="1843"/>
      <c r="Q4" s="1843"/>
      <c r="R4" s="1843"/>
      <c r="S4" s="1843"/>
      <c r="T4" s="1843"/>
      <c r="U4" s="1843"/>
      <c r="V4" s="1843"/>
      <c r="W4" s="1843"/>
      <c r="X4" s="1843"/>
      <c r="Y4" s="1843"/>
      <c r="Z4" s="1843"/>
      <c r="AA4" s="1843"/>
      <c r="AB4" s="1843"/>
      <c r="AC4" s="1843"/>
      <c r="AD4" s="1843"/>
      <c r="AE4" s="1843"/>
      <c r="AF4" s="1843"/>
      <c r="AG4" s="1843"/>
      <c r="AH4" s="1843"/>
      <c r="AI4" s="1843"/>
      <c r="AJ4" s="1843"/>
      <c r="AK4" s="1843"/>
      <c r="AL4" s="1843"/>
      <c r="AM4" s="1843"/>
      <c r="AN4" s="1843"/>
      <c r="AO4" s="1843"/>
      <c r="AP4" s="1843"/>
      <c r="AQ4" s="1843"/>
      <c r="AR4" s="1843"/>
      <c r="AS4" s="1843"/>
      <c r="AT4" s="1843"/>
      <c r="AU4" s="1843"/>
      <c r="AV4" s="1843"/>
      <c r="AW4" s="1843"/>
      <c r="AX4" s="1843"/>
      <c r="AY4" s="1843"/>
      <c r="AZ4" s="1843"/>
      <c r="BA4" s="1843"/>
      <c r="BB4" s="1843"/>
      <c r="BC4" s="1843"/>
      <c r="BD4" s="1843"/>
      <c r="BE4" s="1843"/>
      <c r="BF4" s="1843"/>
      <c r="BG4" s="1843"/>
      <c r="BH4" s="1843"/>
      <c r="BI4" s="1843"/>
      <c r="BJ4" s="1843"/>
      <c r="BK4" s="1843"/>
      <c r="BL4" s="1843"/>
      <c r="BM4" s="1843"/>
      <c r="BN4" s="1843"/>
      <c r="BO4" s="1843"/>
      <c r="BP4" s="1843"/>
      <c r="BQ4" s="1843"/>
      <c r="BR4" s="1843"/>
      <c r="BS4" s="1843"/>
      <c r="BT4" s="1843"/>
      <c r="BU4" s="1843"/>
      <c r="BV4" s="1843"/>
      <c r="BW4" s="1843"/>
      <c r="BX4" s="1843"/>
      <c r="BY4" s="1843"/>
      <c r="BZ4" s="1843"/>
      <c r="CA4" s="1843"/>
      <c r="CB4" s="1843"/>
      <c r="CC4" s="1843"/>
      <c r="CD4" s="1843"/>
      <c r="CE4" s="1843"/>
      <c r="CF4" s="1843"/>
      <c r="CG4" s="1843"/>
      <c r="CH4" s="1843"/>
      <c r="CI4" s="1843"/>
      <c r="CJ4" s="1843"/>
      <c r="CK4" s="1843"/>
      <c r="CL4" s="1843"/>
      <c r="CM4" s="1843"/>
      <c r="CN4" s="1843"/>
      <c r="CO4" s="1843"/>
      <c r="CP4" s="1843"/>
      <c r="CQ4" s="1843"/>
      <c r="CR4" s="1843"/>
      <c r="CS4" s="1843"/>
      <c r="CT4" s="1843"/>
      <c r="CU4" s="1843"/>
      <c r="CV4" s="1843"/>
      <c r="CW4" s="1843"/>
      <c r="CX4" s="201" t="s">
        <v>815</v>
      </c>
      <c r="CY4" s="440"/>
    </row>
    <row r="5" spans="1:123" ht="18.75" hidden="1" customHeight="1">
      <c r="B5" s="3386"/>
      <c r="C5" s="1030"/>
      <c r="D5" s="1483"/>
      <c r="E5" s="443" t="str">
        <f>B2&amp;".2"</f>
        <v>.2</v>
      </c>
      <c r="F5" s="450" t="s">
        <v>816</v>
      </c>
      <c r="G5" s="1491" t="s">
        <v>817</v>
      </c>
      <c r="H5" s="438"/>
      <c r="I5" s="438"/>
      <c r="J5" s="1843"/>
      <c r="K5" s="1843"/>
      <c r="L5" s="1843"/>
      <c r="M5" s="1843"/>
      <c r="N5" s="1843"/>
      <c r="O5" s="1843"/>
      <c r="P5" s="1843"/>
      <c r="Q5" s="1843"/>
      <c r="R5" s="1843"/>
      <c r="S5" s="1843"/>
      <c r="T5" s="1843"/>
      <c r="U5" s="1843"/>
      <c r="V5" s="1843"/>
      <c r="W5" s="1843"/>
      <c r="X5" s="1843"/>
      <c r="Y5" s="1843"/>
      <c r="Z5" s="1843"/>
      <c r="AA5" s="1843"/>
      <c r="AB5" s="1843"/>
      <c r="AC5" s="1843"/>
      <c r="AD5" s="1843"/>
      <c r="AE5" s="1843"/>
      <c r="AF5" s="1843"/>
      <c r="AG5" s="1843"/>
      <c r="AH5" s="1843"/>
      <c r="AI5" s="1843"/>
      <c r="AJ5" s="1843"/>
      <c r="AK5" s="1843"/>
      <c r="AL5" s="1843"/>
      <c r="AM5" s="1843"/>
      <c r="AN5" s="1843"/>
      <c r="AO5" s="1843"/>
      <c r="AP5" s="1843"/>
      <c r="AQ5" s="1843"/>
      <c r="AR5" s="1843"/>
      <c r="AS5" s="1843"/>
      <c r="AT5" s="1843"/>
      <c r="AU5" s="1843"/>
      <c r="AV5" s="1843"/>
      <c r="AW5" s="1843"/>
      <c r="AX5" s="1843"/>
      <c r="AY5" s="1843"/>
      <c r="AZ5" s="1843"/>
      <c r="BA5" s="1843"/>
      <c r="BB5" s="1843"/>
      <c r="BC5" s="1843"/>
      <c r="BD5" s="1843"/>
      <c r="BE5" s="1843"/>
      <c r="BF5" s="1843"/>
      <c r="BG5" s="1843"/>
      <c r="BH5" s="1843"/>
      <c r="BI5" s="1843"/>
      <c r="BJ5" s="1843"/>
      <c r="BK5" s="1843"/>
      <c r="BL5" s="1843"/>
      <c r="BM5" s="1843"/>
      <c r="BN5" s="1843"/>
      <c r="BO5" s="1843"/>
      <c r="BP5" s="1843"/>
      <c r="BQ5" s="1843"/>
      <c r="BR5" s="1843"/>
      <c r="BS5" s="1843"/>
      <c r="BT5" s="1843"/>
      <c r="BU5" s="1843"/>
      <c r="BV5" s="1843"/>
      <c r="BW5" s="1843"/>
      <c r="BX5" s="1843"/>
      <c r="BY5" s="1843"/>
      <c r="BZ5" s="1843"/>
      <c r="CA5" s="1843"/>
      <c r="CB5" s="1843"/>
      <c r="CC5" s="1843"/>
      <c r="CD5" s="1843"/>
      <c r="CE5" s="1843"/>
      <c r="CF5" s="1843"/>
      <c r="CG5" s="1843"/>
      <c r="CH5" s="1843"/>
      <c r="CI5" s="1843"/>
      <c r="CJ5" s="1843"/>
      <c r="CK5" s="1843"/>
      <c r="CL5" s="1843"/>
      <c r="CM5" s="1843"/>
      <c r="CN5" s="1843"/>
      <c r="CO5" s="1843"/>
      <c r="CP5" s="1843"/>
      <c r="CQ5" s="1843"/>
      <c r="CR5" s="1843"/>
      <c r="CS5" s="1843"/>
      <c r="CT5" s="1843"/>
      <c r="CU5" s="1843"/>
      <c r="CV5" s="1843"/>
      <c r="CW5" s="1843"/>
      <c r="CX5" s="201"/>
      <c r="CY5" s="440"/>
    </row>
    <row r="6" spans="1:123" ht="18.75" hidden="1" customHeight="1">
      <c r="B6" s="3386"/>
      <c r="C6" s="1030"/>
      <c r="D6" s="1483"/>
      <c r="E6" s="443" t="str">
        <f>B2&amp;".3"</f>
        <v>.3</v>
      </c>
      <c r="F6" s="450" t="s">
        <v>818</v>
      </c>
      <c r="G6" s="1491" t="s">
        <v>817</v>
      </c>
      <c r="H6" s="438"/>
      <c r="I6" s="438"/>
      <c r="J6" s="1843"/>
      <c r="K6" s="1843"/>
      <c r="L6" s="1843"/>
      <c r="M6" s="1843"/>
      <c r="N6" s="1843"/>
      <c r="O6" s="1843"/>
      <c r="P6" s="1843"/>
      <c r="Q6" s="1843"/>
      <c r="R6" s="1843"/>
      <c r="S6" s="1843"/>
      <c r="T6" s="1843"/>
      <c r="U6" s="1843"/>
      <c r="V6" s="1843"/>
      <c r="W6" s="1843"/>
      <c r="X6" s="1843"/>
      <c r="Y6" s="1843"/>
      <c r="Z6" s="1843"/>
      <c r="AA6" s="1843"/>
      <c r="AB6" s="1843"/>
      <c r="AC6" s="1843"/>
      <c r="AD6" s="1843"/>
      <c r="AE6" s="1843"/>
      <c r="AF6" s="1843"/>
      <c r="AG6" s="1843"/>
      <c r="AH6" s="1843"/>
      <c r="AI6" s="1843"/>
      <c r="AJ6" s="1843"/>
      <c r="AK6" s="1843"/>
      <c r="AL6" s="1843"/>
      <c r="AM6" s="1843"/>
      <c r="AN6" s="1843"/>
      <c r="AO6" s="1843"/>
      <c r="AP6" s="1843"/>
      <c r="AQ6" s="1843"/>
      <c r="AR6" s="1843"/>
      <c r="AS6" s="1843"/>
      <c r="AT6" s="1843"/>
      <c r="AU6" s="1843"/>
      <c r="AV6" s="1843"/>
      <c r="AW6" s="1843"/>
      <c r="AX6" s="1843"/>
      <c r="AY6" s="1843"/>
      <c r="AZ6" s="1843"/>
      <c r="BA6" s="1843"/>
      <c r="BB6" s="1843"/>
      <c r="BC6" s="1843"/>
      <c r="BD6" s="1843"/>
      <c r="BE6" s="1843"/>
      <c r="BF6" s="1843"/>
      <c r="BG6" s="1843"/>
      <c r="BH6" s="1843"/>
      <c r="BI6" s="1843"/>
      <c r="BJ6" s="1843"/>
      <c r="BK6" s="1843"/>
      <c r="BL6" s="1843"/>
      <c r="BM6" s="1843"/>
      <c r="BN6" s="1843"/>
      <c r="BO6" s="1843"/>
      <c r="BP6" s="1843"/>
      <c r="BQ6" s="1843"/>
      <c r="BR6" s="1843"/>
      <c r="BS6" s="1843"/>
      <c r="BT6" s="1843"/>
      <c r="BU6" s="1843"/>
      <c r="BV6" s="1843"/>
      <c r="BW6" s="1843"/>
      <c r="BX6" s="1843"/>
      <c r="BY6" s="1843"/>
      <c r="BZ6" s="1843"/>
      <c r="CA6" s="1843"/>
      <c r="CB6" s="1843"/>
      <c r="CC6" s="1843"/>
      <c r="CD6" s="1843"/>
      <c r="CE6" s="1843"/>
      <c r="CF6" s="1843"/>
      <c r="CG6" s="1843"/>
      <c r="CH6" s="1843"/>
      <c r="CI6" s="1843"/>
      <c r="CJ6" s="1843"/>
      <c r="CK6" s="1843"/>
      <c r="CL6" s="1843"/>
      <c r="CM6" s="1843"/>
      <c r="CN6" s="1843"/>
      <c r="CO6" s="1843"/>
      <c r="CP6" s="1843"/>
      <c r="CQ6" s="1843"/>
      <c r="CR6" s="1843"/>
      <c r="CS6" s="1843"/>
      <c r="CT6" s="1843"/>
      <c r="CU6" s="1843"/>
      <c r="CV6" s="1843"/>
      <c r="CW6" s="1843"/>
      <c r="CX6" s="201"/>
      <c r="CY6" s="440"/>
    </row>
    <row r="7" spans="1:123" ht="18.75" hidden="1" customHeight="1">
      <c r="B7" s="3386"/>
      <c r="C7" s="1030"/>
      <c r="D7" s="1483"/>
      <c r="E7" s="443" t="str">
        <f>B2&amp;".4"</f>
        <v>.4</v>
      </c>
      <c r="F7" s="450" t="s">
        <v>819</v>
      </c>
      <c r="G7" s="1491" t="s">
        <v>811</v>
      </c>
      <c r="H7" s="452"/>
      <c r="I7" s="452"/>
      <c r="J7" s="1844"/>
      <c r="K7" s="1844"/>
      <c r="L7" s="1844"/>
      <c r="M7" s="1844"/>
      <c r="N7" s="1844"/>
      <c r="O7" s="1844"/>
      <c r="P7" s="1844"/>
      <c r="Q7" s="1844"/>
      <c r="R7" s="1844"/>
      <c r="S7" s="1844"/>
      <c r="T7" s="1844"/>
      <c r="U7" s="1844"/>
      <c r="V7" s="1844"/>
      <c r="W7" s="1844"/>
      <c r="X7" s="1844"/>
      <c r="Y7" s="1844"/>
      <c r="Z7" s="1844"/>
      <c r="AA7" s="1844"/>
      <c r="AB7" s="1844"/>
      <c r="AC7" s="1844"/>
      <c r="AD7" s="1844"/>
      <c r="AE7" s="1844"/>
      <c r="AF7" s="1844"/>
      <c r="AG7" s="1844"/>
      <c r="AH7" s="1844"/>
      <c r="AI7" s="1844"/>
      <c r="AJ7" s="1844"/>
      <c r="AK7" s="1844"/>
      <c r="AL7" s="1844"/>
      <c r="AM7" s="1844"/>
      <c r="AN7" s="1844"/>
      <c r="AO7" s="1844"/>
      <c r="AP7" s="1844"/>
      <c r="AQ7" s="1844"/>
      <c r="AR7" s="1844"/>
      <c r="AS7" s="1844"/>
      <c r="AT7" s="1844"/>
      <c r="AU7" s="1844"/>
      <c r="AV7" s="1844"/>
      <c r="AW7" s="1844"/>
      <c r="AX7" s="1844"/>
      <c r="AY7" s="1844"/>
      <c r="AZ7" s="1844"/>
      <c r="BA7" s="1844"/>
      <c r="BB7" s="1844"/>
      <c r="BC7" s="1844"/>
      <c r="BD7" s="1844"/>
      <c r="BE7" s="1844"/>
      <c r="BF7" s="1844"/>
      <c r="BG7" s="1844"/>
      <c r="BH7" s="1844"/>
      <c r="BI7" s="1844"/>
      <c r="BJ7" s="1844"/>
      <c r="BK7" s="1844"/>
      <c r="BL7" s="1844"/>
      <c r="BM7" s="1844"/>
      <c r="BN7" s="1844"/>
      <c r="BO7" s="1844"/>
      <c r="BP7" s="1844"/>
      <c r="BQ7" s="1844"/>
      <c r="BR7" s="1844"/>
      <c r="BS7" s="1844"/>
      <c r="BT7" s="1844"/>
      <c r="BU7" s="1844"/>
      <c r="BV7" s="1844"/>
      <c r="BW7" s="1844"/>
      <c r="BX7" s="1844"/>
      <c r="BY7" s="1844"/>
      <c r="BZ7" s="1844"/>
      <c r="CA7" s="1844"/>
      <c r="CB7" s="1844"/>
      <c r="CC7" s="1844"/>
      <c r="CD7" s="1844"/>
      <c r="CE7" s="1844"/>
      <c r="CF7" s="1844"/>
      <c r="CG7" s="1844"/>
      <c r="CH7" s="1844"/>
      <c r="CI7" s="1844"/>
      <c r="CJ7" s="1844"/>
      <c r="CK7" s="1844"/>
      <c r="CL7" s="1844"/>
      <c r="CM7" s="1844"/>
      <c r="CN7" s="1844"/>
      <c r="CO7" s="1844"/>
      <c r="CP7" s="1844"/>
      <c r="CQ7" s="1844"/>
      <c r="CR7" s="1844"/>
      <c r="CS7" s="1844"/>
      <c r="CT7" s="1844"/>
      <c r="CU7" s="1844"/>
      <c r="CV7" s="1844"/>
      <c r="CW7" s="1844"/>
      <c r="CX7" s="201"/>
      <c r="CY7" s="440"/>
    </row>
    <row r="8" spans="1:123" s="1903" customFormat="1" ht="11.25" hidden="1" customHeight="1">
      <c r="A8" s="858"/>
      <c r="C8" s="1481"/>
      <c r="D8" s="434"/>
      <c r="H8" s="1023">
        <v>4</v>
      </c>
      <c r="I8" s="1023">
        <v>4</v>
      </c>
      <c r="J8" s="1903">
        <v>4</v>
      </c>
      <c r="K8" s="1903">
        <v>4</v>
      </c>
      <c r="L8" s="1903">
        <v>4</v>
      </c>
      <c r="M8" s="1903">
        <v>4</v>
      </c>
      <c r="N8" s="1903">
        <v>4</v>
      </c>
      <c r="O8" s="1903">
        <v>4</v>
      </c>
      <c r="P8" s="1903">
        <v>4</v>
      </c>
      <c r="Q8" s="1903">
        <v>4</v>
      </c>
      <c r="R8" s="1903">
        <v>4</v>
      </c>
      <c r="S8" s="1903">
        <v>4</v>
      </c>
      <c r="T8" s="1903">
        <v>4</v>
      </c>
      <c r="U8" s="1903">
        <v>4</v>
      </c>
      <c r="V8" s="1903">
        <v>4</v>
      </c>
      <c r="W8" s="1903">
        <v>4</v>
      </c>
      <c r="X8" s="1903">
        <v>4</v>
      </c>
      <c r="Y8" s="1903">
        <v>4</v>
      </c>
      <c r="Z8" s="1903">
        <v>4</v>
      </c>
      <c r="AA8" s="1903">
        <v>4</v>
      </c>
      <c r="AB8" s="1903">
        <v>4</v>
      </c>
      <c r="AC8" s="1903">
        <v>4</v>
      </c>
      <c r="AD8" s="1903">
        <v>4</v>
      </c>
      <c r="AE8" s="1903">
        <v>4</v>
      </c>
      <c r="AF8" s="1903">
        <v>4</v>
      </c>
      <c r="AG8" s="1903">
        <v>4</v>
      </c>
      <c r="AH8" s="1903">
        <v>4</v>
      </c>
      <c r="AI8" s="1903">
        <v>4</v>
      </c>
      <c r="AJ8" s="1903">
        <v>4</v>
      </c>
      <c r="AK8" s="1903">
        <v>4</v>
      </c>
      <c r="AL8" s="1903">
        <v>4</v>
      </c>
      <c r="AM8" s="1903">
        <v>4</v>
      </c>
      <c r="AN8" s="1903">
        <v>4</v>
      </c>
      <c r="AO8" s="1903">
        <v>4</v>
      </c>
      <c r="AP8" s="1903">
        <v>4</v>
      </c>
      <c r="AQ8" s="1903">
        <v>4</v>
      </c>
      <c r="AR8" s="1903">
        <v>4</v>
      </c>
      <c r="AS8" s="1903">
        <v>4</v>
      </c>
      <c r="AT8" s="1903">
        <v>4</v>
      </c>
      <c r="AU8" s="1903">
        <v>4</v>
      </c>
      <c r="AV8" s="1903">
        <v>4</v>
      </c>
      <c r="AW8" s="1903">
        <v>4</v>
      </c>
      <c r="AX8" s="1903">
        <v>4</v>
      </c>
      <c r="AY8" s="1903">
        <v>4</v>
      </c>
      <c r="AZ8" s="1903">
        <v>4</v>
      </c>
      <c r="BA8" s="1903">
        <v>4</v>
      </c>
      <c r="BB8" s="1903">
        <v>4</v>
      </c>
      <c r="BC8" s="1903">
        <v>4</v>
      </c>
      <c r="BD8" s="1903">
        <v>4</v>
      </c>
      <c r="BE8" s="1903">
        <v>4</v>
      </c>
      <c r="BF8" s="1903">
        <v>4</v>
      </c>
      <c r="BG8" s="1903">
        <v>4</v>
      </c>
      <c r="BH8" s="1903">
        <v>4</v>
      </c>
      <c r="BI8" s="1903">
        <v>4</v>
      </c>
      <c r="BJ8" s="1903">
        <v>4</v>
      </c>
      <c r="BK8" s="1903">
        <v>4</v>
      </c>
      <c r="BL8" s="1903">
        <v>4</v>
      </c>
      <c r="BM8" s="1903">
        <v>4</v>
      </c>
      <c r="BN8" s="1903">
        <v>4</v>
      </c>
      <c r="BO8" s="1903">
        <v>4</v>
      </c>
      <c r="BP8" s="1903">
        <v>4</v>
      </c>
      <c r="BQ8" s="1903">
        <v>4</v>
      </c>
      <c r="BR8" s="1903">
        <v>4</v>
      </c>
      <c r="BS8" s="1903">
        <v>4</v>
      </c>
      <c r="BT8" s="1903">
        <v>4</v>
      </c>
      <c r="BU8" s="1903">
        <v>4</v>
      </c>
      <c r="BV8" s="1903">
        <v>4</v>
      </c>
      <c r="BW8" s="1903">
        <v>4</v>
      </c>
      <c r="BX8" s="1903">
        <v>4</v>
      </c>
      <c r="BY8" s="1903">
        <v>4</v>
      </c>
      <c r="BZ8" s="1903">
        <v>4</v>
      </c>
      <c r="CA8" s="1903">
        <v>4</v>
      </c>
      <c r="CB8" s="1903">
        <v>4</v>
      </c>
      <c r="CC8" s="1903">
        <v>4</v>
      </c>
      <c r="CD8" s="1903">
        <v>4</v>
      </c>
      <c r="CE8" s="1903">
        <v>4</v>
      </c>
      <c r="CF8" s="1903">
        <v>4</v>
      </c>
      <c r="CG8" s="1903">
        <v>4</v>
      </c>
      <c r="CH8" s="1903">
        <v>4</v>
      </c>
      <c r="CI8" s="1903">
        <v>4</v>
      </c>
      <c r="CJ8" s="1903">
        <v>4</v>
      </c>
      <c r="CK8" s="1903">
        <v>4</v>
      </c>
      <c r="CL8" s="1903">
        <v>4</v>
      </c>
      <c r="CM8" s="1903">
        <v>4</v>
      </c>
      <c r="CN8" s="1903">
        <v>4</v>
      </c>
      <c r="CO8" s="1903">
        <v>4</v>
      </c>
      <c r="CP8" s="1903">
        <v>4</v>
      </c>
      <c r="CQ8" s="1903">
        <v>4</v>
      </c>
      <c r="CR8" s="1903">
        <v>4</v>
      </c>
      <c r="CS8" s="1903">
        <v>4</v>
      </c>
      <c r="CT8" s="1903">
        <v>4</v>
      </c>
      <c r="CU8" s="1903">
        <v>4</v>
      </c>
      <c r="CV8" s="1903">
        <v>4</v>
      </c>
      <c r="CW8" s="1903">
        <v>4</v>
      </c>
      <c r="CZ8" s="1481"/>
      <c r="DA8" s="1481"/>
      <c r="DF8" s="1481"/>
    </row>
    <row r="9" spans="1:123" s="1903" customFormat="1" ht="22.5" hidden="1" customHeight="1">
      <c r="A9" s="858"/>
      <c r="C9" s="1481"/>
      <c r="D9" s="435"/>
      <c r="E9" s="1493"/>
      <c r="F9" s="437"/>
      <c r="G9" s="1491" t="s">
        <v>817</v>
      </c>
      <c r="H9" s="438"/>
      <c r="I9" s="438"/>
      <c r="J9" s="1843"/>
      <c r="K9" s="1843"/>
      <c r="L9" s="1843"/>
      <c r="M9" s="1843"/>
      <c r="N9" s="1843"/>
      <c r="O9" s="1843"/>
      <c r="P9" s="1843"/>
      <c r="Q9" s="1843"/>
      <c r="R9" s="1843"/>
      <c r="S9" s="1843"/>
      <c r="T9" s="1843"/>
      <c r="U9" s="1843"/>
      <c r="V9" s="1843"/>
      <c r="W9" s="1843"/>
      <c r="X9" s="1843"/>
      <c r="Y9" s="1843"/>
      <c r="Z9" s="1843"/>
      <c r="AA9" s="1843"/>
      <c r="AB9" s="1843"/>
      <c r="AC9" s="1843"/>
      <c r="AD9" s="1843"/>
      <c r="AE9" s="1843"/>
      <c r="AF9" s="1843"/>
      <c r="AG9" s="1843"/>
      <c r="AH9" s="1843"/>
      <c r="AI9" s="1843"/>
      <c r="AJ9" s="1843"/>
      <c r="AK9" s="1843"/>
      <c r="AL9" s="1843"/>
      <c r="AM9" s="1843"/>
      <c r="AN9" s="1843"/>
      <c r="AO9" s="1843"/>
      <c r="AP9" s="1843"/>
      <c r="AQ9" s="1843"/>
      <c r="AR9" s="1843"/>
      <c r="AS9" s="1843"/>
      <c r="AT9" s="1843"/>
      <c r="AU9" s="1843"/>
      <c r="AV9" s="1843"/>
      <c r="AW9" s="1843"/>
      <c r="AX9" s="1843"/>
      <c r="AY9" s="1843"/>
      <c r="AZ9" s="1843"/>
      <c r="BA9" s="1843"/>
      <c r="BB9" s="1843"/>
      <c r="BC9" s="1843"/>
      <c r="BD9" s="1843"/>
      <c r="BE9" s="1843"/>
      <c r="BF9" s="1843"/>
      <c r="BG9" s="1843"/>
      <c r="BH9" s="1843"/>
      <c r="BI9" s="1843"/>
      <c r="BJ9" s="1843"/>
      <c r="BK9" s="1843"/>
      <c r="BL9" s="1843"/>
      <c r="BM9" s="1843"/>
      <c r="BN9" s="1843"/>
      <c r="BO9" s="1843"/>
      <c r="BP9" s="1843"/>
      <c r="BQ9" s="1843"/>
      <c r="BR9" s="1843"/>
      <c r="BS9" s="1843"/>
      <c r="BT9" s="1843"/>
      <c r="BU9" s="1843"/>
      <c r="BV9" s="1843"/>
      <c r="BW9" s="1843"/>
      <c r="BX9" s="1843"/>
      <c r="BY9" s="1843"/>
      <c r="BZ9" s="1843"/>
      <c r="CA9" s="1843"/>
      <c r="CB9" s="1843"/>
      <c r="CC9" s="1843"/>
      <c r="CD9" s="1843"/>
      <c r="CE9" s="1843"/>
      <c r="CF9" s="1843"/>
      <c r="CG9" s="1843"/>
      <c r="CH9" s="1843"/>
      <c r="CI9" s="1843"/>
      <c r="CJ9" s="1843"/>
      <c r="CK9" s="1843"/>
      <c r="CL9" s="1843"/>
      <c r="CM9" s="1843"/>
      <c r="CN9" s="1843"/>
      <c r="CO9" s="1843"/>
      <c r="CP9" s="1843"/>
      <c r="CQ9" s="1843"/>
      <c r="CR9" s="1843"/>
      <c r="CS9" s="1843"/>
      <c r="CT9" s="1843"/>
      <c r="CU9" s="1843"/>
      <c r="CV9" s="1843"/>
      <c r="CW9" s="1843"/>
      <c r="CX9" s="439" t="s">
        <v>820</v>
      </c>
      <c r="CY9" s="440"/>
      <c r="CZ9" s="1481"/>
      <c r="DA9" s="1481"/>
      <c r="DF9" s="1481"/>
      <c r="DI9" s="441"/>
      <c r="DO9" s="1477"/>
      <c r="DP9" s="1477"/>
      <c r="DQ9" s="1477"/>
      <c r="DR9" s="1477"/>
      <c r="DS9" s="1477"/>
    </row>
    <row r="10" spans="1:123" ht="11.25" hidden="1" customHeight="1"/>
    <row r="11" spans="1:123" ht="18.75" hidden="1" customHeight="1">
      <c r="D11" s="1483"/>
      <c r="E11" s="443"/>
      <c r="F11" s="437"/>
      <c r="G11" s="1491" t="s">
        <v>821</v>
      </c>
      <c r="H11" s="438"/>
      <c r="I11" s="438"/>
      <c r="J11" s="1843"/>
      <c r="K11" s="1843"/>
      <c r="L11" s="1843"/>
      <c r="M11" s="1843"/>
      <c r="N11" s="1843"/>
      <c r="O11" s="1843"/>
      <c r="P11" s="1843"/>
      <c r="Q11" s="1843"/>
      <c r="R11" s="1843"/>
      <c r="S11" s="1843"/>
      <c r="T11" s="1843"/>
      <c r="U11" s="1843"/>
      <c r="V11" s="1843"/>
      <c r="W11" s="1843"/>
      <c r="X11" s="1843"/>
      <c r="Y11" s="1843"/>
      <c r="Z11" s="1843"/>
      <c r="AA11" s="1843"/>
      <c r="AB11" s="1843"/>
      <c r="AC11" s="1843"/>
      <c r="AD11" s="1843"/>
      <c r="AE11" s="1843"/>
      <c r="AF11" s="1843"/>
      <c r="AG11" s="1843"/>
      <c r="AH11" s="1843"/>
      <c r="AI11" s="1843"/>
      <c r="AJ11" s="1843"/>
      <c r="AK11" s="1843"/>
      <c r="AL11" s="1843"/>
      <c r="AM11" s="1843"/>
      <c r="AN11" s="1843"/>
      <c r="AO11" s="1843"/>
      <c r="AP11" s="1843"/>
      <c r="AQ11" s="1843"/>
      <c r="AR11" s="1843"/>
      <c r="AS11" s="1843"/>
      <c r="AT11" s="1843"/>
      <c r="AU11" s="1843"/>
      <c r="AV11" s="1843"/>
      <c r="AW11" s="1843"/>
      <c r="AX11" s="1843"/>
      <c r="AY11" s="1843"/>
      <c r="AZ11" s="1843"/>
      <c r="BA11" s="1843"/>
      <c r="BB11" s="1843"/>
      <c r="BC11" s="1843"/>
      <c r="BD11" s="1843"/>
      <c r="BE11" s="1843"/>
      <c r="BF11" s="1843"/>
      <c r="BG11" s="1843"/>
      <c r="BH11" s="1843"/>
      <c r="BI11" s="1843"/>
      <c r="BJ11" s="1843"/>
      <c r="BK11" s="1843"/>
      <c r="BL11" s="1843"/>
      <c r="BM11" s="1843"/>
      <c r="BN11" s="1843"/>
      <c r="BO11" s="1843"/>
      <c r="BP11" s="1843"/>
      <c r="BQ11" s="1843"/>
      <c r="BR11" s="1843"/>
      <c r="BS11" s="1843"/>
      <c r="BT11" s="1843"/>
      <c r="BU11" s="1843"/>
      <c r="BV11" s="1843"/>
      <c r="BW11" s="1843"/>
      <c r="BX11" s="1843"/>
      <c r="BY11" s="1843"/>
      <c r="BZ11" s="1843"/>
      <c r="CA11" s="1843"/>
      <c r="CB11" s="1843"/>
      <c r="CC11" s="1843"/>
      <c r="CD11" s="1843"/>
      <c r="CE11" s="1843"/>
      <c r="CF11" s="1843"/>
      <c r="CG11" s="1843"/>
      <c r="CH11" s="1843"/>
      <c r="CI11" s="1843"/>
      <c r="CJ11" s="1843"/>
      <c r="CK11" s="1843"/>
      <c r="CL11" s="1843"/>
      <c r="CM11" s="1843"/>
      <c r="CN11" s="1843"/>
      <c r="CO11" s="1843"/>
      <c r="CP11" s="1843"/>
      <c r="CQ11" s="1843"/>
      <c r="CR11" s="1843"/>
      <c r="CS11" s="1843"/>
      <c r="CT11" s="1843"/>
      <c r="CU11" s="1843"/>
      <c r="CV11" s="1843"/>
      <c r="CW11" s="1843"/>
      <c r="CX11" s="201" t="s">
        <v>822</v>
      </c>
      <c r="CY11" s="440"/>
    </row>
    <row r="12" spans="1:123" ht="11.25" hidden="1" customHeight="1"/>
    <row r="13" spans="1:123" ht="22.5" hidden="1" customHeight="1">
      <c r="D13" s="1483"/>
      <c r="E13" s="443"/>
      <c r="F13" s="437"/>
      <c r="G13" s="841" t="s">
        <v>823</v>
      </c>
      <c r="H13" s="442"/>
      <c r="I13" s="442"/>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846"/>
      <c r="AN13" s="1846"/>
      <c r="AO13" s="1846"/>
      <c r="AP13" s="1846"/>
      <c r="AQ13" s="1846"/>
      <c r="AR13" s="1846"/>
      <c r="AS13" s="1846"/>
      <c r="AT13" s="1846"/>
      <c r="AU13" s="1846"/>
      <c r="AV13" s="1846"/>
      <c r="AW13" s="1846"/>
      <c r="AX13" s="1846"/>
      <c r="AY13" s="1846"/>
      <c r="AZ13" s="1846"/>
      <c r="BA13" s="1846"/>
      <c r="BB13" s="1846"/>
      <c r="BC13" s="1846"/>
      <c r="BD13" s="1846"/>
      <c r="BE13" s="1846"/>
      <c r="BF13" s="1846"/>
      <c r="BG13" s="1846"/>
      <c r="BH13" s="1846"/>
      <c r="BI13" s="1846"/>
      <c r="BJ13" s="1846"/>
      <c r="BK13" s="1846"/>
      <c r="BL13" s="1846"/>
      <c r="BM13" s="1846"/>
      <c r="BN13" s="1846"/>
      <c r="BO13" s="1846"/>
      <c r="BP13" s="1846"/>
      <c r="BQ13" s="1846"/>
      <c r="BR13" s="1846"/>
      <c r="BS13" s="1846"/>
      <c r="BT13" s="1846"/>
      <c r="BU13" s="1846"/>
      <c r="BV13" s="1846"/>
      <c r="BW13" s="1846"/>
      <c r="BX13" s="1846"/>
      <c r="BY13" s="1846"/>
      <c r="BZ13" s="1846"/>
      <c r="CA13" s="1846"/>
      <c r="CB13" s="1846"/>
      <c r="CC13" s="1846"/>
      <c r="CD13" s="1846"/>
      <c r="CE13" s="1846"/>
      <c r="CF13" s="1846"/>
      <c r="CG13" s="1846"/>
      <c r="CH13" s="1846"/>
      <c r="CI13" s="1846"/>
      <c r="CJ13" s="1846"/>
      <c r="CK13" s="1846"/>
      <c r="CL13" s="1846"/>
      <c r="CM13" s="1846"/>
      <c r="CN13" s="1846"/>
      <c r="CO13" s="1846"/>
      <c r="CP13" s="1846"/>
      <c r="CQ13" s="1846"/>
      <c r="CR13" s="1846"/>
      <c r="CS13" s="1846"/>
      <c r="CT13" s="1846"/>
      <c r="CU13" s="1846"/>
      <c r="CV13" s="1846"/>
      <c r="CW13" s="1846"/>
      <c r="CX13" s="634" t="s">
        <v>824</v>
      </c>
      <c r="CY13" s="440"/>
    </row>
    <row r="14" spans="1:123" ht="11.25" hidden="1" customHeight="1"/>
    <row r="15" spans="1:123" ht="22.5" hidden="1" customHeight="1">
      <c r="D15" s="1483"/>
      <c r="E15" s="443"/>
      <c r="F15" s="437"/>
      <c r="G15" s="1491" t="s">
        <v>825</v>
      </c>
      <c r="H15" s="442"/>
      <c r="I15" s="442"/>
      <c r="J15" s="1846"/>
      <c r="K15" s="1846"/>
      <c r="L15" s="1846"/>
      <c r="M15" s="184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1846"/>
      <c r="AM15" s="1846"/>
      <c r="AN15" s="1846"/>
      <c r="AO15" s="1846"/>
      <c r="AP15" s="1846"/>
      <c r="AQ15" s="1846"/>
      <c r="AR15" s="1846"/>
      <c r="AS15" s="1846"/>
      <c r="AT15" s="1846"/>
      <c r="AU15" s="1846"/>
      <c r="AV15" s="1846"/>
      <c r="AW15" s="1846"/>
      <c r="AX15" s="1846"/>
      <c r="AY15" s="1846"/>
      <c r="AZ15" s="1846"/>
      <c r="BA15" s="1846"/>
      <c r="BB15" s="1846"/>
      <c r="BC15" s="1846"/>
      <c r="BD15" s="1846"/>
      <c r="BE15" s="1846"/>
      <c r="BF15" s="1846"/>
      <c r="BG15" s="1846"/>
      <c r="BH15" s="1846"/>
      <c r="BI15" s="1846"/>
      <c r="BJ15" s="1846"/>
      <c r="BK15" s="1846"/>
      <c r="BL15" s="1846"/>
      <c r="BM15" s="1846"/>
      <c r="BN15" s="1846"/>
      <c r="BO15" s="1846"/>
      <c r="BP15" s="1846"/>
      <c r="BQ15" s="1846"/>
      <c r="BR15" s="1846"/>
      <c r="BS15" s="1846"/>
      <c r="BT15" s="1846"/>
      <c r="BU15" s="1846"/>
      <c r="BV15" s="1846"/>
      <c r="BW15" s="1846"/>
      <c r="BX15" s="1846"/>
      <c r="BY15" s="1846"/>
      <c r="BZ15" s="1846"/>
      <c r="CA15" s="1846"/>
      <c r="CB15" s="1846"/>
      <c r="CC15" s="1846"/>
      <c r="CD15" s="1846"/>
      <c r="CE15" s="1846"/>
      <c r="CF15" s="1846"/>
      <c r="CG15" s="1846"/>
      <c r="CH15" s="1846"/>
      <c r="CI15" s="1846"/>
      <c r="CJ15" s="1846"/>
      <c r="CK15" s="1846"/>
      <c r="CL15" s="1846"/>
      <c r="CM15" s="1846"/>
      <c r="CN15" s="1846"/>
      <c r="CO15" s="1846"/>
      <c r="CP15" s="1846"/>
      <c r="CQ15" s="1846"/>
      <c r="CR15" s="1846"/>
      <c r="CS15" s="1846"/>
      <c r="CT15" s="1846"/>
      <c r="CU15" s="1846"/>
      <c r="CV15" s="1846"/>
      <c r="CW15" s="1846"/>
      <c r="CX15" s="201" t="s">
        <v>826</v>
      </c>
      <c r="CY15" s="440"/>
    </row>
    <row r="16" spans="1:123" ht="11.25" hidden="1" customHeight="1"/>
    <row r="17" spans="1:118" ht="22.5" hidden="1" customHeight="1">
      <c r="D17" s="1483"/>
      <c r="E17" s="443"/>
      <c r="F17" s="437"/>
      <c r="G17" s="1491" t="s">
        <v>827</v>
      </c>
      <c r="H17" s="442"/>
      <c r="I17" s="442"/>
      <c r="J17" s="1846"/>
      <c r="K17" s="1846"/>
      <c r="L17" s="1846"/>
      <c r="M17" s="1846"/>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c r="AL17" s="1846"/>
      <c r="AM17" s="1846"/>
      <c r="AN17" s="1846"/>
      <c r="AO17" s="1846"/>
      <c r="AP17" s="1846"/>
      <c r="AQ17" s="1846"/>
      <c r="AR17" s="1846"/>
      <c r="AS17" s="1846"/>
      <c r="AT17" s="1846"/>
      <c r="AU17" s="1846"/>
      <c r="AV17" s="1846"/>
      <c r="AW17" s="1846"/>
      <c r="AX17" s="1846"/>
      <c r="AY17" s="1846"/>
      <c r="AZ17" s="1846"/>
      <c r="BA17" s="1846"/>
      <c r="BB17" s="1846"/>
      <c r="BC17" s="1846"/>
      <c r="BD17" s="1846"/>
      <c r="BE17" s="1846"/>
      <c r="BF17" s="1846"/>
      <c r="BG17" s="1846"/>
      <c r="BH17" s="1846"/>
      <c r="BI17" s="1846"/>
      <c r="BJ17" s="1846"/>
      <c r="BK17" s="1846"/>
      <c r="BL17" s="1846"/>
      <c r="BM17" s="1846"/>
      <c r="BN17" s="1846"/>
      <c r="BO17" s="1846"/>
      <c r="BP17" s="1846"/>
      <c r="BQ17" s="1846"/>
      <c r="BR17" s="1846"/>
      <c r="BS17" s="1846"/>
      <c r="BT17" s="1846"/>
      <c r="BU17" s="1846"/>
      <c r="BV17" s="1846"/>
      <c r="BW17" s="1846"/>
      <c r="BX17" s="1846"/>
      <c r="BY17" s="1846"/>
      <c r="BZ17" s="1846"/>
      <c r="CA17" s="1846"/>
      <c r="CB17" s="1846"/>
      <c r="CC17" s="1846"/>
      <c r="CD17" s="1846"/>
      <c r="CE17" s="1846"/>
      <c r="CF17" s="1846"/>
      <c r="CG17" s="1846"/>
      <c r="CH17" s="1846"/>
      <c r="CI17" s="1846"/>
      <c r="CJ17" s="1846"/>
      <c r="CK17" s="1846"/>
      <c r="CL17" s="1846"/>
      <c r="CM17" s="1846"/>
      <c r="CN17" s="1846"/>
      <c r="CO17" s="1846"/>
      <c r="CP17" s="1846"/>
      <c r="CQ17" s="1846"/>
      <c r="CR17" s="1846"/>
      <c r="CS17" s="1846"/>
      <c r="CT17" s="1846"/>
      <c r="CU17" s="1846"/>
      <c r="CV17" s="1846"/>
      <c r="CW17" s="1846"/>
      <c r="CX17" s="201" t="s">
        <v>828</v>
      </c>
      <c r="CY17" s="440"/>
    </row>
    <row r="18" spans="1:118" ht="11.25" hidden="1" customHeight="1"/>
    <row r="19" spans="1:118" s="1926" customFormat="1" ht="11.25" hidden="1" customHeight="1">
      <c r="A19" s="858"/>
      <c r="B19" s="1023"/>
      <c r="C19" s="1481"/>
      <c r="D19" s="271"/>
      <c r="CX19" s="1477">
        <v>4</v>
      </c>
      <c r="CY19" s="1023"/>
      <c r="CZ19" s="1481"/>
      <c r="DA19" s="1481"/>
      <c r="DB19" s="1023"/>
      <c r="DC19" s="1023"/>
      <c r="DD19" s="1023"/>
      <c r="DE19" s="1023"/>
      <c r="DF19" s="1481"/>
      <c r="DG19" s="1023"/>
      <c r="DH19" s="1023"/>
      <c r="DI19" s="441"/>
      <c r="DJ19" s="1023"/>
      <c r="DK19" s="1023"/>
      <c r="DL19" s="1023"/>
      <c r="DM19" s="1023"/>
      <c r="DN19" s="1023"/>
    </row>
    <row r="21" spans="1:118" ht="24" customHeight="1">
      <c r="E21" s="350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3509"/>
      <c r="G21" s="3509"/>
      <c r="H21" s="3509"/>
      <c r="I21" s="3509"/>
      <c r="J21" s="1835"/>
      <c r="K21" s="1835"/>
      <c r="L21" s="1835"/>
      <c r="M21" s="1835"/>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c r="AL21" s="1835"/>
      <c r="AM21" s="1835"/>
      <c r="AN21" s="1835"/>
      <c r="AO21" s="1835"/>
      <c r="AP21" s="1835"/>
      <c r="AQ21" s="1835"/>
      <c r="AR21" s="1835"/>
      <c r="AS21" s="1835"/>
      <c r="AT21" s="1835"/>
      <c r="AU21" s="1835"/>
      <c r="AV21" s="1835"/>
      <c r="AW21" s="1835"/>
      <c r="AX21" s="1835"/>
      <c r="AY21" s="1835"/>
      <c r="AZ21" s="1835"/>
      <c r="BA21" s="1835"/>
      <c r="BB21" s="1835"/>
      <c r="BC21" s="1835"/>
      <c r="BD21" s="1835"/>
      <c r="BE21" s="1835"/>
      <c r="BF21" s="1835"/>
      <c r="BG21" s="1835"/>
      <c r="BH21" s="1835"/>
      <c r="BI21" s="1835"/>
      <c r="BJ21" s="1835"/>
      <c r="BK21" s="1835"/>
      <c r="BL21" s="1835"/>
      <c r="BM21" s="1835"/>
      <c r="BN21" s="1835"/>
      <c r="BO21" s="1835"/>
      <c r="BP21" s="1835"/>
      <c r="BQ21" s="1835"/>
      <c r="BR21" s="1835"/>
      <c r="BS21" s="1835"/>
      <c r="BT21" s="1835"/>
      <c r="BU21" s="1835"/>
      <c r="BV21" s="1835"/>
      <c r="BW21" s="1835"/>
      <c r="BX21" s="1835"/>
      <c r="BY21" s="1835"/>
      <c r="BZ21" s="1835"/>
      <c r="CA21" s="1835"/>
      <c r="CB21" s="1835"/>
      <c r="CC21" s="1835"/>
      <c r="CD21" s="1835"/>
      <c r="CE21" s="1835"/>
      <c r="CF21" s="1835"/>
      <c r="CG21" s="1835"/>
      <c r="CH21" s="1835"/>
      <c r="CI21" s="1835"/>
      <c r="CJ21" s="1835"/>
      <c r="CK21" s="1835"/>
      <c r="CL21" s="1835"/>
      <c r="CM21" s="1835"/>
      <c r="CN21" s="1835"/>
      <c r="CO21" s="1835"/>
      <c r="CP21" s="1835"/>
      <c r="CQ21" s="1835"/>
      <c r="CR21" s="1835"/>
      <c r="CS21" s="1835"/>
      <c r="CT21" s="1835"/>
      <c r="CU21" s="1835"/>
      <c r="CV21" s="1835"/>
      <c r="CW21" s="1835"/>
      <c r="CX21" s="453"/>
    </row>
    <row r="22" spans="1:118" ht="24" customHeight="1">
      <c r="E22" s="3480" t="str">
        <f>IF(org=0,"Не определено",org)</f>
        <v>АО "Орелгортеплоэнерго"</v>
      </c>
      <c r="F22" s="3480"/>
      <c r="G22" s="3480"/>
      <c r="H22" s="3480"/>
      <c r="I22" s="3480"/>
      <c r="J22" s="1836"/>
      <c r="K22" s="1836"/>
      <c r="L22" s="1836"/>
      <c r="M22" s="1836"/>
      <c r="N22" s="1836"/>
      <c r="O22" s="1836"/>
      <c r="P22" s="1836"/>
      <c r="Q22" s="1836"/>
      <c r="R22" s="1836"/>
      <c r="S22" s="1836"/>
      <c r="T22" s="1836"/>
      <c r="U22" s="1836"/>
      <c r="V22" s="1836"/>
      <c r="W22" s="1836"/>
      <c r="X22" s="1836"/>
      <c r="Y22" s="1836"/>
      <c r="Z22" s="1836"/>
      <c r="AA22" s="1836"/>
      <c r="AB22" s="1836"/>
      <c r="AC22" s="1836"/>
      <c r="AD22" s="1836"/>
      <c r="AE22" s="1836"/>
      <c r="AF22" s="1836"/>
      <c r="AG22" s="1836"/>
      <c r="AH22" s="1836"/>
      <c r="AI22" s="1836"/>
      <c r="AJ22" s="1836"/>
      <c r="AK22" s="1836"/>
      <c r="AL22" s="1836"/>
      <c r="AM22" s="1836"/>
      <c r="AN22" s="1836"/>
      <c r="AO22" s="1836"/>
      <c r="AP22" s="1836"/>
      <c r="AQ22" s="1836"/>
      <c r="AR22" s="1836"/>
      <c r="AS22" s="1836"/>
      <c r="AT22" s="1836"/>
      <c r="AU22" s="1836"/>
      <c r="AV22" s="1836"/>
      <c r="AW22" s="1836"/>
      <c r="AX22" s="1836"/>
      <c r="AY22" s="1836"/>
      <c r="AZ22" s="1836"/>
      <c r="BA22" s="1836"/>
      <c r="BB22" s="1836"/>
      <c r="BC22" s="1836"/>
      <c r="BD22" s="1836"/>
      <c r="BE22" s="1836"/>
      <c r="BF22" s="1836"/>
      <c r="BG22" s="1836"/>
      <c r="BH22" s="1836"/>
      <c r="BI22" s="1836"/>
      <c r="BJ22" s="1836"/>
      <c r="BK22" s="1836"/>
      <c r="BL22" s="1836"/>
      <c r="BM22" s="1836"/>
      <c r="BN22" s="1836"/>
      <c r="BO22" s="1836"/>
      <c r="BP22" s="1836"/>
      <c r="BQ22" s="1836"/>
      <c r="BR22" s="1836"/>
      <c r="BS22" s="1836"/>
      <c r="BT22" s="1836"/>
      <c r="BU22" s="1836"/>
      <c r="BV22" s="1836"/>
      <c r="BW22" s="1836"/>
      <c r="BX22" s="1836"/>
      <c r="BY22" s="1836"/>
      <c r="BZ22" s="1836"/>
      <c r="CA22" s="1836"/>
      <c r="CB22" s="1836"/>
      <c r="CC22" s="1836"/>
      <c r="CD22" s="1836"/>
      <c r="CE22" s="1836"/>
      <c r="CF22" s="1836"/>
      <c r="CG22" s="1836"/>
      <c r="CH22" s="1836"/>
      <c r="CI22" s="1836"/>
      <c r="CJ22" s="1836"/>
      <c r="CK22" s="1836"/>
      <c r="CL22" s="1836"/>
      <c r="CM22" s="1836"/>
      <c r="CN22" s="1836"/>
      <c r="CO22" s="1836"/>
      <c r="CP22" s="1836"/>
      <c r="CQ22" s="1836"/>
      <c r="CR22" s="1836"/>
      <c r="CS22" s="1836"/>
      <c r="CT22" s="1836"/>
      <c r="CU22" s="1836"/>
      <c r="CV22" s="1836"/>
      <c r="CW22" s="1836"/>
    </row>
    <row r="23" spans="1:118" ht="11.25" customHeight="1">
      <c r="E23" s="1000"/>
      <c r="F23" s="1000"/>
      <c r="G23" s="1000"/>
      <c r="H23" s="1000"/>
      <c r="I23" s="1000"/>
      <c r="J23" s="1892" t="s">
        <v>18</v>
      </c>
      <c r="K23" s="1892" t="s">
        <v>18</v>
      </c>
      <c r="L23" s="1892" t="s">
        <v>18</v>
      </c>
      <c r="M23" s="1892" t="s">
        <v>18</v>
      </c>
      <c r="N23" s="1892" t="s">
        <v>18</v>
      </c>
      <c r="O23" s="1892" t="s">
        <v>18</v>
      </c>
      <c r="P23" s="1892" t="s">
        <v>18</v>
      </c>
      <c r="Q23" s="1892" t="s">
        <v>18</v>
      </c>
      <c r="R23" s="1892" t="s">
        <v>18</v>
      </c>
      <c r="S23" s="1892" t="s">
        <v>18</v>
      </c>
      <c r="T23" s="1892" t="s">
        <v>18</v>
      </c>
      <c r="U23" s="1892" t="s">
        <v>18</v>
      </c>
      <c r="V23" s="1892" t="s">
        <v>18</v>
      </c>
      <c r="W23" s="1892" t="s">
        <v>18</v>
      </c>
      <c r="X23" s="1892" t="s">
        <v>18</v>
      </c>
      <c r="Y23" s="1892" t="s">
        <v>18</v>
      </c>
      <c r="Z23" s="1892" t="s">
        <v>18</v>
      </c>
      <c r="AA23" s="1892" t="s">
        <v>18</v>
      </c>
      <c r="AB23" s="1892" t="s">
        <v>18</v>
      </c>
      <c r="AC23" s="1892" t="s">
        <v>18</v>
      </c>
      <c r="AD23" s="1892" t="s">
        <v>18</v>
      </c>
      <c r="AE23" s="1892" t="s">
        <v>18</v>
      </c>
      <c r="AF23" s="1892" t="s">
        <v>18</v>
      </c>
      <c r="AG23" s="1892" t="s">
        <v>18</v>
      </c>
      <c r="AH23" s="1892" t="s">
        <v>18</v>
      </c>
      <c r="AI23" s="1892" t="s">
        <v>18</v>
      </c>
      <c r="AJ23" s="1892" t="s">
        <v>18</v>
      </c>
      <c r="AK23" s="1892" t="s">
        <v>18</v>
      </c>
      <c r="AL23" s="1892" t="s">
        <v>18</v>
      </c>
      <c r="AM23" s="1892" t="s">
        <v>18</v>
      </c>
      <c r="AN23" s="1892" t="s">
        <v>18</v>
      </c>
      <c r="AO23" s="1892" t="s">
        <v>18</v>
      </c>
      <c r="AP23" s="1892" t="s">
        <v>18</v>
      </c>
      <c r="AQ23" s="1892" t="s">
        <v>18</v>
      </c>
      <c r="AR23" s="1892" t="s">
        <v>18</v>
      </c>
      <c r="AS23" s="1892" t="s">
        <v>18</v>
      </c>
      <c r="AT23" s="1892" t="s">
        <v>18</v>
      </c>
      <c r="AU23" s="1892" t="s">
        <v>18</v>
      </c>
      <c r="AV23" s="1892" t="s">
        <v>18</v>
      </c>
      <c r="AW23" s="1892" t="s">
        <v>18</v>
      </c>
      <c r="AX23" s="1892" t="s">
        <v>18</v>
      </c>
      <c r="AY23" s="1892" t="s">
        <v>18</v>
      </c>
      <c r="AZ23" s="1892" t="s">
        <v>18</v>
      </c>
      <c r="BA23" s="1892" t="s">
        <v>18</v>
      </c>
      <c r="BB23" s="1892" t="s">
        <v>18</v>
      </c>
      <c r="BC23" s="1892" t="s">
        <v>18</v>
      </c>
      <c r="BD23" s="1892" t="s">
        <v>18</v>
      </c>
      <c r="BE23" s="1892" t="s">
        <v>18</v>
      </c>
      <c r="BF23" s="1892" t="s">
        <v>18</v>
      </c>
      <c r="BG23" s="1892" t="s">
        <v>18</v>
      </c>
      <c r="BH23" s="1892" t="s">
        <v>18</v>
      </c>
      <c r="BI23" s="1892" t="s">
        <v>18</v>
      </c>
      <c r="BJ23" s="1892" t="s">
        <v>18</v>
      </c>
      <c r="BK23" s="1892" t="s">
        <v>18</v>
      </c>
      <c r="BL23" s="1892" t="s">
        <v>18</v>
      </c>
      <c r="BM23" s="1892" t="s">
        <v>18</v>
      </c>
      <c r="BN23" s="1892" t="s">
        <v>18</v>
      </c>
      <c r="BO23" s="1892" t="s">
        <v>18</v>
      </c>
      <c r="BP23" s="1892" t="s">
        <v>18</v>
      </c>
      <c r="BQ23" s="1892" t="s">
        <v>18</v>
      </c>
      <c r="BR23" s="1892" t="s">
        <v>18</v>
      </c>
      <c r="BS23" s="1892" t="s">
        <v>18</v>
      </c>
      <c r="BT23" s="1892" t="s">
        <v>18</v>
      </c>
      <c r="BU23" s="1892" t="s">
        <v>18</v>
      </c>
      <c r="BV23" s="1892" t="s">
        <v>18</v>
      </c>
      <c r="BW23" s="1892" t="s">
        <v>18</v>
      </c>
      <c r="BX23" s="1892" t="s">
        <v>18</v>
      </c>
      <c r="BY23" s="1892" t="s">
        <v>18</v>
      </c>
      <c r="BZ23" s="1892" t="s">
        <v>18</v>
      </c>
      <c r="CA23" s="1892" t="s">
        <v>18</v>
      </c>
      <c r="CB23" s="1892" t="s">
        <v>18</v>
      </c>
      <c r="CC23" s="1892" t="s">
        <v>18</v>
      </c>
      <c r="CD23" s="1892" t="s">
        <v>18</v>
      </c>
      <c r="CE23" s="1892" t="s">
        <v>18</v>
      </c>
      <c r="CF23" s="1892" t="s">
        <v>18</v>
      </c>
      <c r="CG23" s="1892" t="s">
        <v>18</v>
      </c>
      <c r="CH23" s="1892" t="s">
        <v>18</v>
      </c>
      <c r="CI23" s="1892" t="s">
        <v>18</v>
      </c>
      <c r="CJ23" s="1892" t="s">
        <v>18</v>
      </c>
      <c r="CK23" s="1892" t="s">
        <v>18</v>
      </c>
      <c r="CL23" s="1892" t="s">
        <v>18</v>
      </c>
      <c r="CM23" s="1892" t="s">
        <v>18</v>
      </c>
      <c r="CN23" s="1892" t="s">
        <v>18</v>
      </c>
      <c r="CO23" s="1892" t="s">
        <v>18</v>
      </c>
      <c r="CP23" s="1892" t="s">
        <v>18</v>
      </c>
      <c r="CQ23" s="1892" t="s">
        <v>18</v>
      </c>
      <c r="CR23" s="1892" t="s">
        <v>18</v>
      </c>
      <c r="CS23" s="1892" t="s">
        <v>18</v>
      </c>
      <c r="CT23" s="1892" t="s">
        <v>18</v>
      </c>
      <c r="CU23" s="1892" t="s">
        <v>18</v>
      </c>
      <c r="CV23" s="1892" t="s">
        <v>18</v>
      </c>
      <c r="CW23" s="1892" t="s">
        <v>18</v>
      </c>
    </row>
    <row r="24" spans="1:118" s="1866" customFormat="1" ht="0.75" customHeight="1">
      <c r="A24" s="1030"/>
      <c r="D24" s="1487"/>
      <c r="H24" s="765"/>
      <c r="I24" s="765" t="s">
        <v>115</v>
      </c>
      <c r="J24" s="1847" t="s">
        <v>120</v>
      </c>
      <c r="K24" s="1847" t="s">
        <v>122</v>
      </c>
      <c r="L24" s="1847" t="s">
        <v>124</v>
      </c>
      <c r="M24" s="1847" t="s">
        <v>126</v>
      </c>
      <c r="N24" s="1847" t="s">
        <v>128</v>
      </c>
      <c r="O24" s="1847" t="s">
        <v>130</v>
      </c>
      <c r="P24" s="1847" t="s">
        <v>132</v>
      </c>
      <c r="Q24" s="1847" t="s">
        <v>135</v>
      </c>
      <c r="R24" s="1847" t="s">
        <v>138</v>
      </c>
      <c r="S24" s="1847" t="s">
        <v>141</v>
      </c>
      <c r="T24" s="1847" t="s">
        <v>144</v>
      </c>
      <c r="U24" s="1847" t="s">
        <v>147</v>
      </c>
      <c r="V24" s="1847" t="s">
        <v>150</v>
      </c>
      <c r="W24" s="1847" t="s">
        <v>153</v>
      </c>
      <c r="X24" s="1847" t="s">
        <v>156</v>
      </c>
      <c r="Y24" s="1847" t="s">
        <v>159</v>
      </c>
      <c r="Z24" s="1847" t="s">
        <v>162</v>
      </c>
      <c r="AA24" s="1847" t="s">
        <v>165</v>
      </c>
      <c r="AB24" s="1847" t="s">
        <v>168</v>
      </c>
      <c r="AC24" s="1847" t="s">
        <v>171</v>
      </c>
      <c r="AD24" s="1847" t="s">
        <v>174</v>
      </c>
      <c r="AE24" s="1847" t="s">
        <v>177</v>
      </c>
      <c r="AF24" s="1847" t="s">
        <v>180</v>
      </c>
      <c r="AG24" s="1847" t="s">
        <v>183</v>
      </c>
      <c r="AH24" s="1847" t="s">
        <v>186</v>
      </c>
      <c r="AI24" s="1847" t="s">
        <v>189</v>
      </c>
      <c r="AJ24" s="1847" t="s">
        <v>192</v>
      </c>
      <c r="AK24" s="1847" t="s">
        <v>195</v>
      </c>
      <c r="AL24" s="1847" t="s">
        <v>198</v>
      </c>
      <c r="AM24" s="1847" t="s">
        <v>201</v>
      </c>
      <c r="AN24" s="1847" t="s">
        <v>204</v>
      </c>
      <c r="AO24" s="1847" t="s">
        <v>207</v>
      </c>
      <c r="AP24" s="1847" t="s">
        <v>210</v>
      </c>
      <c r="AQ24" s="1847" t="s">
        <v>213</v>
      </c>
      <c r="AR24" s="1847" t="s">
        <v>216</v>
      </c>
      <c r="AS24" s="1847" t="s">
        <v>219</v>
      </c>
      <c r="AT24" s="1847" t="s">
        <v>222</v>
      </c>
      <c r="AU24" s="1847" t="s">
        <v>224</v>
      </c>
      <c r="AV24" s="1847" t="s">
        <v>227</v>
      </c>
      <c r="AW24" s="1847" t="s">
        <v>230</v>
      </c>
      <c r="AX24" s="1847" t="s">
        <v>233</v>
      </c>
      <c r="AY24" s="1847" t="s">
        <v>236</v>
      </c>
      <c r="AZ24" s="1847" t="s">
        <v>239</v>
      </c>
      <c r="BA24" s="1847" t="s">
        <v>242</v>
      </c>
      <c r="BB24" s="1847" t="s">
        <v>245</v>
      </c>
      <c r="BC24" s="1847" t="s">
        <v>248</v>
      </c>
      <c r="BD24" s="1847" t="s">
        <v>251</v>
      </c>
      <c r="BE24" s="1847" t="s">
        <v>254</v>
      </c>
      <c r="BF24" s="1847" t="s">
        <v>257</v>
      </c>
      <c r="BG24" s="1847" t="s">
        <v>260</v>
      </c>
      <c r="BH24" s="1847" t="s">
        <v>263</v>
      </c>
      <c r="BI24" s="1847" t="s">
        <v>266</v>
      </c>
      <c r="BJ24" s="1847" t="s">
        <v>269</v>
      </c>
      <c r="BK24" s="1847" t="s">
        <v>272</v>
      </c>
      <c r="BL24" s="1847" t="s">
        <v>275</v>
      </c>
      <c r="BM24" s="1847" t="s">
        <v>278</v>
      </c>
      <c r="BN24" s="1847" t="s">
        <v>281</v>
      </c>
      <c r="BO24" s="1847" t="s">
        <v>284</v>
      </c>
      <c r="BP24" s="1847" t="s">
        <v>287</v>
      </c>
      <c r="BQ24" s="1847" t="s">
        <v>290</v>
      </c>
      <c r="BR24" s="1847" t="s">
        <v>293</v>
      </c>
      <c r="BS24" s="1847" t="s">
        <v>296</v>
      </c>
      <c r="BT24" s="1847" t="s">
        <v>299</v>
      </c>
      <c r="BU24" s="1847" t="s">
        <v>302</v>
      </c>
      <c r="BV24" s="1847" t="s">
        <v>305</v>
      </c>
      <c r="BW24" s="1847" t="s">
        <v>308</v>
      </c>
      <c r="BX24" s="1847" t="s">
        <v>311</v>
      </c>
      <c r="BY24" s="1847" t="s">
        <v>314</v>
      </c>
      <c r="BZ24" s="1847" t="s">
        <v>317</v>
      </c>
      <c r="CA24" s="1847" t="s">
        <v>320</v>
      </c>
      <c r="CB24" s="1847" t="s">
        <v>323</v>
      </c>
      <c r="CC24" s="1847" t="s">
        <v>326</v>
      </c>
      <c r="CD24" s="1847" t="s">
        <v>329</v>
      </c>
      <c r="CE24" s="1847" t="s">
        <v>332</v>
      </c>
      <c r="CF24" s="1847" t="s">
        <v>335</v>
      </c>
      <c r="CG24" s="1847" t="s">
        <v>338</v>
      </c>
      <c r="CH24" s="1847" t="s">
        <v>341</v>
      </c>
      <c r="CI24" s="1847" t="s">
        <v>344</v>
      </c>
      <c r="CJ24" s="1847" t="s">
        <v>347</v>
      </c>
      <c r="CK24" s="1847" t="s">
        <v>350</v>
      </c>
      <c r="CL24" s="1847" t="s">
        <v>353</v>
      </c>
      <c r="CM24" s="1847" t="s">
        <v>356</v>
      </c>
      <c r="CN24" s="1847" t="s">
        <v>359</v>
      </c>
      <c r="CO24" s="1847" t="s">
        <v>362</v>
      </c>
      <c r="CP24" s="1847" t="s">
        <v>365</v>
      </c>
      <c r="CQ24" s="1847" t="s">
        <v>368</v>
      </c>
      <c r="CR24" s="1847" t="s">
        <v>371</v>
      </c>
      <c r="CS24" s="1847" t="s">
        <v>374</v>
      </c>
      <c r="CT24" s="1847" t="s">
        <v>377</v>
      </c>
      <c r="CU24" s="1847" t="s">
        <v>380</v>
      </c>
      <c r="CV24" s="1847" t="s">
        <v>383</v>
      </c>
      <c r="CW24" s="1847" t="s">
        <v>386</v>
      </c>
    </row>
    <row r="25" spans="1:118" ht="11.25" customHeight="1">
      <c r="E25" s="601"/>
      <c r="F25" s="3607" t="s">
        <v>102</v>
      </c>
      <c r="G25" s="3608"/>
      <c r="H25" s="1497" t="str">
        <f t="shared" ref="H25:AM25" si="3">IF(H24="","",INDEX(DIFFERENTIATION_UNMERGE_VD,MATCH(H24,DIFFERENTIATION_ID_DIFF,0)))</f>
        <v/>
      </c>
      <c r="I25" s="1497" t="str">
        <f t="shared" si="3"/>
        <v>Производство тепловой энергии. Некомбинированная выработка</v>
      </c>
      <c r="J25" s="1868" t="str">
        <f t="shared" si="3"/>
        <v>Производство тепловой энергии. Некомбинированная выработка</v>
      </c>
      <c r="K25" s="1868" t="str">
        <f t="shared" si="3"/>
        <v>Производство тепловой энергии. Некомбинированная выработка</v>
      </c>
      <c r="L25" s="1868" t="str">
        <f t="shared" si="3"/>
        <v>Производство тепловой энергии. Некомбинированная выработка</v>
      </c>
      <c r="M25" s="1868" t="str">
        <f t="shared" si="3"/>
        <v>Производство тепловой энергии. Некомбинированная выработка</v>
      </c>
      <c r="N25" s="1868" t="str">
        <f t="shared" si="3"/>
        <v>Производство тепловой энергии. Некомбинированная выработка</v>
      </c>
      <c r="O25" s="1868" t="str">
        <f t="shared" si="3"/>
        <v>Производство тепловой энергии. Некомбинированная выработка</v>
      </c>
      <c r="P25" s="1868" t="str">
        <f t="shared" si="3"/>
        <v>Производство тепловой энергии. Некомбинированная выработка</v>
      </c>
      <c r="Q25" s="1868" t="str">
        <f t="shared" si="3"/>
        <v>Производство тепловой энергии. Некомбинированная выработка</v>
      </c>
      <c r="R25" s="1868" t="str">
        <f t="shared" si="3"/>
        <v>Производство тепловой энергии. Некомбинированная выработка</v>
      </c>
      <c r="S25" s="1868" t="str">
        <f t="shared" si="3"/>
        <v>Производство тепловой энергии. Некомбинированная выработка</v>
      </c>
      <c r="T25" s="1868" t="str">
        <f t="shared" si="3"/>
        <v>Производство тепловой энергии. Некомбинированная выработка</v>
      </c>
      <c r="U25" s="1868" t="str">
        <f t="shared" si="3"/>
        <v>Производство тепловой энергии. Некомбинированная выработка</v>
      </c>
      <c r="V25" s="1868" t="str">
        <f t="shared" si="3"/>
        <v>Производство тепловой энергии. Некомбинированная выработка</v>
      </c>
      <c r="W25" s="1868" t="str">
        <f t="shared" si="3"/>
        <v>Производство тепловой энергии. Некомбинированная выработка</v>
      </c>
      <c r="X25" s="1868" t="str">
        <f t="shared" si="3"/>
        <v>Производство тепловой энергии. Некомбинированная выработка</v>
      </c>
      <c r="Y25" s="1868" t="str">
        <f t="shared" si="3"/>
        <v>Производство тепловой энергии. Некомбинированная выработка</v>
      </c>
      <c r="Z25" s="1868" t="str">
        <f t="shared" si="3"/>
        <v>Производство тепловой энергии. Некомбинированная выработка</v>
      </c>
      <c r="AA25" s="1868" t="str">
        <f t="shared" si="3"/>
        <v>Производство тепловой энергии. Некомбинированная выработка</v>
      </c>
      <c r="AB25" s="1868" t="str">
        <f t="shared" si="3"/>
        <v>Производство тепловой энергии. Некомбинированная выработка</v>
      </c>
      <c r="AC25" s="1868" t="str">
        <f t="shared" si="3"/>
        <v>Производство тепловой энергии. Некомбинированная выработка</v>
      </c>
      <c r="AD25" s="1868" t="str">
        <f t="shared" si="3"/>
        <v>Производство тепловой энергии. Некомбинированная выработка</v>
      </c>
      <c r="AE25" s="1868" t="str">
        <f t="shared" si="3"/>
        <v>Производство тепловой энергии. Некомбинированная выработка</v>
      </c>
      <c r="AF25" s="1868" t="str">
        <f t="shared" si="3"/>
        <v>Производство тепловой энергии. Некомбинированная выработка</v>
      </c>
      <c r="AG25" s="1868" t="str">
        <f t="shared" si="3"/>
        <v>Производство тепловой энергии. Некомбинированная выработка</v>
      </c>
      <c r="AH25" s="1868" t="str">
        <f t="shared" si="3"/>
        <v>Производство тепловой энергии. Некомбинированная выработка</v>
      </c>
      <c r="AI25" s="1868" t="str">
        <f t="shared" si="3"/>
        <v>Производство тепловой энергии. Некомбинированная выработка</v>
      </c>
      <c r="AJ25" s="1868" t="str">
        <f t="shared" si="3"/>
        <v>Производство тепловой энергии. Некомбинированная выработка</v>
      </c>
      <c r="AK25" s="1868" t="str">
        <f t="shared" si="3"/>
        <v>Производство тепловой энергии. Некомбинированная выработка</v>
      </c>
      <c r="AL25" s="1868" t="str">
        <f t="shared" si="3"/>
        <v>Производство тепловой энергии. Некомбинированная выработка</v>
      </c>
      <c r="AM25" s="1868" t="str">
        <f t="shared" si="3"/>
        <v>Производство тепловой энергии. Некомбинированная выработка</v>
      </c>
      <c r="AN25" s="1868" t="str">
        <f t="shared" ref="AN25:BS25" si="4">IF(AN24="","",INDEX(DIFFERENTIATION_UNMERGE_VD,MATCH(AN24,DIFFERENTIATION_ID_DIFF,0)))</f>
        <v>Производство тепловой энергии. Некомбинированная выработка</v>
      </c>
      <c r="AO25" s="1868" t="str">
        <f t="shared" si="4"/>
        <v>Производство тепловой энергии. Некомбинированная выработка</v>
      </c>
      <c r="AP25" s="1868" t="str">
        <f t="shared" si="4"/>
        <v>Производство тепловой энергии. Некомбинированная выработка</v>
      </c>
      <c r="AQ25" s="1868" t="str">
        <f t="shared" si="4"/>
        <v>Производство тепловой энергии. Некомбинированная выработка</v>
      </c>
      <c r="AR25" s="1868" t="str">
        <f t="shared" si="4"/>
        <v>Производство тепловой энергии. Некомбинированная выработка</v>
      </c>
      <c r="AS25" s="1868" t="str">
        <f t="shared" si="4"/>
        <v>Производство тепловой энергии. Некомбинированная выработка</v>
      </c>
      <c r="AT25" s="1868" t="str">
        <f t="shared" si="4"/>
        <v>Производство тепловой энергии. Некомбинированная выработка</v>
      </c>
      <c r="AU25" s="1868" t="str">
        <f t="shared" si="4"/>
        <v>Производство тепловой энергии. Некомбинированная выработка</v>
      </c>
      <c r="AV25" s="1868" t="str">
        <f t="shared" si="4"/>
        <v>Производство тепловой энергии. Некомбинированная выработка</v>
      </c>
      <c r="AW25" s="1868" t="str">
        <f t="shared" si="4"/>
        <v>Производство тепловой энергии. Некомбинированная выработка</v>
      </c>
      <c r="AX25" s="1868" t="str">
        <f t="shared" si="4"/>
        <v>Производство тепловой энергии. Некомбинированная выработка</v>
      </c>
      <c r="AY25" s="1868" t="str">
        <f t="shared" si="4"/>
        <v>Производство тепловой энергии. Некомбинированная выработка</v>
      </c>
      <c r="AZ25" s="1868" t="str">
        <f t="shared" si="4"/>
        <v>Производство тепловой энергии. Некомбинированная выработка</v>
      </c>
      <c r="BA25" s="1868" t="str">
        <f t="shared" si="4"/>
        <v>Производство тепловой энергии. Некомбинированная выработка</v>
      </c>
      <c r="BB25" s="1868" t="str">
        <f t="shared" si="4"/>
        <v>Производство тепловой энергии. Некомбинированная выработка</v>
      </c>
      <c r="BC25" s="1868" t="str">
        <f t="shared" si="4"/>
        <v>Производство тепловой энергии. Некомбинированная выработка</v>
      </c>
      <c r="BD25" s="1868" t="str">
        <f t="shared" si="4"/>
        <v>Производство тепловой энергии. Некомбинированная выработка</v>
      </c>
      <c r="BE25" s="1868" t="str">
        <f t="shared" si="4"/>
        <v>Производство тепловой энергии. Некомбинированная выработка</v>
      </c>
      <c r="BF25" s="1868" t="str">
        <f t="shared" si="4"/>
        <v>Производство тепловой энергии. Некомбинированная выработка</v>
      </c>
      <c r="BG25" s="1868" t="str">
        <f t="shared" si="4"/>
        <v>Производство тепловой энергии. Некомбинированная выработка</v>
      </c>
      <c r="BH25" s="1868" t="str">
        <f t="shared" si="4"/>
        <v>Производство тепловой энергии. Некомбинированная выработка</v>
      </c>
      <c r="BI25" s="1868" t="str">
        <f t="shared" si="4"/>
        <v>Производство тепловой энергии. Некомбинированная выработка</v>
      </c>
      <c r="BJ25" s="1868" t="str">
        <f t="shared" si="4"/>
        <v>Производство тепловой энергии. Некомбинированная выработка</v>
      </c>
      <c r="BK25" s="1868" t="str">
        <f t="shared" si="4"/>
        <v>Производство тепловой энергии. Некомбинированная выработка</v>
      </c>
      <c r="BL25" s="1868" t="str">
        <f t="shared" si="4"/>
        <v>Производство тепловой энергии. Некомбинированная выработка</v>
      </c>
      <c r="BM25" s="1868" t="str">
        <f t="shared" si="4"/>
        <v>Производство тепловой энергии. Некомбинированная выработка</v>
      </c>
      <c r="BN25" s="1868" t="str">
        <f t="shared" si="4"/>
        <v>Производство тепловой энергии. Некомбинированная выработка</v>
      </c>
      <c r="BO25" s="1868" t="str">
        <f t="shared" si="4"/>
        <v>Производство тепловой энергии. Некомбинированная выработка</v>
      </c>
      <c r="BP25" s="1868" t="str">
        <f t="shared" si="4"/>
        <v>Производство тепловой энергии. Некомбинированная выработка</v>
      </c>
      <c r="BQ25" s="1868" t="str">
        <f t="shared" si="4"/>
        <v>Производство тепловой энергии. Некомбинированная выработка</v>
      </c>
      <c r="BR25" s="1868" t="str">
        <f t="shared" si="4"/>
        <v>Производство тепловой энергии. Некомбинированная выработка</v>
      </c>
      <c r="BS25" s="1868" t="str">
        <f t="shared" si="4"/>
        <v>Производство тепловой энергии. Некомбинированная выработка</v>
      </c>
      <c r="BT25" s="1868" t="str">
        <f t="shared" ref="BT25:CY25" si="5">IF(BT24="","",INDEX(DIFFERENTIATION_UNMERGE_VD,MATCH(BT24,DIFFERENTIATION_ID_DIFF,0)))</f>
        <v>Производство тепловой энергии. Некомбинированная выработка</v>
      </c>
      <c r="BU25" s="1868" t="str">
        <f t="shared" si="5"/>
        <v>Производство тепловой энергии. Некомбинированная выработка</v>
      </c>
      <c r="BV25" s="1868" t="str">
        <f t="shared" si="5"/>
        <v>Производство тепловой энергии. Некомбинированная выработка</v>
      </c>
      <c r="BW25" s="1868" t="str">
        <f t="shared" si="5"/>
        <v>Производство тепловой энергии. Некомбинированная выработка</v>
      </c>
      <c r="BX25" s="1868" t="str">
        <f t="shared" si="5"/>
        <v>Производство тепловой энергии. Некомбинированная выработка</v>
      </c>
      <c r="BY25" s="1868" t="str">
        <f t="shared" si="5"/>
        <v>Производство тепловой энергии. Некомбинированная выработка</v>
      </c>
      <c r="BZ25" s="1868" t="str">
        <f t="shared" si="5"/>
        <v>Производство тепловой энергии. Некомбинированная выработка</v>
      </c>
      <c r="CA25" s="1868" t="str">
        <f t="shared" si="5"/>
        <v>Производство тепловой энергии. Некомбинированная выработка</v>
      </c>
      <c r="CB25" s="1868" t="str">
        <f t="shared" si="5"/>
        <v>Производство тепловой энергии. Некомбинированная выработка</v>
      </c>
      <c r="CC25" s="1868" t="str">
        <f t="shared" si="5"/>
        <v>Производство тепловой энергии. Некомбинированная выработка</v>
      </c>
      <c r="CD25" s="1868" t="str">
        <f t="shared" si="5"/>
        <v>Производство тепловой энергии. Некомбинированная выработка</v>
      </c>
      <c r="CE25" s="1868" t="str">
        <f t="shared" si="5"/>
        <v>Производство тепловой энергии. Некомбинированная выработка</v>
      </c>
      <c r="CF25" s="1868" t="str">
        <f t="shared" si="5"/>
        <v>Производство тепловой энергии. Некомбинированная выработка</v>
      </c>
      <c r="CG25" s="1868" t="str">
        <f t="shared" si="5"/>
        <v>Производство тепловой энергии. Некомбинированная выработка</v>
      </c>
      <c r="CH25" s="1868" t="str">
        <f t="shared" si="5"/>
        <v>Производство тепловой энергии. Некомбинированная выработка</v>
      </c>
      <c r="CI25" s="1868" t="str">
        <f t="shared" si="5"/>
        <v>Производство тепловой энергии. Некомбинированная выработка</v>
      </c>
      <c r="CJ25" s="1868" t="str">
        <f t="shared" si="5"/>
        <v>Производство тепловой энергии. Некомбинированная выработка</v>
      </c>
      <c r="CK25" s="1868" t="str">
        <f t="shared" si="5"/>
        <v>Производство тепловой энергии. Некомбинированная выработка</v>
      </c>
      <c r="CL25" s="1868" t="str">
        <f t="shared" si="5"/>
        <v>Производство тепловой энергии. Некомбинированная выработка</v>
      </c>
      <c r="CM25" s="1868" t="str">
        <f t="shared" si="5"/>
        <v>Производство тепловой энергии. Некомбинированная выработка</v>
      </c>
      <c r="CN25" s="1868" t="str">
        <f t="shared" si="5"/>
        <v>Производство тепловой энергии. Некомбинированная выработка</v>
      </c>
      <c r="CO25" s="1868" t="str">
        <f t="shared" si="5"/>
        <v>Производство тепловой энергии. Некомбинированная выработка</v>
      </c>
      <c r="CP25" s="1868" t="str">
        <f t="shared" si="5"/>
        <v>Производство тепловой энергии. Некомбинированная выработка</v>
      </c>
      <c r="CQ25" s="1868" t="str">
        <f t="shared" si="5"/>
        <v>Производство тепловой энергии. Некомбинированная выработка</v>
      </c>
      <c r="CR25" s="1868" t="str">
        <f t="shared" si="5"/>
        <v>Производство тепловой энергии. Некомбинированная выработка</v>
      </c>
      <c r="CS25" s="1868" t="str">
        <f t="shared" si="5"/>
        <v>Производство тепловой энергии. Некомбинированная выработка</v>
      </c>
      <c r="CT25" s="1868" t="str">
        <f t="shared" si="5"/>
        <v>Производство тепловой энергии. Некомбинированная выработка</v>
      </c>
      <c r="CU25" s="1868" t="str">
        <f t="shared" si="5"/>
        <v>Производство тепловой энергии. Некомбинированная выработка</v>
      </c>
      <c r="CV25" s="1868" t="str">
        <f t="shared" si="5"/>
        <v>Производство тепловой энергии. Некомбинированная выработка</v>
      </c>
      <c r="CW25" s="1868" t="str">
        <f t="shared" si="5"/>
        <v>Производство тепловой энергии. Некомбинированная выработка</v>
      </c>
      <c r="CX25" s="3401"/>
    </row>
    <row r="26" spans="1:118" ht="11.25" customHeight="1">
      <c r="E26" s="601"/>
      <c r="F26" s="3607" t="s">
        <v>829</v>
      </c>
      <c r="G26" s="3608"/>
      <c r="H26" s="1497" t="str">
        <f t="shared" ref="H26:AM26" si="6">IF(H24="","",INDEX(DIFFERENTIATION_UNMERGE_AREA,MATCH(H24,DIFFERENTIATION_ID_DIFF,0)))</f>
        <v/>
      </c>
      <c r="I26" s="1497" t="str">
        <f t="shared" si="6"/>
        <v>Территория 1</v>
      </c>
      <c r="J26" s="1868" t="str">
        <f t="shared" si="6"/>
        <v>Территория 1</v>
      </c>
      <c r="K26" s="1868" t="str">
        <f t="shared" si="6"/>
        <v>Территория 1</v>
      </c>
      <c r="L26" s="1868" t="str">
        <f t="shared" si="6"/>
        <v>Территория 1</v>
      </c>
      <c r="M26" s="1868" t="str">
        <f t="shared" si="6"/>
        <v>Территория 1</v>
      </c>
      <c r="N26" s="1868" t="str">
        <f t="shared" si="6"/>
        <v>Территория 1</v>
      </c>
      <c r="O26" s="1868" t="str">
        <f t="shared" si="6"/>
        <v>Территория 1</v>
      </c>
      <c r="P26" s="1868" t="str">
        <f t="shared" si="6"/>
        <v>Территория 1</v>
      </c>
      <c r="Q26" s="1868" t="str">
        <f t="shared" si="6"/>
        <v>Территория 1</v>
      </c>
      <c r="R26" s="1868" t="str">
        <f t="shared" si="6"/>
        <v>Территория 1</v>
      </c>
      <c r="S26" s="1868" t="str">
        <f t="shared" si="6"/>
        <v>Территория 1</v>
      </c>
      <c r="T26" s="1868" t="str">
        <f t="shared" si="6"/>
        <v>Территория 1</v>
      </c>
      <c r="U26" s="1868" t="str">
        <f t="shared" si="6"/>
        <v>Территория 1</v>
      </c>
      <c r="V26" s="1868" t="str">
        <f t="shared" si="6"/>
        <v>Территория 1</v>
      </c>
      <c r="W26" s="1868" t="str">
        <f t="shared" si="6"/>
        <v>Территория 1</v>
      </c>
      <c r="X26" s="1868" t="str">
        <f t="shared" si="6"/>
        <v>Территория 1</v>
      </c>
      <c r="Y26" s="1868" t="str">
        <f t="shared" si="6"/>
        <v>Территория 1</v>
      </c>
      <c r="Z26" s="1868" t="str">
        <f t="shared" si="6"/>
        <v>Территория 1</v>
      </c>
      <c r="AA26" s="1868" t="str">
        <f t="shared" si="6"/>
        <v>Территория 1</v>
      </c>
      <c r="AB26" s="1868" t="str">
        <f t="shared" si="6"/>
        <v>Территория 1</v>
      </c>
      <c r="AC26" s="1868" t="str">
        <f t="shared" si="6"/>
        <v>Территория 1</v>
      </c>
      <c r="AD26" s="1868" t="str">
        <f t="shared" si="6"/>
        <v>Территория 1</v>
      </c>
      <c r="AE26" s="1868" t="str">
        <f t="shared" si="6"/>
        <v>Территория 1</v>
      </c>
      <c r="AF26" s="1868" t="str">
        <f t="shared" si="6"/>
        <v>Территория 1</v>
      </c>
      <c r="AG26" s="1868" t="str">
        <f t="shared" si="6"/>
        <v>Территория 1</v>
      </c>
      <c r="AH26" s="1868" t="str">
        <f t="shared" si="6"/>
        <v>Территория 1</v>
      </c>
      <c r="AI26" s="1868" t="str">
        <f t="shared" si="6"/>
        <v>Территория 1</v>
      </c>
      <c r="AJ26" s="1868" t="str">
        <f t="shared" si="6"/>
        <v>Территория 1</v>
      </c>
      <c r="AK26" s="1868" t="str">
        <f t="shared" si="6"/>
        <v>Территория 1</v>
      </c>
      <c r="AL26" s="1868" t="str">
        <f t="shared" si="6"/>
        <v>Территория 1</v>
      </c>
      <c r="AM26" s="1868" t="str">
        <f t="shared" si="6"/>
        <v>Территория 1</v>
      </c>
      <c r="AN26" s="1868" t="str">
        <f t="shared" ref="AN26:BS26" si="7">IF(AN24="","",INDEX(DIFFERENTIATION_UNMERGE_AREA,MATCH(AN24,DIFFERENTIATION_ID_DIFF,0)))</f>
        <v>Территория 1</v>
      </c>
      <c r="AO26" s="1868" t="str">
        <f t="shared" si="7"/>
        <v>Территория 1</v>
      </c>
      <c r="AP26" s="1868" t="str">
        <f t="shared" si="7"/>
        <v>Территория 1</v>
      </c>
      <c r="AQ26" s="1868" t="str">
        <f t="shared" si="7"/>
        <v>Территория 1</v>
      </c>
      <c r="AR26" s="1868" t="str">
        <f t="shared" si="7"/>
        <v>Территория 1</v>
      </c>
      <c r="AS26" s="1868" t="str">
        <f t="shared" si="7"/>
        <v>Территория 1</v>
      </c>
      <c r="AT26" s="1868" t="str">
        <f t="shared" si="7"/>
        <v>Территория 1</v>
      </c>
      <c r="AU26" s="1868" t="str">
        <f t="shared" si="7"/>
        <v>Территория 1</v>
      </c>
      <c r="AV26" s="1868" t="str">
        <f t="shared" si="7"/>
        <v>Территория 1</v>
      </c>
      <c r="AW26" s="1868" t="str">
        <f t="shared" si="7"/>
        <v>Территория 1</v>
      </c>
      <c r="AX26" s="1868" t="str">
        <f t="shared" si="7"/>
        <v>Территория 1</v>
      </c>
      <c r="AY26" s="1868" t="str">
        <f t="shared" si="7"/>
        <v>Территория 1</v>
      </c>
      <c r="AZ26" s="1868" t="str">
        <f t="shared" si="7"/>
        <v>Территория 1</v>
      </c>
      <c r="BA26" s="1868" t="str">
        <f t="shared" si="7"/>
        <v>Территория 1</v>
      </c>
      <c r="BB26" s="1868" t="str">
        <f t="shared" si="7"/>
        <v>Территория 1</v>
      </c>
      <c r="BC26" s="1868" t="str">
        <f t="shared" si="7"/>
        <v>Территория 1</v>
      </c>
      <c r="BD26" s="1868" t="str">
        <f t="shared" si="7"/>
        <v>Территория 1</v>
      </c>
      <c r="BE26" s="1868" t="str">
        <f t="shared" si="7"/>
        <v>Территория 1</v>
      </c>
      <c r="BF26" s="1868" t="str">
        <f t="shared" si="7"/>
        <v>Территория 1</v>
      </c>
      <c r="BG26" s="1868" t="str">
        <f t="shared" si="7"/>
        <v>Территория 1</v>
      </c>
      <c r="BH26" s="1868" t="str">
        <f t="shared" si="7"/>
        <v>Территория 1</v>
      </c>
      <c r="BI26" s="1868" t="str">
        <f t="shared" si="7"/>
        <v>Территория 1</v>
      </c>
      <c r="BJ26" s="1868" t="str">
        <f t="shared" si="7"/>
        <v>Территория 1</v>
      </c>
      <c r="BK26" s="1868" t="str">
        <f t="shared" si="7"/>
        <v>Территория 1</v>
      </c>
      <c r="BL26" s="1868" t="str">
        <f t="shared" si="7"/>
        <v>Территория 1</v>
      </c>
      <c r="BM26" s="1868" t="str">
        <f t="shared" si="7"/>
        <v>Территория 1</v>
      </c>
      <c r="BN26" s="1868" t="str">
        <f t="shared" si="7"/>
        <v>Территория 1</v>
      </c>
      <c r="BO26" s="1868" t="str">
        <f t="shared" si="7"/>
        <v>Территория 1</v>
      </c>
      <c r="BP26" s="1868" t="str">
        <f t="shared" si="7"/>
        <v>Территория 1</v>
      </c>
      <c r="BQ26" s="1868" t="str">
        <f t="shared" si="7"/>
        <v>Территория 1</v>
      </c>
      <c r="BR26" s="1868" t="str">
        <f t="shared" si="7"/>
        <v>Территория 1</v>
      </c>
      <c r="BS26" s="1868" t="str">
        <f t="shared" si="7"/>
        <v>Территория 1</v>
      </c>
      <c r="BT26" s="1868" t="str">
        <f t="shared" ref="BT26:CW26" si="8">IF(BT24="","",INDEX(DIFFERENTIATION_UNMERGE_AREA,MATCH(BT24,DIFFERENTIATION_ID_DIFF,0)))</f>
        <v>Территория 1</v>
      </c>
      <c r="BU26" s="1868" t="str">
        <f t="shared" si="8"/>
        <v>Территория 1</v>
      </c>
      <c r="BV26" s="1868" t="str">
        <f t="shared" si="8"/>
        <v>Территория 1</v>
      </c>
      <c r="BW26" s="1868" t="str">
        <f t="shared" si="8"/>
        <v>Территория 1</v>
      </c>
      <c r="BX26" s="1868" t="str">
        <f t="shared" si="8"/>
        <v>Территория 1</v>
      </c>
      <c r="BY26" s="1868" t="str">
        <f t="shared" si="8"/>
        <v>Территория 1</v>
      </c>
      <c r="BZ26" s="1868" t="str">
        <f t="shared" si="8"/>
        <v>Территория 1</v>
      </c>
      <c r="CA26" s="1868" t="str">
        <f t="shared" si="8"/>
        <v>Территория 1</v>
      </c>
      <c r="CB26" s="1868" t="str">
        <f t="shared" si="8"/>
        <v>Территория 1</v>
      </c>
      <c r="CC26" s="1868" t="str">
        <f t="shared" si="8"/>
        <v>Территория 1</v>
      </c>
      <c r="CD26" s="1868" t="str">
        <f t="shared" si="8"/>
        <v>Территория 1</v>
      </c>
      <c r="CE26" s="1868" t="str">
        <f t="shared" si="8"/>
        <v>Территория 1</v>
      </c>
      <c r="CF26" s="1868" t="str">
        <f t="shared" si="8"/>
        <v>Территория 1</v>
      </c>
      <c r="CG26" s="1868" t="str">
        <f t="shared" si="8"/>
        <v>Территория 1</v>
      </c>
      <c r="CH26" s="1868" t="str">
        <f t="shared" si="8"/>
        <v>Территория 1</v>
      </c>
      <c r="CI26" s="1868" t="str">
        <f t="shared" si="8"/>
        <v>Территория 1</v>
      </c>
      <c r="CJ26" s="1868" t="str">
        <f t="shared" si="8"/>
        <v>Территория 1</v>
      </c>
      <c r="CK26" s="1868" t="str">
        <f t="shared" si="8"/>
        <v>Территория 1</v>
      </c>
      <c r="CL26" s="1868" t="str">
        <f t="shared" si="8"/>
        <v>Территория 1</v>
      </c>
      <c r="CM26" s="1868" t="str">
        <f t="shared" si="8"/>
        <v>Территория 1</v>
      </c>
      <c r="CN26" s="1868" t="str">
        <f t="shared" si="8"/>
        <v>Территория 1</v>
      </c>
      <c r="CO26" s="1868" t="str">
        <f t="shared" si="8"/>
        <v>Территория 1</v>
      </c>
      <c r="CP26" s="1868" t="str">
        <f t="shared" si="8"/>
        <v>Территория 1</v>
      </c>
      <c r="CQ26" s="1868" t="str">
        <f t="shared" si="8"/>
        <v>Территория 1</v>
      </c>
      <c r="CR26" s="1868" t="str">
        <f t="shared" si="8"/>
        <v>Территория 1</v>
      </c>
      <c r="CS26" s="1868" t="str">
        <f t="shared" si="8"/>
        <v>Территория 1</v>
      </c>
      <c r="CT26" s="1868" t="str">
        <f t="shared" si="8"/>
        <v>Территория 1</v>
      </c>
      <c r="CU26" s="1868" t="str">
        <f t="shared" si="8"/>
        <v>Территория 1</v>
      </c>
      <c r="CV26" s="1868" t="str">
        <f t="shared" si="8"/>
        <v>Территория 1</v>
      </c>
      <c r="CW26" s="1868" t="str">
        <f t="shared" si="8"/>
        <v>Территория 1</v>
      </c>
      <c r="CX26" s="3401"/>
    </row>
    <row r="27" spans="1:118" ht="11.25" customHeight="1">
      <c r="E27" s="601"/>
      <c r="F27" s="3607" t="s">
        <v>830</v>
      </c>
      <c r="G27" s="3608"/>
      <c r="H27" s="1497" t="str">
        <f t="shared" ref="H27:AM27" si="9">IF(H24="","",INDEX(DIFFERENTIATION_UNMERGE_SYSTEM,MATCH(H24,DIFFERENTIATION_ID_DIFF,0)))</f>
        <v/>
      </c>
      <c r="I27" s="1497" t="str">
        <f t="shared" si="9"/>
        <v>Авиационная, 1</v>
      </c>
      <c r="J27" s="1868" t="str">
        <f t="shared" si="9"/>
        <v>Автовокзальная, 77</v>
      </c>
      <c r="K27" s="1868" t="str">
        <f t="shared" si="9"/>
        <v>Бетонный, 4а</v>
      </c>
      <c r="L27" s="1868" t="str">
        <f t="shared" si="9"/>
        <v>Ботанический, 2а</v>
      </c>
      <c r="M27" s="1868" t="str">
        <f t="shared" si="9"/>
        <v>Васильевская, 84б</v>
      </c>
      <c r="N27" s="1868" t="str">
        <f t="shared" si="9"/>
        <v>Васильевская, 138а</v>
      </c>
      <c r="O27" s="1868" t="str">
        <f t="shared" si="9"/>
        <v>Гагарина, 48а</v>
      </c>
      <c r="P27" s="1868" t="str">
        <f t="shared" si="9"/>
        <v>Городская, 98к</v>
      </c>
      <c r="Q27" s="1868" t="str">
        <f t="shared" si="9"/>
        <v>Калинина, 6б</v>
      </c>
      <c r="R27" s="1868" t="str">
        <f t="shared" si="9"/>
        <v>Карачевская, 29а</v>
      </c>
      <c r="S27" s="1868" t="str">
        <f t="shared" si="9"/>
        <v>Карачевская, 41б</v>
      </c>
      <c r="T27" s="1868" t="str">
        <f t="shared" si="9"/>
        <v>Карачвский, 23а</v>
      </c>
      <c r="U27" s="1868" t="str">
        <f t="shared" si="9"/>
        <v>Карачевское, 5а</v>
      </c>
      <c r="V27" s="1868" t="str">
        <f t="shared" si="9"/>
        <v>Карачевское, 60а</v>
      </c>
      <c r="W27" s="1868" t="str">
        <f t="shared" si="9"/>
        <v>Комсомольская, 15а</v>
      </c>
      <c r="X27" s="1868" t="str">
        <f t="shared" si="9"/>
        <v>Комсомольская, 119а</v>
      </c>
      <c r="Y27" s="1868" t="str">
        <f t="shared" si="9"/>
        <v>Комсомольская, 127а</v>
      </c>
      <c r="Z27" s="1868" t="str">
        <f t="shared" si="9"/>
        <v>Комсомольская, 185а</v>
      </c>
      <c r="AA27" s="1868" t="str">
        <f t="shared" si="9"/>
        <v>Комсомольская, 206а</v>
      </c>
      <c r="AB27" s="1868" t="str">
        <f t="shared" si="9"/>
        <v>Комсомольская, 252а</v>
      </c>
      <c r="AC27" s="1868" t="str">
        <f t="shared" si="9"/>
        <v>Комсомольская, 261а</v>
      </c>
      <c r="AD27" s="1868" t="str">
        <f t="shared" si="9"/>
        <v>Красина, 6а</v>
      </c>
      <c r="AE27" s="1868" t="str">
        <f t="shared" si="9"/>
        <v>Красина, 7а</v>
      </c>
      <c r="AF27" s="1868" t="str">
        <f t="shared" si="9"/>
        <v>Красина, 52</v>
      </c>
      <c r="AG27" s="1868" t="str">
        <f t="shared" si="9"/>
        <v>Кромская, 7а(908кв)</v>
      </c>
      <c r="AH27" s="1868" t="str">
        <f t="shared" si="9"/>
        <v>Кромская, 7а(909кв)</v>
      </c>
      <c r="AI27" s="1868" t="str">
        <f t="shared" si="9"/>
        <v>Кромское шоссе, 13а</v>
      </c>
      <c r="AJ27" s="1868" t="str">
        <f t="shared" si="9"/>
        <v>Латышских стрелков, 37а</v>
      </c>
      <c r="AK27" s="1868" t="str">
        <f t="shared" si="9"/>
        <v>Латышских стрелков,98</v>
      </c>
      <c r="AL27" s="1868" t="str">
        <f t="shared" si="9"/>
        <v>Латышских стрелков, 109</v>
      </c>
      <c r="AM27" s="1868" t="str">
        <f t="shared" si="9"/>
        <v>Левый берег р. Оки,23</v>
      </c>
      <c r="AN27" s="1868" t="str">
        <f t="shared" ref="AN27:BS27" si="10">IF(AN24="","",INDEX(DIFFERENTIATION_UNMERGE_SYSTEM,MATCH(AN24,DIFFERENTIATION_ID_DIFF,0)))</f>
        <v>ГК "Лесной" с/с Сабуровский</v>
      </c>
      <c r="AO27" s="1868" t="str">
        <f t="shared" si="10"/>
        <v>Машиностроительная, 5а</v>
      </c>
      <c r="AP27" s="1868" t="str">
        <f t="shared" si="10"/>
        <v>Маяковского, 10а</v>
      </c>
      <c r="AQ27" s="1868" t="str">
        <f t="shared" si="10"/>
        <v>Маяковского, 55а</v>
      </c>
      <c r="AR27" s="1868" t="str">
        <f t="shared" si="10"/>
        <v>Маяковского, 62а</v>
      </c>
      <c r="AS27" s="1868" t="str">
        <f t="shared" si="10"/>
        <v>Мопра, 28а</v>
      </c>
      <c r="AT27" s="1868" t="str">
        <f t="shared" si="10"/>
        <v>Мопра, 48а</v>
      </c>
      <c r="AU27" s="1868" t="str">
        <f t="shared" si="10"/>
        <v>6-й Орловской дивизии,14</v>
      </c>
      <c r="AV27" s="1868" t="str">
        <f t="shared" si="10"/>
        <v>Пищевой, 9а</v>
      </c>
      <c r="AW27" s="1868" t="str">
        <f t="shared" si="10"/>
        <v>2-а Посадская, 19а</v>
      </c>
      <c r="AX27" s="1868" t="str">
        <f t="shared" si="10"/>
        <v>1-я Пушкарная, 20а</v>
      </c>
      <c r="AY27" s="1868" t="str">
        <f t="shared" si="10"/>
        <v>1-я Пушкарная, 21а</v>
      </c>
      <c r="AZ27" s="1868" t="str">
        <f t="shared" si="10"/>
        <v>Связистов, 1а</v>
      </c>
      <c r="BA27" s="1868" t="str">
        <f t="shared" si="10"/>
        <v>Спивака, 85</v>
      </c>
      <c r="BB27" s="1868" t="str">
        <f t="shared" si="10"/>
        <v>Федотовой, 12</v>
      </c>
      <c r="BC27" s="1868" t="str">
        <f t="shared" si="10"/>
        <v>Циолковского,1б</v>
      </c>
      <c r="BD27" s="1868" t="str">
        <f t="shared" si="10"/>
        <v>Циолковского,51а</v>
      </c>
      <c r="BE27" s="1868" t="str">
        <f t="shared" si="10"/>
        <v>Черепичная, 24б</v>
      </c>
      <c r="BF27" s="1868" t="str">
        <f t="shared" si="10"/>
        <v>Шпагатный,92</v>
      </c>
      <c r="BG27" s="1868" t="str">
        <f t="shared" si="10"/>
        <v>Шпагатный, 92г</v>
      </c>
      <c r="BH27" s="1868" t="str">
        <f t="shared" si="10"/>
        <v>Щепная, 12б</v>
      </c>
      <c r="BI27" s="1868" t="str">
        <f t="shared" si="10"/>
        <v>Энгельса,88а</v>
      </c>
      <c r="BJ27" s="1868" t="str">
        <f t="shared" si="10"/>
        <v>Яблочная, 59а</v>
      </c>
      <c r="BK27" s="1868" t="str">
        <f t="shared" si="10"/>
        <v>Комсомольская, 241б</v>
      </c>
      <c r="BL27" s="1868" t="str">
        <f t="shared" si="10"/>
        <v>Генерала Жадова, 4а</v>
      </c>
      <c r="BM27" s="1868" t="str">
        <f t="shared" si="10"/>
        <v>Генерала Родина, 69а</v>
      </c>
      <c r="BN27" s="1868" t="str">
        <f t="shared" si="10"/>
        <v>Ипподромный,2а</v>
      </c>
      <c r="BO27" s="1868" t="str">
        <f t="shared" si="10"/>
        <v>Лескова, 31а</v>
      </c>
      <c r="BP27" s="1868" t="str">
        <f t="shared" si="10"/>
        <v>Матвеева, 9а</v>
      </c>
      <c r="BQ27" s="1868" t="str">
        <f t="shared" si="10"/>
        <v>Матросова, 46б</v>
      </c>
      <c r="BR27" s="1868" t="str">
        <f t="shared" si="10"/>
        <v>Наугорское, 13б</v>
      </c>
      <c r="BS27" s="1868" t="str">
        <f t="shared" si="10"/>
        <v>Наугорское, 27</v>
      </c>
      <c r="BT27" s="1868" t="str">
        <f t="shared" ref="BT27:CW27" si="11">IF(BT24="","",INDEX(DIFFERENTIATION_UNMERGE_SYSTEM,MATCH(BT24,DIFFERENTIATION_ID_DIFF,0)))</f>
        <v>Наугорское, 29б</v>
      </c>
      <c r="BU27" s="1868" t="str">
        <f t="shared" si="11"/>
        <v>Октябрьская, 4а</v>
      </c>
      <c r="BV27" s="1868" t="str">
        <f t="shared" si="11"/>
        <v>Октябрьская, 54а</v>
      </c>
      <c r="BW27" s="1868" t="str">
        <f t="shared" si="11"/>
        <v>Трудовые резервы, 32а</v>
      </c>
      <c r="BX27" s="1868" t="str">
        <f t="shared" si="11"/>
        <v>Цветаева, 15б</v>
      </c>
      <c r="BY27" s="1868" t="str">
        <f t="shared" si="11"/>
        <v>Бресткая,6</v>
      </c>
      <c r="BZ27" s="1868" t="str">
        <f t="shared" si="11"/>
        <v>Веселая,2</v>
      </c>
      <c r="CA27" s="1868" t="str">
        <f t="shared" si="11"/>
        <v>Огородный,7а</v>
      </c>
      <c r="CB27" s="1868" t="str">
        <f t="shared" si="11"/>
        <v>Пролетарская гора, 1</v>
      </c>
      <c r="CC27" s="1868" t="str">
        <f t="shared" si="11"/>
        <v>Тургенева, 50а</v>
      </c>
      <c r="CD27" s="1868" t="str">
        <f t="shared" si="11"/>
        <v>Абрамова-Соколова, 76б</v>
      </c>
      <c r="CE27" s="1868" t="str">
        <f t="shared" si="11"/>
        <v>5 августа,66а</v>
      </c>
      <c r="CF27" s="1868" t="str">
        <f t="shared" si="11"/>
        <v>Грузовая, 119г</v>
      </c>
      <c r="CG27" s="1868" t="str">
        <f t="shared" si="11"/>
        <v>Деповская, 6а</v>
      </c>
      <c r="CH27" s="1868" t="str">
        <f t="shared" si="11"/>
        <v>3-я Курская, 3а</v>
      </c>
      <c r="CI27" s="1868" t="str">
        <f t="shared" si="11"/>
        <v>Ливенская, 48г</v>
      </c>
      <c r="CJ27" s="1868" t="str">
        <f t="shared" si="11"/>
        <v>Лесная, 9а</v>
      </c>
      <c r="CK27" s="1868" t="str">
        <f t="shared" si="11"/>
        <v>Московская, 27а</v>
      </c>
      <c r="CL27" s="1868" t="str">
        <f t="shared" si="11"/>
        <v>Новосильская, 7а пом.1</v>
      </c>
      <c r="CM27" s="1868" t="str">
        <f t="shared" si="11"/>
        <v>Новосильская, 7а пом.2</v>
      </c>
      <c r="CN27" s="1868" t="str">
        <f t="shared" si="11"/>
        <v>Паровозная,64б</v>
      </c>
      <c r="CO27" s="1868" t="str">
        <f t="shared" si="11"/>
        <v>Пушкина, 68а</v>
      </c>
      <c r="CP27" s="1868" t="str">
        <f t="shared" si="11"/>
        <v>Ст. Разина, 11б</v>
      </c>
      <c r="CQ27" s="1868" t="str">
        <f t="shared" si="11"/>
        <v>Рельсовая, 7а</v>
      </c>
      <c r="CR27" s="1868" t="str">
        <f t="shared" si="11"/>
        <v>Студенческая, 2а</v>
      </c>
      <c r="CS27" s="1868" t="str">
        <f t="shared" si="11"/>
        <v>Тульская, 24а</v>
      </c>
      <c r="CT27" s="1868" t="str">
        <f t="shared" si="11"/>
        <v>Тульская, 63б</v>
      </c>
      <c r="CU27" s="1868" t="str">
        <f t="shared" si="11"/>
        <v>Южный, 26б</v>
      </c>
      <c r="CV27" s="1868" t="str">
        <f t="shared" si="11"/>
        <v>Металлургов,80б</v>
      </c>
      <c r="CW27" s="1868" t="str">
        <f t="shared" si="11"/>
        <v>Силикатная,28а</v>
      </c>
      <c r="CX27" s="3401"/>
    </row>
    <row r="28" spans="1:118" ht="11.25" customHeight="1">
      <c r="E28" s="3609" t="s">
        <v>560</v>
      </c>
      <c r="F28" s="3610"/>
      <c r="G28" s="3610"/>
      <c r="H28" s="1490"/>
      <c r="I28" s="1490"/>
      <c r="J28" s="1888"/>
      <c r="K28" s="1888"/>
      <c r="L28" s="1888"/>
      <c r="M28" s="1888"/>
      <c r="N28" s="1888"/>
      <c r="O28" s="1888"/>
      <c r="P28" s="1888"/>
      <c r="Q28" s="1888"/>
      <c r="R28" s="1888"/>
      <c r="S28" s="1888"/>
      <c r="T28" s="1888"/>
      <c r="U28" s="1888"/>
      <c r="V28" s="1888"/>
      <c r="W28" s="1888"/>
      <c r="X28" s="1888"/>
      <c r="Y28" s="1888"/>
      <c r="Z28" s="1888"/>
      <c r="AA28" s="1888"/>
      <c r="AB28" s="1888"/>
      <c r="AC28" s="1888"/>
      <c r="AD28" s="1888"/>
      <c r="AE28" s="1888"/>
      <c r="AF28" s="1888"/>
      <c r="AG28" s="1888"/>
      <c r="AH28" s="1888"/>
      <c r="AI28" s="1888"/>
      <c r="AJ28" s="1888"/>
      <c r="AK28" s="1888"/>
      <c r="AL28" s="1888"/>
      <c r="AM28" s="1888"/>
      <c r="AN28" s="1888"/>
      <c r="AO28" s="1888"/>
      <c r="AP28" s="1888"/>
      <c r="AQ28" s="1888"/>
      <c r="AR28" s="1888"/>
      <c r="AS28" s="1888"/>
      <c r="AT28" s="1888"/>
      <c r="AU28" s="1888"/>
      <c r="AV28" s="1888"/>
      <c r="AW28" s="1888"/>
      <c r="AX28" s="1888"/>
      <c r="AY28" s="1888"/>
      <c r="AZ28" s="1888"/>
      <c r="BA28" s="1888"/>
      <c r="BB28" s="1888"/>
      <c r="BC28" s="1888"/>
      <c r="BD28" s="1888"/>
      <c r="BE28" s="1888"/>
      <c r="BF28" s="1888"/>
      <c r="BG28" s="1888"/>
      <c r="BH28" s="1888"/>
      <c r="BI28" s="1888"/>
      <c r="BJ28" s="1888"/>
      <c r="BK28" s="1888"/>
      <c r="BL28" s="1888"/>
      <c r="BM28" s="1888"/>
      <c r="BN28" s="1888"/>
      <c r="BO28" s="1888"/>
      <c r="BP28" s="1888"/>
      <c r="BQ28" s="1888"/>
      <c r="BR28" s="1888"/>
      <c r="BS28" s="1888"/>
      <c r="BT28" s="1888"/>
      <c r="BU28" s="1888"/>
      <c r="BV28" s="1888"/>
      <c r="BW28" s="1888"/>
      <c r="BX28" s="1888"/>
      <c r="BY28" s="1888"/>
      <c r="BZ28" s="1888"/>
      <c r="CA28" s="1888"/>
      <c r="CB28" s="1888"/>
      <c r="CC28" s="1888"/>
      <c r="CD28" s="1888"/>
      <c r="CE28" s="1888"/>
      <c r="CF28" s="1888"/>
      <c r="CG28" s="1888"/>
      <c r="CH28" s="1888"/>
      <c r="CI28" s="1888"/>
      <c r="CJ28" s="1888"/>
      <c r="CK28" s="1888"/>
      <c r="CL28" s="1888"/>
      <c r="CM28" s="1888"/>
      <c r="CN28" s="1888"/>
      <c r="CO28" s="1888"/>
      <c r="CP28" s="1888"/>
      <c r="CQ28" s="1888"/>
      <c r="CR28" s="1888"/>
      <c r="CS28" s="1888"/>
      <c r="CT28" s="1888"/>
      <c r="CU28" s="1888"/>
      <c r="CV28" s="1888"/>
      <c r="CW28" s="1888"/>
      <c r="CX28" s="3401"/>
    </row>
    <row r="29" spans="1:118" ht="22.5" customHeight="1">
      <c r="E29" s="1491" t="s">
        <v>85</v>
      </c>
      <c r="F29" s="1498" t="s">
        <v>562</v>
      </c>
      <c r="G29" s="1498" t="s">
        <v>831</v>
      </c>
      <c r="H29" s="1498" t="s">
        <v>563</v>
      </c>
      <c r="I29" s="1498" t="s">
        <v>563</v>
      </c>
      <c r="J29" s="1933" t="s">
        <v>563</v>
      </c>
      <c r="K29" s="1933" t="s">
        <v>563</v>
      </c>
      <c r="L29" s="1933" t="s">
        <v>563</v>
      </c>
      <c r="M29" s="1933" t="s">
        <v>563</v>
      </c>
      <c r="N29" s="1933" t="s">
        <v>563</v>
      </c>
      <c r="O29" s="1933" t="s">
        <v>563</v>
      </c>
      <c r="P29" s="1933" t="s">
        <v>563</v>
      </c>
      <c r="Q29" s="1933" t="s">
        <v>563</v>
      </c>
      <c r="R29" s="1933" t="s">
        <v>563</v>
      </c>
      <c r="S29" s="1933" t="s">
        <v>563</v>
      </c>
      <c r="T29" s="1933" t="s">
        <v>563</v>
      </c>
      <c r="U29" s="1933" t="s">
        <v>563</v>
      </c>
      <c r="V29" s="1933" t="s">
        <v>563</v>
      </c>
      <c r="W29" s="1933" t="s">
        <v>563</v>
      </c>
      <c r="X29" s="1933" t="s">
        <v>563</v>
      </c>
      <c r="Y29" s="1933" t="s">
        <v>563</v>
      </c>
      <c r="Z29" s="1933" t="s">
        <v>563</v>
      </c>
      <c r="AA29" s="1933" t="s">
        <v>563</v>
      </c>
      <c r="AB29" s="1933" t="s">
        <v>563</v>
      </c>
      <c r="AC29" s="1933" t="s">
        <v>563</v>
      </c>
      <c r="AD29" s="1933" t="s">
        <v>563</v>
      </c>
      <c r="AE29" s="1933" t="s">
        <v>563</v>
      </c>
      <c r="AF29" s="1933" t="s">
        <v>563</v>
      </c>
      <c r="AG29" s="1933" t="s">
        <v>563</v>
      </c>
      <c r="AH29" s="1933" t="s">
        <v>563</v>
      </c>
      <c r="AI29" s="1933" t="s">
        <v>563</v>
      </c>
      <c r="AJ29" s="1933" t="s">
        <v>563</v>
      </c>
      <c r="AK29" s="1933" t="s">
        <v>563</v>
      </c>
      <c r="AL29" s="1933" t="s">
        <v>563</v>
      </c>
      <c r="AM29" s="1933" t="s">
        <v>563</v>
      </c>
      <c r="AN29" s="1933" t="s">
        <v>563</v>
      </c>
      <c r="AO29" s="1933" t="s">
        <v>563</v>
      </c>
      <c r="AP29" s="1933" t="s">
        <v>563</v>
      </c>
      <c r="AQ29" s="1933" t="s">
        <v>563</v>
      </c>
      <c r="AR29" s="1933" t="s">
        <v>563</v>
      </c>
      <c r="AS29" s="1933" t="s">
        <v>563</v>
      </c>
      <c r="AT29" s="1933" t="s">
        <v>563</v>
      </c>
      <c r="AU29" s="1933" t="s">
        <v>563</v>
      </c>
      <c r="AV29" s="1933" t="s">
        <v>563</v>
      </c>
      <c r="AW29" s="1933" t="s">
        <v>563</v>
      </c>
      <c r="AX29" s="1933" t="s">
        <v>563</v>
      </c>
      <c r="AY29" s="1933" t="s">
        <v>563</v>
      </c>
      <c r="AZ29" s="1933" t="s">
        <v>563</v>
      </c>
      <c r="BA29" s="1933" t="s">
        <v>563</v>
      </c>
      <c r="BB29" s="1933" t="s">
        <v>563</v>
      </c>
      <c r="BC29" s="1933" t="s">
        <v>563</v>
      </c>
      <c r="BD29" s="1933" t="s">
        <v>563</v>
      </c>
      <c r="BE29" s="1933" t="s">
        <v>563</v>
      </c>
      <c r="BF29" s="1933" t="s">
        <v>563</v>
      </c>
      <c r="BG29" s="1933" t="s">
        <v>563</v>
      </c>
      <c r="BH29" s="1933" t="s">
        <v>563</v>
      </c>
      <c r="BI29" s="1933" t="s">
        <v>563</v>
      </c>
      <c r="BJ29" s="1933" t="s">
        <v>563</v>
      </c>
      <c r="BK29" s="1933" t="s">
        <v>563</v>
      </c>
      <c r="BL29" s="1933" t="s">
        <v>563</v>
      </c>
      <c r="BM29" s="1933" t="s">
        <v>563</v>
      </c>
      <c r="BN29" s="1933" t="s">
        <v>563</v>
      </c>
      <c r="BO29" s="1933" t="s">
        <v>563</v>
      </c>
      <c r="BP29" s="1933" t="s">
        <v>563</v>
      </c>
      <c r="BQ29" s="1933" t="s">
        <v>563</v>
      </c>
      <c r="BR29" s="1933" t="s">
        <v>563</v>
      </c>
      <c r="BS29" s="1933" t="s">
        <v>563</v>
      </c>
      <c r="BT29" s="1933" t="s">
        <v>563</v>
      </c>
      <c r="BU29" s="1933" t="s">
        <v>563</v>
      </c>
      <c r="BV29" s="1933" t="s">
        <v>563</v>
      </c>
      <c r="BW29" s="1933" t="s">
        <v>563</v>
      </c>
      <c r="BX29" s="1933" t="s">
        <v>563</v>
      </c>
      <c r="BY29" s="1933" t="s">
        <v>563</v>
      </c>
      <c r="BZ29" s="1933" t="s">
        <v>563</v>
      </c>
      <c r="CA29" s="1933" t="s">
        <v>563</v>
      </c>
      <c r="CB29" s="1933" t="s">
        <v>563</v>
      </c>
      <c r="CC29" s="1933" t="s">
        <v>563</v>
      </c>
      <c r="CD29" s="1933" t="s">
        <v>563</v>
      </c>
      <c r="CE29" s="1933" t="s">
        <v>563</v>
      </c>
      <c r="CF29" s="1933" t="s">
        <v>563</v>
      </c>
      <c r="CG29" s="1933" t="s">
        <v>563</v>
      </c>
      <c r="CH29" s="1933" t="s">
        <v>563</v>
      </c>
      <c r="CI29" s="1933" t="s">
        <v>563</v>
      </c>
      <c r="CJ29" s="1933" t="s">
        <v>563</v>
      </c>
      <c r="CK29" s="1933" t="s">
        <v>563</v>
      </c>
      <c r="CL29" s="1933" t="s">
        <v>563</v>
      </c>
      <c r="CM29" s="1933" t="s">
        <v>563</v>
      </c>
      <c r="CN29" s="1933" t="s">
        <v>563</v>
      </c>
      <c r="CO29" s="1933" t="s">
        <v>563</v>
      </c>
      <c r="CP29" s="1933" t="s">
        <v>563</v>
      </c>
      <c r="CQ29" s="1933" t="s">
        <v>563</v>
      </c>
      <c r="CR29" s="1933" t="s">
        <v>563</v>
      </c>
      <c r="CS29" s="1933" t="s">
        <v>563</v>
      </c>
      <c r="CT29" s="1933" t="s">
        <v>563</v>
      </c>
      <c r="CU29" s="1933" t="s">
        <v>563</v>
      </c>
      <c r="CV29" s="1933" t="s">
        <v>563</v>
      </c>
      <c r="CW29" s="1933" t="s">
        <v>563</v>
      </c>
      <c r="CX29" s="3401"/>
    </row>
    <row r="30" spans="1:118" ht="22.5" customHeight="1">
      <c r="D30" s="1483"/>
      <c r="E30" s="443">
        <f>FHD_NUM_P_1</f>
        <v>1</v>
      </c>
      <c r="F30" s="1719" t="str">
        <f>FHD_P_1</f>
        <v>Выручка от регулируемого вида деятельности с распределением по видам деятельности</v>
      </c>
      <c r="G30" s="1717" t="s">
        <v>817</v>
      </c>
      <c r="H30" s="454"/>
      <c r="I30" s="454"/>
      <c r="J30" s="1848"/>
      <c r="K30" s="1848"/>
      <c r="L30" s="1848"/>
      <c r="M30" s="1848"/>
      <c r="N30" s="1848"/>
      <c r="O30" s="1848"/>
      <c r="P30" s="1848"/>
      <c r="Q30" s="1848"/>
      <c r="R30" s="1848"/>
      <c r="S30" s="1848"/>
      <c r="T30" s="1848"/>
      <c r="U30" s="1848"/>
      <c r="V30" s="1848"/>
      <c r="W30" s="1848"/>
      <c r="X30" s="1848"/>
      <c r="Y30" s="1848"/>
      <c r="Z30" s="1848"/>
      <c r="AA30" s="1848"/>
      <c r="AB30" s="1848"/>
      <c r="AC30" s="1848"/>
      <c r="AD30" s="1848"/>
      <c r="AE30" s="1848"/>
      <c r="AF30" s="1848"/>
      <c r="AG30" s="1848"/>
      <c r="AH30" s="1848"/>
      <c r="AI30" s="1848"/>
      <c r="AJ30" s="1848"/>
      <c r="AK30" s="1848"/>
      <c r="AL30" s="1848"/>
      <c r="AM30" s="1848"/>
      <c r="AN30" s="1848"/>
      <c r="AO30" s="1848"/>
      <c r="AP30" s="1848"/>
      <c r="AQ30" s="1848"/>
      <c r="AR30" s="1848"/>
      <c r="AS30" s="1848"/>
      <c r="AT30" s="1848"/>
      <c r="AU30" s="1848"/>
      <c r="AV30" s="1848"/>
      <c r="AW30" s="1848"/>
      <c r="AX30" s="1848"/>
      <c r="AY30" s="1848"/>
      <c r="AZ30" s="1848"/>
      <c r="BA30" s="1848"/>
      <c r="BB30" s="1848"/>
      <c r="BC30" s="1848"/>
      <c r="BD30" s="1848"/>
      <c r="BE30" s="1848"/>
      <c r="BF30" s="1848"/>
      <c r="BG30" s="1848"/>
      <c r="BH30" s="1848"/>
      <c r="BI30" s="1848"/>
      <c r="BJ30" s="1848"/>
      <c r="BK30" s="1848"/>
      <c r="BL30" s="1848"/>
      <c r="BM30" s="1848"/>
      <c r="BN30" s="1848"/>
      <c r="BO30" s="1848"/>
      <c r="BP30" s="1848"/>
      <c r="BQ30" s="1848"/>
      <c r="BR30" s="1848"/>
      <c r="BS30" s="1848"/>
      <c r="BT30" s="1848"/>
      <c r="BU30" s="1848"/>
      <c r="BV30" s="1848"/>
      <c r="BW30" s="1848"/>
      <c r="BX30" s="1848"/>
      <c r="BY30" s="1848"/>
      <c r="BZ30" s="1848"/>
      <c r="CA30" s="1848"/>
      <c r="CB30" s="1848"/>
      <c r="CC30" s="1848"/>
      <c r="CD30" s="1848"/>
      <c r="CE30" s="1848"/>
      <c r="CF30" s="1848"/>
      <c r="CG30" s="1848"/>
      <c r="CH30" s="1848"/>
      <c r="CI30" s="1848"/>
      <c r="CJ30" s="1848"/>
      <c r="CK30" s="1848"/>
      <c r="CL30" s="1848"/>
      <c r="CM30" s="1848"/>
      <c r="CN30" s="1848"/>
      <c r="CO30" s="1848"/>
      <c r="CP30" s="1848"/>
      <c r="CQ30" s="1848"/>
      <c r="CR30" s="1848"/>
      <c r="CS30" s="1848"/>
      <c r="CT30" s="1848"/>
      <c r="CU30" s="1848"/>
      <c r="CV30" s="1848"/>
      <c r="CW30" s="1848"/>
      <c r="CX30" s="201" t="str">
        <f>FHD_NOTE_P_1</f>
        <v>Указывается выручка от регулируемого вида деятельности с распределением по видам деятельности.</v>
      </c>
      <c r="CY30" s="440"/>
    </row>
    <row r="31" spans="1:118" ht="33.75" customHeight="1">
      <c r="D31" s="1483"/>
      <c r="E31" s="443">
        <f>FHD_NUM_P_2</f>
        <v>2</v>
      </c>
      <c r="F31" s="1719" t="str">
        <f>FHD_P_2</f>
        <v>Себестоимость производимых товаров (оказываемых услуг) по регулируемому виду деятельности, включая:</v>
      </c>
      <c r="G31" s="1717" t="s">
        <v>817</v>
      </c>
      <c r="H31" s="455">
        <f t="shared" ref="H31:AM31" si="12">SUMIF($CY33:$CY71,$CY31,H33:H71)</f>
        <v>0</v>
      </c>
      <c r="I31" s="455">
        <f t="shared" si="12"/>
        <v>0</v>
      </c>
      <c r="J31" s="1849">
        <f t="shared" si="12"/>
        <v>0</v>
      </c>
      <c r="K31" s="1849">
        <f t="shared" si="12"/>
        <v>0</v>
      </c>
      <c r="L31" s="1849">
        <f t="shared" si="12"/>
        <v>0</v>
      </c>
      <c r="M31" s="1849">
        <f t="shared" si="12"/>
        <v>0</v>
      </c>
      <c r="N31" s="1849">
        <f t="shared" si="12"/>
        <v>0</v>
      </c>
      <c r="O31" s="1849">
        <f t="shared" si="12"/>
        <v>0</v>
      </c>
      <c r="P31" s="1849">
        <f t="shared" si="12"/>
        <v>0</v>
      </c>
      <c r="Q31" s="1849">
        <f t="shared" si="12"/>
        <v>0</v>
      </c>
      <c r="R31" s="1849">
        <f t="shared" si="12"/>
        <v>0</v>
      </c>
      <c r="S31" s="1849">
        <f t="shared" si="12"/>
        <v>0</v>
      </c>
      <c r="T31" s="1849">
        <f t="shared" si="12"/>
        <v>0</v>
      </c>
      <c r="U31" s="1849">
        <f t="shared" si="12"/>
        <v>0</v>
      </c>
      <c r="V31" s="1849">
        <f t="shared" si="12"/>
        <v>0</v>
      </c>
      <c r="W31" s="1849">
        <f t="shared" si="12"/>
        <v>0</v>
      </c>
      <c r="X31" s="1849">
        <f t="shared" si="12"/>
        <v>0</v>
      </c>
      <c r="Y31" s="1849">
        <f t="shared" si="12"/>
        <v>0</v>
      </c>
      <c r="Z31" s="1849">
        <f t="shared" si="12"/>
        <v>0</v>
      </c>
      <c r="AA31" s="1849">
        <f t="shared" si="12"/>
        <v>0</v>
      </c>
      <c r="AB31" s="1849">
        <f t="shared" si="12"/>
        <v>0</v>
      </c>
      <c r="AC31" s="1849">
        <f t="shared" si="12"/>
        <v>0</v>
      </c>
      <c r="AD31" s="1849">
        <f t="shared" si="12"/>
        <v>0</v>
      </c>
      <c r="AE31" s="1849">
        <f t="shared" si="12"/>
        <v>0</v>
      </c>
      <c r="AF31" s="1849">
        <f t="shared" si="12"/>
        <v>0</v>
      </c>
      <c r="AG31" s="1849">
        <f t="shared" si="12"/>
        <v>0</v>
      </c>
      <c r="AH31" s="1849">
        <f t="shared" si="12"/>
        <v>0</v>
      </c>
      <c r="AI31" s="1849">
        <f t="shared" si="12"/>
        <v>0</v>
      </c>
      <c r="AJ31" s="1849">
        <f t="shared" si="12"/>
        <v>0</v>
      </c>
      <c r="AK31" s="1849">
        <f t="shared" si="12"/>
        <v>0</v>
      </c>
      <c r="AL31" s="1849">
        <f t="shared" si="12"/>
        <v>0</v>
      </c>
      <c r="AM31" s="1849">
        <f t="shared" si="12"/>
        <v>0</v>
      </c>
      <c r="AN31" s="1849">
        <f t="shared" ref="AN31:BS31" si="13">SUMIF($CY33:$CY71,$CY31,AN33:AN71)</f>
        <v>0</v>
      </c>
      <c r="AO31" s="1849">
        <f t="shared" si="13"/>
        <v>0</v>
      </c>
      <c r="AP31" s="1849">
        <f t="shared" si="13"/>
        <v>0</v>
      </c>
      <c r="AQ31" s="1849">
        <f t="shared" si="13"/>
        <v>0</v>
      </c>
      <c r="AR31" s="1849">
        <f t="shared" si="13"/>
        <v>0</v>
      </c>
      <c r="AS31" s="1849">
        <f t="shared" si="13"/>
        <v>0</v>
      </c>
      <c r="AT31" s="1849">
        <f t="shared" si="13"/>
        <v>0</v>
      </c>
      <c r="AU31" s="1849">
        <f t="shared" si="13"/>
        <v>0</v>
      </c>
      <c r="AV31" s="1849">
        <f t="shared" si="13"/>
        <v>0</v>
      </c>
      <c r="AW31" s="1849">
        <f t="shared" si="13"/>
        <v>0</v>
      </c>
      <c r="AX31" s="1849">
        <f t="shared" si="13"/>
        <v>0</v>
      </c>
      <c r="AY31" s="1849">
        <f t="shared" si="13"/>
        <v>0</v>
      </c>
      <c r="AZ31" s="1849">
        <f t="shared" si="13"/>
        <v>0</v>
      </c>
      <c r="BA31" s="1849">
        <f t="shared" si="13"/>
        <v>0</v>
      </c>
      <c r="BB31" s="1849">
        <f t="shared" si="13"/>
        <v>0</v>
      </c>
      <c r="BC31" s="1849">
        <f t="shared" si="13"/>
        <v>0</v>
      </c>
      <c r="BD31" s="1849">
        <f t="shared" si="13"/>
        <v>0</v>
      </c>
      <c r="BE31" s="1849">
        <f t="shared" si="13"/>
        <v>0</v>
      </c>
      <c r="BF31" s="1849">
        <f t="shared" si="13"/>
        <v>0</v>
      </c>
      <c r="BG31" s="1849">
        <f t="shared" si="13"/>
        <v>0</v>
      </c>
      <c r="BH31" s="1849">
        <f t="shared" si="13"/>
        <v>0</v>
      </c>
      <c r="BI31" s="1849">
        <f t="shared" si="13"/>
        <v>0</v>
      </c>
      <c r="BJ31" s="1849">
        <f t="shared" si="13"/>
        <v>0</v>
      </c>
      <c r="BK31" s="1849">
        <f t="shared" si="13"/>
        <v>0</v>
      </c>
      <c r="BL31" s="1849">
        <f t="shared" si="13"/>
        <v>0</v>
      </c>
      <c r="BM31" s="1849">
        <f t="shared" si="13"/>
        <v>0</v>
      </c>
      <c r="BN31" s="1849">
        <f t="shared" si="13"/>
        <v>0</v>
      </c>
      <c r="BO31" s="1849">
        <f t="shared" si="13"/>
        <v>0</v>
      </c>
      <c r="BP31" s="1849">
        <f t="shared" si="13"/>
        <v>0</v>
      </c>
      <c r="BQ31" s="1849">
        <f t="shared" si="13"/>
        <v>0</v>
      </c>
      <c r="BR31" s="1849">
        <f t="shared" si="13"/>
        <v>0</v>
      </c>
      <c r="BS31" s="1849">
        <f t="shared" si="13"/>
        <v>0</v>
      </c>
      <c r="BT31" s="1849">
        <f t="shared" ref="BT31:CW31" si="14">SUMIF($CY33:$CY71,$CY31,BT33:BT71)</f>
        <v>0</v>
      </c>
      <c r="BU31" s="1849">
        <f t="shared" si="14"/>
        <v>0</v>
      </c>
      <c r="BV31" s="1849">
        <f t="shared" si="14"/>
        <v>0</v>
      </c>
      <c r="BW31" s="1849">
        <f t="shared" si="14"/>
        <v>0</v>
      </c>
      <c r="BX31" s="1849">
        <f t="shared" si="14"/>
        <v>0</v>
      </c>
      <c r="BY31" s="1849">
        <f t="shared" si="14"/>
        <v>0</v>
      </c>
      <c r="BZ31" s="1849">
        <f t="shared" si="14"/>
        <v>0</v>
      </c>
      <c r="CA31" s="1849">
        <f t="shared" si="14"/>
        <v>0</v>
      </c>
      <c r="CB31" s="1849">
        <f t="shared" si="14"/>
        <v>0</v>
      </c>
      <c r="CC31" s="1849">
        <f t="shared" si="14"/>
        <v>0</v>
      </c>
      <c r="CD31" s="1849">
        <f t="shared" si="14"/>
        <v>0</v>
      </c>
      <c r="CE31" s="1849">
        <f t="shared" si="14"/>
        <v>0</v>
      </c>
      <c r="CF31" s="1849">
        <f t="shared" si="14"/>
        <v>0</v>
      </c>
      <c r="CG31" s="1849">
        <f t="shared" si="14"/>
        <v>0</v>
      </c>
      <c r="CH31" s="1849">
        <f t="shared" si="14"/>
        <v>0</v>
      </c>
      <c r="CI31" s="1849">
        <f t="shared" si="14"/>
        <v>0</v>
      </c>
      <c r="CJ31" s="1849">
        <f t="shared" si="14"/>
        <v>0</v>
      </c>
      <c r="CK31" s="1849">
        <f t="shared" si="14"/>
        <v>0</v>
      </c>
      <c r="CL31" s="1849">
        <f t="shared" si="14"/>
        <v>0</v>
      </c>
      <c r="CM31" s="1849">
        <f t="shared" si="14"/>
        <v>0</v>
      </c>
      <c r="CN31" s="1849">
        <f t="shared" si="14"/>
        <v>0</v>
      </c>
      <c r="CO31" s="1849">
        <f t="shared" si="14"/>
        <v>0</v>
      </c>
      <c r="CP31" s="1849">
        <f t="shared" si="14"/>
        <v>0</v>
      </c>
      <c r="CQ31" s="1849">
        <f t="shared" si="14"/>
        <v>0</v>
      </c>
      <c r="CR31" s="1849">
        <f t="shared" si="14"/>
        <v>0</v>
      </c>
      <c r="CS31" s="1849">
        <f t="shared" si="14"/>
        <v>0</v>
      </c>
      <c r="CT31" s="1849">
        <f t="shared" si="14"/>
        <v>0</v>
      </c>
      <c r="CU31" s="1849">
        <f t="shared" si="14"/>
        <v>0</v>
      </c>
      <c r="CV31" s="1849">
        <f t="shared" si="14"/>
        <v>0</v>
      </c>
      <c r="CW31" s="1849">
        <f t="shared" si="14"/>
        <v>0</v>
      </c>
      <c r="CX31" s="201" t="str">
        <f>FHD_NOTE_P_2</f>
        <v>Указывается суммарная себестоимость производимых товаров.</v>
      </c>
      <c r="CY31" s="1481" t="s">
        <v>832</v>
      </c>
    </row>
    <row r="32" spans="1:118" ht="22.5" customHeight="1">
      <c r="D32" s="1483"/>
      <c r="E32" s="443" t="str">
        <f>FHD_NUM_P_3</f>
        <v>2.1</v>
      </c>
      <c r="F32" s="1379" t="str">
        <f>FHD_P_3</f>
        <v>Расходы на приобретаемую тепловую энергию (мощность), теплоноситель</v>
      </c>
      <c r="G32" s="1717" t="s">
        <v>817</v>
      </c>
      <c r="H32" s="454"/>
      <c r="I32" s="454"/>
      <c r="J32" s="1848"/>
      <c r="K32" s="1848"/>
      <c r="L32" s="1848"/>
      <c r="M32" s="1848"/>
      <c r="N32" s="1848"/>
      <c r="O32" s="1848"/>
      <c r="P32" s="1848"/>
      <c r="Q32" s="1848"/>
      <c r="R32" s="1848"/>
      <c r="S32" s="1848"/>
      <c r="T32" s="1848"/>
      <c r="U32" s="1848"/>
      <c r="V32" s="1848"/>
      <c r="W32" s="1848"/>
      <c r="X32" s="1848"/>
      <c r="Y32" s="1848"/>
      <c r="Z32" s="1848"/>
      <c r="AA32" s="1848"/>
      <c r="AB32" s="1848"/>
      <c r="AC32" s="1848"/>
      <c r="AD32" s="1848"/>
      <c r="AE32" s="1848"/>
      <c r="AF32" s="1848"/>
      <c r="AG32" s="1848"/>
      <c r="AH32" s="1848"/>
      <c r="AI32" s="1848"/>
      <c r="AJ32" s="1848"/>
      <c r="AK32" s="1848"/>
      <c r="AL32" s="1848"/>
      <c r="AM32" s="1848"/>
      <c r="AN32" s="1848"/>
      <c r="AO32" s="1848"/>
      <c r="AP32" s="1848"/>
      <c r="AQ32" s="1848"/>
      <c r="AR32" s="1848"/>
      <c r="AS32" s="1848"/>
      <c r="AT32" s="1848"/>
      <c r="AU32" s="1848"/>
      <c r="AV32" s="1848"/>
      <c r="AW32" s="1848"/>
      <c r="AX32" s="1848"/>
      <c r="AY32" s="1848"/>
      <c r="AZ32" s="1848"/>
      <c r="BA32" s="1848"/>
      <c r="BB32" s="1848"/>
      <c r="BC32" s="1848"/>
      <c r="BD32" s="1848"/>
      <c r="BE32" s="1848"/>
      <c r="BF32" s="1848"/>
      <c r="BG32" s="1848"/>
      <c r="BH32" s="1848"/>
      <c r="BI32" s="1848"/>
      <c r="BJ32" s="1848"/>
      <c r="BK32" s="1848"/>
      <c r="BL32" s="1848"/>
      <c r="BM32" s="1848"/>
      <c r="BN32" s="1848"/>
      <c r="BO32" s="1848"/>
      <c r="BP32" s="1848"/>
      <c r="BQ32" s="1848"/>
      <c r="BR32" s="1848"/>
      <c r="BS32" s="1848"/>
      <c r="BT32" s="1848"/>
      <c r="BU32" s="1848"/>
      <c r="BV32" s="1848"/>
      <c r="BW32" s="1848"/>
      <c r="BX32" s="1848"/>
      <c r="BY32" s="1848"/>
      <c r="BZ32" s="1848"/>
      <c r="CA32" s="1848"/>
      <c r="CB32" s="1848"/>
      <c r="CC32" s="1848"/>
      <c r="CD32" s="1848"/>
      <c r="CE32" s="1848"/>
      <c r="CF32" s="1848"/>
      <c r="CG32" s="1848"/>
      <c r="CH32" s="1848"/>
      <c r="CI32" s="1848"/>
      <c r="CJ32" s="1848"/>
      <c r="CK32" s="1848"/>
      <c r="CL32" s="1848"/>
      <c r="CM32" s="1848"/>
      <c r="CN32" s="1848"/>
      <c r="CO32" s="1848"/>
      <c r="CP32" s="1848"/>
      <c r="CQ32" s="1848"/>
      <c r="CR32" s="1848"/>
      <c r="CS32" s="1848"/>
      <c r="CT32" s="1848"/>
      <c r="CU32" s="1848"/>
      <c r="CV32" s="1848"/>
      <c r="CW32" s="1848"/>
      <c r="CX32" s="201" t="str">
        <f>FHD_NOTE_P_3</f>
        <v/>
      </c>
      <c r="CY32" s="1481" t="str">
        <f t="shared" ref="CY32:CY70" si="15">IF((LEN(E32)-LEN(SUBSTITUTE(E32,".","")))/LEN(".")=1,"p","")</f>
        <v>p</v>
      </c>
    </row>
    <row r="33" spans="1:123" ht="11.25" customHeight="1">
      <c r="A33" s="3605" t="s">
        <v>833</v>
      </c>
      <c r="D33" s="1483"/>
      <c r="E33" s="443" t="str">
        <f>FHD_NUM_P_4</f>
        <v>2.2</v>
      </c>
      <c r="F33" s="137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17" t="s">
        <v>817</v>
      </c>
      <c r="H33" s="455">
        <f t="shared" ref="H33:AM33" si="16">SUMIF($F34:$F40,$F3,H34:H40)</f>
        <v>0</v>
      </c>
      <c r="I33" s="455">
        <f t="shared" si="16"/>
        <v>0</v>
      </c>
      <c r="J33" s="1849">
        <f t="shared" si="16"/>
        <v>0</v>
      </c>
      <c r="K33" s="1849">
        <f t="shared" si="16"/>
        <v>0</v>
      </c>
      <c r="L33" s="1849">
        <f t="shared" si="16"/>
        <v>0</v>
      </c>
      <c r="M33" s="1849">
        <f t="shared" si="16"/>
        <v>0</v>
      </c>
      <c r="N33" s="1849">
        <f t="shared" si="16"/>
        <v>0</v>
      </c>
      <c r="O33" s="1849">
        <f t="shared" si="16"/>
        <v>0</v>
      </c>
      <c r="P33" s="1849">
        <f t="shared" si="16"/>
        <v>0</v>
      </c>
      <c r="Q33" s="1849">
        <f t="shared" si="16"/>
        <v>0</v>
      </c>
      <c r="R33" s="1849">
        <f t="shared" si="16"/>
        <v>0</v>
      </c>
      <c r="S33" s="1849">
        <f t="shared" si="16"/>
        <v>0</v>
      </c>
      <c r="T33" s="1849">
        <f t="shared" si="16"/>
        <v>0</v>
      </c>
      <c r="U33" s="1849">
        <f t="shared" si="16"/>
        <v>0</v>
      </c>
      <c r="V33" s="1849">
        <f t="shared" si="16"/>
        <v>0</v>
      </c>
      <c r="W33" s="1849">
        <f t="shared" si="16"/>
        <v>0</v>
      </c>
      <c r="X33" s="1849">
        <f t="shared" si="16"/>
        <v>0</v>
      </c>
      <c r="Y33" s="1849">
        <f t="shared" si="16"/>
        <v>0</v>
      </c>
      <c r="Z33" s="1849">
        <f t="shared" si="16"/>
        <v>0</v>
      </c>
      <c r="AA33" s="1849">
        <f t="shared" si="16"/>
        <v>0</v>
      </c>
      <c r="AB33" s="1849">
        <f t="shared" si="16"/>
        <v>0</v>
      </c>
      <c r="AC33" s="1849">
        <f t="shared" si="16"/>
        <v>0</v>
      </c>
      <c r="AD33" s="1849">
        <f t="shared" si="16"/>
        <v>0</v>
      </c>
      <c r="AE33" s="1849">
        <f t="shared" si="16"/>
        <v>0</v>
      </c>
      <c r="AF33" s="1849">
        <f t="shared" si="16"/>
        <v>0</v>
      </c>
      <c r="AG33" s="1849">
        <f t="shared" si="16"/>
        <v>0</v>
      </c>
      <c r="AH33" s="1849">
        <f t="shared" si="16"/>
        <v>0</v>
      </c>
      <c r="AI33" s="1849">
        <f t="shared" si="16"/>
        <v>0</v>
      </c>
      <c r="AJ33" s="1849">
        <f t="shared" si="16"/>
        <v>0</v>
      </c>
      <c r="AK33" s="1849">
        <f t="shared" si="16"/>
        <v>0</v>
      </c>
      <c r="AL33" s="1849">
        <f t="shared" si="16"/>
        <v>0</v>
      </c>
      <c r="AM33" s="1849">
        <f t="shared" si="16"/>
        <v>0</v>
      </c>
      <c r="AN33" s="1849">
        <f t="shared" ref="AN33:BS33" si="17">SUMIF($F34:$F40,$F3,AN34:AN40)</f>
        <v>0</v>
      </c>
      <c r="AO33" s="1849">
        <f t="shared" si="17"/>
        <v>0</v>
      </c>
      <c r="AP33" s="1849">
        <f t="shared" si="17"/>
        <v>0</v>
      </c>
      <c r="AQ33" s="1849">
        <f t="shared" si="17"/>
        <v>0</v>
      </c>
      <c r="AR33" s="1849">
        <f t="shared" si="17"/>
        <v>0</v>
      </c>
      <c r="AS33" s="1849">
        <f t="shared" si="17"/>
        <v>0</v>
      </c>
      <c r="AT33" s="1849">
        <f t="shared" si="17"/>
        <v>0</v>
      </c>
      <c r="AU33" s="1849">
        <f t="shared" si="17"/>
        <v>0</v>
      </c>
      <c r="AV33" s="1849">
        <f t="shared" si="17"/>
        <v>0</v>
      </c>
      <c r="AW33" s="1849">
        <f t="shared" si="17"/>
        <v>0</v>
      </c>
      <c r="AX33" s="1849">
        <f t="shared" si="17"/>
        <v>0</v>
      </c>
      <c r="AY33" s="1849">
        <f t="shared" si="17"/>
        <v>0</v>
      </c>
      <c r="AZ33" s="1849">
        <f t="shared" si="17"/>
        <v>0</v>
      </c>
      <c r="BA33" s="1849">
        <f t="shared" si="17"/>
        <v>0</v>
      </c>
      <c r="BB33" s="1849">
        <f t="shared" si="17"/>
        <v>0</v>
      </c>
      <c r="BC33" s="1849">
        <f t="shared" si="17"/>
        <v>0</v>
      </c>
      <c r="BD33" s="1849">
        <f t="shared" si="17"/>
        <v>0</v>
      </c>
      <c r="BE33" s="1849">
        <f t="shared" si="17"/>
        <v>0</v>
      </c>
      <c r="BF33" s="1849">
        <f t="shared" si="17"/>
        <v>0</v>
      </c>
      <c r="BG33" s="1849">
        <f t="shared" si="17"/>
        <v>0</v>
      </c>
      <c r="BH33" s="1849">
        <f t="shared" si="17"/>
        <v>0</v>
      </c>
      <c r="BI33" s="1849">
        <f t="shared" si="17"/>
        <v>0</v>
      </c>
      <c r="BJ33" s="1849">
        <f t="shared" si="17"/>
        <v>0</v>
      </c>
      <c r="BK33" s="1849">
        <f t="shared" si="17"/>
        <v>0</v>
      </c>
      <c r="BL33" s="1849">
        <f t="shared" si="17"/>
        <v>0</v>
      </c>
      <c r="BM33" s="1849">
        <f t="shared" si="17"/>
        <v>0</v>
      </c>
      <c r="BN33" s="1849">
        <f t="shared" si="17"/>
        <v>0</v>
      </c>
      <c r="BO33" s="1849">
        <f t="shared" si="17"/>
        <v>0</v>
      </c>
      <c r="BP33" s="1849">
        <f t="shared" si="17"/>
        <v>0</v>
      </c>
      <c r="BQ33" s="1849">
        <f t="shared" si="17"/>
        <v>0</v>
      </c>
      <c r="BR33" s="1849">
        <f t="shared" si="17"/>
        <v>0</v>
      </c>
      <c r="BS33" s="1849">
        <f t="shared" si="17"/>
        <v>0</v>
      </c>
      <c r="BT33" s="1849">
        <f t="shared" ref="BT33:CY33" si="18">SUMIF($F34:$F40,$F3,BT34:BT40)</f>
        <v>0</v>
      </c>
      <c r="BU33" s="1849">
        <f t="shared" si="18"/>
        <v>0</v>
      </c>
      <c r="BV33" s="1849">
        <f t="shared" si="18"/>
        <v>0</v>
      </c>
      <c r="BW33" s="1849">
        <f t="shared" si="18"/>
        <v>0</v>
      </c>
      <c r="BX33" s="1849">
        <f t="shared" si="18"/>
        <v>0</v>
      </c>
      <c r="BY33" s="1849">
        <f t="shared" si="18"/>
        <v>0</v>
      </c>
      <c r="BZ33" s="1849">
        <f t="shared" si="18"/>
        <v>0</v>
      </c>
      <c r="CA33" s="1849">
        <f t="shared" si="18"/>
        <v>0</v>
      </c>
      <c r="CB33" s="1849">
        <f t="shared" si="18"/>
        <v>0</v>
      </c>
      <c r="CC33" s="1849">
        <f t="shared" si="18"/>
        <v>0</v>
      </c>
      <c r="CD33" s="1849">
        <f t="shared" si="18"/>
        <v>0</v>
      </c>
      <c r="CE33" s="1849">
        <f t="shared" si="18"/>
        <v>0</v>
      </c>
      <c r="CF33" s="1849">
        <f t="shared" si="18"/>
        <v>0</v>
      </c>
      <c r="CG33" s="1849">
        <f t="shared" si="18"/>
        <v>0</v>
      </c>
      <c r="CH33" s="1849">
        <f t="shared" si="18"/>
        <v>0</v>
      </c>
      <c r="CI33" s="1849">
        <f t="shared" si="18"/>
        <v>0</v>
      </c>
      <c r="CJ33" s="1849">
        <f t="shared" si="18"/>
        <v>0</v>
      </c>
      <c r="CK33" s="1849">
        <f t="shared" si="18"/>
        <v>0</v>
      </c>
      <c r="CL33" s="1849">
        <f t="shared" si="18"/>
        <v>0</v>
      </c>
      <c r="CM33" s="1849">
        <f t="shared" si="18"/>
        <v>0</v>
      </c>
      <c r="CN33" s="1849">
        <f t="shared" si="18"/>
        <v>0</v>
      </c>
      <c r="CO33" s="1849">
        <f t="shared" si="18"/>
        <v>0</v>
      </c>
      <c r="CP33" s="1849">
        <f t="shared" si="18"/>
        <v>0</v>
      </c>
      <c r="CQ33" s="1849">
        <f t="shared" si="18"/>
        <v>0</v>
      </c>
      <c r="CR33" s="1849">
        <f t="shared" si="18"/>
        <v>0</v>
      </c>
      <c r="CS33" s="1849">
        <f t="shared" si="18"/>
        <v>0</v>
      </c>
      <c r="CT33" s="1849">
        <f t="shared" si="18"/>
        <v>0</v>
      </c>
      <c r="CU33" s="1849">
        <f t="shared" si="18"/>
        <v>0</v>
      </c>
      <c r="CV33" s="1849">
        <f t="shared" si="18"/>
        <v>0</v>
      </c>
      <c r="CW33" s="1849">
        <f t="shared" si="18"/>
        <v>0</v>
      </c>
      <c r="CX33" s="201" t="str">
        <f>FHD_NOTE_P_4</f>
        <v>Указываются суммарные расходы на приобретение топлива всех видов.</v>
      </c>
      <c r="CY33" s="1481" t="str">
        <f t="shared" si="15"/>
        <v>p</v>
      </c>
    </row>
    <row r="34" spans="1:123" s="1838" customFormat="1" ht="0.75" customHeight="1">
      <c r="A34" s="3605"/>
      <c r="B34" s="3606" t="str">
        <f>E33&amp;".0"</f>
        <v>2.2.0</v>
      </c>
      <c r="C34" s="1030"/>
      <c r="D34" s="457"/>
      <c r="E34" s="458"/>
      <c r="F34" s="459"/>
      <c r="G34" s="460"/>
      <c r="H34" s="395"/>
      <c r="I34" s="395"/>
      <c r="J34" s="1830"/>
      <c r="K34" s="1830"/>
      <c r="L34" s="1830"/>
      <c r="M34" s="1830"/>
      <c r="N34" s="1830"/>
      <c r="O34" s="1830"/>
      <c r="P34" s="1830"/>
      <c r="Q34" s="1830"/>
      <c r="R34" s="1830"/>
      <c r="S34" s="1830"/>
      <c r="T34" s="1830"/>
      <c r="U34" s="1830"/>
      <c r="V34" s="1830"/>
      <c r="W34" s="1830"/>
      <c r="X34" s="1830"/>
      <c r="Y34" s="1830"/>
      <c r="Z34" s="1830"/>
      <c r="AA34" s="1830"/>
      <c r="AB34" s="1830"/>
      <c r="AC34" s="1830"/>
      <c r="AD34" s="1830"/>
      <c r="AE34" s="1830"/>
      <c r="AF34" s="1830"/>
      <c r="AG34" s="1830"/>
      <c r="AH34" s="1830"/>
      <c r="AI34" s="1830"/>
      <c r="AJ34" s="1830"/>
      <c r="AK34" s="1830"/>
      <c r="AL34" s="1830"/>
      <c r="AM34" s="1830"/>
      <c r="AN34" s="1830"/>
      <c r="AO34" s="1830"/>
      <c r="AP34" s="1830"/>
      <c r="AQ34" s="1830"/>
      <c r="AR34" s="1830"/>
      <c r="AS34" s="1830"/>
      <c r="AT34" s="1830"/>
      <c r="AU34" s="1830"/>
      <c r="AV34" s="1830"/>
      <c r="AW34" s="1830"/>
      <c r="AX34" s="1830"/>
      <c r="AY34" s="1830"/>
      <c r="AZ34" s="1830"/>
      <c r="BA34" s="1830"/>
      <c r="BB34" s="1830"/>
      <c r="BC34" s="1830"/>
      <c r="BD34" s="1830"/>
      <c r="BE34" s="1830"/>
      <c r="BF34" s="1830"/>
      <c r="BG34" s="1830"/>
      <c r="BH34" s="1830"/>
      <c r="BI34" s="1830"/>
      <c r="BJ34" s="1830"/>
      <c r="BK34" s="1830"/>
      <c r="BL34" s="1830"/>
      <c r="BM34" s="1830"/>
      <c r="BN34" s="1830"/>
      <c r="BO34" s="1830"/>
      <c r="BP34" s="1830"/>
      <c r="BQ34" s="1830"/>
      <c r="BR34" s="1830"/>
      <c r="BS34" s="1830"/>
      <c r="BT34" s="1830"/>
      <c r="BU34" s="1830"/>
      <c r="BV34" s="1830"/>
      <c r="BW34" s="1830"/>
      <c r="BX34" s="1830"/>
      <c r="BY34" s="1830"/>
      <c r="BZ34" s="1830"/>
      <c r="CA34" s="1830"/>
      <c r="CB34" s="1830"/>
      <c r="CC34" s="1830"/>
      <c r="CD34" s="1830"/>
      <c r="CE34" s="1830"/>
      <c r="CF34" s="1830"/>
      <c r="CG34" s="1830"/>
      <c r="CH34" s="1830"/>
      <c r="CI34" s="1830"/>
      <c r="CJ34" s="1830"/>
      <c r="CK34" s="1830"/>
      <c r="CL34" s="1830"/>
      <c r="CM34" s="1830"/>
      <c r="CN34" s="1830"/>
      <c r="CO34" s="1830"/>
      <c r="CP34" s="1830"/>
      <c r="CQ34" s="1830"/>
      <c r="CR34" s="1830"/>
      <c r="CS34" s="1830"/>
      <c r="CT34" s="1830"/>
      <c r="CU34" s="1830"/>
      <c r="CV34" s="1830"/>
      <c r="CW34" s="1830"/>
      <c r="CX34" s="461"/>
      <c r="CY34" s="1481" t="str">
        <f t="shared" si="15"/>
        <v/>
      </c>
      <c r="CZ34" s="1481"/>
      <c r="DA34" s="1481"/>
      <c r="DB34" s="1481"/>
      <c r="DC34" s="1481"/>
      <c r="DD34" s="1481"/>
      <c r="DE34" s="1481"/>
      <c r="DF34" s="1481"/>
      <c r="DG34" s="1481"/>
      <c r="DH34" s="1481"/>
      <c r="DI34" s="462"/>
      <c r="DJ34" s="1481"/>
      <c r="DK34" s="1481"/>
      <c r="DL34" s="1481"/>
      <c r="DM34" s="1481"/>
      <c r="DN34" s="1481"/>
      <c r="DO34" s="463"/>
      <c r="DP34" s="463"/>
      <c r="DQ34" s="463"/>
      <c r="DR34" s="463"/>
      <c r="DS34" s="463"/>
    </row>
    <row r="35" spans="1:123" s="1838" customFormat="1" ht="0.75" customHeight="1">
      <c r="A35" s="3605"/>
      <c r="B35" s="3606"/>
      <c r="C35" s="1030"/>
      <c r="D35" s="457"/>
      <c r="E35" s="464"/>
      <c r="F35" s="465"/>
      <c r="G35" s="460"/>
      <c r="H35" s="466"/>
      <c r="I35" s="466"/>
      <c r="J35" s="1850"/>
      <c r="K35" s="1850"/>
      <c r="L35" s="1850"/>
      <c r="M35" s="1850"/>
      <c r="N35" s="1850"/>
      <c r="O35" s="1850"/>
      <c r="P35" s="1850"/>
      <c r="Q35" s="1850"/>
      <c r="R35" s="1850"/>
      <c r="S35" s="1850"/>
      <c r="T35" s="1850"/>
      <c r="U35" s="1850"/>
      <c r="V35" s="1850"/>
      <c r="W35" s="1850"/>
      <c r="X35" s="1850"/>
      <c r="Y35" s="1850"/>
      <c r="Z35" s="1850"/>
      <c r="AA35" s="1850"/>
      <c r="AB35" s="1850"/>
      <c r="AC35" s="1850"/>
      <c r="AD35" s="1850"/>
      <c r="AE35" s="1850"/>
      <c r="AF35" s="1850"/>
      <c r="AG35" s="1850"/>
      <c r="AH35" s="1850"/>
      <c r="AI35" s="1850"/>
      <c r="AJ35" s="1850"/>
      <c r="AK35" s="1850"/>
      <c r="AL35" s="1850"/>
      <c r="AM35" s="1850"/>
      <c r="AN35" s="1850"/>
      <c r="AO35" s="1850"/>
      <c r="AP35" s="1850"/>
      <c r="AQ35" s="1850"/>
      <c r="AR35" s="1850"/>
      <c r="AS35" s="1850"/>
      <c r="AT35" s="1850"/>
      <c r="AU35" s="1850"/>
      <c r="AV35" s="1850"/>
      <c r="AW35" s="1850"/>
      <c r="AX35" s="1850"/>
      <c r="AY35" s="1850"/>
      <c r="AZ35" s="1850"/>
      <c r="BA35" s="1850"/>
      <c r="BB35" s="1850"/>
      <c r="BC35" s="1850"/>
      <c r="BD35" s="1850"/>
      <c r="BE35" s="1850"/>
      <c r="BF35" s="1850"/>
      <c r="BG35" s="1850"/>
      <c r="BH35" s="1850"/>
      <c r="BI35" s="1850"/>
      <c r="BJ35" s="1850"/>
      <c r="BK35" s="1850"/>
      <c r="BL35" s="1850"/>
      <c r="BM35" s="1850"/>
      <c r="BN35" s="1850"/>
      <c r="BO35" s="1850"/>
      <c r="BP35" s="1850"/>
      <c r="BQ35" s="1850"/>
      <c r="BR35" s="1850"/>
      <c r="BS35" s="1850"/>
      <c r="BT35" s="1850"/>
      <c r="BU35" s="1850"/>
      <c r="BV35" s="1850"/>
      <c r="BW35" s="1850"/>
      <c r="BX35" s="1850"/>
      <c r="BY35" s="1850"/>
      <c r="BZ35" s="1850"/>
      <c r="CA35" s="1850"/>
      <c r="CB35" s="1850"/>
      <c r="CC35" s="1850"/>
      <c r="CD35" s="1850"/>
      <c r="CE35" s="1850"/>
      <c r="CF35" s="1850"/>
      <c r="CG35" s="1850"/>
      <c r="CH35" s="1850"/>
      <c r="CI35" s="1850"/>
      <c r="CJ35" s="1850"/>
      <c r="CK35" s="1850"/>
      <c r="CL35" s="1850"/>
      <c r="CM35" s="1850"/>
      <c r="CN35" s="1850"/>
      <c r="CO35" s="1850"/>
      <c r="CP35" s="1850"/>
      <c r="CQ35" s="1850"/>
      <c r="CR35" s="1850"/>
      <c r="CS35" s="1850"/>
      <c r="CT35" s="1850"/>
      <c r="CU35" s="1850"/>
      <c r="CV35" s="1850"/>
      <c r="CW35" s="1850"/>
      <c r="CX35" s="461"/>
      <c r="CY35" s="1481" t="str">
        <f t="shared" si="15"/>
        <v/>
      </c>
      <c r="CZ35" s="1481"/>
      <c r="DA35" s="1481"/>
      <c r="DB35" s="1481"/>
      <c r="DC35" s="1481"/>
      <c r="DD35" s="1481"/>
      <c r="DE35" s="1481"/>
      <c r="DF35" s="1481"/>
      <c r="DG35" s="1481"/>
      <c r="DH35" s="1481"/>
      <c r="DI35" s="462"/>
      <c r="DJ35" s="1481"/>
      <c r="DK35" s="1481"/>
      <c r="DL35" s="1481"/>
      <c r="DM35" s="1481"/>
      <c r="DN35" s="1481"/>
      <c r="DO35" s="463"/>
      <c r="DP35" s="463"/>
      <c r="DQ35" s="463"/>
      <c r="DR35" s="463"/>
      <c r="DS35" s="463"/>
    </row>
    <row r="36" spans="1:123" s="1838" customFormat="1" ht="0.75" customHeight="1">
      <c r="A36" s="3605"/>
      <c r="B36" s="3606"/>
      <c r="C36" s="1030"/>
      <c r="D36" s="457"/>
      <c r="E36" s="464"/>
      <c r="F36" s="465"/>
      <c r="G36" s="460"/>
      <c r="H36" s="466"/>
      <c r="I36" s="466"/>
      <c r="J36" s="1850"/>
      <c r="K36" s="1850"/>
      <c r="L36" s="1850"/>
      <c r="M36" s="1850"/>
      <c r="N36" s="1850"/>
      <c r="O36" s="1850"/>
      <c r="P36" s="1850"/>
      <c r="Q36" s="1850"/>
      <c r="R36" s="1850"/>
      <c r="S36" s="1850"/>
      <c r="T36" s="1850"/>
      <c r="U36" s="1850"/>
      <c r="V36" s="1850"/>
      <c r="W36" s="1850"/>
      <c r="X36" s="1850"/>
      <c r="Y36" s="1850"/>
      <c r="Z36" s="1850"/>
      <c r="AA36" s="1850"/>
      <c r="AB36" s="1850"/>
      <c r="AC36" s="1850"/>
      <c r="AD36" s="1850"/>
      <c r="AE36" s="1850"/>
      <c r="AF36" s="1850"/>
      <c r="AG36" s="1850"/>
      <c r="AH36" s="1850"/>
      <c r="AI36" s="1850"/>
      <c r="AJ36" s="1850"/>
      <c r="AK36" s="1850"/>
      <c r="AL36" s="1850"/>
      <c r="AM36" s="1850"/>
      <c r="AN36" s="1850"/>
      <c r="AO36" s="1850"/>
      <c r="AP36" s="1850"/>
      <c r="AQ36" s="1850"/>
      <c r="AR36" s="1850"/>
      <c r="AS36" s="1850"/>
      <c r="AT36" s="1850"/>
      <c r="AU36" s="1850"/>
      <c r="AV36" s="1850"/>
      <c r="AW36" s="1850"/>
      <c r="AX36" s="1850"/>
      <c r="AY36" s="1850"/>
      <c r="AZ36" s="1850"/>
      <c r="BA36" s="1850"/>
      <c r="BB36" s="1850"/>
      <c r="BC36" s="1850"/>
      <c r="BD36" s="1850"/>
      <c r="BE36" s="1850"/>
      <c r="BF36" s="1850"/>
      <c r="BG36" s="1850"/>
      <c r="BH36" s="1850"/>
      <c r="BI36" s="1850"/>
      <c r="BJ36" s="1850"/>
      <c r="BK36" s="1850"/>
      <c r="BL36" s="1850"/>
      <c r="BM36" s="1850"/>
      <c r="BN36" s="1850"/>
      <c r="BO36" s="1850"/>
      <c r="BP36" s="1850"/>
      <c r="BQ36" s="1850"/>
      <c r="BR36" s="1850"/>
      <c r="BS36" s="1850"/>
      <c r="BT36" s="1850"/>
      <c r="BU36" s="1850"/>
      <c r="BV36" s="1850"/>
      <c r="BW36" s="1850"/>
      <c r="BX36" s="1850"/>
      <c r="BY36" s="1850"/>
      <c r="BZ36" s="1850"/>
      <c r="CA36" s="1850"/>
      <c r="CB36" s="1850"/>
      <c r="CC36" s="1850"/>
      <c r="CD36" s="1850"/>
      <c r="CE36" s="1850"/>
      <c r="CF36" s="1850"/>
      <c r="CG36" s="1850"/>
      <c r="CH36" s="1850"/>
      <c r="CI36" s="1850"/>
      <c r="CJ36" s="1850"/>
      <c r="CK36" s="1850"/>
      <c r="CL36" s="1850"/>
      <c r="CM36" s="1850"/>
      <c r="CN36" s="1850"/>
      <c r="CO36" s="1850"/>
      <c r="CP36" s="1850"/>
      <c r="CQ36" s="1850"/>
      <c r="CR36" s="1850"/>
      <c r="CS36" s="1850"/>
      <c r="CT36" s="1850"/>
      <c r="CU36" s="1850"/>
      <c r="CV36" s="1850"/>
      <c r="CW36" s="1850"/>
      <c r="CX36" s="461"/>
      <c r="CY36" s="1481" t="str">
        <f t="shared" si="15"/>
        <v/>
      </c>
      <c r="CZ36" s="1481"/>
      <c r="DA36" s="1481"/>
      <c r="DB36" s="1481"/>
      <c r="DC36" s="1481"/>
      <c r="DD36" s="1481"/>
      <c r="DE36" s="1481"/>
      <c r="DF36" s="1481"/>
      <c r="DG36" s="1481"/>
      <c r="DH36" s="1481"/>
      <c r="DI36" s="462"/>
      <c r="DJ36" s="1481"/>
      <c r="DK36" s="1481"/>
      <c r="DL36" s="1481"/>
      <c r="DM36" s="1481"/>
      <c r="DN36" s="1481"/>
      <c r="DO36" s="463"/>
      <c r="DP36" s="463"/>
      <c r="DQ36" s="463"/>
      <c r="DR36" s="463"/>
      <c r="DS36" s="463"/>
    </row>
    <row r="37" spans="1:123" s="1838" customFormat="1" ht="0.75" customHeight="1">
      <c r="A37" s="3605"/>
      <c r="B37" s="3606"/>
      <c r="C37" s="1030"/>
      <c r="D37" s="457"/>
      <c r="E37" s="464"/>
      <c r="F37" s="465"/>
      <c r="G37" s="460"/>
      <c r="H37" s="466"/>
      <c r="I37" s="466"/>
      <c r="J37" s="1850"/>
      <c r="K37" s="1850"/>
      <c r="L37" s="1850"/>
      <c r="M37" s="1850"/>
      <c r="N37" s="1850"/>
      <c r="O37" s="1850"/>
      <c r="P37" s="1850"/>
      <c r="Q37" s="1850"/>
      <c r="R37" s="1850"/>
      <c r="S37" s="1850"/>
      <c r="T37" s="1850"/>
      <c r="U37" s="1850"/>
      <c r="V37" s="1850"/>
      <c r="W37" s="1850"/>
      <c r="X37" s="1850"/>
      <c r="Y37" s="1850"/>
      <c r="Z37" s="1850"/>
      <c r="AA37" s="1850"/>
      <c r="AB37" s="1850"/>
      <c r="AC37" s="1850"/>
      <c r="AD37" s="1850"/>
      <c r="AE37" s="1850"/>
      <c r="AF37" s="1850"/>
      <c r="AG37" s="1850"/>
      <c r="AH37" s="1850"/>
      <c r="AI37" s="1850"/>
      <c r="AJ37" s="1850"/>
      <c r="AK37" s="1850"/>
      <c r="AL37" s="1850"/>
      <c r="AM37" s="1850"/>
      <c r="AN37" s="1850"/>
      <c r="AO37" s="1850"/>
      <c r="AP37" s="1850"/>
      <c r="AQ37" s="1850"/>
      <c r="AR37" s="1850"/>
      <c r="AS37" s="1850"/>
      <c r="AT37" s="1850"/>
      <c r="AU37" s="1850"/>
      <c r="AV37" s="1850"/>
      <c r="AW37" s="1850"/>
      <c r="AX37" s="1850"/>
      <c r="AY37" s="1850"/>
      <c r="AZ37" s="1850"/>
      <c r="BA37" s="1850"/>
      <c r="BB37" s="1850"/>
      <c r="BC37" s="1850"/>
      <c r="BD37" s="1850"/>
      <c r="BE37" s="1850"/>
      <c r="BF37" s="1850"/>
      <c r="BG37" s="1850"/>
      <c r="BH37" s="1850"/>
      <c r="BI37" s="1850"/>
      <c r="BJ37" s="1850"/>
      <c r="BK37" s="1850"/>
      <c r="BL37" s="1850"/>
      <c r="BM37" s="1850"/>
      <c r="BN37" s="1850"/>
      <c r="BO37" s="1850"/>
      <c r="BP37" s="1850"/>
      <c r="BQ37" s="1850"/>
      <c r="BR37" s="1850"/>
      <c r="BS37" s="1850"/>
      <c r="BT37" s="1850"/>
      <c r="BU37" s="1850"/>
      <c r="BV37" s="1850"/>
      <c r="BW37" s="1850"/>
      <c r="BX37" s="1850"/>
      <c r="BY37" s="1850"/>
      <c r="BZ37" s="1850"/>
      <c r="CA37" s="1850"/>
      <c r="CB37" s="1850"/>
      <c r="CC37" s="1850"/>
      <c r="CD37" s="1850"/>
      <c r="CE37" s="1850"/>
      <c r="CF37" s="1850"/>
      <c r="CG37" s="1850"/>
      <c r="CH37" s="1850"/>
      <c r="CI37" s="1850"/>
      <c r="CJ37" s="1850"/>
      <c r="CK37" s="1850"/>
      <c r="CL37" s="1850"/>
      <c r="CM37" s="1850"/>
      <c r="CN37" s="1850"/>
      <c r="CO37" s="1850"/>
      <c r="CP37" s="1850"/>
      <c r="CQ37" s="1850"/>
      <c r="CR37" s="1850"/>
      <c r="CS37" s="1850"/>
      <c r="CT37" s="1850"/>
      <c r="CU37" s="1850"/>
      <c r="CV37" s="1850"/>
      <c r="CW37" s="1850"/>
      <c r="CX37" s="461"/>
      <c r="CY37" s="1481" t="str">
        <f t="shared" si="15"/>
        <v/>
      </c>
      <c r="CZ37" s="1481"/>
      <c r="DA37" s="1481"/>
      <c r="DB37" s="1481"/>
      <c r="DC37" s="1481"/>
      <c r="DD37" s="1481"/>
      <c r="DE37" s="1481"/>
      <c r="DF37" s="1481"/>
      <c r="DG37" s="1481"/>
      <c r="DH37" s="1481"/>
      <c r="DI37" s="462"/>
      <c r="DJ37" s="1481"/>
      <c r="DK37" s="1481"/>
      <c r="DL37" s="1481"/>
      <c r="DM37" s="1481"/>
      <c r="DN37" s="1481"/>
      <c r="DO37" s="463"/>
      <c r="DP37" s="463"/>
      <c r="DQ37" s="463"/>
      <c r="DR37" s="463"/>
      <c r="DS37" s="463"/>
    </row>
    <row r="38" spans="1:123" s="1838" customFormat="1" ht="0.75" customHeight="1">
      <c r="A38" s="3605"/>
      <c r="B38" s="3606"/>
      <c r="C38" s="1030"/>
      <c r="D38" s="457"/>
      <c r="E38" s="464"/>
      <c r="F38" s="465"/>
      <c r="G38" s="460"/>
      <c r="H38" s="466"/>
      <c r="I38" s="466"/>
      <c r="J38" s="1850"/>
      <c r="K38" s="1850"/>
      <c r="L38" s="1850"/>
      <c r="M38" s="1850"/>
      <c r="N38" s="1850"/>
      <c r="O38" s="1850"/>
      <c r="P38" s="1850"/>
      <c r="Q38" s="1850"/>
      <c r="R38" s="1850"/>
      <c r="S38" s="1850"/>
      <c r="T38" s="1850"/>
      <c r="U38" s="1850"/>
      <c r="V38" s="1850"/>
      <c r="W38" s="1850"/>
      <c r="X38" s="1850"/>
      <c r="Y38" s="1850"/>
      <c r="Z38" s="1850"/>
      <c r="AA38" s="1850"/>
      <c r="AB38" s="1850"/>
      <c r="AC38" s="1850"/>
      <c r="AD38" s="1850"/>
      <c r="AE38" s="1850"/>
      <c r="AF38" s="1850"/>
      <c r="AG38" s="1850"/>
      <c r="AH38" s="1850"/>
      <c r="AI38" s="1850"/>
      <c r="AJ38" s="1850"/>
      <c r="AK38" s="1850"/>
      <c r="AL38" s="1850"/>
      <c r="AM38" s="1850"/>
      <c r="AN38" s="1850"/>
      <c r="AO38" s="1850"/>
      <c r="AP38" s="1850"/>
      <c r="AQ38" s="1850"/>
      <c r="AR38" s="1850"/>
      <c r="AS38" s="1850"/>
      <c r="AT38" s="1850"/>
      <c r="AU38" s="1850"/>
      <c r="AV38" s="1850"/>
      <c r="AW38" s="1850"/>
      <c r="AX38" s="1850"/>
      <c r="AY38" s="1850"/>
      <c r="AZ38" s="1850"/>
      <c r="BA38" s="1850"/>
      <c r="BB38" s="1850"/>
      <c r="BC38" s="1850"/>
      <c r="BD38" s="1850"/>
      <c r="BE38" s="1850"/>
      <c r="BF38" s="1850"/>
      <c r="BG38" s="1850"/>
      <c r="BH38" s="1850"/>
      <c r="BI38" s="1850"/>
      <c r="BJ38" s="1850"/>
      <c r="BK38" s="1850"/>
      <c r="BL38" s="1850"/>
      <c r="BM38" s="1850"/>
      <c r="BN38" s="1850"/>
      <c r="BO38" s="1850"/>
      <c r="BP38" s="1850"/>
      <c r="BQ38" s="1850"/>
      <c r="BR38" s="1850"/>
      <c r="BS38" s="1850"/>
      <c r="BT38" s="1850"/>
      <c r="BU38" s="1850"/>
      <c r="BV38" s="1850"/>
      <c r="BW38" s="1850"/>
      <c r="BX38" s="1850"/>
      <c r="BY38" s="1850"/>
      <c r="BZ38" s="1850"/>
      <c r="CA38" s="1850"/>
      <c r="CB38" s="1850"/>
      <c r="CC38" s="1850"/>
      <c r="CD38" s="1850"/>
      <c r="CE38" s="1850"/>
      <c r="CF38" s="1850"/>
      <c r="CG38" s="1850"/>
      <c r="CH38" s="1850"/>
      <c r="CI38" s="1850"/>
      <c r="CJ38" s="1850"/>
      <c r="CK38" s="1850"/>
      <c r="CL38" s="1850"/>
      <c r="CM38" s="1850"/>
      <c r="CN38" s="1850"/>
      <c r="CO38" s="1850"/>
      <c r="CP38" s="1850"/>
      <c r="CQ38" s="1850"/>
      <c r="CR38" s="1850"/>
      <c r="CS38" s="1850"/>
      <c r="CT38" s="1850"/>
      <c r="CU38" s="1850"/>
      <c r="CV38" s="1850"/>
      <c r="CW38" s="1850"/>
      <c r="CX38" s="461"/>
      <c r="CY38" s="1481" t="str">
        <f t="shared" si="15"/>
        <v/>
      </c>
      <c r="CZ38" s="1481"/>
      <c r="DA38" s="1481"/>
      <c r="DB38" s="1481"/>
      <c r="DC38" s="1481"/>
      <c r="DD38" s="1481"/>
      <c r="DE38" s="1481"/>
      <c r="DF38" s="1481"/>
      <c r="DG38" s="1481"/>
      <c r="DH38" s="1481"/>
      <c r="DI38" s="462"/>
      <c r="DJ38" s="1481"/>
      <c r="DK38" s="1481"/>
      <c r="DL38" s="1481"/>
      <c r="DM38" s="1481"/>
      <c r="DN38" s="1481"/>
      <c r="DO38" s="463"/>
      <c r="DP38" s="463"/>
      <c r="DQ38" s="463"/>
      <c r="DR38" s="463"/>
      <c r="DS38" s="463"/>
    </row>
    <row r="39" spans="1:123" s="1838" customFormat="1" ht="0.75" customHeight="1">
      <c r="A39" s="3605"/>
      <c r="B39" s="3606"/>
      <c r="C39" s="1030"/>
      <c r="D39" s="457"/>
      <c r="E39" s="464"/>
      <c r="F39" s="465"/>
      <c r="G39" s="460"/>
      <c r="H39" s="395"/>
      <c r="I39" s="395"/>
      <c r="J39" s="1830"/>
      <c r="K39" s="1830"/>
      <c r="L39" s="1830"/>
      <c r="M39" s="1830"/>
      <c r="N39" s="1830"/>
      <c r="O39" s="1830"/>
      <c r="P39" s="1830"/>
      <c r="Q39" s="1830"/>
      <c r="R39" s="1830"/>
      <c r="S39" s="1830"/>
      <c r="T39" s="1830"/>
      <c r="U39" s="1830"/>
      <c r="V39" s="1830"/>
      <c r="W39" s="1830"/>
      <c r="X39" s="1830"/>
      <c r="Y39" s="1830"/>
      <c r="Z39" s="1830"/>
      <c r="AA39" s="1830"/>
      <c r="AB39" s="1830"/>
      <c r="AC39" s="1830"/>
      <c r="AD39" s="1830"/>
      <c r="AE39" s="1830"/>
      <c r="AF39" s="1830"/>
      <c r="AG39" s="1830"/>
      <c r="AH39" s="1830"/>
      <c r="AI39" s="1830"/>
      <c r="AJ39" s="1830"/>
      <c r="AK39" s="1830"/>
      <c r="AL39" s="1830"/>
      <c r="AM39" s="1830"/>
      <c r="AN39" s="1830"/>
      <c r="AO39" s="1830"/>
      <c r="AP39" s="1830"/>
      <c r="AQ39" s="1830"/>
      <c r="AR39" s="1830"/>
      <c r="AS39" s="1830"/>
      <c r="AT39" s="1830"/>
      <c r="AU39" s="1830"/>
      <c r="AV39" s="1830"/>
      <c r="AW39" s="1830"/>
      <c r="AX39" s="1830"/>
      <c r="AY39" s="1830"/>
      <c r="AZ39" s="1830"/>
      <c r="BA39" s="1830"/>
      <c r="BB39" s="1830"/>
      <c r="BC39" s="1830"/>
      <c r="BD39" s="1830"/>
      <c r="BE39" s="1830"/>
      <c r="BF39" s="1830"/>
      <c r="BG39" s="1830"/>
      <c r="BH39" s="1830"/>
      <c r="BI39" s="1830"/>
      <c r="BJ39" s="1830"/>
      <c r="BK39" s="1830"/>
      <c r="BL39" s="1830"/>
      <c r="BM39" s="1830"/>
      <c r="BN39" s="1830"/>
      <c r="BO39" s="1830"/>
      <c r="BP39" s="1830"/>
      <c r="BQ39" s="1830"/>
      <c r="BR39" s="1830"/>
      <c r="BS39" s="1830"/>
      <c r="BT39" s="1830"/>
      <c r="BU39" s="1830"/>
      <c r="BV39" s="1830"/>
      <c r="BW39" s="1830"/>
      <c r="BX39" s="1830"/>
      <c r="BY39" s="1830"/>
      <c r="BZ39" s="1830"/>
      <c r="CA39" s="1830"/>
      <c r="CB39" s="1830"/>
      <c r="CC39" s="1830"/>
      <c r="CD39" s="1830"/>
      <c r="CE39" s="1830"/>
      <c r="CF39" s="1830"/>
      <c r="CG39" s="1830"/>
      <c r="CH39" s="1830"/>
      <c r="CI39" s="1830"/>
      <c r="CJ39" s="1830"/>
      <c r="CK39" s="1830"/>
      <c r="CL39" s="1830"/>
      <c r="CM39" s="1830"/>
      <c r="CN39" s="1830"/>
      <c r="CO39" s="1830"/>
      <c r="CP39" s="1830"/>
      <c r="CQ39" s="1830"/>
      <c r="CR39" s="1830"/>
      <c r="CS39" s="1830"/>
      <c r="CT39" s="1830"/>
      <c r="CU39" s="1830"/>
      <c r="CV39" s="1830"/>
      <c r="CW39" s="1830"/>
      <c r="CX39" s="461"/>
      <c r="CY39" s="1481" t="str">
        <f t="shared" si="15"/>
        <v/>
      </c>
      <c r="CZ39" s="1481"/>
      <c r="DA39" s="1481"/>
      <c r="DB39" s="1481"/>
      <c r="DC39" s="1481"/>
      <c r="DD39" s="1481"/>
      <c r="DE39" s="1481"/>
      <c r="DF39" s="1481"/>
      <c r="DG39" s="1481"/>
      <c r="DH39" s="1481"/>
      <c r="DI39" s="462"/>
      <c r="DJ39" s="1481"/>
      <c r="DK39" s="1481"/>
      <c r="DL39" s="1481"/>
      <c r="DM39" s="1481"/>
      <c r="DN39" s="1481"/>
      <c r="DO39" s="463"/>
      <c r="DP39" s="463"/>
      <c r="DQ39" s="463"/>
      <c r="DR39" s="463"/>
      <c r="DS39" s="463"/>
    </row>
    <row r="40" spans="1:123" s="1903" customFormat="1" ht="15" customHeight="1">
      <c r="A40" s="3605"/>
      <c r="C40" s="1481"/>
      <c r="D40" s="1478"/>
      <c r="E40" s="467"/>
      <c r="F40" s="468" t="s">
        <v>834</v>
      </c>
      <c r="G40" s="469"/>
      <c r="H40" s="470"/>
      <c r="I40" s="470"/>
      <c r="J40" s="1967"/>
      <c r="K40" s="1968"/>
      <c r="L40" s="1969"/>
      <c r="M40" s="1970"/>
      <c r="N40" s="1971"/>
      <c r="O40" s="1972"/>
      <c r="P40" s="1973"/>
      <c r="Q40" s="1974"/>
      <c r="R40" s="1975"/>
      <c r="S40" s="1976"/>
      <c r="T40" s="1977"/>
      <c r="U40" s="1978"/>
      <c r="V40" s="1979"/>
      <c r="W40" s="1980"/>
      <c r="X40" s="1981"/>
      <c r="Y40" s="1982"/>
      <c r="Z40" s="1983"/>
      <c r="AA40" s="1984"/>
      <c r="AB40" s="1985"/>
      <c r="AC40" s="1986"/>
      <c r="AD40" s="1987"/>
      <c r="AE40" s="1988"/>
      <c r="AF40" s="1989"/>
      <c r="AG40" s="1990"/>
      <c r="AH40" s="1991"/>
      <c r="AI40" s="1992"/>
      <c r="AJ40" s="1993"/>
      <c r="AK40" s="1994"/>
      <c r="AL40" s="1995"/>
      <c r="AM40" s="1996"/>
      <c r="AN40" s="1997"/>
      <c r="AO40" s="1998"/>
      <c r="AP40" s="1999"/>
      <c r="AQ40" s="2000"/>
      <c r="AR40" s="2001"/>
      <c r="AS40" s="2002"/>
      <c r="AT40" s="2003"/>
      <c r="AU40" s="2004"/>
      <c r="AV40" s="2005"/>
      <c r="AW40" s="2006"/>
      <c r="AX40" s="2007"/>
      <c r="AY40" s="2008"/>
      <c r="AZ40" s="2009"/>
      <c r="BA40" s="2010"/>
      <c r="BB40" s="2011"/>
      <c r="BC40" s="2012"/>
      <c r="BD40" s="2013"/>
      <c r="BE40" s="2014"/>
      <c r="BF40" s="2015"/>
      <c r="BG40" s="2016"/>
      <c r="BH40" s="2017"/>
      <c r="BI40" s="2018"/>
      <c r="BJ40" s="2019"/>
      <c r="BK40" s="2020"/>
      <c r="BL40" s="2021"/>
      <c r="BM40" s="2022"/>
      <c r="BN40" s="2023"/>
      <c r="BO40" s="2024"/>
      <c r="BP40" s="2025"/>
      <c r="BQ40" s="2026"/>
      <c r="BR40" s="2027"/>
      <c r="BS40" s="2028"/>
      <c r="BT40" s="2029"/>
      <c r="BU40" s="2030"/>
      <c r="BV40" s="2031"/>
      <c r="BW40" s="2032"/>
      <c r="BX40" s="2033"/>
      <c r="BY40" s="2034"/>
      <c r="BZ40" s="2035"/>
      <c r="CA40" s="2036"/>
      <c r="CB40" s="2037"/>
      <c r="CC40" s="2038"/>
      <c r="CD40" s="2039"/>
      <c r="CE40" s="2040"/>
      <c r="CF40" s="2041"/>
      <c r="CG40" s="2042"/>
      <c r="CH40" s="2043"/>
      <c r="CI40" s="2044"/>
      <c r="CJ40" s="2045"/>
      <c r="CK40" s="2046"/>
      <c r="CL40" s="2047"/>
      <c r="CM40" s="2048"/>
      <c r="CN40" s="2049"/>
      <c r="CO40" s="2050"/>
      <c r="CP40" s="2051"/>
      <c r="CQ40" s="2052"/>
      <c r="CR40" s="2053"/>
      <c r="CS40" s="2054"/>
      <c r="CT40" s="2055"/>
      <c r="CU40" s="2056"/>
      <c r="CV40" s="2057"/>
      <c r="CW40" s="2058"/>
      <c r="CX40" s="212"/>
      <c r="CY40" s="1481" t="str">
        <f t="shared" si="15"/>
        <v/>
      </c>
      <c r="CZ40" s="1481"/>
      <c r="DA40" s="1481"/>
      <c r="DF40" s="1481"/>
      <c r="DI40" s="441"/>
      <c r="DO40" s="1477"/>
      <c r="DP40" s="1477"/>
      <c r="DQ40" s="1477"/>
      <c r="DR40" s="1477"/>
      <c r="DS40" s="1477"/>
    </row>
    <row r="41" spans="1:123" ht="11.25" hidden="1" customHeight="1">
      <c r="A41" s="3605" t="s">
        <v>835</v>
      </c>
      <c r="D41" s="1483"/>
      <c r="E41" s="443" t="str">
        <f>FHD_NUM_P_5</f>
        <v/>
      </c>
      <c r="F41" s="1379" t="str">
        <f>FHD_P_5</f>
        <v/>
      </c>
      <c r="G41" s="1717" t="s">
        <v>817</v>
      </c>
      <c r="H41" s="454"/>
      <c r="I41" s="454"/>
      <c r="J41" s="1848"/>
      <c r="K41" s="1848"/>
      <c r="L41" s="1848"/>
      <c r="M41" s="1848"/>
      <c r="N41" s="1848"/>
      <c r="O41" s="1848"/>
      <c r="P41" s="1848"/>
      <c r="Q41" s="1848"/>
      <c r="R41" s="1848"/>
      <c r="S41" s="1848"/>
      <c r="T41" s="1848"/>
      <c r="U41" s="1848"/>
      <c r="V41" s="1848"/>
      <c r="W41" s="1848"/>
      <c r="X41" s="1848"/>
      <c r="Y41" s="1848"/>
      <c r="Z41" s="1848"/>
      <c r="AA41" s="1848"/>
      <c r="AB41" s="1848"/>
      <c r="AC41" s="1848"/>
      <c r="AD41" s="1848"/>
      <c r="AE41" s="1848"/>
      <c r="AF41" s="1848"/>
      <c r="AG41" s="1848"/>
      <c r="AH41" s="1848"/>
      <c r="AI41" s="1848"/>
      <c r="AJ41" s="1848"/>
      <c r="AK41" s="1848"/>
      <c r="AL41" s="1848"/>
      <c r="AM41" s="1848"/>
      <c r="AN41" s="1848"/>
      <c r="AO41" s="1848"/>
      <c r="AP41" s="1848"/>
      <c r="AQ41" s="1848"/>
      <c r="AR41" s="1848"/>
      <c r="AS41" s="1848"/>
      <c r="AT41" s="1848"/>
      <c r="AU41" s="1848"/>
      <c r="AV41" s="1848"/>
      <c r="AW41" s="1848"/>
      <c r="AX41" s="1848"/>
      <c r="AY41" s="1848"/>
      <c r="AZ41" s="1848"/>
      <c r="BA41" s="1848"/>
      <c r="BB41" s="1848"/>
      <c r="BC41" s="1848"/>
      <c r="BD41" s="1848"/>
      <c r="BE41" s="1848"/>
      <c r="BF41" s="1848"/>
      <c r="BG41" s="1848"/>
      <c r="BH41" s="1848"/>
      <c r="BI41" s="1848"/>
      <c r="BJ41" s="1848"/>
      <c r="BK41" s="1848"/>
      <c r="BL41" s="1848"/>
      <c r="BM41" s="1848"/>
      <c r="BN41" s="1848"/>
      <c r="BO41" s="1848"/>
      <c r="BP41" s="1848"/>
      <c r="BQ41" s="1848"/>
      <c r="BR41" s="1848"/>
      <c r="BS41" s="1848"/>
      <c r="BT41" s="1848"/>
      <c r="BU41" s="1848"/>
      <c r="BV41" s="1848"/>
      <c r="BW41" s="1848"/>
      <c r="BX41" s="1848"/>
      <c r="BY41" s="1848"/>
      <c r="BZ41" s="1848"/>
      <c r="CA41" s="1848"/>
      <c r="CB41" s="1848"/>
      <c r="CC41" s="1848"/>
      <c r="CD41" s="1848"/>
      <c r="CE41" s="1848"/>
      <c r="CF41" s="1848"/>
      <c r="CG41" s="1848"/>
      <c r="CH41" s="1848"/>
      <c r="CI41" s="1848"/>
      <c r="CJ41" s="1848"/>
      <c r="CK41" s="1848"/>
      <c r="CL41" s="1848"/>
      <c r="CM41" s="1848"/>
      <c r="CN41" s="1848"/>
      <c r="CO41" s="1848"/>
      <c r="CP41" s="1848"/>
      <c r="CQ41" s="1848"/>
      <c r="CR41" s="1848"/>
      <c r="CS41" s="1848"/>
      <c r="CT41" s="1848"/>
      <c r="CU41" s="1848"/>
      <c r="CV41" s="1848"/>
      <c r="CW41" s="1848"/>
      <c r="CX41" s="201" t="str">
        <f>FHD_NOTE_P_5</f>
        <v/>
      </c>
      <c r="CY41" s="1481" t="str">
        <f t="shared" si="15"/>
        <v/>
      </c>
    </row>
    <row r="42" spans="1:123" ht="11.25" hidden="1" customHeight="1">
      <c r="A42" s="3605"/>
      <c r="D42" s="1483"/>
      <c r="E42" s="443" t="str">
        <f>FHD_NUM_P_6</f>
        <v/>
      </c>
      <c r="F42" s="1379" t="str">
        <f>FHD_P_6</f>
        <v/>
      </c>
      <c r="G42" s="1717" t="s">
        <v>817</v>
      </c>
      <c r="H42" s="454"/>
      <c r="I42" s="454"/>
      <c r="J42" s="1848"/>
      <c r="K42" s="1848"/>
      <c r="L42" s="1848"/>
      <c r="M42" s="1848"/>
      <c r="N42" s="1848"/>
      <c r="O42" s="1848"/>
      <c r="P42" s="1848"/>
      <c r="Q42" s="1848"/>
      <c r="R42" s="1848"/>
      <c r="S42" s="1848"/>
      <c r="T42" s="1848"/>
      <c r="U42" s="1848"/>
      <c r="V42" s="1848"/>
      <c r="W42" s="1848"/>
      <c r="X42" s="1848"/>
      <c r="Y42" s="1848"/>
      <c r="Z42" s="1848"/>
      <c r="AA42" s="1848"/>
      <c r="AB42" s="1848"/>
      <c r="AC42" s="1848"/>
      <c r="AD42" s="1848"/>
      <c r="AE42" s="1848"/>
      <c r="AF42" s="1848"/>
      <c r="AG42" s="1848"/>
      <c r="AH42" s="1848"/>
      <c r="AI42" s="1848"/>
      <c r="AJ42" s="1848"/>
      <c r="AK42" s="1848"/>
      <c r="AL42" s="1848"/>
      <c r="AM42" s="1848"/>
      <c r="AN42" s="1848"/>
      <c r="AO42" s="1848"/>
      <c r="AP42" s="1848"/>
      <c r="AQ42" s="1848"/>
      <c r="AR42" s="1848"/>
      <c r="AS42" s="1848"/>
      <c r="AT42" s="1848"/>
      <c r="AU42" s="1848"/>
      <c r="AV42" s="1848"/>
      <c r="AW42" s="1848"/>
      <c r="AX42" s="1848"/>
      <c r="AY42" s="1848"/>
      <c r="AZ42" s="1848"/>
      <c r="BA42" s="1848"/>
      <c r="BB42" s="1848"/>
      <c r="BC42" s="1848"/>
      <c r="BD42" s="1848"/>
      <c r="BE42" s="1848"/>
      <c r="BF42" s="1848"/>
      <c r="BG42" s="1848"/>
      <c r="BH42" s="1848"/>
      <c r="BI42" s="1848"/>
      <c r="BJ42" s="1848"/>
      <c r="BK42" s="1848"/>
      <c r="BL42" s="1848"/>
      <c r="BM42" s="1848"/>
      <c r="BN42" s="1848"/>
      <c r="BO42" s="1848"/>
      <c r="BP42" s="1848"/>
      <c r="BQ42" s="1848"/>
      <c r="BR42" s="1848"/>
      <c r="BS42" s="1848"/>
      <c r="BT42" s="1848"/>
      <c r="BU42" s="1848"/>
      <c r="BV42" s="1848"/>
      <c r="BW42" s="1848"/>
      <c r="BX42" s="1848"/>
      <c r="BY42" s="1848"/>
      <c r="BZ42" s="1848"/>
      <c r="CA42" s="1848"/>
      <c r="CB42" s="1848"/>
      <c r="CC42" s="1848"/>
      <c r="CD42" s="1848"/>
      <c r="CE42" s="1848"/>
      <c r="CF42" s="1848"/>
      <c r="CG42" s="1848"/>
      <c r="CH42" s="1848"/>
      <c r="CI42" s="1848"/>
      <c r="CJ42" s="1848"/>
      <c r="CK42" s="1848"/>
      <c r="CL42" s="1848"/>
      <c r="CM42" s="1848"/>
      <c r="CN42" s="1848"/>
      <c r="CO42" s="1848"/>
      <c r="CP42" s="1848"/>
      <c r="CQ42" s="1848"/>
      <c r="CR42" s="1848"/>
      <c r="CS42" s="1848"/>
      <c r="CT42" s="1848"/>
      <c r="CU42" s="1848"/>
      <c r="CV42" s="1848"/>
      <c r="CW42" s="1848"/>
      <c r="CX42" s="201" t="str">
        <f>FHD_NOTE_P_6</f>
        <v/>
      </c>
      <c r="CY42" s="1481" t="str">
        <f t="shared" si="15"/>
        <v/>
      </c>
    </row>
    <row r="43" spans="1:123" ht="11.25" hidden="1" customHeight="1">
      <c r="A43" s="3605"/>
      <c r="D43" s="1483"/>
      <c r="E43" s="443" t="str">
        <f>FHD_NUM_P_7</f>
        <v/>
      </c>
      <c r="F43" s="1379" t="str">
        <f>FHD_P_7</f>
        <v/>
      </c>
      <c r="G43" s="1717" t="s">
        <v>817</v>
      </c>
      <c r="H43" s="454"/>
      <c r="I43" s="454"/>
      <c r="J43" s="1848"/>
      <c r="K43" s="1848"/>
      <c r="L43" s="1848"/>
      <c r="M43" s="1848"/>
      <c r="N43" s="1848"/>
      <c r="O43" s="1848"/>
      <c r="P43" s="1848"/>
      <c r="Q43" s="1848"/>
      <c r="R43" s="1848"/>
      <c r="S43" s="1848"/>
      <c r="T43" s="1848"/>
      <c r="U43" s="1848"/>
      <c r="V43" s="1848"/>
      <c r="W43" s="1848"/>
      <c r="X43" s="1848"/>
      <c r="Y43" s="1848"/>
      <c r="Z43" s="1848"/>
      <c r="AA43" s="1848"/>
      <c r="AB43" s="1848"/>
      <c r="AC43" s="1848"/>
      <c r="AD43" s="1848"/>
      <c r="AE43" s="1848"/>
      <c r="AF43" s="1848"/>
      <c r="AG43" s="1848"/>
      <c r="AH43" s="1848"/>
      <c r="AI43" s="1848"/>
      <c r="AJ43" s="1848"/>
      <c r="AK43" s="1848"/>
      <c r="AL43" s="1848"/>
      <c r="AM43" s="1848"/>
      <c r="AN43" s="1848"/>
      <c r="AO43" s="1848"/>
      <c r="AP43" s="1848"/>
      <c r="AQ43" s="1848"/>
      <c r="AR43" s="1848"/>
      <c r="AS43" s="1848"/>
      <c r="AT43" s="1848"/>
      <c r="AU43" s="1848"/>
      <c r="AV43" s="1848"/>
      <c r="AW43" s="1848"/>
      <c r="AX43" s="1848"/>
      <c r="AY43" s="1848"/>
      <c r="AZ43" s="1848"/>
      <c r="BA43" s="1848"/>
      <c r="BB43" s="1848"/>
      <c r="BC43" s="1848"/>
      <c r="BD43" s="1848"/>
      <c r="BE43" s="1848"/>
      <c r="BF43" s="1848"/>
      <c r="BG43" s="1848"/>
      <c r="BH43" s="1848"/>
      <c r="BI43" s="1848"/>
      <c r="BJ43" s="1848"/>
      <c r="BK43" s="1848"/>
      <c r="BL43" s="1848"/>
      <c r="BM43" s="1848"/>
      <c r="BN43" s="1848"/>
      <c r="BO43" s="1848"/>
      <c r="BP43" s="1848"/>
      <c r="BQ43" s="1848"/>
      <c r="BR43" s="1848"/>
      <c r="BS43" s="1848"/>
      <c r="BT43" s="1848"/>
      <c r="BU43" s="1848"/>
      <c r="BV43" s="1848"/>
      <c r="BW43" s="1848"/>
      <c r="BX43" s="1848"/>
      <c r="BY43" s="1848"/>
      <c r="BZ43" s="1848"/>
      <c r="CA43" s="1848"/>
      <c r="CB43" s="1848"/>
      <c r="CC43" s="1848"/>
      <c r="CD43" s="1848"/>
      <c r="CE43" s="1848"/>
      <c r="CF43" s="1848"/>
      <c r="CG43" s="1848"/>
      <c r="CH43" s="1848"/>
      <c r="CI43" s="1848"/>
      <c r="CJ43" s="1848"/>
      <c r="CK43" s="1848"/>
      <c r="CL43" s="1848"/>
      <c r="CM43" s="1848"/>
      <c r="CN43" s="1848"/>
      <c r="CO43" s="1848"/>
      <c r="CP43" s="1848"/>
      <c r="CQ43" s="1848"/>
      <c r="CR43" s="1848"/>
      <c r="CS43" s="1848"/>
      <c r="CT43" s="1848"/>
      <c r="CU43" s="1848"/>
      <c r="CV43" s="1848"/>
      <c r="CW43" s="1848"/>
      <c r="CX43" s="201" t="str">
        <f>FHD_NOTE_P_7</f>
        <v/>
      </c>
      <c r="CY43" s="1481" t="str">
        <f t="shared" si="15"/>
        <v/>
      </c>
    </row>
    <row r="44" spans="1:123" ht="22.5" customHeight="1">
      <c r="D44" s="1483"/>
      <c r="E44" s="443" t="str">
        <f>FHD_NUM_P_8</f>
        <v>2.3</v>
      </c>
      <c r="F44" s="1379" t="str">
        <f>FHD_P_8</f>
        <v>Расходы на приобретаемую электрическую энергию (мощность), используемую в технологическом процессе</v>
      </c>
      <c r="G44" s="1717" t="s">
        <v>817</v>
      </c>
      <c r="H44" s="454"/>
      <c r="I44" s="454"/>
      <c r="J44" s="1848"/>
      <c r="K44" s="1848"/>
      <c r="L44" s="1848"/>
      <c r="M44" s="1848"/>
      <c r="N44" s="1848"/>
      <c r="O44" s="1848"/>
      <c r="P44" s="1848"/>
      <c r="Q44" s="1848"/>
      <c r="R44" s="1848"/>
      <c r="S44" s="1848"/>
      <c r="T44" s="1848"/>
      <c r="U44" s="1848"/>
      <c r="V44" s="1848"/>
      <c r="W44" s="1848"/>
      <c r="X44" s="1848"/>
      <c r="Y44" s="1848"/>
      <c r="Z44" s="1848"/>
      <c r="AA44" s="1848"/>
      <c r="AB44" s="1848"/>
      <c r="AC44" s="1848"/>
      <c r="AD44" s="1848"/>
      <c r="AE44" s="1848"/>
      <c r="AF44" s="1848"/>
      <c r="AG44" s="1848"/>
      <c r="AH44" s="1848"/>
      <c r="AI44" s="1848"/>
      <c r="AJ44" s="1848"/>
      <c r="AK44" s="1848"/>
      <c r="AL44" s="1848"/>
      <c r="AM44" s="1848"/>
      <c r="AN44" s="1848"/>
      <c r="AO44" s="1848"/>
      <c r="AP44" s="1848"/>
      <c r="AQ44" s="1848"/>
      <c r="AR44" s="1848"/>
      <c r="AS44" s="1848"/>
      <c r="AT44" s="1848"/>
      <c r="AU44" s="1848"/>
      <c r="AV44" s="1848"/>
      <c r="AW44" s="1848"/>
      <c r="AX44" s="1848"/>
      <c r="AY44" s="1848"/>
      <c r="AZ44" s="1848"/>
      <c r="BA44" s="1848"/>
      <c r="BB44" s="1848"/>
      <c r="BC44" s="1848"/>
      <c r="BD44" s="1848"/>
      <c r="BE44" s="1848"/>
      <c r="BF44" s="1848"/>
      <c r="BG44" s="1848"/>
      <c r="BH44" s="1848"/>
      <c r="BI44" s="1848"/>
      <c r="BJ44" s="1848"/>
      <c r="BK44" s="1848"/>
      <c r="BL44" s="1848"/>
      <c r="BM44" s="1848"/>
      <c r="BN44" s="1848"/>
      <c r="BO44" s="1848"/>
      <c r="BP44" s="1848"/>
      <c r="BQ44" s="1848"/>
      <c r="BR44" s="1848"/>
      <c r="BS44" s="1848"/>
      <c r="BT44" s="1848"/>
      <c r="BU44" s="1848"/>
      <c r="BV44" s="1848"/>
      <c r="BW44" s="1848"/>
      <c r="BX44" s="1848"/>
      <c r="BY44" s="1848"/>
      <c r="BZ44" s="1848"/>
      <c r="CA44" s="1848"/>
      <c r="CB44" s="1848"/>
      <c r="CC44" s="1848"/>
      <c r="CD44" s="1848"/>
      <c r="CE44" s="1848"/>
      <c r="CF44" s="1848"/>
      <c r="CG44" s="1848"/>
      <c r="CH44" s="1848"/>
      <c r="CI44" s="1848"/>
      <c r="CJ44" s="1848"/>
      <c r="CK44" s="1848"/>
      <c r="CL44" s="1848"/>
      <c r="CM44" s="1848"/>
      <c r="CN44" s="1848"/>
      <c r="CO44" s="1848"/>
      <c r="CP44" s="1848"/>
      <c r="CQ44" s="1848"/>
      <c r="CR44" s="1848"/>
      <c r="CS44" s="1848"/>
      <c r="CT44" s="1848"/>
      <c r="CU44" s="1848"/>
      <c r="CV44" s="1848"/>
      <c r="CW44" s="1848"/>
      <c r="CX44" s="201" t="str">
        <f>FHD_NOTE_P_8</f>
        <v/>
      </c>
      <c r="CY44" s="1481" t="str">
        <f t="shared" si="15"/>
        <v>p</v>
      </c>
    </row>
    <row r="45" spans="1:123" ht="22.5" customHeight="1">
      <c r="D45" s="1483"/>
      <c r="E45" s="443" t="str">
        <f>FHD_NUM_P_9</f>
        <v>2.3.1</v>
      </c>
      <c r="F45" s="1495" t="str">
        <f>FHD_P_9</f>
        <v>Средневзвешенная стоимость 1 кВт.ч (с учетом мощности)</v>
      </c>
      <c r="G45" s="1717" t="s">
        <v>836</v>
      </c>
      <c r="H45" s="454"/>
      <c r="I45" s="454"/>
      <c r="J45" s="1848"/>
      <c r="K45" s="1848"/>
      <c r="L45" s="1848"/>
      <c r="M45" s="1848"/>
      <c r="N45" s="1848"/>
      <c r="O45" s="1848"/>
      <c r="P45" s="1848"/>
      <c r="Q45" s="1848"/>
      <c r="R45" s="1848"/>
      <c r="S45" s="1848"/>
      <c r="T45" s="1848"/>
      <c r="U45" s="1848"/>
      <c r="V45" s="1848"/>
      <c r="W45" s="1848"/>
      <c r="X45" s="1848"/>
      <c r="Y45" s="1848"/>
      <c r="Z45" s="1848"/>
      <c r="AA45" s="1848"/>
      <c r="AB45" s="1848"/>
      <c r="AC45" s="1848"/>
      <c r="AD45" s="1848"/>
      <c r="AE45" s="1848"/>
      <c r="AF45" s="1848"/>
      <c r="AG45" s="1848"/>
      <c r="AH45" s="1848"/>
      <c r="AI45" s="1848"/>
      <c r="AJ45" s="1848"/>
      <c r="AK45" s="1848"/>
      <c r="AL45" s="1848"/>
      <c r="AM45" s="1848"/>
      <c r="AN45" s="1848"/>
      <c r="AO45" s="1848"/>
      <c r="AP45" s="1848"/>
      <c r="AQ45" s="1848"/>
      <c r="AR45" s="1848"/>
      <c r="AS45" s="1848"/>
      <c r="AT45" s="1848"/>
      <c r="AU45" s="1848"/>
      <c r="AV45" s="1848"/>
      <c r="AW45" s="1848"/>
      <c r="AX45" s="1848"/>
      <c r="AY45" s="1848"/>
      <c r="AZ45" s="1848"/>
      <c r="BA45" s="1848"/>
      <c r="BB45" s="1848"/>
      <c r="BC45" s="1848"/>
      <c r="BD45" s="1848"/>
      <c r="BE45" s="1848"/>
      <c r="BF45" s="1848"/>
      <c r="BG45" s="1848"/>
      <c r="BH45" s="1848"/>
      <c r="BI45" s="1848"/>
      <c r="BJ45" s="1848"/>
      <c r="BK45" s="1848"/>
      <c r="BL45" s="1848"/>
      <c r="BM45" s="1848"/>
      <c r="BN45" s="1848"/>
      <c r="BO45" s="1848"/>
      <c r="BP45" s="1848"/>
      <c r="BQ45" s="1848"/>
      <c r="BR45" s="1848"/>
      <c r="BS45" s="1848"/>
      <c r="BT45" s="1848"/>
      <c r="BU45" s="1848"/>
      <c r="BV45" s="1848"/>
      <c r="BW45" s="1848"/>
      <c r="BX45" s="1848"/>
      <c r="BY45" s="1848"/>
      <c r="BZ45" s="1848"/>
      <c r="CA45" s="1848"/>
      <c r="CB45" s="1848"/>
      <c r="CC45" s="1848"/>
      <c r="CD45" s="1848"/>
      <c r="CE45" s="1848"/>
      <c r="CF45" s="1848"/>
      <c r="CG45" s="1848"/>
      <c r="CH45" s="1848"/>
      <c r="CI45" s="1848"/>
      <c r="CJ45" s="1848"/>
      <c r="CK45" s="1848"/>
      <c r="CL45" s="1848"/>
      <c r="CM45" s="1848"/>
      <c r="CN45" s="1848"/>
      <c r="CO45" s="1848"/>
      <c r="CP45" s="1848"/>
      <c r="CQ45" s="1848"/>
      <c r="CR45" s="1848"/>
      <c r="CS45" s="1848"/>
      <c r="CT45" s="1848"/>
      <c r="CU45" s="1848"/>
      <c r="CV45" s="1848"/>
      <c r="CW45" s="1848"/>
      <c r="CX45" s="201" t="str">
        <f>FHD_NOTE_P_9</f>
        <v/>
      </c>
      <c r="CY45" s="1481" t="str">
        <f t="shared" si="15"/>
        <v/>
      </c>
    </row>
    <row r="46" spans="1:123" s="1903" customFormat="1" ht="11.25" customHeight="1">
      <c r="A46" s="858"/>
      <c r="C46" s="1481"/>
      <c r="D46" s="471"/>
      <c r="E46" s="443" t="str">
        <f>FHD_NUM_P_10</f>
        <v>2.3.2</v>
      </c>
      <c r="F46" s="1495" t="str">
        <f>FHD_P_10</f>
        <v>Объём приобретения электрической энергии</v>
      </c>
      <c r="G46" s="1717" t="s">
        <v>837</v>
      </c>
      <c r="H46" s="454"/>
      <c r="I46" s="454"/>
      <c r="J46" s="1848"/>
      <c r="K46" s="1848"/>
      <c r="L46" s="1848"/>
      <c r="M46" s="1848"/>
      <c r="N46" s="1848"/>
      <c r="O46" s="1848"/>
      <c r="P46" s="1848"/>
      <c r="Q46" s="1848"/>
      <c r="R46" s="1848"/>
      <c r="S46" s="1848"/>
      <c r="T46" s="1848"/>
      <c r="U46" s="1848"/>
      <c r="V46" s="1848"/>
      <c r="W46" s="1848"/>
      <c r="X46" s="1848"/>
      <c r="Y46" s="1848"/>
      <c r="Z46" s="1848"/>
      <c r="AA46" s="1848"/>
      <c r="AB46" s="1848"/>
      <c r="AC46" s="1848"/>
      <c r="AD46" s="1848"/>
      <c r="AE46" s="1848"/>
      <c r="AF46" s="1848"/>
      <c r="AG46" s="1848"/>
      <c r="AH46" s="1848"/>
      <c r="AI46" s="1848"/>
      <c r="AJ46" s="1848"/>
      <c r="AK46" s="1848"/>
      <c r="AL46" s="1848"/>
      <c r="AM46" s="1848"/>
      <c r="AN46" s="1848"/>
      <c r="AO46" s="1848"/>
      <c r="AP46" s="1848"/>
      <c r="AQ46" s="1848"/>
      <c r="AR46" s="1848"/>
      <c r="AS46" s="1848"/>
      <c r="AT46" s="1848"/>
      <c r="AU46" s="1848"/>
      <c r="AV46" s="1848"/>
      <c r="AW46" s="1848"/>
      <c r="AX46" s="1848"/>
      <c r="AY46" s="1848"/>
      <c r="AZ46" s="1848"/>
      <c r="BA46" s="1848"/>
      <c r="BB46" s="1848"/>
      <c r="BC46" s="1848"/>
      <c r="BD46" s="1848"/>
      <c r="BE46" s="1848"/>
      <c r="BF46" s="1848"/>
      <c r="BG46" s="1848"/>
      <c r="BH46" s="1848"/>
      <c r="BI46" s="1848"/>
      <c r="BJ46" s="1848"/>
      <c r="BK46" s="1848"/>
      <c r="BL46" s="1848"/>
      <c r="BM46" s="1848"/>
      <c r="BN46" s="1848"/>
      <c r="BO46" s="1848"/>
      <c r="BP46" s="1848"/>
      <c r="BQ46" s="1848"/>
      <c r="BR46" s="1848"/>
      <c r="BS46" s="1848"/>
      <c r="BT46" s="1848"/>
      <c r="BU46" s="1848"/>
      <c r="BV46" s="1848"/>
      <c r="BW46" s="1848"/>
      <c r="BX46" s="1848"/>
      <c r="BY46" s="1848"/>
      <c r="BZ46" s="1848"/>
      <c r="CA46" s="1848"/>
      <c r="CB46" s="1848"/>
      <c r="CC46" s="1848"/>
      <c r="CD46" s="1848"/>
      <c r="CE46" s="1848"/>
      <c r="CF46" s="1848"/>
      <c r="CG46" s="1848"/>
      <c r="CH46" s="1848"/>
      <c r="CI46" s="1848"/>
      <c r="CJ46" s="1848"/>
      <c r="CK46" s="1848"/>
      <c r="CL46" s="1848"/>
      <c r="CM46" s="1848"/>
      <c r="CN46" s="1848"/>
      <c r="CO46" s="1848"/>
      <c r="CP46" s="1848"/>
      <c r="CQ46" s="1848"/>
      <c r="CR46" s="1848"/>
      <c r="CS46" s="1848"/>
      <c r="CT46" s="1848"/>
      <c r="CU46" s="1848"/>
      <c r="CV46" s="1848"/>
      <c r="CW46" s="1848"/>
      <c r="CX46" s="201" t="str">
        <f>FHD_NOTE_P_10</f>
        <v/>
      </c>
      <c r="CY46" s="1481" t="str">
        <f t="shared" si="15"/>
        <v/>
      </c>
      <c r="CZ46" s="1481"/>
      <c r="DA46" s="1481"/>
      <c r="DF46" s="1481"/>
      <c r="DI46" s="441"/>
      <c r="DO46" s="1477"/>
      <c r="DP46" s="1477"/>
      <c r="DQ46" s="1477"/>
      <c r="DR46" s="1477"/>
      <c r="DS46" s="1477"/>
    </row>
    <row r="47" spans="1:123" s="1903" customFormat="1" ht="11.25" customHeight="1">
      <c r="A47" s="860" t="s">
        <v>838</v>
      </c>
      <c r="C47" s="1481"/>
      <c r="D47" s="472"/>
      <c r="E47" s="443" t="str">
        <f>FHD_NUM_P_11</f>
        <v>2.4</v>
      </c>
      <c r="F47" s="1379" t="str">
        <f>FHD_P_11</f>
        <v>Расходы на приобретение холодной воды, используемой в технологическом процессе</v>
      </c>
      <c r="G47" s="1717" t="s">
        <v>817</v>
      </c>
      <c r="H47" s="454"/>
      <c r="I47" s="454"/>
      <c r="J47" s="1848"/>
      <c r="K47" s="1848"/>
      <c r="L47" s="1848"/>
      <c r="M47" s="1848"/>
      <c r="N47" s="1848"/>
      <c r="O47" s="1848"/>
      <c r="P47" s="1848"/>
      <c r="Q47" s="1848"/>
      <c r="R47" s="1848"/>
      <c r="S47" s="1848"/>
      <c r="T47" s="1848"/>
      <c r="U47" s="1848"/>
      <c r="V47" s="1848"/>
      <c r="W47" s="1848"/>
      <c r="X47" s="1848"/>
      <c r="Y47" s="1848"/>
      <c r="Z47" s="1848"/>
      <c r="AA47" s="1848"/>
      <c r="AB47" s="1848"/>
      <c r="AC47" s="1848"/>
      <c r="AD47" s="1848"/>
      <c r="AE47" s="1848"/>
      <c r="AF47" s="1848"/>
      <c r="AG47" s="1848"/>
      <c r="AH47" s="1848"/>
      <c r="AI47" s="1848"/>
      <c r="AJ47" s="1848"/>
      <c r="AK47" s="1848"/>
      <c r="AL47" s="1848"/>
      <c r="AM47" s="1848"/>
      <c r="AN47" s="1848"/>
      <c r="AO47" s="1848"/>
      <c r="AP47" s="1848"/>
      <c r="AQ47" s="1848"/>
      <c r="AR47" s="1848"/>
      <c r="AS47" s="1848"/>
      <c r="AT47" s="1848"/>
      <c r="AU47" s="1848"/>
      <c r="AV47" s="1848"/>
      <c r="AW47" s="1848"/>
      <c r="AX47" s="1848"/>
      <c r="AY47" s="1848"/>
      <c r="AZ47" s="1848"/>
      <c r="BA47" s="1848"/>
      <c r="BB47" s="1848"/>
      <c r="BC47" s="1848"/>
      <c r="BD47" s="1848"/>
      <c r="BE47" s="1848"/>
      <c r="BF47" s="1848"/>
      <c r="BG47" s="1848"/>
      <c r="BH47" s="1848"/>
      <c r="BI47" s="1848"/>
      <c r="BJ47" s="1848"/>
      <c r="BK47" s="1848"/>
      <c r="BL47" s="1848"/>
      <c r="BM47" s="1848"/>
      <c r="BN47" s="1848"/>
      <c r="BO47" s="1848"/>
      <c r="BP47" s="1848"/>
      <c r="BQ47" s="1848"/>
      <c r="BR47" s="1848"/>
      <c r="BS47" s="1848"/>
      <c r="BT47" s="1848"/>
      <c r="BU47" s="1848"/>
      <c r="BV47" s="1848"/>
      <c r="BW47" s="1848"/>
      <c r="BX47" s="1848"/>
      <c r="BY47" s="1848"/>
      <c r="BZ47" s="1848"/>
      <c r="CA47" s="1848"/>
      <c r="CB47" s="1848"/>
      <c r="CC47" s="1848"/>
      <c r="CD47" s="1848"/>
      <c r="CE47" s="1848"/>
      <c r="CF47" s="1848"/>
      <c r="CG47" s="1848"/>
      <c r="CH47" s="1848"/>
      <c r="CI47" s="1848"/>
      <c r="CJ47" s="1848"/>
      <c r="CK47" s="1848"/>
      <c r="CL47" s="1848"/>
      <c r="CM47" s="1848"/>
      <c r="CN47" s="1848"/>
      <c r="CO47" s="1848"/>
      <c r="CP47" s="1848"/>
      <c r="CQ47" s="1848"/>
      <c r="CR47" s="1848"/>
      <c r="CS47" s="1848"/>
      <c r="CT47" s="1848"/>
      <c r="CU47" s="1848"/>
      <c r="CV47" s="1848"/>
      <c r="CW47" s="1848"/>
      <c r="CX47" s="201" t="str">
        <f>FHD_NOTE_P_11</f>
        <v/>
      </c>
      <c r="CY47" s="1481" t="str">
        <f t="shared" si="15"/>
        <v>p</v>
      </c>
      <c r="CZ47" s="1481"/>
      <c r="DA47" s="1481"/>
      <c r="DF47" s="1481"/>
      <c r="DI47" s="441"/>
      <c r="DO47" s="1477"/>
      <c r="DP47" s="1477"/>
      <c r="DQ47" s="1477"/>
      <c r="DR47" s="1477"/>
      <c r="DS47" s="1477"/>
    </row>
    <row r="48" spans="1:123" s="1903" customFormat="1" ht="22.5" customHeight="1">
      <c r="A48" s="860" t="s">
        <v>839</v>
      </c>
      <c r="C48" s="1481"/>
      <c r="D48" s="1483"/>
      <c r="E48" s="443" t="str">
        <f>FHD_NUM_P_12</f>
        <v>2.5</v>
      </c>
      <c r="F48" s="1379" t="str">
        <f>FHD_P_12</f>
        <v>Расходы на химические реагенты, используемые в технологическом процессе</v>
      </c>
      <c r="G48" s="1717" t="s">
        <v>817</v>
      </c>
      <c r="H48" s="474"/>
      <c r="I48" s="474"/>
      <c r="J48" s="1851"/>
      <c r="K48" s="1851"/>
      <c r="L48" s="1851"/>
      <c r="M48" s="1851"/>
      <c r="N48" s="1851"/>
      <c r="O48" s="1851"/>
      <c r="P48" s="1851"/>
      <c r="Q48" s="1851"/>
      <c r="R48" s="1851"/>
      <c r="S48" s="1851"/>
      <c r="T48" s="1851"/>
      <c r="U48" s="1851"/>
      <c r="V48" s="1851"/>
      <c r="W48" s="1851"/>
      <c r="X48" s="1851"/>
      <c r="Y48" s="1851"/>
      <c r="Z48" s="1851"/>
      <c r="AA48" s="1851"/>
      <c r="AB48" s="1851"/>
      <c r="AC48" s="1851"/>
      <c r="AD48" s="1851"/>
      <c r="AE48" s="1851"/>
      <c r="AF48" s="1851"/>
      <c r="AG48" s="1851"/>
      <c r="AH48" s="1851"/>
      <c r="AI48" s="1851"/>
      <c r="AJ48" s="1851"/>
      <c r="AK48" s="1851"/>
      <c r="AL48" s="1851"/>
      <c r="AM48" s="1851"/>
      <c r="AN48" s="1851"/>
      <c r="AO48" s="1851"/>
      <c r="AP48" s="1851"/>
      <c r="AQ48" s="1851"/>
      <c r="AR48" s="1851"/>
      <c r="AS48" s="1851"/>
      <c r="AT48" s="1851"/>
      <c r="AU48" s="1851"/>
      <c r="AV48" s="1851"/>
      <c r="AW48" s="1851"/>
      <c r="AX48" s="1851"/>
      <c r="AY48" s="1851"/>
      <c r="AZ48" s="1851"/>
      <c r="BA48" s="1851"/>
      <c r="BB48" s="1851"/>
      <c r="BC48" s="1851"/>
      <c r="BD48" s="1851"/>
      <c r="BE48" s="1851"/>
      <c r="BF48" s="1851"/>
      <c r="BG48" s="1851"/>
      <c r="BH48" s="1851"/>
      <c r="BI48" s="1851"/>
      <c r="BJ48" s="1851"/>
      <c r="BK48" s="1851"/>
      <c r="BL48" s="1851"/>
      <c r="BM48" s="1851"/>
      <c r="BN48" s="1851"/>
      <c r="BO48" s="1851"/>
      <c r="BP48" s="1851"/>
      <c r="BQ48" s="1851"/>
      <c r="BR48" s="1851"/>
      <c r="BS48" s="1851"/>
      <c r="BT48" s="1851"/>
      <c r="BU48" s="1851"/>
      <c r="BV48" s="1851"/>
      <c r="BW48" s="1851"/>
      <c r="BX48" s="1851"/>
      <c r="BY48" s="1851"/>
      <c r="BZ48" s="1851"/>
      <c r="CA48" s="1851"/>
      <c r="CB48" s="1851"/>
      <c r="CC48" s="1851"/>
      <c r="CD48" s="1851"/>
      <c r="CE48" s="1851"/>
      <c r="CF48" s="1851"/>
      <c r="CG48" s="1851"/>
      <c r="CH48" s="1851"/>
      <c r="CI48" s="1851"/>
      <c r="CJ48" s="1851"/>
      <c r="CK48" s="1851"/>
      <c r="CL48" s="1851"/>
      <c r="CM48" s="1851"/>
      <c r="CN48" s="1851"/>
      <c r="CO48" s="1851"/>
      <c r="CP48" s="1851"/>
      <c r="CQ48" s="1851"/>
      <c r="CR48" s="1851"/>
      <c r="CS48" s="1851"/>
      <c r="CT48" s="1851"/>
      <c r="CU48" s="1851"/>
      <c r="CV48" s="1851"/>
      <c r="CW48" s="1851"/>
      <c r="CX48" s="201" t="str">
        <f>FHD_NOTE_P_12</f>
        <v/>
      </c>
      <c r="CY48" s="1481" t="str">
        <f t="shared" si="15"/>
        <v>p</v>
      </c>
      <c r="CZ48" s="1481"/>
      <c r="DA48" s="1481"/>
      <c r="DF48" s="1481"/>
      <c r="DI48" s="441"/>
      <c r="DO48" s="1477"/>
      <c r="DP48" s="1477"/>
      <c r="DQ48" s="1477"/>
      <c r="DR48" s="1477"/>
      <c r="DS48" s="1477"/>
    </row>
    <row r="49" spans="1:123" s="1834" customFormat="1" ht="45" customHeight="1">
      <c r="A49" s="859"/>
      <c r="C49" s="620"/>
      <c r="D49" s="565"/>
      <c r="E49" s="443" t="str">
        <f>FHD_NUM_P_13</f>
        <v>2.6</v>
      </c>
      <c r="F49" s="137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17" t="s">
        <v>817</v>
      </c>
      <c r="H49" s="454"/>
      <c r="I49" s="454"/>
      <c r="J49" s="1848"/>
      <c r="K49" s="1848"/>
      <c r="L49" s="1848"/>
      <c r="M49" s="1848"/>
      <c r="N49" s="1848"/>
      <c r="O49" s="1848"/>
      <c r="P49" s="1848"/>
      <c r="Q49" s="1848"/>
      <c r="R49" s="1848"/>
      <c r="S49" s="1848"/>
      <c r="T49" s="1848"/>
      <c r="U49" s="1848"/>
      <c r="V49" s="1848"/>
      <c r="W49" s="1848"/>
      <c r="X49" s="1848"/>
      <c r="Y49" s="1848"/>
      <c r="Z49" s="1848"/>
      <c r="AA49" s="1848"/>
      <c r="AB49" s="1848"/>
      <c r="AC49" s="1848"/>
      <c r="AD49" s="1848"/>
      <c r="AE49" s="1848"/>
      <c r="AF49" s="1848"/>
      <c r="AG49" s="1848"/>
      <c r="AH49" s="1848"/>
      <c r="AI49" s="1848"/>
      <c r="AJ49" s="1848"/>
      <c r="AK49" s="1848"/>
      <c r="AL49" s="1848"/>
      <c r="AM49" s="1848"/>
      <c r="AN49" s="1848"/>
      <c r="AO49" s="1848"/>
      <c r="AP49" s="1848"/>
      <c r="AQ49" s="1848"/>
      <c r="AR49" s="1848"/>
      <c r="AS49" s="1848"/>
      <c r="AT49" s="1848"/>
      <c r="AU49" s="1848"/>
      <c r="AV49" s="1848"/>
      <c r="AW49" s="1848"/>
      <c r="AX49" s="1848"/>
      <c r="AY49" s="1848"/>
      <c r="AZ49" s="1848"/>
      <c r="BA49" s="1848"/>
      <c r="BB49" s="1848"/>
      <c r="BC49" s="1848"/>
      <c r="BD49" s="1848"/>
      <c r="BE49" s="1848"/>
      <c r="BF49" s="1848"/>
      <c r="BG49" s="1848"/>
      <c r="BH49" s="1848"/>
      <c r="BI49" s="1848"/>
      <c r="BJ49" s="1848"/>
      <c r="BK49" s="1848"/>
      <c r="BL49" s="1848"/>
      <c r="BM49" s="1848"/>
      <c r="BN49" s="1848"/>
      <c r="BO49" s="1848"/>
      <c r="BP49" s="1848"/>
      <c r="BQ49" s="1848"/>
      <c r="BR49" s="1848"/>
      <c r="BS49" s="1848"/>
      <c r="BT49" s="1848"/>
      <c r="BU49" s="1848"/>
      <c r="BV49" s="1848"/>
      <c r="BW49" s="1848"/>
      <c r="BX49" s="1848"/>
      <c r="BY49" s="1848"/>
      <c r="BZ49" s="1848"/>
      <c r="CA49" s="1848"/>
      <c r="CB49" s="1848"/>
      <c r="CC49" s="1848"/>
      <c r="CD49" s="1848"/>
      <c r="CE49" s="1848"/>
      <c r="CF49" s="1848"/>
      <c r="CG49" s="1848"/>
      <c r="CH49" s="1848"/>
      <c r="CI49" s="1848"/>
      <c r="CJ49" s="1848"/>
      <c r="CK49" s="1848"/>
      <c r="CL49" s="1848"/>
      <c r="CM49" s="1848"/>
      <c r="CN49" s="1848"/>
      <c r="CO49" s="1848"/>
      <c r="CP49" s="1848"/>
      <c r="CQ49" s="1848"/>
      <c r="CR49" s="1848"/>
      <c r="CS49" s="1848"/>
      <c r="CT49" s="1848"/>
      <c r="CU49" s="1848"/>
      <c r="CV49" s="1848"/>
      <c r="CW49" s="1848"/>
      <c r="CX49" s="201" t="str">
        <f>FHD_NOTE_P_13</f>
        <v/>
      </c>
      <c r="CY49" s="1481" t="str">
        <f t="shared" si="15"/>
        <v>p</v>
      </c>
      <c r="CZ49" s="620"/>
      <c r="DA49" s="620"/>
      <c r="DF49" s="620"/>
      <c r="DI49" s="621"/>
      <c r="DO49" s="622"/>
      <c r="DP49" s="622"/>
      <c r="DQ49" s="622"/>
      <c r="DR49" s="622"/>
      <c r="DS49" s="622"/>
    </row>
    <row r="50" spans="1:123" s="1834" customFormat="1" ht="22.5" customHeight="1">
      <c r="A50" s="859"/>
      <c r="C50" s="620"/>
      <c r="D50" s="565"/>
      <c r="E50" s="443" t="str">
        <f>FHD_NUM_P_14</f>
        <v>2.6.1</v>
      </c>
      <c r="F50" s="1495" t="str">
        <f>FHD_P_14</f>
        <v>Расходы на оплату труда основного производственного персонала</v>
      </c>
      <c r="G50" s="1717" t="s">
        <v>817</v>
      </c>
      <c r="H50" s="454"/>
      <c r="I50" s="454"/>
      <c r="J50" s="1848"/>
      <c r="K50" s="1848"/>
      <c r="L50" s="1848"/>
      <c r="M50" s="1848"/>
      <c r="N50" s="1848"/>
      <c r="O50" s="1848"/>
      <c r="P50" s="1848"/>
      <c r="Q50" s="1848"/>
      <c r="R50" s="1848"/>
      <c r="S50" s="1848"/>
      <c r="T50" s="1848"/>
      <c r="U50" s="1848"/>
      <c r="V50" s="1848"/>
      <c r="W50" s="1848"/>
      <c r="X50" s="1848"/>
      <c r="Y50" s="1848"/>
      <c r="Z50" s="1848"/>
      <c r="AA50" s="1848"/>
      <c r="AB50" s="1848"/>
      <c r="AC50" s="1848"/>
      <c r="AD50" s="1848"/>
      <c r="AE50" s="1848"/>
      <c r="AF50" s="1848"/>
      <c r="AG50" s="1848"/>
      <c r="AH50" s="1848"/>
      <c r="AI50" s="1848"/>
      <c r="AJ50" s="1848"/>
      <c r="AK50" s="1848"/>
      <c r="AL50" s="1848"/>
      <c r="AM50" s="1848"/>
      <c r="AN50" s="1848"/>
      <c r="AO50" s="1848"/>
      <c r="AP50" s="1848"/>
      <c r="AQ50" s="1848"/>
      <c r="AR50" s="1848"/>
      <c r="AS50" s="1848"/>
      <c r="AT50" s="1848"/>
      <c r="AU50" s="1848"/>
      <c r="AV50" s="1848"/>
      <c r="AW50" s="1848"/>
      <c r="AX50" s="1848"/>
      <c r="AY50" s="1848"/>
      <c r="AZ50" s="1848"/>
      <c r="BA50" s="1848"/>
      <c r="BB50" s="1848"/>
      <c r="BC50" s="1848"/>
      <c r="BD50" s="1848"/>
      <c r="BE50" s="1848"/>
      <c r="BF50" s="1848"/>
      <c r="BG50" s="1848"/>
      <c r="BH50" s="1848"/>
      <c r="BI50" s="1848"/>
      <c r="BJ50" s="1848"/>
      <c r="BK50" s="1848"/>
      <c r="BL50" s="1848"/>
      <c r="BM50" s="1848"/>
      <c r="BN50" s="1848"/>
      <c r="BO50" s="1848"/>
      <c r="BP50" s="1848"/>
      <c r="BQ50" s="1848"/>
      <c r="BR50" s="1848"/>
      <c r="BS50" s="1848"/>
      <c r="BT50" s="1848"/>
      <c r="BU50" s="1848"/>
      <c r="BV50" s="1848"/>
      <c r="BW50" s="1848"/>
      <c r="BX50" s="1848"/>
      <c r="BY50" s="1848"/>
      <c r="BZ50" s="1848"/>
      <c r="CA50" s="1848"/>
      <c r="CB50" s="1848"/>
      <c r="CC50" s="1848"/>
      <c r="CD50" s="1848"/>
      <c r="CE50" s="1848"/>
      <c r="CF50" s="1848"/>
      <c r="CG50" s="1848"/>
      <c r="CH50" s="1848"/>
      <c r="CI50" s="1848"/>
      <c r="CJ50" s="1848"/>
      <c r="CK50" s="1848"/>
      <c r="CL50" s="1848"/>
      <c r="CM50" s="1848"/>
      <c r="CN50" s="1848"/>
      <c r="CO50" s="1848"/>
      <c r="CP50" s="1848"/>
      <c r="CQ50" s="1848"/>
      <c r="CR50" s="1848"/>
      <c r="CS50" s="1848"/>
      <c r="CT50" s="1848"/>
      <c r="CU50" s="1848"/>
      <c r="CV50" s="1848"/>
      <c r="CW50" s="1848"/>
      <c r="CX50" s="201" t="str">
        <f>FHD_NOTE_P_14</f>
        <v/>
      </c>
      <c r="CY50" s="1481" t="str">
        <f t="shared" si="15"/>
        <v/>
      </c>
      <c r="CZ50" s="620"/>
      <c r="DA50" s="620"/>
      <c r="DF50" s="620"/>
      <c r="DI50" s="621"/>
      <c r="DO50" s="622"/>
      <c r="DP50" s="622"/>
      <c r="DQ50" s="622"/>
      <c r="DR50" s="622"/>
      <c r="DS50" s="622"/>
    </row>
    <row r="51" spans="1:123" s="1834" customFormat="1" ht="33.75" customHeight="1">
      <c r="A51" s="859"/>
      <c r="C51" s="620"/>
      <c r="D51" s="565"/>
      <c r="E51" s="443" t="str">
        <f>FHD_NUM_P_15</f>
        <v>2.6.2</v>
      </c>
      <c r="F51" s="1495" t="str">
        <f>FHD_P_15</f>
        <v>Страховые взносы на обязательное социальное страхование, выплачиваемые из фонда оплаты труда основного производственного персонала</v>
      </c>
      <c r="G51" s="1717" t="s">
        <v>817</v>
      </c>
      <c r="H51" s="454"/>
      <c r="I51" s="454"/>
      <c r="J51" s="1848"/>
      <c r="K51" s="1848"/>
      <c r="L51" s="1848"/>
      <c r="M51" s="1848"/>
      <c r="N51" s="1848"/>
      <c r="O51" s="1848"/>
      <c r="P51" s="1848"/>
      <c r="Q51" s="1848"/>
      <c r="R51" s="1848"/>
      <c r="S51" s="1848"/>
      <c r="T51" s="1848"/>
      <c r="U51" s="1848"/>
      <c r="V51" s="1848"/>
      <c r="W51" s="1848"/>
      <c r="X51" s="1848"/>
      <c r="Y51" s="1848"/>
      <c r="Z51" s="1848"/>
      <c r="AA51" s="1848"/>
      <c r="AB51" s="1848"/>
      <c r="AC51" s="1848"/>
      <c r="AD51" s="1848"/>
      <c r="AE51" s="1848"/>
      <c r="AF51" s="1848"/>
      <c r="AG51" s="1848"/>
      <c r="AH51" s="1848"/>
      <c r="AI51" s="1848"/>
      <c r="AJ51" s="1848"/>
      <c r="AK51" s="1848"/>
      <c r="AL51" s="1848"/>
      <c r="AM51" s="1848"/>
      <c r="AN51" s="1848"/>
      <c r="AO51" s="1848"/>
      <c r="AP51" s="1848"/>
      <c r="AQ51" s="1848"/>
      <c r="AR51" s="1848"/>
      <c r="AS51" s="1848"/>
      <c r="AT51" s="1848"/>
      <c r="AU51" s="1848"/>
      <c r="AV51" s="1848"/>
      <c r="AW51" s="1848"/>
      <c r="AX51" s="1848"/>
      <c r="AY51" s="1848"/>
      <c r="AZ51" s="1848"/>
      <c r="BA51" s="1848"/>
      <c r="BB51" s="1848"/>
      <c r="BC51" s="1848"/>
      <c r="BD51" s="1848"/>
      <c r="BE51" s="1848"/>
      <c r="BF51" s="1848"/>
      <c r="BG51" s="1848"/>
      <c r="BH51" s="1848"/>
      <c r="BI51" s="1848"/>
      <c r="BJ51" s="1848"/>
      <c r="BK51" s="1848"/>
      <c r="BL51" s="1848"/>
      <c r="BM51" s="1848"/>
      <c r="BN51" s="1848"/>
      <c r="BO51" s="1848"/>
      <c r="BP51" s="1848"/>
      <c r="BQ51" s="1848"/>
      <c r="BR51" s="1848"/>
      <c r="BS51" s="1848"/>
      <c r="BT51" s="1848"/>
      <c r="BU51" s="1848"/>
      <c r="BV51" s="1848"/>
      <c r="BW51" s="1848"/>
      <c r="BX51" s="1848"/>
      <c r="BY51" s="1848"/>
      <c r="BZ51" s="1848"/>
      <c r="CA51" s="1848"/>
      <c r="CB51" s="1848"/>
      <c r="CC51" s="1848"/>
      <c r="CD51" s="1848"/>
      <c r="CE51" s="1848"/>
      <c r="CF51" s="1848"/>
      <c r="CG51" s="1848"/>
      <c r="CH51" s="1848"/>
      <c r="CI51" s="1848"/>
      <c r="CJ51" s="1848"/>
      <c r="CK51" s="1848"/>
      <c r="CL51" s="1848"/>
      <c r="CM51" s="1848"/>
      <c r="CN51" s="1848"/>
      <c r="CO51" s="1848"/>
      <c r="CP51" s="1848"/>
      <c r="CQ51" s="1848"/>
      <c r="CR51" s="1848"/>
      <c r="CS51" s="1848"/>
      <c r="CT51" s="1848"/>
      <c r="CU51" s="1848"/>
      <c r="CV51" s="1848"/>
      <c r="CW51" s="1848"/>
      <c r="CX51" s="201" t="str">
        <f>FHD_NOTE_P_15</f>
        <v/>
      </c>
      <c r="CY51" s="1481" t="str">
        <f t="shared" si="15"/>
        <v/>
      </c>
      <c r="CZ51" s="620"/>
      <c r="DA51" s="620"/>
      <c r="DF51" s="620"/>
      <c r="DI51" s="621"/>
      <c r="DO51" s="622"/>
      <c r="DP51" s="622"/>
      <c r="DQ51" s="622"/>
      <c r="DR51" s="622"/>
      <c r="DS51" s="622"/>
    </row>
    <row r="52" spans="1:123" s="1903" customFormat="1" ht="45" customHeight="1">
      <c r="A52" s="858"/>
      <c r="C52" s="1481"/>
      <c r="D52" s="1483"/>
      <c r="E52" s="443" t="str">
        <f>FHD_NUM_P_16</f>
        <v>2.7</v>
      </c>
      <c r="F52" s="137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17" t="s">
        <v>817</v>
      </c>
      <c r="H52" s="454"/>
      <c r="I52" s="454"/>
      <c r="J52" s="1848"/>
      <c r="K52" s="1848"/>
      <c r="L52" s="1848"/>
      <c r="M52" s="1848"/>
      <c r="N52" s="1848"/>
      <c r="O52" s="1848"/>
      <c r="P52" s="1848"/>
      <c r="Q52" s="1848"/>
      <c r="R52" s="1848"/>
      <c r="S52" s="1848"/>
      <c r="T52" s="1848"/>
      <c r="U52" s="1848"/>
      <c r="V52" s="1848"/>
      <c r="W52" s="1848"/>
      <c r="X52" s="1848"/>
      <c r="Y52" s="1848"/>
      <c r="Z52" s="1848"/>
      <c r="AA52" s="1848"/>
      <c r="AB52" s="1848"/>
      <c r="AC52" s="1848"/>
      <c r="AD52" s="1848"/>
      <c r="AE52" s="1848"/>
      <c r="AF52" s="1848"/>
      <c r="AG52" s="1848"/>
      <c r="AH52" s="1848"/>
      <c r="AI52" s="1848"/>
      <c r="AJ52" s="1848"/>
      <c r="AK52" s="1848"/>
      <c r="AL52" s="1848"/>
      <c r="AM52" s="1848"/>
      <c r="AN52" s="1848"/>
      <c r="AO52" s="1848"/>
      <c r="AP52" s="1848"/>
      <c r="AQ52" s="1848"/>
      <c r="AR52" s="1848"/>
      <c r="AS52" s="1848"/>
      <c r="AT52" s="1848"/>
      <c r="AU52" s="1848"/>
      <c r="AV52" s="1848"/>
      <c r="AW52" s="1848"/>
      <c r="AX52" s="1848"/>
      <c r="AY52" s="1848"/>
      <c r="AZ52" s="1848"/>
      <c r="BA52" s="1848"/>
      <c r="BB52" s="1848"/>
      <c r="BC52" s="1848"/>
      <c r="BD52" s="1848"/>
      <c r="BE52" s="1848"/>
      <c r="BF52" s="1848"/>
      <c r="BG52" s="1848"/>
      <c r="BH52" s="1848"/>
      <c r="BI52" s="1848"/>
      <c r="BJ52" s="1848"/>
      <c r="BK52" s="1848"/>
      <c r="BL52" s="1848"/>
      <c r="BM52" s="1848"/>
      <c r="BN52" s="1848"/>
      <c r="BO52" s="1848"/>
      <c r="BP52" s="1848"/>
      <c r="BQ52" s="1848"/>
      <c r="BR52" s="1848"/>
      <c r="BS52" s="1848"/>
      <c r="BT52" s="1848"/>
      <c r="BU52" s="1848"/>
      <c r="BV52" s="1848"/>
      <c r="BW52" s="1848"/>
      <c r="BX52" s="1848"/>
      <c r="BY52" s="1848"/>
      <c r="BZ52" s="1848"/>
      <c r="CA52" s="1848"/>
      <c r="CB52" s="1848"/>
      <c r="CC52" s="1848"/>
      <c r="CD52" s="1848"/>
      <c r="CE52" s="1848"/>
      <c r="CF52" s="1848"/>
      <c r="CG52" s="1848"/>
      <c r="CH52" s="1848"/>
      <c r="CI52" s="1848"/>
      <c r="CJ52" s="1848"/>
      <c r="CK52" s="1848"/>
      <c r="CL52" s="1848"/>
      <c r="CM52" s="1848"/>
      <c r="CN52" s="1848"/>
      <c r="CO52" s="1848"/>
      <c r="CP52" s="1848"/>
      <c r="CQ52" s="1848"/>
      <c r="CR52" s="1848"/>
      <c r="CS52" s="1848"/>
      <c r="CT52" s="1848"/>
      <c r="CU52" s="1848"/>
      <c r="CV52" s="1848"/>
      <c r="CW52" s="1848"/>
      <c r="CX52" s="201" t="str">
        <f>FHD_NOTE_P_16</f>
        <v/>
      </c>
      <c r="CY52" s="1481" t="str">
        <f t="shared" si="15"/>
        <v>p</v>
      </c>
      <c r="CZ52" s="1481"/>
      <c r="DA52" s="1487"/>
      <c r="DB52" s="434"/>
      <c r="DC52" s="434"/>
      <c r="DF52" s="1481"/>
      <c r="DI52" s="441"/>
      <c r="DO52" s="1477"/>
      <c r="DP52" s="1477"/>
      <c r="DQ52" s="1477"/>
      <c r="DR52" s="1477"/>
      <c r="DS52" s="1477"/>
    </row>
    <row r="53" spans="1:123" s="1903" customFormat="1" ht="22.5" customHeight="1">
      <c r="A53" s="858"/>
      <c r="C53" s="1481"/>
      <c r="D53" s="1483"/>
      <c r="E53" s="443" t="str">
        <f>FHD_NUM_P_17</f>
        <v>2.7.1</v>
      </c>
      <c r="F53" s="1495" t="str">
        <f>FHD_P_17</f>
        <v>Расходы на оплату труда административно-управленческого персонала</v>
      </c>
      <c r="G53" s="1717" t="s">
        <v>817</v>
      </c>
      <c r="H53" s="454"/>
      <c r="I53" s="454"/>
      <c r="J53" s="1848"/>
      <c r="K53" s="1848"/>
      <c r="L53" s="1848"/>
      <c r="M53" s="1848"/>
      <c r="N53" s="1848"/>
      <c r="O53" s="1848"/>
      <c r="P53" s="1848"/>
      <c r="Q53" s="1848"/>
      <c r="R53" s="1848"/>
      <c r="S53" s="1848"/>
      <c r="T53" s="1848"/>
      <c r="U53" s="1848"/>
      <c r="V53" s="1848"/>
      <c r="W53" s="1848"/>
      <c r="X53" s="1848"/>
      <c r="Y53" s="1848"/>
      <c r="Z53" s="1848"/>
      <c r="AA53" s="1848"/>
      <c r="AB53" s="1848"/>
      <c r="AC53" s="1848"/>
      <c r="AD53" s="1848"/>
      <c r="AE53" s="1848"/>
      <c r="AF53" s="1848"/>
      <c r="AG53" s="1848"/>
      <c r="AH53" s="1848"/>
      <c r="AI53" s="1848"/>
      <c r="AJ53" s="1848"/>
      <c r="AK53" s="1848"/>
      <c r="AL53" s="1848"/>
      <c r="AM53" s="1848"/>
      <c r="AN53" s="1848"/>
      <c r="AO53" s="1848"/>
      <c r="AP53" s="1848"/>
      <c r="AQ53" s="1848"/>
      <c r="AR53" s="1848"/>
      <c r="AS53" s="1848"/>
      <c r="AT53" s="1848"/>
      <c r="AU53" s="1848"/>
      <c r="AV53" s="1848"/>
      <c r="AW53" s="1848"/>
      <c r="AX53" s="1848"/>
      <c r="AY53" s="1848"/>
      <c r="AZ53" s="1848"/>
      <c r="BA53" s="1848"/>
      <c r="BB53" s="1848"/>
      <c r="BC53" s="1848"/>
      <c r="BD53" s="1848"/>
      <c r="BE53" s="1848"/>
      <c r="BF53" s="1848"/>
      <c r="BG53" s="1848"/>
      <c r="BH53" s="1848"/>
      <c r="BI53" s="1848"/>
      <c r="BJ53" s="1848"/>
      <c r="BK53" s="1848"/>
      <c r="BL53" s="1848"/>
      <c r="BM53" s="1848"/>
      <c r="BN53" s="1848"/>
      <c r="BO53" s="1848"/>
      <c r="BP53" s="1848"/>
      <c r="BQ53" s="1848"/>
      <c r="BR53" s="1848"/>
      <c r="BS53" s="1848"/>
      <c r="BT53" s="1848"/>
      <c r="BU53" s="1848"/>
      <c r="BV53" s="1848"/>
      <c r="BW53" s="1848"/>
      <c r="BX53" s="1848"/>
      <c r="BY53" s="1848"/>
      <c r="BZ53" s="1848"/>
      <c r="CA53" s="1848"/>
      <c r="CB53" s="1848"/>
      <c r="CC53" s="1848"/>
      <c r="CD53" s="1848"/>
      <c r="CE53" s="1848"/>
      <c r="CF53" s="1848"/>
      <c r="CG53" s="1848"/>
      <c r="CH53" s="1848"/>
      <c r="CI53" s="1848"/>
      <c r="CJ53" s="1848"/>
      <c r="CK53" s="1848"/>
      <c r="CL53" s="1848"/>
      <c r="CM53" s="1848"/>
      <c r="CN53" s="1848"/>
      <c r="CO53" s="1848"/>
      <c r="CP53" s="1848"/>
      <c r="CQ53" s="1848"/>
      <c r="CR53" s="1848"/>
      <c r="CS53" s="1848"/>
      <c r="CT53" s="1848"/>
      <c r="CU53" s="1848"/>
      <c r="CV53" s="1848"/>
      <c r="CW53" s="1848"/>
      <c r="CX53" s="201" t="str">
        <f>FHD_NOTE_P_17</f>
        <v/>
      </c>
      <c r="CY53" s="1481" t="str">
        <f t="shared" si="15"/>
        <v/>
      </c>
      <c r="CZ53" s="1481"/>
      <c r="DA53" s="1487"/>
      <c r="DB53" s="434"/>
      <c r="DC53" s="434"/>
      <c r="DF53" s="1481"/>
      <c r="DI53" s="441"/>
      <c r="DO53" s="1477"/>
      <c r="DP53" s="1477"/>
      <c r="DQ53" s="1477"/>
      <c r="DR53" s="1477"/>
      <c r="DS53" s="1477"/>
    </row>
    <row r="54" spans="1:123" s="1903" customFormat="1" ht="33.75" customHeight="1">
      <c r="A54" s="858"/>
      <c r="C54" s="1481"/>
      <c r="D54" s="1483"/>
      <c r="E54" s="443" t="str">
        <f>FHD_NUM_P_18</f>
        <v>2.7.2</v>
      </c>
      <c r="F54" s="149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17" t="s">
        <v>817</v>
      </c>
      <c r="H54" s="454"/>
      <c r="I54" s="454"/>
      <c r="J54" s="1848"/>
      <c r="K54" s="1848"/>
      <c r="L54" s="1848"/>
      <c r="M54" s="1848"/>
      <c r="N54" s="1848"/>
      <c r="O54" s="1848"/>
      <c r="P54" s="1848"/>
      <c r="Q54" s="1848"/>
      <c r="R54" s="1848"/>
      <c r="S54" s="1848"/>
      <c r="T54" s="1848"/>
      <c r="U54" s="1848"/>
      <c r="V54" s="1848"/>
      <c r="W54" s="1848"/>
      <c r="X54" s="1848"/>
      <c r="Y54" s="1848"/>
      <c r="Z54" s="1848"/>
      <c r="AA54" s="1848"/>
      <c r="AB54" s="1848"/>
      <c r="AC54" s="1848"/>
      <c r="AD54" s="1848"/>
      <c r="AE54" s="1848"/>
      <c r="AF54" s="1848"/>
      <c r="AG54" s="1848"/>
      <c r="AH54" s="1848"/>
      <c r="AI54" s="1848"/>
      <c r="AJ54" s="1848"/>
      <c r="AK54" s="1848"/>
      <c r="AL54" s="1848"/>
      <c r="AM54" s="1848"/>
      <c r="AN54" s="1848"/>
      <c r="AO54" s="1848"/>
      <c r="AP54" s="1848"/>
      <c r="AQ54" s="1848"/>
      <c r="AR54" s="1848"/>
      <c r="AS54" s="1848"/>
      <c r="AT54" s="1848"/>
      <c r="AU54" s="1848"/>
      <c r="AV54" s="1848"/>
      <c r="AW54" s="1848"/>
      <c r="AX54" s="1848"/>
      <c r="AY54" s="1848"/>
      <c r="AZ54" s="1848"/>
      <c r="BA54" s="1848"/>
      <c r="BB54" s="1848"/>
      <c r="BC54" s="1848"/>
      <c r="BD54" s="1848"/>
      <c r="BE54" s="1848"/>
      <c r="BF54" s="1848"/>
      <c r="BG54" s="1848"/>
      <c r="BH54" s="1848"/>
      <c r="BI54" s="1848"/>
      <c r="BJ54" s="1848"/>
      <c r="BK54" s="1848"/>
      <c r="BL54" s="1848"/>
      <c r="BM54" s="1848"/>
      <c r="BN54" s="1848"/>
      <c r="BO54" s="1848"/>
      <c r="BP54" s="1848"/>
      <c r="BQ54" s="1848"/>
      <c r="BR54" s="1848"/>
      <c r="BS54" s="1848"/>
      <c r="BT54" s="1848"/>
      <c r="BU54" s="1848"/>
      <c r="BV54" s="1848"/>
      <c r="BW54" s="1848"/>
      <c r="BX54" s="1848"/>
      <c r="BY54" s="1848"/>
      <c r="BZ54" s="1848"/>
      <c r="CA54" s="1848"/>
      <c r="CB54" s="1848"/>
      <c r="CC54" s="1848"/>
      <c r="CD54" s="1848"/>
      <c r="CE54" s="1848"/>
      <c r="CF54" s="1848"/>
      <c r="CG54" s="1848"/>
      <c r="CH54" s="1848"/>
      <c r="CI54" s="1848"/>
      <c r="CJ54" s="1848"/>
      <c r="CK54" s="1848"/>
      <c r="CL54" s="1848"/>
      <c r="CM54" s="1848"/>
      <c r="CN54" s="1848"/>
      <c r="CO54" s="1848"/>
      <c r="CP54" s="1848"/>
      <c r="CQ54" s="1848"/>
      <c r="CR54" s="1848"/>
      <c r="CS54" s="1848"/>
      <c r="CT54" s="1848"/>
      <c r="CU54" s="1848"/>
      <c r="CV54" s="1848"/>
      <c r="CW54" s="1848"/>
      <c r="CX54" s="201" t="str">
        <f>FHD_NOTE_P_18</f>
        <v/>
      </c>
      <c r="CY54" s="1481" t="str">
        <f t="shared" si="15"/>
        <v/>
      </c>
      <c r="CZ54" s="1481"/>
      <c r="DA54" s="1487"/>
      <c r="DB54" s="434"/>
      <c r="DC54" s="434"/>
      <c r="DF54" s="1481"/>
      <c r="DI54" s="441"/>
      <c r="DO54" s="1477"/>
      <c r="DP54" s="1477"/>
      <c r="DQ54" s="1477"/>
      <c r="DR54" s="1477"/>
      <c r="DS54" s="1477"/>
    </row>
    <row r="55" spans="1:123" s="1903" customFormat="1" ht="22.5" customHeight="1">
      <c r="A55" s="858"/>
      <c r="C55" s="1481"/>
      <c r="D55" s="472"/>
      <c r="E55" s="443" t="str">
        <f>FHD_NUM_P_19</f>
        <v>2.8</v>
      </c>
      <c r="F55" s="1379" t="str">
        <f>FHD_P_19</f>
        <v>Расходы на амортизацию основных средств и нематериальных активов</v>
      </c>
      <c r="G55" s="1717" t="s">
        <v>817</v>
      </c>
      <c r="H55" s="454"/>
      <c r="I55" s="454"/>
      <c r="J55" s="1848"/>
      <c r="K55" s="1848"/>
      <c r="L55" s="1848"/>
      <c r="M55" s="1848"/>
      <c r="N55" s="1848"/>
      <c r="O55" s="1848"/>
      <c r="P55" s="1848"/>
      <c r="Q55" s="1848"/>
      <c r="R55" s="1848"/>
      <c r="S55" s="1848"/>
      <c r="T55" s="1848"/>
      <c r="U55" s="1848"/>
      <c r="V55" s="1848"/>
      <c r="W55" s="1848"/>
      <c r="X55" s="1848"/>
      <c r="Y55" s="1848"/>
      <c r="Z55" s="1848"/>
      <c r="AA55" s="1848"/>
      <c r="AB55" s="1848"/>
      <c r="AC55" s="1848"/>
      <c r="AD55" s="1848"/>
      <c r="AE55" s="1848"/>
      <c r="AF55" s="1848"/>
      <c r="AG55" s="1848"/>
      <c r="AH55" s="1848"/>
      <c r="AI55" s="1848"/>
      <c r="AJ55" s="1848"/>
      <c r="AK55" s="1848"/>
      <c r="AL55" s="1848"/>
      <c r="AM55" s="1848"/>
      <c r="AN55" s="1848"/>
      <c r="AO55" s="1848"/>
      <c r="AP55" s="1848"/>
      <c r="AQ55" s="1848"/>
      <c r="AR55" s="1848"/>
      <c r="AS55" s="1848"/>
      <c r="AT55" s="1848"/>
      <c r="AU55" s="1848"/>
      <c r="AV55" s="1848"/>
      <c r="AW55" s="1848"/>
      <c r="AX55" s="1848"/>
      <c r="AY55" s="1848"/>
      <c r="AZ55" s="1848"/>
      <c r="BA55" s="1848"/>
      <c r="BB55" s="1848"/>
      <c r="BC55" s="1848"/>
      <c r="BD55" s="1848"/>
      <c r="BE55" s="1848"/>
      <c r="BF55" s="1848"/>
      <c r="BG55" s="1848"/>
      <c r="BH55" s="1848"/>
      <c r="BI55" s="1848"/>
      <c r="BJ55" s="1848"/>
      <c r="BK55" s="1848"/>
      <c r="BL55" s="1848"/>
      <c r="BM55" s="1848"/>
      <c r="BN55" s="1848"/>
      <c r="BO55" s="1848"/>
      <c r="BP55" s="1848"/>
      <c r="BQ55" s="1848"/>
      <c r="BR55" s="1848"/>
      <c r="BS55" s="1848"/>
      <c r="BT55" s="1848"/>
      <c r="BU55" s="1848"/>
      <c r="BV55" s="1848"/>
      <c r="BW55" s="1848"/>
      <c r="BX55" s="1848"/>
      <c r="BY55" s="1848"/>
      <c r="BZ55" s="1848"/>
      <c r="CA55" s="1848"/>
      <c r="CB55" s="1848"/>
      <c r="CC55" s="1848"/>
      <c r="CD55" s="1848"/>
      <c r="CE55" s="1848"/>
      <c r="CF55" s="1848"/>
      <c r="CG55" s="1848"/>
      <c r="CH55" s="1848"/>
      <c r="CI55" s="1848"/>
      <c r="CJ55" s="1848"/>
      <c r="CK55" s="1848"/>
      <c r="CL55" s="1848"/>
      <c r="CM55" s="1848"/>
      <c r="CN55" s="1848"/>
      <c r="CO55" s="1848"/>
      <c r="CP55" s="1848"/>
      <c r="CQ55" s="1848"/>
      <c r="CR55" s="1848"/>
      <c r="CS55" s="1848"/>
      <c r="CT55" s="1848"/>
      <c r="CU55" s="1848"/>
      <c r="CV55" s="1848"/>
      <c r="CW55" s="1848"/>
      <c r="CX55" s="201" t="str">
        <f>FHD_NOTE_P_19</f>
        <v/>
      </c>
      <c r="CY55" s="1481" t="str">
        <f t="shared" si="15"/>
        <v>p</v>
      </c>
      <c r="CZ55" s="1481"/>
      <c r="DA55" s="1481"/>
      <c r="DF55" s="1481"/>
      <c r="DI55" s="441"/>
      <c r="DO55" s="1477"/>
      <c r="DP55" s="1477"/>
      <c r="DQ55" s="1477"/>
      <c r="DR55" s="1477"/>
      <c r="DS55" s="1477"/>
    </row>
    <row r="56" spans="1:123" s="1903" customFormat="1" ht="11.25" customHeight="1">
      <c r="A56" s="858"/>
      <c r="C56" s="1481"/>
      <c r="D56" s="472"/>
      <c r="E56" s="443" t="str">
        <f>FHD_NUM_P_20</f>
        <v>2.8.1</v>
      </c>
      <c r="F56" s="1495" t="str">
        <f>FHD_P_20</f>
        <v>Расходы на амортизацию основных средств</v>
      </c>
      <c r="G56" s="1717" t="s">
        <v>817</v>
      </c>
      <c r="H56" s="454"/>
      <c r="I56" s="454"/>
      <c r="J56" s="1848"/>
      <c r="K56" s="1848"/>
      <c r="L56" s="1848"/>
      <c r="M56" s="1848"/>
      <c r="N56" s="1848"/>
      <c r="O56" s="1848"/>
      <c r="P56" s="1848"/>
      <c r="Q56" s="1848"/>
      <c r="R56" s="1848"/>
      <c r="S56" s="1848"/>
      <c r="T56" s="1848"/>
      <c r="U56" s="1848"/>
      <c r="V56" s="1848"/>
      <c r="W56" s="1848"/>
      <c r="X56" s="1848"/>
      <c r="Y56" s="1848"/>
      <c r="Z56" s="1848"/>
      <c r="AA56" s="1848"/>
      <c r="AB56" s="1848"/>
      <c r="AC56" s="1848"/>
      <c r="AD56" s="1848"/>
      <c r="AE56" s="1848"/>
      <c r="AF56" s="1848"/>
      <c r="AG56" s="1848"/>
      <c r="AH56" s="1848"/>
      <c r="AI56" s="1848"/>
      <c r="AJ56" s="1848"/>
      <c r="AK56" s="1848"/>
      <c r="AL56" s="1848"/>
      <c r="AM56" s="1848"/>
      <c r="AN56" s="1848"/>
      <c r="AO56" s="1848"/>
      <c r="AP56" s="1848"/>
      <c r="AQ56" s="1848"/>
      <c r="AR56" s="1848"/>
      <c r="AS56" s="1848"/>
      <c r="AT56" s="1848"/>
      <c r="AU56" s="1848"/>
      <c r="AV56" s="1848"/>
      <c r="AW56" s="1848"/>
      <c r="AX56" s="1848"/>
      <c r="AY56" s="1848"/>
      <c r="AZ56" s="1848"/>
      <c r="BA56" s="1848"/>
      <c r="BB56" s="1848"/>
      <c r="BC56" s="1848"/>
      <c r="BD56" s="1848"/>
      <c r="BE56" s="1848"/>
      <c r="BF56" s="1848"/>
      <c r="BG56" s="1848"/>
      <c r="BH56" s="1848"/>
      <c r="BI56" s="1848"/>
      <c r="BJ56" s="1848"/>
      <c r="BK56" s="1848"/>
      <c r="BL56" s="1848"/>
      <c r="BM56" s="1848"/>
      <c r="BN56" s="1848"/>
      <c r="BO56" s="1848"/>
      <c r="BP56" s="1848"/>
      <c r="BQ56" s="1848"/>
      <c r="BR56" s="1848"/>
      <c r="BS56" s="1848"/>
      <c r="BT56" s="1848"/>
      <c r="BU56" s="1848"/>
      <c r="BV56" s="1848"/>
      <c r="BW56" s="1848"/>
      <c r="BX56" s="1848"/>
      <c r="BY56" s="1848"/>
      <c r="BZ56" s="1848"/>
      <c r="CA56" s="1848"/>
      <c r="CB56" s="1848"/>
      <c r="CC56" s="1848"/>
      <c r="CD56" s="1848"/>
      <c r="CE56" s="1848"/>
      <c r="CF56" s="1848"/>
      <c r="CG56" s="1848"/>
      <c r="CH56" s="1848"/>
      <c r="CI56" s="1848"/>
      <c r="CJ56" s="1848"/>
      <c r="CK56" s="1848"/>
      <c r="CL56" s="1848"/>
      <c r="CM56" s="1848"/>
      <c r="CN56" s="1848"/>
      <c r="CO56" s="1848"/>
      <c r="CP56" s="1848"/>
      <c r="CQ56" s="1848"/>
      <c r="CR56" s="1848"/>
      <c r="CS56" s="1848"/>
      <c r="CT56" s="1848"/>
      <c r="CU56" s="1848"/>
      <c r="CV56" s="1848"/>
      <c r="CW56" s="1848"/>
      <c r="CX56" s="201" t="str">
        <f>FHD_NOTE_P_20</f>
        <v/>
      </c>
      <c r="CY56" s="1481" t="str">
        <f t="shared" si="15"/>
        <v/>
      </c>
      <c r="CZ56" s="1481"/>
      <c r="DA56" s="1481"/>
      <c r="DF56" s="1481"/>
      <c r="DI56" s="441"/>
      <c r="DO56" s="1477"/>
      <c r="DP56" s="1477"/>
      <c r="DQ56" s="1477"/>
      <c r="DR56" s="1477"/>
      <c r="DS56" s="1477"/>
    </row>
    <row r="57" spans="1:123" s="1903" customFormat="1" ht="11.25" customHeight="1">
      <c r="A57" s="858"/>
      <c r="C57" s="1481"/>
      <c r="D57" s="472"/>
      <c r="E57" s="443" t="str">
        <f>FHD_NUM_P_21</f>
        <v>2.8.2</v>
      </c>
      <c r="F57" s="1495" t="str">
        <f>FHD_P_21</f>
        <v>Расходы на амортизацию нематериальных активов</v>
      </c>
      <c r="G57" s="1717" t="s">
        <v>817</v>
      </c>
      <c r="H57" s="454"/>
      <c r="I57" s="454"/>
      <c r="J57" s="1848"/>
      <c r="K57" s="1848"/>
      <c r="L57" s="1848"/>
      <c r="M57" s="1848"/>
      <c r="N57" s="1848"/>
      <c r="O57" s="1848"/>
      <c r="P57" s="1848"/>
      <c r="Q57" s="1848"/>
      <c r="R57" s="1848"/>
      <c r="S57" s="1848"/>
      <c r="T57" s="1848"/>
      <c r="U57" s="1848"/>
      <c r="V57" s="1848"/>
      <c r="W57" s="1848"/>
      <c r="X57" s="1848"/>
      <c r="Y57" s="1848"/>
      <c r="Z57" s="1848"/>
      <c r="AA57" s="1848"/>
      <c r="AB57" s="1848"/>
      <c r="AC57" s="1848"/>
      <c r="AD57" s="1848"/>
      <c r="AE57" s="1848"/>
      <c r="AF57" s="1848"/>
      <c r="AG57" s="1848"/>
      <c r="AH57" s="1848"/>
      <c r="AI57" s="1848"/>
      <c r="AJ57" s="1848"/>
      <c r="AK57" s="1848"/>
      <c r="AL57" s="1848"/>
      <c r="AM57" s="1848"/>
      <c r="AN57" s="1848"/>
      <c r="AO57" s="1848"/>
      <c r="AP57" s="1848"/>
      <c r="AQ57" s="1848"/>
      <c r="AR57" s="1848"/>
      <c r="AS57" s="1848"/>
      <c r="AT57" s="1848"/>
      <c r="AU57" s="1848"/>
      <c r="AV57" s="1848"/>
      <c r="AW57" s="1848"/>
      <c r="AX57" s="1848"/>
      <c r="AY57" s="1848"/>
      <c r="AZ57" s="1848"/>
      <c r="BA57" s="1848"/>
      <c r="BB57" s="1848"/>
      <c r="BC57" s="1848"/>
      <c r="BD57" s="1848"/>
      <c r="BE57" s="1848"/>
      <c r="BF57" s="1848"/>
      <c r="BG57" s="1848"/>
      <c r="BH57" s="1848"/>
      <c r="BI57" s="1848"/>
      <c r="BJ57" s="1848"/>
      <c r="BK57" s="1848"/>
      <c r="BL57" s="1848"/>
      <c r="BM57" s="1848"/>
      <c r="BN57" s="1848"/>
      <c r="BO57" s="1848"/>
      <c r="BP57" s="1848"/>
      <c r="BQ57" s="1848"/>
      <c r="BR57" s="1848"/>
      <c r="BS57" s="1848"/>
      <c r="BT57" s="1848"/>
      <c r="BU57" s="1848"/>
      <c r="BV57" s="1848"/>
      <c r="BW57" s="1848"/>
      <c r="BX57" s="1848"/>
      <c r="BY57" s="1848"/>
      <c r="BZ57" s="1848"/>
      <c r="CA57" s="1848"/>
      <c r="CB57" s="1848"/>
      <c r="CC57" s="1848"/>
      <c r="CD57" s="1848"/>
      <c r="CE57" s="1848"/>
      <c r="CF57" s="1848"/>
      <c r="CG57" s="1848"/>
      <c r="CH57" s="1848"/>
      <c r="CI57" s="1848"/>
      <c r="CJ57" s="1848"/>
      <c r="CK57" s="1848"/>
      <c r="CL57" s="1848"/>
      <c r="CM57" s="1848"/>
      <c r="CN57" s="1848"/>
      <c r="CO57" s="1848"/>
      <c r="CP57" s="1848"/>
      <c r="CQ57" s="1848"/>
      <c r="CR57" s="1848"/>
      <c r="CS57" s="1848"/>
      <c r="CT57" s="1848"/>
      <c r="CU57" s="1848"/>
      <c r="CV57" s="1848"/>
      <c r="CW57" s="1848"/>
      <c r="CX57" s="201" t="str">
        <f>FHD_NOTE_P_21</f>
        <v/>
      </c>
      <c r="CY57" s="1481" t="str">
        <f t="shared" si="15"/>
        <v/>
      </c>
      <c r="CZ57" s="1481"/>
      <c r="DA57" s="1481"/>
      <c r="DF57" s="1481"/>
      <c r="DI57" s="441"/>
      <c r="DO57" s="1477"/>
      <c r="DP57" s="1477"/>
      <c r="DQ57" s="1477"/>
      <c r="DR57" s="1477"/>
      <c r="DS57" s="1477"/>
    </row>
    <row r="58" spans="1:123" s="1903" customFormat="1" ht="33.75" customHeight="1">
      <c r="A58" s="858"/>
      <c r="C58" s="1481"/>
      <c r="D58" s="1483"/>
      <c r="E58" s="443" t="str">
        <f>FHD_NUM_P_22</f>
        <v>2.9</v>
      </c>
      <c r="F58" s="1379" t="str">
        <f>FHD_P_22</f>
        <v>Расходы на аренду имущества, используемого для осуществления регулируемого вида деятельности</v>
      </c>
      <c r="G58" s="1717" t="s">
        <v>817</v>
      </c>
      <c r="H58" s="454"/>
      <c r="I58" s="454"/>
      <c r="J58" s="1848"/>
      <c r="K58" s="1848"/>
      <c r="L58" s="1848"/>
      <c r="M58" s="1848"/>
      <c r="N58" s="1848"/>
      <c r="O58" s="1848"/>
      <c r="P58" s="1848"/>
      <c r="Q58" s="1848"/>
      <c r="R58" s="1848"/>
      <c r="S58" s="1848"/>
      <c r="T58" s="1848"/>
      <c r="U58" s="1848"/>
      <c r="V58" s="1848"/>
      <c r="W58" s="1848"/>
      <c r="X58" s="1848"/>
      <c r="Y58" s="1848"/>
      <c r="Z58" s="1848"/>
      <c r="AA58" s="1848"/>
      <c r="AB58" s="1848"/>
      <c r="AC58" s="1848"/>
      <c r="AD58" s="1848"/>
      <c r="AE58" s="1848"/>
      <c r="AF58" s="1848"/>
      <c r="AG58" s="1848"/>
      <c r="AH58" s="1848"/>
      <c r="AI58" s="1848"/>
      <c r="AJ58" s="1848"/>
      <c r="AK58" s="1848"/>
      <c r="AL58" s="1848"/>
      <c r="AM58" s="1848"/>
      <c r="AN58" s="1848"/>
      <c r="AO58" s="1848"/>
      <c r="AP58" s="1848"/>
      <c r="AQ58" s="1848"/>
      <c r="AR58" s="1848"/>
      <c r="AS58" s="1848"/>
      <c r="AT58" s="1848"/>
      <c r="AU58" s="1848"/>
      <c r="AV58" s="1848"/>
      <c r="AW58" s="1848"/>
      <c r="AX58" s="1848"/>
      <c r="AY58" s="1848"/>
      <c r="AZ58" s="1848"/>
      <c r="BA58" s="1848"/>
      <c r="BB58" s="1848"/>
      <c r="BC58" s="1848"/>
      <c r="BD58" s="1848"/>
      <c r="BE58" s="1848"/>
      <c r="BF58" s="1848"/>
      <c r="BG58" s="1848"/>
      <c r="BH58" s="1848"/>
      <c r="BI58" s="1848"/>
      <c r="BJ58" s="1848"/>
      <c r="BK58" s="1848"/>
      <c r="BL58" s="1848"/>
      <c r="BM58" s="1848"/>
      <c r="BN58" s="1848"/>
      <c r="BO58" s="1848"/>
      <c r="BP58" s="1848"/>
      <c r="BQ58" s="1848"/>
      <c r="BR58" s="1848"/>
      <c r="BS58" s="1848"/>
      <c r="BT58" s="1848"/>
      <c r="BU58" s="1848"/>
      <c r="BV58" s="1848"/>
      <c r="BW58" s="1848"/>
      <c r="BX58" s="1848"/>
      <c r="BY58" s="1848"/>
      <c r="BZ58" s="1848"/>
      <c r="CA58" s="1848"/>
      <c r="CB58" s="1848"/>
      <c r="CC58" s="1848"/>
      <c r="CD58" s="1848"/>
      <c r="CE58" s="1848"/>
      <c r="CF58" s="1848"/>
      <c r="CG58" s="1848"/>
      <c r="CH58" s="1848"/>
      <c r="CI58" s="1848"/>
      <c r="CJ58" s="1848"/>
      <c r="CK58" s="1848"/>
      <c r="CL58" s="1848"/>
      <c r="CM58" s="1848"/>
      <c r="CN58" s="1848"/>
      <c r="CO58" s="1848"/>
      <c r="CP58" s="1848"/>
      <c r="CQ58" s="1848"/>
      <c r="CR58" s="1848"/>
      <c r="CS58" s="1848"/>
      <c r="CT58" s="1848"/>
      <c r="CU58" s="1848"/>
      <c r="CV58" s="1848"/>
      <c r="CW58" s="1848"/>
      <c r="CX58" s="201" t="str">
        <f>FHD_NOTE_P_22</f>
        <v/>
      </c>
      <c r="CY58" s="1481" t="str">
        <f t="shared" si="15"/>
        <v>p</v>
      </c>
      <c r="CZ58" s="1481"/>
      <c r="DA58" s="1481"/>
      <c r="DF58" s="1481"/>
      <c r="DI58" s="441"/>
      <c r="DO58" s="1477"/>
      <c r="DP58" s="1477"/>
      <c r="DQ58" s="1477"/>
      <c r="DR58" s="1477"/>
      <c r="DS58" s="1477"/>
    </row>
    <row r="59" spans="1:123" s="1903" customFormat="1" ht="11.25" customHeight="1">
      <c r="A59" s="858"/>
      <c r="C59" s="1481"/>
      <c r="D59" s="472"/>
      <c r="E59" s="443" t="str">
        <f>FHD_NUM_P_23</f>
        <v>2.10</v>
      </c>
      <c r="F59" s="1379" t="str">
        <f>FHD_P_23</f>
        <v>Общепроизводственные расходы, в том числе:</v>
      </c>
      <c r="G59" s="1717" t="s">
        <v>817</v>
      </c>
      <c r="H59" s="454"/>
      <c r="I59" s="454"/>
      <c r="J59" s="1848"/>
      <c r="K59" s="1848"/>
      <c r="L59" s="1848"/>
      <c r="M59" s="1848"/>
      <c r="N59" s="1848"/>
      <c r="O59" s="1848"/>
      <c r="P59" s="1848"/>
      <c r="Q59" s="1848"/>
      <c r="R59" s="1848"/>
      <c r="S59" s="1848"/>
      <c r="T59" s="1848"/>
      <c r="U59" s="1848"/>
      <c r="V59" s="1848"/>
      <c r="W59" s="1848"/>
      <c r="X59" s="1848"/>
      <c r="Y59" s="1848"/>
      <c r="Z59" s="1848"/>
      <c r="AA59" s="1848"/>
      <c r="AB59" s="1848"/>
      <c r="AC59" s="1848"/>
      <c r="AD59" s="1848"/>
      <c r="AE59" s="1848"/>
      <c r="AF59" s="1848"/>
      <c r="AG59" s="1848"/>
      <c r="AH59" s="1848"/>
      <c r="AI59" s="1848"/>
      <c r="AJ59" s="1848"/>
      <c r="AK59" s="1848"/>
      <c r="AL59" s="1848"/>
      <c r="AM59" s="1848"/>
      <c r="AN59" s="1848"/>
      <c r="AO59" s="1848"/>
      <c r="AP59" s="1848"/>
      <c r="AQ59" s="1848"/>
      <c r="AR59" s="1848"/>
      <c r="AS59" s="1848"/>
      <c r="AT59" s="1848"/>
      <c r="AU59" s="1848"/>
      <c r="AV59" s="1848"/>
      <c r="AW59" s="1848"/>
      <c r="AX59" s="1848"/>
      <c r="AY59" s="1848"/>
      <c r="AZ59" s="1848"/>
      <c r="BA59" s="1848"/>
      <c r="BB59" s="1848"/>
      <c r="BC59" s="1848"/>
      <c r="BD59" s="1848"/>
      <c r="BE59" s="1848"/>
      <c r="BF59" s="1848"/>
      <c r="BG59" s="1848"/>
      <c r="BH59" s="1848"/>
      <c r="BI59" s="1848"/>
      <c r="BJ59" s="1848"/>
      <c r="BK59" s="1848"/>
      <c r="BL59" s="1848"/>
      <c r="BM59" s="1848"/>
      <c r="BN59" s="1848"/>
      <c r="BO59" s="1848"/>
      <c r="BP59" s="1848"/>
      <c r="BQ59" s="1848"/>
      <c r="BR59" s="1848"/>
      <c r="BS59" s="1848"/>
      <c r="BT59" s="1848"/>
      <c r="BU59" s="1848"/>
      <c r="BV59" s="1848"/>
      <c r="BW59" s="1848"/>
      <c r="BX59" s="1848"/>
      <c r="BY59" s="1848"/>
      <c r="BZ59" s="1848"/>
      <c r="CA59" s="1848"/>
      <c r="CB59" s="1848"/>
      <c r="CC59" s="1848"/>
      <c r="CD59" s="1848"/>
      <c r="CE59" s="1848"/>
      <c r="CF59" s="1848"/>
      <c r="CG59" s="1848"/>
      <c r="CH59" s="1848"/>
      <c r="CI59" s="1848"/>
      <c r="CJ59" s="1848"/>
      <c r="CK59" s="1848"/>
      <c r="CL59" s="1848"/>
      <c r="CM59" s="1848"/>
      <c r="CN59" s="1848"/>
      <c r="CO59" s="1848"/>
      <c r="CP59" s="1848"/>
      <c r="CQ59" s="1848"/>
      <c r="CR59" s="1848"/>
      <c r="CS59" s="1848"/>
      <c r="CT59" s="1848"/>
      <c r="CU59" s="1848"/>
      <c r="CV59" s="1848"/>
      <c r="CW59" s="1848"/>
      <c r="CX59" s="201" t="str">
        <f>FHD_NOTE_P_23</f>
        <v>Указывается общая сумма общепроизводственных расходов.</v>
      </c>
      <c r="CY59" s="1481" t="str">
        <f t="shared" si="15"/>
        <v>p</v>
      </c>
      <c r="CZ59" s="1481"/>
      <c r="DA59" s="1481"/>
      <c r="DF59" s="1481"/>
      <c r="DI59" s="441"/>
      <c r="DO59" s="1477"/>
      <c r="DP59" s="1477"/>
      <c r="DQ59" s="1477"/>
      <c r="DR59" s="1477"/>
      <c r="DS59" s="1477"/>
    </row>
    <row r="60" spans="1:123" s="1903" customFormat="1" ht="11.25" customHeight="1">
      <c r="A60" s="858"/>
      <c r="C60" s="1481"/>
      <c r="D60" s="472"/>
      <c r="E60" s="443" t="str">
        <f>FHD_NUM_P_24</f>
        <v>2.10.1</v>
      </c>
      <c r="F60" s="1495" t="str">
        <f>FHD_P_24</f>
        <v>Расходы на текущий ремонт</v>
      </c>
      <c r="G60" s="1717" t="s">
        <v>817</v>
      </c>
      <c r="H60" s="454"/>
      <c r="I60" s="454"/>
      <c r="J60" s="1848"/>
      <c r="K60" s="1848"/>
      <c r="L60" s="1848"/>
      <c r="M60" s="1848"/>
      <c r="N60" s="1848"/>
      <c r="O60" s="1848"/>
      <c r="P60" s="1848"/>
      <c r="Q60" s="1848"/>
      <c r="R60" s="1848"/>
      <c r="S60" s="1848"/>
      <c r="T60" s="1848"/>
      <c r="U60" s="1848"/>
      <c r="V60" s="1848"/>
      <c r="W60" s="1848"/>
      <c r="X60" s="1848"/>
      <c r="Y60" s="1848"/>
      <c r="Z60" s="1848"/>
      <c r="AA60" s="1848"/>
      <c r="AB60" s="1848"/>
      <c r="AC60" s="1848"/>
      <c r="AD60" s="1848"/>
      <c r="AE60" s="1848"/>
      <c r="AF60" s="1848"/>
      <c r="AG60" s="1848"/>
      <c r="AH60" s="1848"/>
      <c r="AI60" s="1848"/>
      <c r="AJ60" s="1848"/>
      <c r="AK60" s="1848"/>
      <c r="AL60" s="1848"/>
      <c r="AM60" s="1848"/>
      <c r="AN60" s="1848"/>
      <c r="AO60" s="1848"/>
      <c r="AP60" s="1848"/>
      <c r="AQ60" s="1848"/>
      <c r="AR60" s="1848"/>
      <c r="AS60" s="1848"/>
      <c r="AT60" s="1848"/>
      <c r="AU60" s="1848"/>
      <c r="AV60" s="1848"/>
      <c r="AW60" s="1848"/>
      <c r="AX60" s="1848"/>
      <c r="AY60" s="1848"/>
      <c r="AZ60" s="1848"/>
      <c r="BA60" s="1848"/>
      <c r="BB60" s="1848"/>
      <c r="BC60" s="1848"/>
      <c r="BD60" s="1848"/>
      <c r="BE60" s="1848"/>
      <c r="BF60" s="1848"/>
      <c r="BG60" s="1848"/>
      <c r="BH60" s="1848"/>
      <c r="BI60" s="1848"/>
      <c r="BJ60" s="1848"/>
      <c r="BK60" s="1848"/>
      <c r="BL60" s="1848"/>
      <c r="BM60" s="1848"/>
      <c r="BN60" s="1848"/>
      <c r="BO60" s="1848"/>
      <c r="BP60" s="1848"/>
      <c r="BQ60" s="1848"/>
      <c r="BR60" s="1848"/>
      <c r="BS60" s="1848"/>
      <c r="BT60" s="1848"/>
      <c r="BU60" s="1848"/>
      <c r="BV60" s="1848"/>
      <c r="BW60" s="1848"/>
      <c r="BX60" s="1848"/>
      <c r="BY60" s="1848"/>
      <c r="BZ60" s="1848"/>
      <c r="CA60" s="1848"/>
      <c r="CB60" s="1848"/>
      <c r="CC60" s="1848"/>
      <c r="CD60" s="1848"/>
      <c r="CE60" s="1848"/>
      <c r="CF60" s="1848"/>
      <c r="CG60" s="1848"/>
      <c r="CH60" s="1848"/>
      <c r="CI60" s="1848"/>
      <c r="CJ60" s="1848"/>
      <c r="CK60" s="1848"/>
      <c r="CL60" s="1848"/>
      <c r="CM60" s="1848"/>
      <c r="CN60" s="1848"/>
      <c r="CO60" s="1848"/>
      <c r="CP60" s="1848"/>
      <c r="CQ60" s="1848"/>
      <c r="CR60" s="1848"/>
      <c r="CS60" s="1848"/>
      <c r="CT60" s="1848"/>
      <c r="CU60" s="1848"/>
      <c r="CV60" s="1848"/>
      <c r="CW60" s="1848"/>
      <c r="CX60" s="201" t="str">
        <f>FHD_NOTE_P_24</f>
        <v>Указываются расходы на текущий ремонт, отнесенные к общепроизводственным расходам.</v>
      </c>
      <c r="CY60" s="1481" t="str">
        <f t="shared" si="15"/>
        <v/>
      </c>
      <c r="CZ60" s="1481"/>
      <c r="DA60" s="1481"/>
      <c r="DF60" s="1481"/>
      <c r="DI60" s="441"/>
      <c r="DO60" s="1477"/>
      <c r="DP60" s="1477"/>
      <c r="DQ60" s="1477"/>
      <c r="DR60" s="1477"/>
      <c r="DS60" s="1477"/>
    </row>
    <row r="61" spans="1:123" s="1903" customFormat="1" ht="11.25" customHeight="1">
      <c r="A61" s="858"/>
      <c r="C61" s="1481"/>
      <c r="D61" s="472"/>
      <c r="E61" s="443" t="str">
        <f>FHD_NUM_P_25</f>
        <v>2.10.2</v>
      </c>
      <c r="F61" s="1495" t="str">
        <f>FHD_P_25</f>
        <v>Расходы на капитальный ремонт</v>
      </c>
      <c r="G61" s="1717" t="s">
        <v>817</v>
      </c>
      <c r="H61" s="454"/>
      <c r="I61" s="454"/>
      <c r="J61" s="1848"/>
      <c r="K61" s="1848"/>
      <c r="L61" s="1848"/>
      <c r="M61" s="1848"/>
      <c r="N61" s="1848"/>
      <c r="O61" s="1848"/>
      <c r="P61" s="1848"/>
      <c r="Q61" s="1848"/>
      <c r="R61" s="1848"/>
      <c r="S61" s="1848"/>
      <c r="T61" s="1848"/>
      <c r="U61" s="1848"/>
      <c r="V61" s="1848"/>
      <c r="W61" s="1848"/>
      <c r="X61" s="1848"/>
      <c r="Y61" s="1848"/>
      <c r="Z61" s="1848"/>
      <c r="AA61" s="1848"/>
      <c r="AB61" s="1848"/>
      <c r="AC61" s="1848"/>
      <c r="AD61" s="1848"/>
      <c r="AE61" s="1848"/>
      <c r="AF61" s="1848"/>
      <c r="AG61" s="1848"/>
      <c r="AH61" s="1848"/>
      <c r="AI61" s="1848"/>
      <c r="AJ61" s="1848"/>
      <c r="AK61" s="1848"/>
      <c r="AL61" s="1848"/>
      <c r="AM61" s="1848"/>
      <c r="AN61" s="1848"/>
      <c r="AO61" s="1848"/>
      <c r="AP61" s="1848"/>
      <c r="AQ61" s="1848"/>
      <c r="AR61" s="1848"/>
      <c r="AS61" s="1848"/>
      <c r="AT61" s="1848"/>
      <c r="AU61" s="1848"/>
      <c r="AV61" s="1848"/>
      <c r="AW61" s="1848"/>
      <c r="AX61" s="1848"/>
      <c r="AY61" s="1848"/>
      <c r="AZ61" s="1848"/>
      <c r="BA61" s="1848"/>
      <c r="BB61" s="1848"/>
      <c r="BC61" s="1848"/>
      <c r="BD61" s="1848"/>
      <c r="BE61" s="1848"/>
      <c r="BF61" s="1848"/>
      <c r="BG61" s="1848"/>
      <c r="BH61" s="1848"/>
      <c r="BI61" s="1848"/>
      <c r="BJ61" s="1848"/>
      <c r="BK61" s="1848"/>
      <c r="BL61" s="1848"/>
      <c r="BM61" s="1848"/>
      <c r="BN61" s="1848"/>
      <c r="BO61" s="1848"/>
      <c r="BP61" s="1848"/>
      <c r="BQ61" s="1848"/>
      <c r="BR61" s="1848"/>
      <c r="BS61" s="1848"/>
      <c r="BT61" s="1848"/>
      <c r="BU61" s="1848"/>
      <c r="BV61" s="1848"/>
      <c r="BW61" s="1848"/>
      <c r="BX61" s="1848"/>
      <c r="BY61" s="1848"/>
      <c r="BZ61" s="1848"/>
      <c r="CA61" s="1848"/>
      <c r="CB61" s="1848"/>
      <c r="CC61" s="1848"/>
      <c r="CD61" s="1848"/>
      <c r="CE61" s="1848"/>
      <c r="CF61" s="1848"/>
      <c r="CG61" s="1848"/>
      <c r="CH61" s="1848"/>
      <c r="CI61" s="1848"/>
      <c r="CJ61" s="1848"/>
      <c r="CK61" s="1848"/>
      <c r="CL61" s="1848"/>
      <c r="CM61" s="1848"/>
      <c r="CN61" s="1848"/>
      <c r="CO61" s="1848"/>
      <c r="CP61" s="1848"/>
      <c r="CQ61" s="1848"/>
      <c r="CR61" s="1848"/>
      <c r="CS61" s="1848"/>
      <c r="CT61" s="1848"/>
      <c r="CU61" s="1848"/>
      <c r="CV61" s="1848"/>
      <c r="CW61" s="1848"/>
      <c r="CX61" s="201" t="str">
        <f>FHD_NOTE_P_25</f>
        <v>Указываются расходы на капитальный ремонт, отнесенные к общепроизводственным расходам.</v>
      </c>
      <c r="CY61" s="1481" t="str">
        <f t="shared" si="15"/>
        <v/>
      </c>
      <c r="CZ61" s="1481"/>
      <c r="DA61" s="1481"/>
      <c r="DF61" s="1481"/>
      <c r="DI61" s="441"/>
      <c r="DO61" s="1477"/>
      <c r="DP61" s="1477"/>
      <c r="DQ61" s="1477"/>
      <c r="DR61" s="1477"/>
      <c r="DS61" s="1477"/>
    </row>
    <row r="62" spans="1:123" s="1903" customFormat="1" ht="11.25" customHeight="1">
      <c r="A62" s="858"/>
      <c r="C62" s="1481"/>
      <c r="D62" s="1483"/>
      <c r="E62" s="443" t="str">
        <f>FHD_NUM_P_26</f>
        <v>2.11</v>
      </c>
      <c r="F62" s="1379" t="str">
        <f>FHD_P_26</f>
        <v>Общехозяйственные расходы, в том числе:</v>
      </c>
      <c r="G62" s="1717" t="s">
        <v>817</v>
      </c>
      <c r="H62" s="454"/>
      <c r="I62" s="454"/>
      <c r="J62" s="1848"/>
      <c r="K62" s="1848"/>
      <c r="L62" s="1848"/>
      <c r="M62" s="1848"/>
      <c r="N62" s="1848"/>
      <c r="O62" s="1848"/>
      <c r="P62" s="1848"/>
      <c r="Q62" s="1848"/>
      <c r="R62" s="1848"/>
      <c r="S62" s="1848"/>
      <c r="T62" s="1848"/>
      <c r="U62" s="1848"/>
      <c r="V62" s="1848"/>
      <c r="W62" s="1848"/>
      <c r="X62" s="1848"/>
      <c r="Y62" s="1848"/>
      <c r="Z62" s="1848"/>
      <c r="AA62" s="1848"/>
      <c r="AB62" s="1848"/>
      <c r="AC62" s="1848"/>
      <c r="AD62" s="1848"/>
      <c r="AE62" s="1848"/>
      <c r="AF62" s="1848"/>
      <c r="AG62" s="1848"/>
      <c r="AH62" s="1848"/>
      <c r="AI62" s="1848"/>
      <c r="AJ62" s="1848"/>
      <c r="AK62" s="1848"/>
      <c r="AL62" s="1848"/>
      <c r="AM62" s="1848"/>
      <c r="AN62" s="1848"/>
      <c r="AO62" s="1848"/>
      <c r="AP62" s="1848"/>
      <c r="AQ62" s="1848"/>
      <c r="AR62" s="1848"/>
      <c r="AS62" s="1848"/>
      <c r="AT62" s="1848"/>
      <c r="AU62" s="1848"/>
      <c r="AV62" s="1848"/>
      <c r="AW62" s="1848"/>
      <c r="AX62" s="1848"/>
      <c r="AY62" s="1848"/>
      <c r="AZ62" s="1848"/>
      <c r="BA62" s="1848"/>
      <c r="BB62" s="1848"/>
      <c r="BC62" s="1848"/>
      <c r="BD62" s="1848"/>
      <c r="BE62" s="1848"/>
      <c r="BF62" s="1848"/>
      <c r="BG62" s="1848"/>
      <c r="BH62" s="1848"/>
      <c r="BI62" s="1848"/>
      <c r="BJ62" s="1848"/>
      <c r="BK62" s="1848"/>
      <c r="BL62" s="1848"/>
      <c r="BM62" s="1848"/>
      <c r="BN62" s="1848"/>
      <c r="BO62" s="1848"/>
      <c r="BP62" s="1848"/>
      <c r="BQ62" s="1848"/>
      <c r="BR62" s="1848"/>
      <c r="BS62" s="1848"/>
      <c r="BT62" s="1848"/>
      <c r="BU62" s="1848"/>
      <c r="BV62" s="1848"/>
      <c r="BW62" s="1848"/>
      <c r="BX62" s="1848"/>
      <c r="BY62" s="1848"/>
      <c r="BZ62" s="1848"/>
      <c r="CA62" s="1848"/>
      <c r="CB62" s="1848"/>
      <c r="CC62" s="1848"/>
      <c r="CD62" s="1848"/>
      <c r="CE62" s="1848"/>
      <c r="CF62" s="1848"/>
      <c r="CG62" s="1848"/>
      <c r="CH62" s="1848"/>
      <c r="CI62" s="1848"/>
      <c r="CJ62" s="1848"/>
      <c r="CK62" s="1848"/>
      <c r="CL62" s="1848"/>
      <c r="CM62" s="1848"/>
      <c r="CN62" s="1848"/>
      <c r="CO62" s="1848"/>
      <c r="CP62" s="1848"/>
      <c r="CQ62" s="1848"/>
      <c r="CR62" s="1848"/>
      <c r="CS62" s="1848"/>
      <c r="CT62" s="1848"/>
      <c r="CU62" s="1848"/>
      <c r="CV62" s="1848"/>
      <c r="CW62" s="1848"/>
      <c r="CX62" s="201" t="str">
        <f>FHD_NOTE_P_26</f>
        <v>Указывается общая сумма общехозяйственных расходов.</v>
      </c>
      <c r="CY62" s="1481" t="str">
        <f t="shared" si="15"/>
        <v>p</v>
      </c>
      <c r="CZ62" s="1481"/>
      <c r="DA62" s="1481"/>
      <c r="DF62" s="1481"/>
      <c r="DI62" s="441"/>
      <c r="DO62" s="1477"/>
      <c r="DP62" s="1477"/>
      <c r="DQ62" s="1477"/>
      <c r="DR62" s="1477"/>
      <c r="DS62" s="1477"/>
    </row>
    <row r="63" spans="1:123" s="1903" customFormat="1" ht="11.25" customHeight="1">
      <c r="A63" s="858"/>
      <c r="C63" s="1481"/>
      <c r="D63" s="1483"/>
      <c r="E63" s="443" t="str">
        <f>FHD_NUM_P_27</f>
        <v>2.11.1</v>
      </c>
      <c r="F63" s="1495" t="str">
        <f>FHD_P_27</f>
        <v>Расходы на текущий ремонт</v>
      </c>
      <c r="G63" s="1717" t="s">
        <v>817</v>
      </c>
      <c r="H63" s="454"/>
      <c r="I63" s="454"/>
      <c r="J63" s="1848"/>
      <c r="K63" s="1848"/>
      <c r="L63" s="1848"/>
      <c r="M63" s="1848"/>
      <c r="N63" s="1848"/>
      <c r="O63" s="1848"/>
      <c r="P63" s="1848"/>
      <c r="Q63" s="1848"/>
      <c r="R63" s="1848"/>
      <c r="S63" s="1848"/>
      <c r="T63" s="1848"/>
      <c r="U63" s="1848"/>
      <c r="V63" s="1848"/>
      <c r="W63" s="1848"/>
      <c r="X63" s="1848"/>
      <c r="Y63" s="1848"/>
      <c r="Z63" s="1848"/>
      <c r="AA63" s="1848"/>
      <c r="AB63" s="1848"/>
      <c r="AC63" s="1848"/>
      <c r="AD63" s="1848"/>
      <c r="AE63" s="1848"/>
      <c r="AF63" s="1848"/>
      <c r="AG63" s="1848"/>
      <c r="AH63" s="1848"/>
      <c r="AI63" s="1848"/>
      <c r="AJ63" s="1848"/>
      <c r="AK63" s="1848"/>
      <c r="AL63" s="1848"/>
      <c r="AM63" s="1848"/>
      <c r="AN63" s="1848"/>
      <c r="AO63" s="1848"/>
      <c r="AP63" s="1848"/>
      <c r="AQ63" s="1848"/>
      <c r="AR63" s="1848"/>
      <c r="AS63" s="1848"/>
      <c r="AT63" s="1848"/>
      <c r="AU63" s="1848"/>
      <c r="AV63" s="1848"/>
      <c r="AW63" s="1848"/>
      <c r="AX63" s="1848"/>
      <c r="AY63" s="1848"/>
      <c r="AZ63" s="1848"/>
      <c r="BA63" s="1848"/>
      <c r="BB63" s="1848"/>
      <c r="BC63" s="1848"/>
      <c r="BD63" s="1848"/>
      <c r="BE63" s="1848"/>
      <c r="BF63" s="1848"/>
      <c r="BG63" s="1848"/>
      <c r="BH63" s="1848"/>
      <c r="BI63" s="1848"/>
      <c r="BJ63" s="1848"/>
      <c r="BK63" s="1848"/>
      <c r="BL63" s="1848"/>
      <c r="BM63" s="1848"/>
      <c r="BN63" s="1848"/>
      <c r="BO63" s="1848"/>
      <c r="BP63" s="1848"/>
      <c r="BQ63" s="1848"/>
      <c r="BR63" s="1848"/>
      <c r="BS63" s="1848"/>
      <c r="BT63" s="1848"/>
      <c r="BU63" s="1848"/>
      <c r="BV63" s="1848"/>
      <c r="BW63" s="1848"/>
      <c r="BX63" s="1848"/>
      <c r="BY63" s="1848"/>
      <c r="BZ63" s="1848"/>
      <c r="CA63" s="1848"/>
      <c r="CB63" s="1848"/>
      <c r="CC63" s="1848"/>
      <c r="CD63" s="1848"/>
      <c r="CE63" s="1848"/>
      <c r="CF63" s="1848"/>
      <c r="CG63" s="1848"/>
      <c r="CH63" s="1848"/>
      <c r="CI63" s="1848"/>
      <c r="CJ63" s="1848"/>
      <c r="CK63" s="1848"/>
      <c r="CL63" s="1848"/>
      <c r="CM63" s="1848"/>
      <c r="CN63" s="1848"/>
      <c r="CO63" s="1848"/>
      <c r="CP63" s="1848"/>
      <c r="CQ63" s="1848"/>
      <c r="CR63" s="1848"/>
      <c r="CS63" s="1848"/>
      <c r="CT63" s="1848"/>
      <c r="CU63" s="1848"/>
      <c r="CV63" s="1848"/>
      <c r="CW63" s="1848"/>
      <c r="CX63" s="201" t="str">
        <f>FHD_NOTE_P_27</f>
        <v>Указываются расходы на текущий ремонт, отнесенные к общехозяйственным расходам.</v>
      </c>
      <c r="CY63" s="1481" t="str">
        <f t="shared" si="15"/>
        <v/>
      </c>
      <c r="CZ63" s="1481"/>
      <c r="DA63" s="1481"/>
      <c r="DF63" s="1481"/>
      <c r="DI63" s="441"/>
      <c r="DO63" s="1477"/>
      <c r="DP63" s="1477"/>
      <c r="DQ63" s="1477"/>
      <c r="DR63" s="1477"/>
      <c r="DS63" s="1477"/>
    </row>
    <row r="64" spans="1:123" s="1903" customFormat="1" ht="11.25" customHeight="1">
      <c r="A64" s="858"/>
      <c r="C64" s="1481"/>
      <c r="D64" s="1483"/>
      <c r="E64" s="443" t="str">
        <f>FHD_NUM_P_28</f>
        <v>2.11.2</v>
      </c>
      <c r="F64" s="1495" t="str">
        <f>FHD_P_28</f>
        <v>Расходы на капитальный ремонт</v>
      </c>
      <c r="G64" s="1717" t="s">
        <v>817</v>
      </c>
      <c r="H64" s="454"/>
      <c r="I64" s="454"/>
      <c r="J64" s="1848"/>
      <c r="K64" s="1848"/>
      <c r="L64" s="1848"/>
      <c r="M64" s="1848"/>
      <c r="N64" s="1848"/>
      <c r="O64" s="1848"/>
      <c r="P64" s="1848"/>
      <c r="Q64" s="1848"/>
      <c r="R64" s="1848"/>
      <c r="S64" s="1848"/>
      <c r="T64" s="1848"/>
      <c r="U64" s="1848"/>
      <c r="V64" s="1848"/>
      <c r="W64" s="1848"/>
      <c r="X64" s="1848"/>
      <c r="Y64" s="1848"/>
      <c r="Z64" s="1848"/>
      <c r="AA64" s="1848"/>
      <c r="AB64" s="1848"/>
      <c r="AC64" s="1848"/>
      <c r="AD64" s="1848"/>
      <c r="AE64" s="1848"/>
      <c r="AF64" s="1848"/>
      <c r="AG64" s="1848"/>
      <c r="AH64" s="1848"/>
      <c r="AI64" s="1848"/>
      <c r="AJ64" s="1848"/>
      <c r="AK64" s="1848"/>
      <c r="AL64" s="1848"/>
      <c r="AM64" s="1848"/>
      <c r="AN64" s="1848"/>
      <c r="AO64" s="1848"/>
      <c r="AP64" s="1848"/>
      <c r="AQ64" s="1848"/>
      <c r="AR64" s="1848"/>
      <c r="AS64" s="1848"/>
      <c r="AT64" s="1848"/>
      <c r="AU64" s="1848"/>
      <c r="AV64" s="1848"/>
      <c r="AW64" s="1848"/>
      <c r="AX64" s="1848"/>
      <c r="AY64" s="1848"/>
      <c r="AZ64" s="1848"/>
      <c r="BA64" s="1848"/>
      <c r="BB64" s="1848"/>
      <c r="BC64" s="1848"/>
      <c r="BD64" s="1848"/>
      <c r="BE64" s="1848"/>
      <c r="BF64" s="1848"/>
      <c r="BG64" s="1848"/>
      <c r="BH64" s="1848"/>
      <c r="BI64" s="1848"/>
      <c r="BJ64" s="1848"/>
      <c r="BK64" s="1848"/>
      <c r="BL64" s="1848"/>
      <c r="BM64" s="1848"/>
      <c r="BN64" s="1848"/>
      <c r="BO64" s="1848"/>
      <c r="BP64" s="1848"/>
      <c r="BQ64" s="1848"/>
      <c r="BR64" s="1848"/>
      <c r="BS64" s="1848"/>
      <c r="BT64" s="1848"/>
      <c r="BU64" s="1848"/>
      <c r="BV64" s="1848"/>
      <c r="BW64" s="1848"/>
      <c r="BX64" s="1848"/>
      <c r="BY64" s="1848"/>
      <c r="BZ64" s="1848"/>
      <c r="CA64" s="1848"/>
      <c r="CB64" s="1848"/>
      <c r="CC64" s="1848"/>
      <c r="CD64" s="1848"/>
      <c r="CE64" s="1848"/>
      <c r="CF64" s="1848"/>
      <c r="CG64" s="1848"/>
      <c r="CH64" s="1848"/>
      <c r="CI64" s="1848"/>
      <c r="CJ64" s="1848"/>
      <c r="CK64" s="1848"/>
      <c r="CL64" s="1848"/>
      <c r="CM64" s="1848"/>
      <c r="CN64" s="1848"/>
      <c r="CO64" s="1848"/>
      <c r="CP64" s="1848"/>
      <c r="CQ64" s="1848"/>
      <c r="CR64" s="1848"/>
      <c r="CS64" s="1848"/>
      <c r="CT64" s="1848"/>
      <c r="CU64" s="1848"/>
      <c r="CV64" s="1848"/>
      <c r="CW64" s="1848"/>
      <c r="CX64" s="201" t="str">
        <f>FHD_NOTE_P_28</f>
        <v>Указываются расходы на капитальный ремонт, отнесенные к общехозяйственным расходам.</v>
      </c>
      <c r="CY64" s="1481" t="str">
        <f t="shared" si="15"/>
        <v/>
      </c>
      <c r="CZ64" s="1481"/>
      <c r="DA64" s="1481"/>
      <c r="DF64" s="1481"/>
      <c r="DI64" s="441"/>
      <c r="DO64" s="1477"/>
      <c r="DP64" s="1477"/>
      <c r="DQ64" s="1477"/>
      <c r="DR64" s="1477"/>
      <c r="DS64" s="1477"/>
    </row>
    <row r="65" spans="1:123" s="1903" customFormat="1" ht="22.5" customHeight="1">
      <c r="A65" s="858"/>
      <c r="C65" s="1481"/>
      <c r="D65" s="1483"/>
      <c r="E65" s="443" t="str">
        <f>FHD_NUM_P_29</f>
        <v>2.12</v>
      </c>
      <c r="F65" s="1379" t="str">
        <f>FHD_P_29</f>
        <v>Расходы на капитальный и текущий ремонт основных средств</v>
      </c>
      <c r="G65" s="1717" t="s">
        <v>817</v>
      </c>
      <c r="H65" s="454"/>
      <c r="I65" s="454"/>
      <c r="J65" s="1848"/>
      <c r="K65" s="1848"/>
      <c r="L65" s="1848"/>
      <c r="M65" s="1848"/>
      <c r="N65" s="1848"/>
      <c r="O65" s="1848"/>
      <c r="P65" s="1848"/>
      <c r="Q65" s="1848"/>
      <c r="R65" s="1848"/>
      <c r="S65" s="1848"/>
      <c r="T65" s="1848"/>
      <c r="U65" s="1848"/>
      <c r="V65" s="1848"/>
      <c r="W65" s="1848"/>
      <c r="X65" s="1848"/>
      <c r="Y65" s="1848"/>
      <c r="Z65" s="1848"/>
      <c r="AA65" s="1848"/>
      <c r="AB65" s="1848"/>
      <c r="AC65" s="1848"/>
      <c r="AD65" s="1848"/>
      <c r="AE65" s="1848"/>
      <c r="AF65" s="1848"/>
      <c r="AG65" s="1848"/>
      <c r="AH65" s="1848"/>
      <c r="AI65" s="1848"/>
      <c r="AJ65" s="1848"/>
      <c r="AK65" s="1848"/>
      <c r="AL65" s="1848"/>
      <c r="AM65" s="1848"/>
      <c r="AN65" s="1848"/>
      <c r="AO65" s="1848"/>
      <c r="AP65" s="1848"/>
      <c r="AQ65" s="1848"/>
      <c r="AR65" s="1848"/>
      <c r="AS65" s="1848"/>
      <c r="AT65" s="1848"/>
      <c r="AU65" s="1848"/>
      <c r="AV65" s="1848"/>
      <c r="AW65" s="1848"/>
      <c r="AX65" s="1848"/>
      <c r="AY65" s="1848"/>
      <c r="AZ65" s="1848"/>
      <c r="BA65" s="1848"/>
      <c r="BB65" s="1848"/>
      <c r="BC65" s="1848"/>
      <c r="BD65" s="1848"/>
      <c r="BE65" s="1848"/>
      <c r="BF65" s="1848"/>
      <c r="BG65" s="1848"/>
      <c r="BH65" s="1848"/>
      <c r="BI65" s="1848"/>
      <c r="BJ65" s="1848"/>
      <c r="BK65" s="1848"/>
      <c r="BL65" s="1848"/>
      <c r="BM65" s="1848"/>
      <c r="BN65" s="1848"/>
      <c r="BO65" s="1848"/>
      <c r="BP65" s="1848"/>
      <c r="BQ65" s="1848"/>
      <c r="BR65" s="1848"/>
      <c r="BS65" s="1848"/>
      <c r="BT65" s="1848"/>
      <c r="BU65" s="1848"/>
      <c r="BV65" s="1848"/>
      <c r="BW65" s="1848"/>
      <c r="BX65" s="1848"/>
      <c r="BY65" s="1848"/>
      <c r="BZ65" s="1848"/>
      <c r="CA65" s="1848"/>
      <c r="CB65" s="1848"/>
      <c r="CC65" s="1848"/>
      <c r="CD65" s="1848"/>
      <c r="CE65" s="1848"/>
      <c r="CF65" s="1848"/>
      <c r="CG65" s="1848"/>
      <c r="CH65" s="1848"/>
      <c r="CI65" s="1848"/>
      <c r="CJ65" s="1848"/>
      <c r="CK65" s="1848"/>
      <c r="CL65" s="1848"/>
      <c r="CM65" s="1848"/>
      <c r="CN65" s="1848"/>
      <c r="CO65" s="1848"/>
      <c r="CP65" s="1848"/>
      <c r="CQ65" s="1848"/>
      <c r="CR65" s="1848"/>
      <c r="CS65" s="1848"/>
      <c r="CT65" s="1848"/>
      <c r="CU65" s="1848"/>
      <c r="CV65" s="1848"/>
      <c r="CW65" s="1848"/>
      <c r="CX65" s="201"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CY65" s="1481" t="str">
        <f t="shared" si="15"/>
        <v>p</v>
      </c>
      <c r="CZ65" s="1481"/>
      <c r="DA65" s="1481"/>
      <c r="DF65" s="1481"/>
      <c r="DI65" s="441"/>
      <c r="DO65" s="1477"/>
      <c r="DP65" s="1477"/>
      <c r="DQ65" s="1477"/>
      <c r="DR65" s="1477"/>
      <c r="DS65" s="1477"/>
    </row>
    <row r="66" spans="1:123" s="1903" customFormat="1" ht="45" customHeight="1">
      <c r="A66" s="858"/>
      <c r="C66" s="1481"/>
      <c r="D66" s="1483"/>
      <c r="E66" s="443" t="str">
        <f>FHD_NUM_P_30</f>
        <v>2.12.1</v>
      </c>
      <c r="F66" s="149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17" t="s">
        <v>566</v>
      </c>
      <c r="H66" s="1494" t="s">
        <v>840</v>
      </c>
      <c r="I66" s="1494" t="s">
        <v>840</v>
      </c>
      <c r="J66" s="1923" t="s">
        <v>840</v>
      </c>
      <c r="K66" s="1923" t="s">
        <v>840</v>
      </c>
      <c r="L66" s="1923" t="s">
        <v>840</v>
      </c>
      <c r="M66" s="1923" t="s">
        <v>840</v>
      </c>
      <c r="N66" s="1923" t="s">
        <v>840</v>
      </c>
      <c r="O66" s="1923" t="s">
        <v>840</v>
      </c>
      <c r="P66" s="1923" t="s">
        <v>840</v>
      </c>
      <c r="Q66" s="1923" t="s">
        <v>840</v>
      </c>
      <c r="R66" s="1923" t="s">
        <v>840</v>
      </c>
      <c r="S66" s="1923" t="s">
        <v>840</v>
      </c>
      <c r="T66" s="1923" t="s">
        <v>840</v>
      </c>
      <c r="U66" s="1923" t="s">
        <v>840</v>
      </c>
      <c r="V66" s="1923" t="s">
        <v>840</v>
      </c>
      <c r="W66" s="1923" t="s">
        <v>840</v>
      </c>
      <c r="X66" s="1923" t="s">
        <v>840</v>
      </c>
      <c r="Y66" s="1923" t="s">
        <v>840</v>
      </c>
      <c r="Z66" s="1923" t="s">
        <v>840</v>
      </c>
      <c r="AA66" s="1923" t="s">
        <v>840</v>
      </c>
      <c r="AB66" s="1923" t="s">
        <v>840</v>
      </c>
      <c r="AC66" s="1923" t="s">
        <v>840</v>
      </c>
      <c r="AD66" s="1923" t="s">
        <v>840</v>
      </c>
      <c r="AE66" s="1923" t="s">
        <v>840</v>
      </c>
      <c r="AF66" s="1923" t="s">
        <v>840</v>
      </c>
      <c r="AG66" s="1923" t="s">
        <v>840</v>
      </c>
      <c r="AH66" s="1923" t="s">
        <v>840</v>
      </c>
      <c r="AI66" s="1923" t="s">
        <v>840</v>
      </c>
      <c r="AJ66" s="1923" t="s">
        <v>840</v>
      </c>
      <c r="AK66" s="1923" t="s">
        <v>840</v>
      </c>
      <c r="AL66" s="1923" t="s">
        <v>840</v>
      </c>
      <c r="AM66" s="1923" t="s">
        <v>840</v>
      </c>
      <c r="AN66" s="1923" t="s">
        <v>840</v>
      </c>
      <c r="AO66" s="1923" t="s">
        <v>840</v>
      </c>
      <c r="AP66" s="1923" t="s">
        <v>840</v>
      </c>
      <c r="AQ66" s="1923" t="s">
        <v>840</v>
      </c>
      <c r="AR66" s="1923" t="s">
        <v>840</v>
      </c>
      <c r="AS66" s="1923" t="s">
        <v>840</v>
      </c>
      <c r="AT66" s="1923" t="s">
        <v>840</v>
      </c>
      <c r="AU66" s="1923" t="s">
        <v>840</v>
      </c>
      <c r="AV66" s="1923" t="s">
        <v>840</v>
      </c>
      <c r="AW66" s="1923" t="s">
        <v>840</v>
      </c>
      <c r="AX66" s="1923" t="s">
        <v>840</v>
      </c>
      <c r="AY66" s="1923" t="s">
        <v>840</v>
      </c>
      <c r="AZ66" s="1923" t="s">
        <v>840</v>
      </c>
      <c r="BA66" s="1923" t="s">
        <v>840</v>
      </c>
      <c r="BB66" s="1923" t="s">
        <v>840</v>
      </c>
      <c r="BC66" s="1923" t="s">
        <v>840</v>
      </c>
      <c r="BD66" s="1923" t="s">
        <v>840</v>
      </c>
      <c r="BE66" s="1923" t="s">
        <v>840</v>
      </c>
      <c r="BF66" s="1923" t="s">
        <v>840</v>
      </c>
      <c r="BG66" s="1923" t="s">
        <v>840</v>
      </c>
      <c r="BH66" s="1923" t="s">
        <v>840</v>
      </c>
      <c r="BI66" s="1923" t="s">
        <v>840</v>
      </c>
      <c r="BJ66" s="1923" t="s">
        <v>840</v>
      </c>
      <c r="BK66" s="1923" t="s">
        <v>840</v>
      </c>
      <c r="BL66" s="1923" t="s">
        <v>840</v>
      </c>
      <c r="BM66" s="1923" t="s">
        <v>840</v>
      </c>
      <c r="BN66" s="1923" t="s">
        <v>840</v>
      </c>
      <c r="BO66" s="1923" t="s">
        <v>840</v>
      </c>
      <c r="BP66" s="1923" t="s">
        <v>840</v>
      </c>
      <c r="BQ66" s="1923" t="s">
        <v>840</v>
      </c>
      <c r="BR66" s="1923" t="s">
        <v>840</v>
      </c>
      <c r="BS66" s="1923" t="s">
        <v>840</v>
      </c>
      <c r="BT66" s="1923" t="s">
        <v>840</v>
      </c>
      <c r="BU66" s="1923" t="s">
        <v>840</v>
      </c>
      <c r="BV66" s="1923" t="s">
        <v>840</v>
      </c>
      <c r="BW66" s="1923" t="s">
        <v>840</v>
      </c>
      <c r="BX66" s="1923" t="s">
        <v>840</v>
      </c>
      <c r="BY66" s="1923" t="s">
        <v>840</v>
      </c>
      <c r="BZ66" s="1923" t="s">
        <v>840</v>
      </c>
      <c r="CA66" s="1923" t="s">
        <v>840</v>
      </c>
      <c r="CB66" s="1923" t="s">
        <v>840</v>
      </c>
      <c r="CC66" s="1923" t="s">
        <v>840</v>
      </c>
      <c r="CD66" s="1923" t="s">
        <v>840</v>
      </c>
      <c r="CE66" s="1923" t="s">
        <v>840</v>
      </c>
      <c r="CF66" s="1923" t="s">
        <v>840</v>
      </c>
      <c r="CG66" s="1923" t="s">
        <v>840</v>
      </c>
      <c r="CH66" s="1923" t="s">
        <v>840</v>
      </c>
      <c r="CI66" s="1923" t="s">
        <v>840</v>
      </c>
      <c r="CJ66" s="1923" t="s">
        <v>840</v>
      </c>
      <c r="CK66" s="1923" t="s">
        <v>840</v>
      </c>
      <c r="CL66" s="1923" t="s">
        <v>840</v>
      </c>
      <c r="CM66" s="1923" t="s">
        <v>840</v>
      </c>
      <c r="CN66" s="1923" t="s">
        <v>840</v>
      </c>
      <c r="CO66" s="1923" t="s">
        <v>840</v>
      </c>
      <c r="CP66" s="1923" t="s">
        <v>840</v>
      </c>
      <c r="CQ66" s="1923" t="s">
        <v>840</v>
      </c>
      <c r="CR66" s="1923" t="s">
        <v>840</v>
      </c>
      <c r="CS66" s="1923" t="s">
        <v>840</v>
      </c>
      <c r="CT66" s="1923" t="s">
        <v>840</v>
      </c>
      <c r="CU66" s="1923" t="s">
        <v>840</v>
      </c>
      <c r="CV66" s="1923" t="s">
        <v>840</v>
      </c>
      <c r="CW66" s="1923" t="s">
        <v>840</v>
      </c>
      <c r="CX66" s="201" t="str">
        <f>FHD_NOTE_P_30</f>
        <v/>
      </c>
      <c r="CY66" s="1481" t="str">
        <f t="shared" si="15"/>
        <v/>
      </c>
      <c r="CZ66" s="1481">
        <f>IFERROR(MATCH("есть",B_FHD_FLAG_INDEX_1,0),0)</f>
        <v>0</v>
      </c>
      <c r="DA66" s="1481"/>
      <c r="DF66" s="1481"/>
      <c r="DI66" s="441"/>
      <c r="DO66" s="1477"/>
      <c r="DP66" s="1477"/>
      <c r="DQ66" s="1477"/>
      <c r="DR66" s="1477"/>
      <c r="DS66" s="1477"/>
    </row>
    <row r="67" spans="1:123" s="1903" customFormat="1" ht="22.5" hidden="1" customHeight="1">
      <c r="A67" s="3605" t="s">
        <v>841</v>
      </c>
      <c r="C67" s="1481"/>
      <c r="D67" s="1483"/>
      <c r="E67" s="443" t="str">
        <f>FHD_NUM_P_31</f>
        <v/>
      </c>
      <c r="F67" s="1379" t="str">
        <f>FHD_P_31</f>
        <v/>
      </c>
      <c r="G67" s="1717" t="s">
        <v>817</v>
      </c>
      <c r="H67" s="454"/>
      <c r="I67" s="454"/>
      <c r="J67" s="1848"/>
      <c r="K67" s="1848"/>
      <c r="L67" s="1848"/>
      <c r="M67" s="1848"/>
      <c r="N67" s="1848"/>
      <c r="O67" s="1848"/>
      <c r="P67" s="1848"/>
      <c r="Q67" s="1848"/>
      <c r="R67" s="1848"/>
      <c r="S67" s="1848"/>
      <c r="T67" s="1848"/>
      <c r="U67" s="1848"/>
      <c r="V67" s="1848"/>
      <c r="W67" s="1848"/>
      <c r="X67" s="1848"/>
      <c r="Y67" s="1848"/>
      <c r="Z67" s="1848"/>
      <c r="AA67" s="1848"/>
      <c r="AB67" s="1848"/>
      <c r="AC67" s="1848"/>
      <c r="AD67" s="1848"/>
      <c r="AE67" s="1848"/>
      <c r="AF67" s="1848"/>
      <c r="AG67" s="1848"/>
      <c r="AH67" s="1848"/>
      <c r="AI67" s="1848"/>
      <c r="AJ67" s="1848"/>
      <c r="AK67" s="1848"/>
      <c r="AL67" s="1848"/>
      <c r="AM67" s="1848"/>
      <c r="AN67" s="1848"/>
      <c r="AO67" s="1848"/>
      <c r="AP67" s="1848"/>
      <c r="AQ67" s="1848"/>
      <c r="AR67" s="1848"/>
      <c r="AS67" s="1848"/>
      <c r="AT67" s="1848"/>
      <c r="AU67" s="1848"/>
      <c r="AV67" s="1848"/>
      <c r="AW67" s="1848"/>
      <c r="AX67" s="1848"/>
      <c r="AY67" s="1848"/>
      <c r="AZ67" s="1848"/>
      <c r="BA67" s="1848"/>
      <c r="BB67" s="1848"/>
      <c r="BC67" s="1848"/>
      <c r="BD67" s="1848"/>
      <c r="BE67" s="1848"/>
      <c r="BF67" s="1848"/>
      <c r="BG67" s="1848"/>
      <c r="BH67" s="1848"/>
      <c r="BI67" s="1848"/>
      <c r="BJ67" s="1848"/>
      <c r="BK67" s="1848"/>
      <c r="BL67" s="1848"/>
      <c r="BM67" s="1848"/>
      <c r="BN67" s="1848"/>
      <c r="BO67" s="1848"/>
      <c r="BP67" s="1848"/>
      <c r="BQ67" s="1848"/>
      <c r="BR67" s="1848"/>
      <c r="BS67" s="1848"/>
      <c r="BT67" s="1848"/>
      <c r="BU67" s="1848"/>
      <c r="BV67" s="1848"/>
      <c r="BW67" s="1848"/>
      <c r="BX67" s="1848"/>
      <c r="BY67" s="1848"/>
      <c r="BZ67" s="1848"/>
      <c r="CA67" s="1848"/>
      <c r="CB67" s="1848"/>
      <c r="CC67" s="1848"/>
      <c r="CD67" s="1848"/>
      <c r="CE67" s="1848"/>
      <c r="CF67" s="1848"/>
      <c r="CG67" s="1848"/>
      <c r="CH67" s="1848"/>
      <c r="CI67" s="1848"/>
      <c r="CJ67" s="1848"/>
      <c r="CK67" s="1848"/>
      <c r="CL67" s="1848"/>
      <c r="CM67" s="1848"/>
      <c r="CN67" s="1848"/>
      <c r="CO67" s="1848"/>
      <c r="CP67" s="1848"/>
      <c r="CQ67" s="1848"/>
      <c r="CR67" s="1848"/>
      <c r="CS67" s="1848"/>
      <c r="CT67" s="1848"/>
      <c r="CU67" s="1848"/>
      <c r="CV67" s="1848"/>
      <c r="CW67" s="1848"/>
      <c r="CX67" s="201" t="str">
        <f>FHD_NOTE_P_31</f>
        <v/>
      </c>
      <c r="CY67" s="1481" t="str">
        <f t="shared" si="15"/>
        <v/>
      </c>
      <c r="CZ67" s="1481"/>
      <c r="DA67" s="1481"/>
      <c r="DF67" s="1481"/>
      <c r="DI67" s="441"/>
      <c r="DO67" s="1477"/>
      <c r="DP67" s="1477"/>
      <c r="DQ67" s="1477"/>
      <c r="DR67" s="1477"/>
      <c r="DS67" s="1477"/>
    </row>
    <row r="68" spans="1:123" s="1903" customFormat="1" ht="45" hidden="1" customHeight="1">
      <c r="A68" s="3605"/>
      <c r="C68" s="1481"/>
      <c r="D68" s="1483"/>
      <c r="E68" s="443" t="str">
        <f>FHD_NUM_P_32</f>
        <v/>
      </c>
      <c r="F68" s="1495" t="str">
        <f>FHD_P_32</f>
        <v/>
      </c>
      <c r="G68" s="1717" t="s">
        <v>566</v>
      </c>
      <c r="H68" s="1494" t="s">
        <v>840</v>
      </c>
      <c r="I68" s="1494" t="s">
        <v>840</v>
      </c>
      <c r="J68" s="1923" t="s">
        <v>840</v>
      </c>
      <c r="K68" s="1923" t="s">
        <v>840</v>
      </c>
      <c r="L68" s="1923" t="s">
        <v>840</v>
      </c>
      <c r="M68" s="1923" t="s">
        <v>840</v>
      </c>
      <c r="N68" s="1923" t="s">
        <v>840</v>
      </c>
      <c r="O68" s="1923" t="s">
        <v>840</v>
      </c>
      <c r="P68" s="1923" t="s">
        <v>840</v>
      </c>
      <c r="Q68" s="1923" t="s">
        <v>840</v>
      </c>
      <c r="R68" s="1923" t="s">
        <v>840</v>
      </c>
      <c r="S68" s="1923" t="s">
        <v>840</v>
      </c>
      <c r="T68" s="1923" t="s">
        <v>840</v>
      </c>
      <c r="U68" s="1923" t="s">
        <v>840</v>
      </c>
      <c r="V68" s="1923" t="s">
        <v>840</v>
      </c>
      <c r="W68" s="1923" t="s">
        <v>840</v>
      </c>
      <c r="X68" s="1923" t="s">
        <v>840</v>
      </c>
      <c r="Y68" s="1923" t="s">
        <v>840</v>
      </c>
      <c r="Z68" s="1923" t="s">
        <v>840</v>
      </c>
      <c r="AA68" s="1923" t="s">
        <v>840</v>
      </c>
      <c r="AB68" s="1923" t="s">
        <v>840</v>
      </c>
      <c r="AC68" s="1923" t="s">
        <v>840</v>
      </c>
      <c r="AD68" s="1923" t="s">
        <v>840</v>
      </c>
      <c r="AE68" s="1923" t="s">
        <v>840</v>
      </c>
      <c r="AF68" s="1923" t="s">
        <v>840</v>
      </c>
      <c r="AG68" s="1923" t="s">
        <v>840</v>
      </c>
      <c r="AH68" s="1923" t="s">
        <v>840</v>
      </c>
      <c r="AI68" s="1923" t="s">
        <v>840</v>
      </c>
      <c r="AJ68" s="1923" t="s">
        <v>840</v>
      </c>
      <c r="AK68" s="1923" t="s">
        <v>840</v>
      </c>
      <c r="AL68" s="1923" t="s">
        <v>840</v>
      </c>
      <c r="AM68" s="1923" t="s">
        <v>840</v>
      </c>
      <c r="AN68" s="1923" t="s">
        <v>840</v>
      </c>
      <c r="AO68" s="1923" t="s">
        <v>840</v>
      </c>
      <c r="AP68" s="1923" t="s">
        <v>840</v>
      </c>
      <c r="AQ68" s="1923" t="s">
        <v>840</v>
      </c>
      <c r="AR68" s="1923" t="s">
        <v>840</v>
      </c>
      <c r="AS68" s="1923" t="s">
        <v>840</v>
      </c>
      <c r="AT68" s="1923" t="s">
        <v>840</v>
      </c>
      <c r="AU68" s="1923" t="s">
        <v>840</v>
      </c>
      <c r="AV68" s="1923" t="s">
        <v>840</v>
      </c>
      <c r="AW68" s="1923" t="s">
        <v>840</v>
      </c>
      <c r="AX68" s="1923" t="s">
        <v>840</v>
      </c>
      <c r="AY68" s="1923" t="s">
        <v>840</v>
      </c>
      <c r="AZ68" s="1923" t="s">
        <v>840</v>
      </c>
      <c r="BA68" s="1923" t="s">
        <v>840</v>
      </c>
      <c r="BB68" s="1923" t="s">
        <v>840</v>
      </c>
      <c r="BC68" s="1923" t="s">
        <v>840</v>
      </c>
      <c r="BD68" s="1923" t="s">
        <v>840</v>
      </c>
      <c r="BE68" s="1923" t="s">
        <v>840</v>
      </c>
      <c r="BF68" s="1923" t="s">
        <v>840</v>
      </c>
      <c r="BG68" s="1923" t="s">
        <v>840</v>
      </c>
      <c r="BH68" s="1923" t="s">
        <v>840</v>
      </c>
      <c r="BI68" s="1923" t="s">
        <v>840</v>
      </c>
      <c r="BJ68" s="1923" t="s">
        <v>840</v>
      </c>
      <c r="BK68" s="1923" t="s">
        <v>840</v>
      </c>
      <c r="BL68" s="1923" t="s">
        <v>840</v>
      </c>
      <c r="BM68" s="1923" t="s">
        <v>840</v>
      </c>
      <c r="BN68" s="1923" t="s">
        <v>840</v>
      </c>
      <c r="BO68" s="1923" t="s">
        <v>840</v>
      </c>
      <c r="BP68" s="1923" t="s">
        <v>840</v>
      </c>
      <c r="BQ68" s="1923" t="s">
        <v>840</v>
      </c>
      <c r="BR68" s="1923" t="s">
        <v>840</v>
      </c>
      <c r="BS68" s="1923" t="s">
        <v>840</v>
      </c>
      <c r="BT68" s="1923" t="s">
        <v>840</v>
      </c>
      <c r="BU68" s="1923" t="s">
        <v>840</v>
      </c>
      <c r="BV68" s="1923" t="s">
        <v>840</v>
      </c>
      <c r="BW68" s="1923" t="s">
        <v>840</v>
      </c>
      <c r="BX68" s="1923" t="s">
        <v>840</v>
      </c>
      <c r="BY68" s="1923" t="s">
        <v>840</v>
      </c>
      <c r="BZ68" s="1923" t="s">
        <v>840</v>
      </c>
      <c r="CA68" s="1923" t="s">
        <v>840</v>
      </c>
      <c r="CB68" s="1923" t="s">
        <v>840</v>
      </c>
      <c r="CC68" s="1923" t="s">
        <v>840</v>
      </c>
      <c r="CD68" s="1923" t="s">
        <v>840</v>
      </c>
      <c r="CE68" s="1923" t="s">
        <v>840</v>
      </c>
      <c r="CF68" s="1923" t="s">
        <v>840</v>
      </c>
      <c r="CG68" s="1923" t="s">
        <v>840</v>
      </c>
      <c r="CH68" s="1923" t="s">
        <v>840</v>
      </c>
      <c r="CI68" s="1923" t="s">
        <v>840</v>
      </c>
      <c r="CJ68" s="1923" t="s">
        <v>840</v>
      </c>
      <c r="CK68" s="1923" t="s">
        <v>840</v>
      </c>
      <c r="CL68" s="1923" t="s">
        <v>840</v>
      </c>
      <c r="CM68" s="1923" t="s">
        <v>840</v>
      </c>
      <c r="CN68" s="1923" t="s">
        <v>840</v>
      </c>
      <c r="CO68" s="1923" t="s">
        <v>840</v>
      </c>
      <c r="CP68" s="1923" t="s">
        <v>840</v>
      </c>
      <c r="CQ68" s="1923" t="s">
        <v>840</v>
      </c>
      <c r="CR68" s="1923" t="s">
        <v>840</v>
      </c>
      <c r="CS68" s="1923" t="s">
        <v>840</v>
      </c>
      <c r="CT68" s="1923" t="s">
        <v>840</v>
      </c>
      <c r="CU68" s="1923" t="s">
        <v>840</v>
      </c>
      <c r="CV68" s="1923" t="s">
        <v>840</v>
      </c>
      <c r="CW68" s="1923" t="s">
        <v>840</v>
      </c>
      <c r="CX68" s="201" t="str">
        <f>FHD_NOTE_P_32</f>
        <v/>
      </c>
      <c r="CY68" s="1481" t="str">
        <f t="shared" si="15"/>
        <v/>
      </c>
      <c r="CZ68" s="1481">
        <f>IFERROR(MATCH("есть",B_FHD_FLAG_INDEX_2,0),0)</f>
        <v>0</v>
      </c>
      <c r="DA68" s="1481"/>
      <c r="DF68" s="1481"/>
      <c r="DI68" s="441"/>
      <c r="DO68" s="1477"/>
      <c r="DP68" s="1477"/>
      <c r="DQ68" s="1477"/>
      <c r="DR68" s="1477"/>
      <c r="DS68" s="1477"/>
    </row>
    <row r="69" spans="1:123" s="1903" customFormat="1" ht="45" customHeight="1">
      <c r="A69" s="858"/>
      <c r="C69" s="1481"/>
      <c r="D69" s="1483"/>
      <c r="E69" s="443" t="str">
        <f>FHD_NUM_P_33</f>
        <v>2.13</v>
      </c>
      <c r="F69" s="137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18" t="s">
        <v>817</v>
      </c>
      <c r="H69" s="476">
        <f t="shared" ref="H69:AM69" si="19">SUM(H70:H71)</f>
        <v>0</v>
      </c>
      <c r="I69" s="476">
        <f t="shared" si="19"/>
        <v>0</v>
      </c>
      <c r="J69" s="1853">
        <f t="shared" si="19"/>
        <v>0</v>
      </c>
      <c r="K69" s="1853">
        <f t="shared" si="19"/>
        <v>0</v>
      </c>
      <c r="L69" s="1853">
        <f t="shared" si="19"/>
        <v>0</v>
      </c>
      <c r="M69" s="1853">
        <f t="shared" si="19"/>
        <v>0</v>
      </c>
      <c r="N69" s="1853">
        <f t="shared" si="19"/>
        <v>0</v>
      </c>
      <c r="O69" s="1853">
        <f t="shared" si="19"/>
        <v>0</v>
      </c>
      <c r="P69" s="1853">
        <f t="shared" si="19"/>
        <v>0</v>
      </c>
      <c r="Q69" s="1853">
        <f t="shared" si="19"/>
        <v>0</v>
      </c>
      <c r="R69" s="1853">
        <f t="shared" si="19"/>
        <v>0</v>
      </c>
      <c r="S69" s="1853">
        <f t="shared" si="19"/>
        <v>0</v>
      </c>
      <c r="T69" s="1853">
        <f t="shared" si="19"/>
        <v>0</v>
      </c>
      <c r="U69" s="1853">
        <f t="shared" si="19"/>
        <v>0</v>
      </c>
      <c r="V69" s="1853">
        <f t="shared" si="19"/>
        <v>0</v>
      </c>
      <c r="W69" s="1853">
        <f t="shared" si="19"/>
        <v>0</v>
      </c>
      <c r="X69" s="1853">
        <f t="shared" si="19"/>
        <v>0</v>
      </c>
      <c r="Y69" s="1853">
        <f t="shared" si="19"/>
        <v>0</v>
      </c>
      <c r="Z69" s="1853">
        <f t="shared" si="19"/>
        <v>0</v>
      </c>
      <c r="AA69" s="1853">
        <f t="shared" si="19"/>
        <v>0</v>
      </c>
      <c r="AB69" s="1853">
        <f t="shared" si="19"/>
        <v>0</v>
      </c>
      <c r="AC69" s="1853">
        <f t="shared" si="19"/>
        <v>0</v>
      </c>
      <c r="AD69" s="1853">
        <f t="shared" si="19"/>
        <v>0</v>
      </c>
      <c r="AE69" s="1853">
        <f t="shared" si="19"/>
        <v>0</v>
      </c>
      <c r="AF69" s="1853">
        <f t="shared" si="19"/>
        <v>0</v>
      </c>
      <c r="AG69" s="1853">
        <f t="shared" si="19"/>
        <v>0</v>
      </c>
      <c r="AH69" s="1853">
        <f t="shared" si="19"/>
        <v>0</v>
      </c>
      <c r="AI69" s="1853">
        <f t="shared" si="19"/>
        <v>0</v>
      </c>
      <c r="AJ69" s="1853">
        <f t="shared" si="19"/>
        <v>0</v>
      </c>
      <c r="AK69" s="1853">
        <f t="shared" si="19"/>
        <v>0</v>
      </c>
      <c r="AL69" s="1853">
        <f t="shared" si="19"/>
        <v>0</v>
      </c>
      <c r="AM69" s="1853">
        <f t="shared" si="19"/>
        <v>0</v>
      </c>
      <c r="AN69" s="1853">
        <f t="shared" ref="AN69:BS69" si="20">SUM(AN70:AN71)</f>
        <v>0</v>
      </c>
      <c r="AO69" s="1853">
        <f t="shared" si="20"/>
        <v>0</v>
      </c>
      <c r="AP69" s="1853">
        <f t="shared" si="20"/>
        <v>0</v>
      </c>
      <c r="AQ69" s="1853">
        <f t="shared" si="20"/>
        <v>0</v>
      </c>
      <c r="AR69" s="1853">
        <f t="shared" si="20"/>
        <v>0</v>
      </c>
      <c r="AS69" s="1853">
        <f t="shared" si="20"/>
        <v>0</v>
      </c>
      <c r="AT69" s="1853">
        <f t="shared" si="20"/>
        <v>0</v>
      </c>
      <c r="AU69" s="1853">
        <f t="shared" si="20"/>
        <v>0</v>
      </c>
      <c r="AV69" s="1853">
        <f t="shared" si="20"/>
        <v>0</v>
      </c>
      <c r="AW69" s="1853">
        <f t="shared" si="20"/>
        <v>0</v>
      </c>
      <c r="AX69" s="1853">
        <f t="shared" si="20"/>
        <v>0</v>
      </c>
      <c r="AY69" s="1853">
        <f t="shared" si="20"/>
        <v>0</v>
      </c>
      <c r="AZ69" s="1853">
        <f t="shared" si="20"/>
        <v>0</v>
      </c>
      <c r="BA69" s="1853">
        <f t="shared" si="20"/>
        <v>0</v>
      </c>
      <c r="BB69" s="1853">
        <f t="shared" si="20"/>
        <v>0</v>
      </c>
      <c r="BC69" s="1853">
        <f t="shared" si="20"/>
        <v>0</v>
      </c>
      <c r="BD69" s="1853">
        <f t="shared" si="20"/>
        <v>0</v>
      </c>
      <c r="BE69" s="1853">
        <f t="shared" si="20"/>
        <v>0</v>
      </c>
      <c r="BF69" s="1853">
        <f t="shared" si="20"/>
        <v>0</v>
      </c>
      <c r="BG69" s="1853">
        <f t="shared" si="20"/>
        <v>0</v>
      </c>
      <c r="BH69" s="1853">
        <f t="shared" si="20"/>
        <v>0</v>
      </c>
      <c r="BI69" s="1853">
        <f t="shared" si="20"/>
        <v>0</v>
      </c>
      <c r="BJ69" s="1853">
        <f t="shared" si="20"/>
        <v>0</v>
      </c>
      <c r="BK69" s="1853">
        <f t="shared" si="20"/>
        <v>0</v>
      </c>
      <c r="BL69" s="1853">
        <f t="shared" si="20"/>
        <v>0</v>
      </c>
      <c r="BM69" s="1853">
        <f t="shared" si="20"/>
        <v>0</v>
      </c>
      <c r="BN69" s="1853">
        <f t="shared" si="20"/>
        <v>0</v>
      </c>
      <c r="BO69" s="1853">
        <f t="shared" si="20"/>
        <v>0</v>
      </c>
      <c r="BP69" s="1853">
        <f t="shared" si="20"/>
        <v>0</v>
      </c>
      <c r="BQ69" s="1853">
        <f t="shared" si="20"/>
        <v>0</v>
      </c>
      <c r="BR69" s="1853">
        <f t="shared" si="20"/>
        <v>0</v>
      </c>
      <c r="BS69" s="1853">
        <f t="shared" si="20"/>
        <v>0</v>
      </c>
      <c r="BT69" s="1853">
        <f t="shared" ref="BT69:CY69" si="21">SUM(BT70:BT71)</f>
        <v>0</v>
      </c>
      <c r="BU69" s="1853">
        <f t="shared" si="21"/>
        <v>0</v>
      </c>
      <c r="BV69" s="1853">
        <f t="shared" si="21"/>
        <v>0</v>
      </c>
      <c r="BW69" s="1853">
        <f t="shared" si="21"/>
        <v>0</v>
      </c>
      <c r="BX69" s="1853">
        <f t="shared" si="21"/>
        <v>0</v>
      </c>
      <c r="BY69" s="1853">
        <f t="shared" si="21"/>
        <v>0</v>
      </c>
      <c r="BZ69" s="1853">
        <f t="shared" si="21"/>
        <v>0</v>
      </c>
      <c r="CA69" s="1853">
        <f t="shared" si="21"/>
        <v>0</v>
      </c>
      <c r="CB69" s="1853">
        <f t="shared" si="21"/>
        <v>0</v>
      </c>
      <c r="CC69" s="1853">
        <f t="shared" si="21"/>
        <v>0</v>
      </c>
      <c r="CD69" s="1853">
        <f t="shared" si="21"/>
        <v>0</v>
      </c>
      <c r="CE69" s="1853">
        <f t="shared" si="21"/>
        <v>0</v>
      </c>
      <c r="CF69" s="1853">
        <f t="shared" si="21"/>
        <v>0</v>
      </c>
      <c r="CG69" s="1853">
        <f t="shared" si="21"/>
        <v>0</v>
      </c>
      <c r="CH69" s="1853">
        <f t="shared" si="21"/>
        <v>0</v>
      </c>
      <c r="CI69" s="1853">
        <f t="shared" si="21"/>
        <v>0</v>
      </c>
      <c r="CJ69" s="1853">
        <f t="shared" si="21"/>
        <v>0</v>
      </c>
      <c r="CK69" s="1853">
        <f t="shared" si="21"/>
        <v>0</v>
      </c>
      <c r="CL69" s="1853">
        <f t="shared" si="21"/>
        <v>0</v>
      </c>
      <c r="CM69" s="1853">
        <f t="shared" si="21"/>
        <v>0</v>
      </c>
      <c r="CN69" s="1853">
        <f t="shared" si="21"/>
        <v>0</v>
      </c>
      <c r="CO69" s="1853">
        <f t="shared" si="21"/>
        <v>0</v>
      </c>
      <c r="CP69" s="1853">
        <f t="shared" si="21"/>
        <v>0</v>
      </c>
      <c r="CQ69" s="1853">
        <f t="shared" si="21"/>
        <v>0</v>
      </c>
      <c r="CR69" s="1853">
        <f t="shared" si="21"/>
        <v>0</v>
      </c>
      <c r="CS69" s="1853">
        <f t="shared" si="21"/>
        <v>0</v>
      </c>
      <c r="CT69" s="1853">
        <f t="shared" si="21"/>
        <v>0</v>
      </c>
      <c r="CU69" s="1853">
        <f t="shared" si="21"/>
        <v>0</v>
      </c>
      <c r="CV69" s="1853">
        <f t="shared" si="21"/>
        <v>0</v>
      </c>
      <c r="CW69" s="1853">
        <f t="shared" si="21"/>
        <v>0</v>
      </c>
      <c r="CX69" s="201"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CY69" s="1481" t="str">
        <f t="shared" si="15"/>
        <v>p</v>
      </c>
      <c r="CZ69" s="1481"/>
      <c r="DA69" s="1481"/>
      <c r="DF69" s="1481"/>
      <c r="DI69" s="441"/>
      <c r="DO69" s="1477"/>
      <c r="DP69" s="1477"/>
      <c r="DQ69" s="1477"/>
      <c r="DR69" s="1477"/>
      <c r="DS69" s="1477"/>
    </row>
    <row r="70" spans="1:123" s="1866" customFormat="1" ht="0.75" customHeight="1">
      <c r="A70" s="1030"/>
      <c r="D70" s="445"/>
      <c r="E70" s="883" t="str">
        <f>E69&amp;".0"</f>
        <v>2.13.0</v>
      </c>
      <c r="F70" s="862"/>
      <c r="G70" s="883"/>
      <c r="H70" s="863"/>
      <c r="I70" s="863"/>
      <c r="J70" s="1854"/>
      <c r="K70" s="1854"/>
      <c r="L70" s="1854"/>
      <c r="M70" s="1854"/>
      <c r="N70" s="1854"/>
      <c r="O70" s="1854"/>
      <c r="P70" s="1854"/>
      <c r="Q70" s="1854"/>
      <c r="R70" s="1854"/>
      <c r="S70" s="1854"/>
      <c r="T70" s="1854"/>
      <c r="U70" s="1854"/>
      <c r="V70" s="1854"/>
      <c r="W70" s="1854"/>
      <c r="X70" s="1854"/>
      <c r="Y70" s="1854"/>
      <c r="Z70" s="1854"/>
      <c r="AA70" s="1854"/>
      <c r="AB70" s="1854"/>
      <c r="AC70" s="1854"/>
      <c r="AD70" s="1854"/>
      <c r="AE70" s="1854"/>
      <c r="AF70" s="1854"/>
      <c r="AG70" s="1854"/>
      <c r="AH70" s="1854"/>
      <c r="AI70" s="1854"/>
      <c r="AJ70" s="1854"/>
      <c r="AK70" s="1854"/>
      <c r="AL70" s="1854"/>
      <c r="AM70" s="1854"/>
      <c r="AN70" s="1854"/>
      <c r="AO70" s="1854"/>
      <c r="AP70" s="1854"/>
      <c r="AQ70" s="1854"/>
      <c r="AR70" s="1854"/>
      <c r="AS70" s="1854"/>
      <c r="AT70" s="1854"/>
      <c r="AU70" s="1854"/>
      <c r="AV70" s="1854"/>
      <c r="AW70" s="1854"/>
      <c r="AX70" s="1854"/>
      <c r="AY70" s="1854"/>
      <c r="AZ70" s="1854"/>
      <c r="BA70" s="1854"/>
      <c r="BB70" s="1854"/>
      <c r="BC70" s="1854"/>
      <c r="BD70" s="1854"/>
      <c r="BE70" s="1854"/>
      <c r="BF70" s="1854"/>
      <c r="BG70" s="1854"/>
      <c r="BH70" s="1854"/>
      <c r="BI70" s="1854"/>
      <c r="BJ70" s="1854"/>
      <c r="BK70" s="1854"/>
      <c r="BL70" s="1854"/>
      <c r="BM70" s="1854"/>
      <c r="BN70" s="1854"/>
      <c r="BO70" s="1854"/>
      <c r="BP70" s="1854"/>
      <c r="BQ70" s="1854"/>
      <c r="BR70" s="1854"/>
      <c r="BS70" s="1854"/>
      <c r="BT70" s="1854"/>
      <c r="BU70" s="1854"/>
      <c r="BV70" s="1854"/>
      <c r="BW70" s="1854"/>
      <c r="BX70" s="1854"/>
      <c r="BY70" s="1854"/>
      <c r="BZ70" s="1854"/>
      <c r="CA70" s="1854"/>
      <c r="CB70" s="1854"/>
      <c r="CC70" s="1854"/>
      <c r="CD70" s="1854"/>
      <c r="CE70" s="1854"/>
      <c r="CF70" s="1854"/>
      <c r="CG70" s="1854"/>
      <c r="CH70" s="1854"/>
      <c r="CI70" s="1854"/>
      <c r="CJ70" s="1854"/>
      <c r="CK70" s="1854"/>
      <c r="CL70" s="1854"/>
      <c r="CM70" s="1854"/>
      <c r="CN70" s="1854"/>
      <c r="CO70" s="1854"/>
      <c r="CP70" s="1854"/>
      <c r="CQ70" s="1854"/>
      <c r="CR70" s="1854"/>
      <c r="CS70" s="1854"/>
      <c r="CT70" s="1854"/>
      <c r="CU70" s="1854"/>
      <c r="CV70" s="1854"/>
      <c r="CW70" s="1854"/>
      <c r="CX70" s="864"/>
      <c r="CY70" s="1481" t="str">
        <f t="shared" si="15"/>
        <v/>
      </c>
    </row>
    <row r="71" spans="1:123" s="1903" customFormat="1" ht="14.25" customHeight="1">
      <c r="A71" s="858"/>
      <c r="C71" s="1481"/>
      <c r="D71" s="1478"/>
      <c r="E71" s="467"/>
      <c r="F71" s="468" t="s">
        <v>842</v>
      </c>
      <c r="G71" s="469"/>
      <c r="H71" s="470"/>
      <c r="I71" s="470"/>
      <c r="J71" s="2059"/>
      <c r="K71" s="2060"/>
      <c r="L71" s="2061"/>
      <c r="M71" s="2062"/>
      <c r="N71" s="2063"/>
      <c r="O71" s="2064"/>
      <c r="P71" s="2065"/>
      <c r="Q71" s="2066"/>
      <c r="R71" s="2067"/>
      <c r="S71" s="2068"/>
      <c r="T71" s="2069"/>
      <c r="U71" s="2070"/>
      <c r="V71" s="2071"/>
      <c r="W71" s="2072"/>
      <c r="X71" s="2073"/>
      <c r="Y71" s="2074"/>
      <c r="Z71" s="2075"/>
      <c r="AA71" s="2076"/>
      <c r="AB71" s="2077"/>
      <c r="AC71" s="2078"/>
      <c r="AD71" s="2079"/>
      <c r="AE71" s="2080"/>
      <c r="AF71" s="2081"/>
      <c r="AG71" s="2082"/>
      <c r="AH71" s="2083"/>
      <c r="AI71" s="2084"/>
      <c r="AJ71" s="2085"/>
      <c r="AK71" s="2086"/>
      <c r="AL71" s="2087"/>
      <c r="AM71" s="2088"/>
      <c r="AN71" s="2089"/>
      <c r="AO71" s="2090"/>
      <c r="AP71" s="2091"/>
      <c r="AQ71" s="2092"/>
      <c r="AR71" s="2093"/>
      <c r="AS71" s="2094"/>
      <c r="AT71" s="2095"/>
      <c r="AU71" s="2096"/>
      <c r="AV71" s="2097"/>
      <c r="AW71" s="2098"/>
      <c r="AX71" s="2099"/>
      <c r="AY71" s="2100"/>
      <c r="AZ71" s="2101"/>
      <c r="BA71" s="2102"/>
      <c r="BB71" s="2103"/>
      <c r="BC71" s="2104"/>
      <c r="BD71" s="2105"/>
      <c r="BE71" s="2106"/>
      <c r="BF71" s="2107"/>
      <c r="BG71" s="2108"/>
      <c r="BH71" s="2109"/>
      <c r="BI71" s="2110"/>
      <c r="BJ71" s="2111"/>
      <c r="BK71" s="2112"/>
      <c r="BL71" s="2113"/>
      <c r="BM71" s="2114"/>
      <c r="BN71" s="2115"/>
      <c r="BO71" s="2116"/>
      <c r="BP71" s="2117"/>
      <c r="BQ71" s="2118"/>
      <c r="BR71" s="2119"/>
      <c r="BS71" s="2120"/>
      <c r="BT71" s="2121"/>
      <c r="BU71" s="2122"/>
      <c r="BV71" s="2123"/>
      <c r="BW71" s="2124"/>
      <c r="BX71" s="2125"/>
      <c r="BY71" s="2126"/>
      <c r="BZ71" s="2127"/>
      <c r="CA71" s="2128"/>
      <c r="CB71" s="2129"/>
      <c r="CC71" s="2130"/>
      <c r="CD71" s="2131"/>
      <c r="CE71" s="2132"/>
      <c r="CF71" s="2133"/>
      <c r="CG71" s="2134"/>
      <c r="CH71" s="2135"/>
      <c r="CI71" s="2136"/>
      <c r="CJ71" s="2137"/>
      <c r="CK71" s="2138"/>
      <c r="CL71" s="2139"/>
      <c r="CM71" s="2140"/>
      <c r="CN71" s="2141"/>
      <c r="CO71" s="2142"/>
      <c r="CP71" s="2143"/>
      <c r="CQ71" s="2144"/>
      <c r="CR71" s="2145"/>
      <c r="CS71" s="2146"/>
      <c r="CT71" s="2147"/>
      <c r="CU71" s="2148"/>
      <c r="CV71" s="2149"/>
      <c r="CW71" s="2150"/>
      <c r="CX71" s="212"/>
      <c r="CY71" s="1481"/>
      <c r="CZ71" s="1481"/>
      <c r="DA71" s="1481"/>
      <c r="DF71" s="1481"/>
      <c r="DI71" s="441"/>
      <c r="DO71" s="1477"/>
      <c r="DP71" s="1477"/>
      <c r="DQ71" s="1477"/>
      <c r="DR71" s="1477"/>
      <c r="DS71" s="1477"/>
    </row>
    <row r="72" spans="1:123" s="1903" customFormat="1" ht="18.75" customHeight="1">
      <c r="A72" s="860" t="s">
        <v>843</v>
      </c>
      <c r="C72" s="1481"/>
      <c r="D72" s="1483"/>
      <c r="E72" s="443" t="str">
        <f>FHD_NUM_P_34</f>
        <v>3</v>
      </c>
      <c r="F72" s="1719" t="str">
        <f>FHD_P_34</f>
        <v>Валовая прибыль (убытки) от реализации товаров и оказания услуг по регулируемому виду деятельности</v>
      </c>
      <c r="G72" s="1717" t="s">
        <v>817</v>
      </c>
      <c r="H72" s="454"/>
      <c r="I72" s="454"/>
      <c r="J72" s="1848"/>
      <c r="K72" s="1848"/>
      <c r="L72" s="1848"/>
      <c r="M72" s="1848"/>
      <c r="N72" s="1848"/>
      <c r="O72" s="1848"/>
      <c r="P72" s="1848"/>
      <c r="Q72" s="1848"/>
      <c r="R72" s="1848"/>
      <c r="S72" s="1848"/>
      <c r="T72" s="1848"/>
      <c r="U72" s="1848"/>
      <c r="V72" s="1848"/>
      <c r="W72" s="1848"/>
      <c r="X72" s="1848"/>
      <c r="Y72" s="1848"/>
      <c r="Z72" s="1848"/>
      <c r="AA72" s="1848"/>
      <c r="AB72" s="1848"/>
      <c r="AC72" s="1848"/>
      <c r="AD72" s="1848"/>
      <c r="AE72" s="1848"/>
      <c r="AF72" s="1848"/>
      <c r="AG72" s="1848"/>
      <c r="AH72" s="1848"/>
      <c r="AI72" s="1848"/>
      <c r="AJ72" s="1848"/>
      <c r="AK72" s="1848"/>
      <c r="AL72" s="1848"/>
      <c r="AM72" s="1848"/>
      <c r="AN72" s="1848"/>
      <c r="AO72" s="1848"/>
      <c r="AP72" s="1848"/>
      <c r="AQ72" s="1848"/>
      <c r="AR72" s="1848"/>
      <c r="AS72" s="1848"/>
      <c r="AT72" s="1848"/>
      <c r="AU72" s="1848"/>
      <c r="AV72" s="1848"/>
      <c r="AW72" s="1848"/>
      <c r="AX72" s="1848"/>
      <c r="AY72" s="1848"/>
      <c r="AZ72" s="1848"/>
      <c r="BA72" s="1848"/>
      <c r="BB72" s="1848"/>
      <c r="BC72" s="1848"/>
      <c r="BD72" s="1848"/>
      <c r="BE72" s="1848"/>
      <c r="BF72" s="1848"/>
      <c r="BG72" s="1848"/>
      <c r="BH72" s="1848"/>
      <c r="BI72" s="1848"/>
      <c r="BJ72" s="1848"/>
      <c r="BK72" s="1848"/>
      <c r="BL72" s="1848"/>
      <c r="BM72" s="1848"/>
      <c r="BN72" s="1848"/>
      <c r="BO72" s="1848"/>
      <c r="BP72" s="1848"/>
      <c r="BQ72" s="1848"/>
      <c r="BR72" s="1848"/>
      <c r="BS72" s="1848"/>
      <c r="BT72" s="1848"/>
      <c r="BU72" s="1848"/>
      <c r="BV72" s="1848"/>
      <c r="BW72" s="1848"/>
      <c r="BX72" s="1848"/>
      <c r="BY72" s="1848"/>
      <c r="BZ72" s="1848"/>
      <c r="CA72" s="1848"/>
      <c r="CB72" s="1848"/>
      <c r="CC72" s="1848"/>
      <c r="CD72" s="1848"/>
      <c r="CE72" s="1848"/>
      <c r="CF72" s="1848"/>
      <c r="CG72" s="1848"/>
      <c r="CH72" s="1848"/>
      <c r="CI72" s="1848"/>
      <c r="CJ72" s="1848"/>
      <c r="CK72" s="1848"/>
      <c r="CL72" s="1848"/>
      <c r="CM72" s="1848"/>
      <c r="CN72" s="1848"/>
      <c r="CO72" s="1848"/>
      <c r="CP72" s="1848"/>
      <c r="CQ72" s="1848"/>
      <c r="CR72" s="1848"/>
      <c r="CS72" s="1848"/>
      <c r="CT72" s="1848"/>
      <c r="CU72" s="1848"/>
      <c r="CV72" s="1848"/>
      <c r="CW72" s="1848"/>
      <c r="CX72" s="201" t="str">
        <f>FHD_NOTE_P_34</f>
        <v/>
      </c>
      <c r="CY72" s="440"/>
      <c r="CZ72" s="1481"/>
      <c r="DA72" s="1481"/>
      <c r="DF72" s="1481"/>
      <c r="DI72" s="441"/>
      <c r="DO72" s="1477"/>
      <c r="DP72" s="1477"/>
      <c r="DQ72" s="1477"/>
      <c r="DR72" s="1477"/>
      <c r="DS72" s="1477"/>
    </row>
    <row r="73" spans="1:123" s="1903" customFormat="1" ht="22.5" customHeight="1">
      <c r="A73" s="858"/>
      <c r="C73" s="1481"/>
      <c r="D73" s="472"/>
      <c r="E73" s="443" t="str">
        <f>FHD_NUM_P_35</f>
        <v>4</v>
      </c>
      <c r="F73" s="1719" t="str">
        <f>FHD_P_35</f>
        <v>Чистая прибыль, полученная от регулируемого вида деятельности, в том числе:</v>
      </c>
      <c r="G73" s="1717" t="s">
        <v>817</v>
      </c>
      <c r="H73" s="454"/>
      <c r="I73" s="454"/>
      <c r="J73" s="1848"/>
      <c r="K73" s="1848"/>
      <c r="L73" s="1848"/>
      <c r="M73" s="1848"/>
      <c r="N73" s="1848"/>
      <c r="O73" s="1848"/>
      <c r="P73" s="1848"/>
      <c r="Q73" s="1848"/>
      <c r="R73" s="1848"/>
      <c r="S73" s="1848"/>
      <c r="T73" s="1848"/>
      <c r="U73" s="1848"/>
      <c r="V73" s="1848"/>
      <c r="W73" s="1848"/>
      <c r="X73" s="1848"/>
      <c r="Y73" s="1848"/>
      <c r="Z73" s="1848"/>
      <c r="AA73" s="1848"/>
      <c r="AB73" s="1848"/>
      <c r="AC73" s="1848"/>
      <c r="AD73" s="1848"/>
      <c r="AE73" s="1848"/>
      <c r="AF73" s="1848"/>
      <c r="AG73" s="1848"/>
      <c r="AH73" s="1848"/>
      <c r="AI73" s="1848"/>
      <c r="AJ73" s="1848"/>
      <c r="AK73" s="1848"/>
      <c r="AL73" s="1848"/>
      <c r="AM73" s="1848"/>
      <c r="AN73" s="1848"/>
      <c r="AO73" s="1848"/>
      <c r="AP73" s="1848"/>
      <c r="AQ73" s="1848"/>
      <c r="AR73" s="1848"/>
      <c r="AS73" s="1848"/>
      <c r="AT73" s="1848"/>
      <c r="AU73" s="1848"/>
      <c r="AV73" s="1848"/>
      <c r="AW73" s="1848"/>
      <c r="AX73" s="1848"/>
      <c r="AY73" s="1848"/>
      <c r="AZ73" s="1848"/>
      <c r="BA73" s="1848"/>
      <c r="BB73" s="1848"/>
      <c r="BC73" s="1848"/>
      <c r="BD73" s="1848"/>
      <c r="BE73" s="1848"/>
      <c r="BF73" s="1848"/>
      <c r="BG73" s="1848"/>
      <c r="BH73" s="1848"/>
      <c r="BI73" s="1848"/>
      <c r="BJ73" s="1848"/>
      <c r="BK73" s="1848"/>
      <c r="BL73" s="1848"/>
      <c r="BM73" s="1848"/>
      <c r="BN73" s="1848"/>
      <c r="BO73" s="1848"/>
      <c r="BP73" s="1848"/>
      <c r="BQ73" s="1848"/>
      <c r="BR73" s="1848"/>
      <c r="BS73" s="1848"/>
      <c r="BT73" s="1848"/>
      <c r="BU73" s="1848"/>
      <c r="BV73" s="1848"/>
      <c r="BW73" s="1848"/>
      <c r="BX73" s="1848"/>
      <c r="BY73" s="1848"/>
      <c r="BZ73" s="1848"/>
      <c r="CA73" s="1848"/>
      <c r="CB73" s="1848"/>
      <c r="CC73" s="1848"/>
      <c r="CD73" s="1848"/>
      <c r="CE73" s="1848"/>
      <c r="CF73" s="1848"/>
      <c r="CG73" s="1848"/>
      <c r="CH73" s="1848"/>
      <c r="CI73" s="1848"/>
      <c r="CJ73" s="1848"/>
      <c r="CK73" s="1848"/>
      <c r="CL73" s="1848"/>
      <c r="CM73" s="1848"/>
      <c r="CN73" s="1848"/>
      <c r="CO73" s="1848"/>
      <c r="CP73" s="1848"/>
      <c r="CQ73" s="1848"/>
      <c r="CR73" s="1848"/>
      <c r="CS73" s="1848"/>
      <c r="CT73" s="1848"/>
      <c r="CU73" s="1848"/>
      <c r="CV73" s="1848"/>
      <c r="CW73" s="1848"/>
      <c r="CX73" s="201" t="str">
        <f>FHD_NOTE_P_35</f>
        <v>Указывается общая сумма чистой прибыли, полученной от регулируемого вида деятельности.</v>
      </c>
      <c r="CY73" s="440"/>
      <c r="CZ73" s="1481"/>
      <c r="DA73" s="1481"/>
      <c r="DF73" s="1481"/>
      <c r="DI73" s="441"/>
      <c r="DO73" s="1477"/>
      <c r="DP73" s="1477"/>
      <c r="DQ73" s="1477"/>
      <c r="DR73" s="1477"/>
      <c r="DS73" s="1477"/>
    </row>
    <row r="74" spans="1:123" s="1903" customFormat="1" ht="33.75" customHeight="1">
      <c r="A74" s="858"/>
      <c r="C74" s="1481"/>
      <c r="D74" s="1483"/>
      <c r="E74" s="443" t="str">
        <f>FHD_NUM_P_36</f>
        <v>4.1</v>
      </c>
      <c r="F74" s="137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17" t="s">
        <v>817</v>
      </c>
      <c r="H74" s="454"/>
      <c r="I74" s="454"/>
      <c r="J74" s="1848"/>
      <c r="K74" s="1848"/>
      <c r="L74" s="1848"/>
      <c r="M74" s="1848"/>
      <c r="N74" s="1848"/>
      <c r="O74" s="1848"/>
      <c r="P74" s="1848"/>
      <c r="Q74" s="1848"/>
      <c r="R74" s="1848"/>
      <c r="S74" s="1848"/>
      <c r="T74" s="1848"/>
      <c r="U74" s="1848"/>
      <c r="V74" s="1848"/>
      <c r="W74" s="1848"/>
      <c r="X74" s="1848"/>
      <c r="Y74" s="1848"/>
      <c r="Z74" s="1848"/>
      <c r="AA74" s="1848"/>
      <c r="AB74" s="1848"/>
      <c r="AC74" s="1848"/>
      <c r="AD74" s="1848"/>
      <c r="AE74" s="1848"/>
      <c r="AF74" s="1848"/>
      <c r="AG74" s="1848"/>
      <c r="AH74" s="1848"/>
      <c r="AI74" s="1848"/>
      <c r="AJ74" s="1848"/>
      <c r="AK74" s="1848"/>
      <c r="AL74" s="1848"/>
      <c r="AM74" s="1848"/>
      <c r="AN74" s="1848"/>
      <c r="AO74" s="1848"/>
      <c r="AP74" s="1848"/>
      <c r="AQ74" s="1848"/>
      <c r="AR74" s="1848"/>
      <c r="AS74" s="1848"/>
      <c r="AT74" s="1848"/>
      <c r="AU74" s="1848"/>
      <c r="AV74" s="1848"/>
      <c r="AW74" s="1848"/>
      <c r="AX74" s="1848"/>
      <c r="AY74" s="1848"/>
      <c r="AZ74" s="1848"/>
      <c r="BA74" s="1848"/>
      <c r="BB74" s="1848"/>
      <c r="BC74" s="1848"/>
      <c r="BD74" s="1848"/>
      <c r="BE74" s="1848"/>
      <c r="BF74" s="1848"/>
      <c r="BG74" s="1848"/>
      <c r="BH74" s="1848"/>
      <c r="BI74" s="1848"/>
      <c r="BJ74" s="1848"/>
      <c r="BK74" s="1848"/>
      <c r="BL74" s="1848"/>
      <c r="BM74" s="1848"/>
      <c r="BN74" s="1848"/>
      <c r="BO74" s="1848"/>
      <c r="BP74" s="1848"/>
      <c r="BQ74" s="1848"/>
      <c r="BR74" s="1848"/>
      <c r="BS74" s="1848"/>
      <c r="BT74" s="1848"/>
      <c r="BU74" s="1848"/>
      <c r="BV74" s="1848"/>
      <c r="BW74" s="1848"/>
      <c r="BX74" s="1848"/>
      <c r="BY74" s="1848"/>
      <c r="BZ74" s="1848"/>
      <c r="CA74" s="1848"/>
      <c r="CB74" s="1848"/>
      <c r="CC74" s="1848"/>
      <c r="CD74" s="1848"/>
      <c r="CE74" s="1848"/>
      <c r="CF74" s="1848"/>
      <c r="CG74" s="1848"/>
      <c r="CH74" s="1848"/>
      <c r="CI74" s="1848"/>
      <c r="CJ74" s="1848"/>
      <c r="CK74" s="1848"/>
      <c r="CL74" s="1848"/>
      <c r="CM74" s="1848"/>
      <c r="CN74" s="1848"/>
      <c r="CO74" s="1848"/>
      <c r="CP74" s="1848"/>
      <c r="CQ74" s="1848"/>
      <c r="CR74" s="1848"/>
      <c r="CS74" s="1848"/>
      <c r="CT74" s="1848"/>
      <c r="CU74" s="1848"/>
      <c r="CV74" s="1848"/>
      <c r="CW74" s="1848"/>
      <c r="CX74" s="201" t="str">
        <f>FHD_NOTE_P_36</f>
        <v/>
      </c>
      <c r="CY74" s="440"/>
      <c r="CZ74" s="1481"/>
      <c r="DA74" s="1481"/>
      <c r="DF74" s="1481"/>
      <c r="DI74" s="441"/>
      <c r="DO74" s="1477"/>
      <c r="DP74" s="1477"/>
      <c r="DQ74" s="1477"/>
      <c r="DR74" s="1477"/>
      <c r="DS74" s="1477"/>
    </row>
    <row r="75" spans="1:123" s="1903" customFormat="1" ht="18.75" customHeight="1">
      <c r="A75" s="858"/>
      <c r="C75" s="1481"/>
      <c r="D75" s="1483"/>
      <c r="E75" s="443" t="str">
        <f>FHD_NUM_P_37</f>
        <v>5</v>
      </c>
      <c r="F75" s="1719" t="str">
        <f>FHD_P_37</f>
        <v>Изменение стоимости основных фондов, в том числе:</v>
      </c>
      <c r="G75" s="1717" t="s">
        <v>817</v>
      </c>
      <c r="H75" s="454"/>
      <c r="I75" s="454"/>
      <c r="J75" s="1848"/>
      <c r="K75" s="1848"/>
      <c r="L75" s="1848"/>
      <c r="M75" s="1848"/>
      <c r="N75" s="1848"/>
      <c r="O75" s="1848"/>
      <c r="P75" s="1848"/>
      <c r="Q75" s="1848"/>
      <c r="R75" s="1848"/>
      <c r="S75" s="1848"/>
      <c r="T75" s="1848"/>
      <c r="U75" s="1848"/>
      <c r="V75" s="1848"/>
      <c r="W75" s="1848"/>
      <c r="X75" s="1848"/>
      <c r="Y75" s="1848"/>
      <c r="Z75" s="1848"/>
      <c r="AA75" s="1848"/>
      <c r="AB75" s="1848"/>
      <c r="AC75" s="1848"/>
      <c r="AD75" s="1848"/>
      <c r="AE75" s="1848"/>
      <c r="AF75" s="1848"/>
      <c r="AG75" s="1848"/>
      <c r="AH75" s="1848"/>
      <c r="AI75" s="1848"/>
      <c r="AJ75" s="1848"/>
      <c r="AK75" s="1848"/>
      <c r="AL75" s="1848"/>
      <c r="AM75" s="1848"/>
      <c r="AN75" s="1848"/>
      <c r="AO75" s="1848"/>
      <c r="AP75" s="1848"/>
      <c r="AQ75" s="1848"/>
      <c r="AR75" s="1848"/>
      <c r="AS75" s="1848"/>
      <c r="AT75" s="1848"/>
      <c r="AU75" s="1848"/>
      <c r="AV75" s="1848"/>
      <c r="AW75" s="1848"/>
      <c r="AX75" s="1848"/>
      <c r="AY75" s="1848"/>
      <c r="AZ75" s="1848"/>
      <c r="BA75" s="1848"/>
      <c r="BB75" s="1848"/>
      <c r="BC75" s="1848"/>
      <c r="BD75" s="1848"/>
      <c r="BE75" s="1848"/>
      <c r="BF75" s="1848"/>
      <c r="BG75" s="1848"/>
      <c r="BH75" s="1848"/>
      <c r="BI75" s="1848"/>
      <c r="BJ75" s="1848"/>
      <c r="BK75" s="1848"/>
      <c r="BL75" s="1848"/>
      <c r="BM75" s="1848"/>
      <c r="BN75" s="1848"/>
      <c r="BO75" s="1848"/>
      <c r="BP75" s="1848"/>
      <c r="BQ75" s="1848"/>
      <c r="BR75" s="1848"/>
      <c r="BS75" s="1848"/>
      <c r="BT75" s="1848"/>
      <c r="BU75" s="1848"/>
      <c r="BV75" s="1848"/>
      <c r="BW75" s="1848"/>
      <c r="BX75" s="1848"/>
      <c r="BY75" s="1848"/>
      <c r="BZ75" s="1848"/>
      <c r="CA75" s="1848"/>
      <c r="CB75" s="1848"/>
      <c r="CC75" s="1848"/>
      <c r="CD75" s="1848"/>
      <c r="CE75" s="1848"/>
      <c r="CF75" s="1848"/>
      <c r="CG75" s="1848"/>
      <c r="CH75" s="1848"/>
      <c r="CI75" s="1848"/>
      <c r="CJ75" s="1848"/>
      <c r="CK75" s="1848"/>
      <c r="CL75" s="1848"/>
      <c r="CM75" s="1848"/>
      <c r="CN75" s="1848"/>
      <c r="CO75" s="1848"/>
      <c r="CP75" s="1848"/>
      <c r="CQ75" s="1848"/>
      <c r="CR75" s="1848"/>
      <c r="CS75" s="1848"/>
      <c r="CT75" s="1848"/>
      <c r="CU75" s="1848"/>
      <c r="CV75" s="1848"/>
      <c r="CW75" s="1848"/>
      <c r="CX75" s="201" t="str">
        <f>FHD_NOTE_P_37</f>
        <v>Указывается общее изменение стоимости основных фондов.</v>
      </c>
      <c r="CY75" s="440"/>
      <c r="CZ75" s="1481"/>
      <c r="DA75" s="1481"/>
      <c r="DF75" s="1481"/>
      <c r="DI75" s="441"/>
      <c r="DO75" s="1477"/>
      <c r="DP75" s="1477"/>
      <c r="DQ75" s="1477"/>
      <c r="DR75" s="1477"/>
      <c r="DS75" s="1477"/>
    </row>
    <row r="76" spans="1:123" s="1903" customFormat="1" ht="22.5" customHeight="1">
      <c r="A76" s="858"/>
      <c r="C76" s="1481"/>
      <c r="D76" s="1483"/>
      <c r="E76" s="443" t="str">
        <f>FHD_NUM_P_38</f>
        <v>5.1</v>
      </c>
      <c r="F76" s="1379" t="str">
        <f>FHD_P_38</f>
        <v>Изменение стоимости основных фондов за счет:</v>
      </c>
      <c r="G76" s="1717" t="s">
        <v>817</v>
      </c>
      <c r="H76" s="454"/>
      <c r="I76" s="454"/>
      <c r="J76" s="1848"/>
      <c r="K76" s="1848"/>
      <c r="L76" s="1848"/>
      <c r="M76" s="1848"/>
      <c r="N76" s="1848"/>
      <c r="O76" s="1848"/>
      <c r="P76" s="1848"/>
      <c r="Q76" s="1848"/>
      <c r="R76" s="1848"/>
      <c r="S76" s="1848"/>
      <c r="T76" s="1848"/>
      <c r="U76" s="1848"/>
      <c r="V76" s="1848"/>
      <c r="W76" s="1848"/>
      <c r="X76" s="1848"/>
      <c r="Y76" s="1848"/>
      <c r="Z76" s="1848"/>
      <c r="AA76" s="1848"/>
      <c r="AB76" s="1848"/>
      <c r="AC76" s="1848"/>
      <c r="AD76" s="1848"/>
      <c r="AE76" s="1848"/>
      <c r="AF76" s="1848"/>
      <c r="AG76" s="1848"/>
      <c r="AH76" s="1848"/>
      <c r="AI76" s="1848"/>
      <c r="AJ76" s="1848"/>
      <c r="AK76" s="1848"/>
      <c r="AL76" s="1848"/>
      <c r="AM76" s="1848"/>
      <c r="AN76" s="1848"/>
      <c r="AO76" s="1848"/>
      <c r="AP76" s="1848"/>
      <c r="AQ76" s="1848"/>
      <c r="AR76" s="1848"/>
      <c r="AS76" s="1848"/>
      <c r="AT76" s="1848"/>
      <c r="AU76" s="1848"/>
      <c r="AV76" s="1848"/>
      <c r="AW76" s="1848"/>
      <c r="AX76" s="1848"/>
      <c r="AY76" s="1848"/>
      <c r="AZ76" s="1848"/>
      <c r="BA76" s="1848"/>
      <c r="BB76" s="1848"/>
      <c r="BC76" s="1848"/>
      <c r="BD76" s="1848"/>
      <c r="BE76" s="1848"/>
      <c r="BF76" s="1848"/>
      <c r="BG76" s="1848"/>
      <c r="BH76" s="1848"/>
      <c r="BI76" s="1848"/>
      <c r="BJ76" s="1848"/>
      <c r="BK76" s="1848"/>
      <c r="BL76" s="1848"/>
      <c r="BM76" s="1848"/>
      <c r="BN76" s="1848"/>
      <c r="BO76" s="1848"/>
      <c r="BP76" s="1848"/>
      <c r="BQ76" s="1848"/>
      <c r="BR76" s="1848"/>
      <c r="BS76" s="1848"/>
      <c r="BT76" s="1848"/>
      <c r="BU76" s="1848"/>
      <c r="BV76" s="1848"/>
      <c r="BW76" s="1848"/>
      <c r="BX76" s="1848"/>
      <c r="BY76" s="1848"/>
      <c r="BZ76" s="1848"/>
      <c r="CA76" s="1848"/>
      <c r="CB76" s="1848"/>
      <c r="CC76" s="1848"/>
      <c r="CD76" s="1848"/>
      <c r="CE76" s="1848"/>
      <c r="CF76" s="1848"/>
      <c r="CG76" s="1848"/>
      <c r="CH76" s="1848"/>
      <c r="CI76" s="1848"/>
      <c r="CJ76" s="1848"/>
      <c r="CK76" s="1848"/>
      <c r="CL76" s="1848"/>
      <c r="CM76" s="1848"/>
      <c r="CN76" s="1848"/>
      <c r="CO76" s="1848"/>
      <c r="CP76" s="1848"/>
      <c r="CQ76" s="1848"/>
      <c r="CR76" s="1848"/>
      <c r="CS76" s="1848"/>
      <c r="CT76" s="1848"/>
      <c r="CU76" s="1848"/>
      <c r="CV76" s="1848"/>
      <c r="CW76" s="1848"/>
      <c r="CX76" s="201" t="str">
        <f>FHD_NOTE_P_38</f>
        <v>Указываются общее изменение стоимости основных фондов за счет их ввода в эксплуатацию и вывода из эксплуатации.</v>
      </c>
      <c r="CY76" s="440"/>
      <c r="CZ76" s="1481"/>
      <c r="DA76" s="1481"/>
      <c r="DF76" s="1481"/>
      <c r="DI76" s="441"/>
      <c r="DO76" s="1477"/>
      <c r="DP76" s="1477"/>
      <c r="DQ76" s="1477"/>
      <c r="DR76" s="1477"/>
      <c r="DS76" s="1477"/>
    </row>
    <row r="77" spans="1:123" s="1903" customFormat="1" ht="22.5" customHeight="1">
      <c r="A77" s="858"/>
      <c r="C77" s="1481"/>
      <c r="D77" s="1483"/>
      <c r="E77" s="443" t="str">
        <f>FHD_NUM_P_39</f>
        <v>5.1.1</v>
      </c>
      <c r="F77" s="1495" t="str">
        <f>FHD_P_39</f>
        <v>Изменения стоимости основных фондов за счет их ввода в эксплуатацию</v>
      </c>
      <c r="G77" s="1717" t="s">
        <v>817</v>
      </c>
      <c r="H77" s="454"/>
      <c r="I77" s="454"/>
      <c r="J77" s="1848"/>
      <c r="K77" s="1848"/>
      <c r="L77" s="1848"/>
      <c r="M77" s="1848"/>
      <c r="N77" s="1848"/>
      <c r="O77" s="1848"/>
      <c r="P77" s="1848"/>
      <c r="Q77" s="1848"/>
      <c r="R77" s="1848"/>
      <c r="S77" s="1848"/>
      <c r="T77" s="1848"/>
      <c r="U77" s="1848"/>
      <c r="V77" s="1848"/>
      <c r="W77" s="1848"/>
      <c r="X77" s="1848"/>
      <c r="Y77" s="1848"/>
      <c r="Z77" s="1848"/>
      <c r="AA77" s="1848"/>
      <c r="AB77" s="1848"/>
      <c r="AC77" s="1848"/>
      <c r="AD77" s="1848"/>
      <c r="AE77" s="1848"/>
      <c r="AF77" s="1848"/>
      <c r="AG77" s="1848"/>
      <c r="AH77" s="1848"/>
      <c r="AI77" s="1848"/>
      <c r="AJ77" s="1848"/>
      <c r="AK77" s="1848"/>
      <c r="AL77" s="1848"/>
      <c r="AM77" s="1848"/>
      <c r="AN77" s="1848"/>
      <c r="AO77" s="1848"/>
      <c r="AP77" s="1848"/>
      <c r="AQ77" s="1848"/>
      <c r="AR77" s="1848"/>
      <c r="AS77" s="1848"/>
      <c r="AT77" s="1848"/>
      <c r="AU77" s="1848"/>
      <c r="AV77" s="1848"/>
      <c r="AW77" s="1848"/>
      <c r="AX77" s="1848"/>
      <c r="AY77" s="1848"/>
      <c r="AZ77" s="1848"/>
      <c r="BA77" s="1848"/>
      <c r="BB77" s="1848"/>
      <c r="BC77" s="1848"/>
      <c r="BD77" s="1848"/>
      <c r="BE77" s="1848"/>
      <c r="BF77" s="1848"/>
      <c r="BG77" s="1848"/>
      <c r="BH77" s="1848"/>
      <c r="BI77" s="1848"/>
      <c r="BJ77" s="1848"/>
      <c r="BK77" s="1848"/>
      <c r="BL77" s="1848"/>
      <c r="BM77" s="1848"/>
      <c r="BN77" s="1848"/>
      <c r="BO77" s="1848"/>
      <c r="BP77" s="1848"/>
      <c r="BQ77" s="1848"/>
      <c r="BR77" s="1848"/>
      <c r="BS77" s="1848"/>
      <c r="BT77" s="1848"/>
      <c r="BU77" s="1848"/>
      <c r="BV77" s="1848"/>
      <c r="BW77" s="1848"/>
      <c r="BX77" s="1848"/>
      <c r="BY77" s="1848"/>
      <c r="BZ77" s="1848"/>
      <c r="CA77" s="1848"/>
      <c r="CB77" s="1848"/>
      <c r="CC77" s="1848"/>
      <c r="CD77" s="1848"/>
      <c r="CE77" s="1848"/>
      <c r="CF77" s="1848"/>
      <c r="CG77" s="1848"/>
      <c r="CH77" s="1848"/>
      <c r="CI77" s="1848"/>
      <c r="CJ77" s="1848"/>
      <c r="CK77" s="1848"/>
      <c r="CL77" s="1848"/>
      <c r="CM77" s="1848"/>
      <c r="CN77" s="1848"/>
      <c r="CO77" s="1848"/>
      <c r="CP77" s="1848"/>
      <c r="CQ77" s="1848"/>
      <c r="CR77" s="1848"/>
      <c r="CS77" s="1848"/>
      <c r="CT77" s="1848"/>
      <c r="CU77" s="1848"/>
      <c r="CV77" s="1848"/>
      <c r="CW77" s="1848"/>
      <c r="CX77" s="201" t="str">
        <f>FHD_NOTE_P_39</f>
        <v>Указываются изменение стоимости основных фондов за счет их ввода в эксплуатацию.</v>
      </c>
      <c r="CY77" s="440"/>
      <c r="CZ77" s="1481"/>
      <c r="DA77" s="1481"/>
      <c r="DF77" s="1481"/>
      <c r="DI77" s="441"/>
      <c r="DO77" s="1477"/>
      <c r="DP77" s="1477"/>
      <c r="DQ77" s="1477"/>
      <c r="DR77" s="1477"/>
      <c r="DS77" s="1477"/>
    </row>
    <row r="78" spans="1:123" s="1903" customFormat="1" ht="22.5" customHeight="1">
      <c r="A78" s="858"/>
      <c r="C78" s="1481"/>
      <c r="D78" s="1483"/>
      <c r="E78" s="443" t="str">
        <f>FHD_NUM_P_40</f>
        <v>5.1.2</v>
      </c>
      <c r="F78" s="1495" t="str">
        <f>FHD_P_40</f>
        <v>Изменения стоимости основных фондов за счет их вывода в эксплуатацию</v>
      </c>
      <c r="G78" s="1717" t="s">
        <v>817</v>
      </c>
      <c r="H78" s="454"/>
      <c r="I78" s="454"/>
      <c r="J78" s="1848"/>
      <c r="K78" s="1848"/>
      <c r="L78" s="1848"/>
      <c r="M78" s="1848"/>
      <c r="N78" s="1848"/>
      <c r="O78" s="1848"/>
      <c r="P78" s="1848"/>
      <c r="Q78" s="1848"/>
      <c r="R78" s="1848"/>
      <c r="S78" s="1848"/>
      <c r="T78" s="1848"/>
      <c r="U78" s="1848"/>
      <c r="V78" s="1848"/>
      <c r="W78" s="1848"/>
      <c r="X78" s="1848"/>
      <c r="Y78" s="1848"/>
      <c r="Z78" s="1848"/>
      <c r="AA78" s="1848"/>
      <c r="AB78" s="1848"/>
      <c r="AC78" s="1848"/>
      <c r="AD78" s="1848"/>
      <c r="AE78" s="1848"/>
      <c r="AF78" s="1848"/>
      <c r="AG78" s="1848"/>
      <c r="AH78" s="1848"/>
      <c r="AI78" s="1848"/>
      <c r="AJ78" s="1848"/>
      <c r="AK78" s="1848"/>
      <c r="AL78" s="1848"/>
      <c r="AM78" s="1848"/>
      <c r="AN78" s="1848"/>
      <c r="AO78" s="1848"/>
      <c r="AP78" s="1848"/>
      <c r="AQ78" s="1848"/>
      <c r="AR78" s="1848"/>
      <c r="AS78" s="1848"/>
      <c r="AT78" s="1848"/>
      <c r="AU78" s="1848"/>
      <c r="AV78" s="1848"/>
      <c r="AW78" s="1848"/>
      <c r="AX78" s="1848"/>
      <c r="AY78" s="1848"/>
      <c r="AZ78" s="1848"/>
      <c r="BA78" s="1848"/>
      <c r="BB78" s="1848"/>
      <c r="BC78" s="1848"/>
      <c r="BD78" s="1848"/>
      <c r="BE78" s="1848"/>
      <c r="BF78" s="1848"/>
      <c r="BG78" s="1848"/>
      <c r="BH78" s="1848"/>
      <c r="BI78" s="1848"/>
      <c r="BJ78" s="1848"/>
      <c r="BK78" s="1848"/>
      <c r="BL78" s="1848"/>
      <c r="BM78" s="1848"/>
      <c r="BN78" s="1848"/>
      <c r="BO78" s="1848"/>
      <c r="BP78" s="1848"/>
      <c r="BQ78" s="1848"/>
      <c r="BR78" s="1848"/>
      <c r="BS78" s="1848"/>
      <c r="BT78" s="1848"/>
      <c r="BU78" s="1848"/>
      <c r="BV78" s="1848"/>
      <c r="BW78" s="1848"/>
      <c r="BX78" s="1848"/>
      <c r="BY78" s="1848"/>
      <c r="BZ78" s="1848"/>
      <c r="CA78" s="1848"/>
      <c r="CB78" s="1848"/>
      <c r="CC78" s="1848"/>
      <c r="CD78" s="1848"/>
      <c r="CE78" s="1848"/>
      <c r="CF78" s="1848"/>
      <c r="CG78" s="1848"/>
      <c r="CH78" s="1848"/>
      <c r="CI78" s="1848"/>
      <c r="CJ78" s="1848"/>
      <c r="CK78" s="1848"/>
      <c r="CL78" s="1848"/>
      <c r="CM78" s="1848"/>
      <c r="CN78" s="1848"/>
      <c r="CO78" s="1848"/>
      <c r="CP78" s="1848"/>
      <c r="CQ78" s="1848"/>
      <c r="CR78" s="1848"/>
      <c r="CS78" s="1848"/>
      <c r="CT78" s="1848"/>
      <c r="CU78" s="1848"/>
      <c r="CV78" s="1848"/>
      <c r="CW78" s="1848"/>
      <c r="CX78" s="201" t="str">
        <f>FHD_NOTE_P_40</f>
        <v>Указываются изменение стоимости основных фондов за счет их вывода из эксплуатации.</v>
      </c>
      <c r="CY78" s="440"/>
      <c r="CZ78" s="1481"/>
      <c r="DA78" s="1481"/>
      <c r="DF78" s="1481"/>
      <c r="DI78" s="441"/>
      <c r="DO78" s="1477"/>
      <c r="DP78" s="1477"/>
      <c r="DQ78" s="1477"/>
      <c r="DR78" s="1477"/>
      <c r="DS78" s="1477"/>
    </row>
    <row r="79" spans="1:123" s="1903" customFormat="1" ht="22.5" customHeight="1">
      <c r="A79" s="858"/>
      <c r="C79" s="1481"/>
      <c r="D79" s="1483"/>
      <c r="E79" s="443" t="str">
        <f>FHD_NUM_P_41</f>
        <v>5.2</v>
      </c>
      <c r="F79" s="1379" t="str">
        <f>FHD_P_41</f>
        <v>Изменение стоимости основных фондов за счет их переоценки</v>
      </c>
      <c r="G79" s="1718" t="s">
        <v>817</v>
      </c>
      <c r="H79" s="454"/>
      <c r="I79" s="454"/>
      <c r="J79" s="1848"/>
      <c r="K79" s="1848"/>
      <c r="L79" s="1848"/>
      <c r="M79" s="1848"/>
      <c r="N79" s="1848"/>
      <c r="O79" s="1848"/>
      <c r="P79" s="1848"/>
      <c r="Q79" s="1848"/>
      <c r="R79" s="1848"/>
      <c r="S79" s="1848"/>
      <c r="T79" s="1848"/>
      <c r="U79" s="1848"/>
      <c r="V79" s="1848"/>
      <c r="W79" s="1848"/>
      <c r="X79" s="1848"/>
      <c r="Y79" s="1848"/>
      <c r="Z79" s="1848"/>
      <c r="AA79" s="1848"/>
      <c r="AB79" s="1848"/>
      <c r="AC79" s="1848"/>
      <c r="AD79" s="1848"/>
      <c r="AE79" s="1848"/>
      <c r="AF79" s="1848"/>
      <c r="AG79" s="1848"/>
      <c r="AH79" s="1848"/>
      <c r="AI79" s="1848"/>
      <c r="AJ79" s="1848"/>
      <c r="AK79" s="1848"/>
      <c r="AL79" s="1848"/>
      <c r="AM79" s="1848"/>
      <c r="AN79" s="1848"/>
      <c r="AO79" s="1848"/>
      <c r="AP79" s="1848"/>
      <c r="AQ79" s="1848"/>
      <c r="AR79" s="1848"/>
      <c r="AS79" s="1848"/>
      <c r="AT79" s="1848"/>
      <c r="AU79" s="1848"/>
      <c r="AV79" s="1848"/>
      <c r="AW79" s="1848"/>
      <c r="AX79" s="1848"/>
      <c r="AY79" s="1848"/>
      <c r="AZ79" s="1848"/>
      <c r="BA79" s="1848"/>
      <c r="BB79" s="1848"/>
      <c r="BC79" s="1848"/>
      <c r="BD79" s="1848"/>
      <c r="BE79" s="1848"/>
      <c r="BF79" s="1848"/>
      <c r="BG79" s="1848"/>
      <c r="BH79" s="1848"/>
      <c r="BI79" s="1848"/>
      <c r="BJ79" s="1848"/>
      <c r="BK79" s="1848"/>
      <c r="BL79" s="1848"/>
      <c r="BM79" s="1848"/>
      <c r="BN79" s="1848"/>
      <c r="BO79" s="1848"/>
      <c r="BP79" s="1848"/>
      <c r="BQ79" s="1848"/>
      <c r="BR79" s="1848"/>
      <c r="BS79" s="1848"/>
      <c r="BT79" s="1848"/>
      <c r="BU79" s="1848"/>
      <c r="BV79" s="1848"/>
      <c r="BW79" s="1848"/>
      <c r="BX79" s="1848"/>
      <c r="BY79" s="1848"/>
      <c r="BZ79" s="1848"/>
      <c r="CA79" s="1848"/>
      <c r="CB79" s="1848"/>
      <c r="CC79" s="1848"/>
      <c r="CD79" s="1848"/>
      <c r="CE79" s="1848"/>
      <c r="CF79" s="1848"/>
      <c r="CG79" s="1848"/>
      <c r="CH79" s="1848"/>
      <c r="CI79" s="1848"/>
      <c r="CJ79" s="1848"/>
      <c r="CK79" s="1848"/>
      <c r="CL79" s="1848"/>
      <c r="CM79" s="1848"/>
      <c r="CN79" s="1848"/>
      <c r="CO79" s="1848"/>
      <c r="CP79" s="1848"/>
      <c r="CQ79" s="1848"/>
      <c r="CR79" s="1848"/>
      <c r="CS79" s="1848"/>
      <c r="CT79" s="1848"/>
      <c r="CU79" s="1848"/>
      <c r="CV79" s="1848"/>
      <c r="CW79" s="1848"/>
      <c r="CX79" s="201" t="str">
        <f>FHD_NOTE_P_41</f>
        <v/>
      </c>
      <c r="CY79" s="440"/>
      <c r="CZ79" s="1481"/>
      <c r="DA79" s="1481"/>
      <c r="DF79" s="1481"/>
      <c r="DI79" s="441"/>
      <c r="DO79" s="1477"/>
      <c r="DP79" s="1477"/>
      <c r="DQ79" s="1477"/>
      <c r="DR79" s="1477"/>
      <c r="DS79" s="1477"/>
    </row>
    <row r="80" spans="1:123" s="1903" customFormat="1" ht="22.5" hidden="1" customHeight="1">
      <c r="A80" s="860" t="s">
        <v>844</v>
      </c>
      <c r="C80" s="1481"/>
      <c r="D80" s="1483"/>
      <c r="E80" s="443" t="str">
        <f>FHD_NUM_P_42</f>
        <v/>
      </c>
      <c r="F80" s="1719" t="str">
        <f>FHD_P_42</f>
        <v/>
      </c>
      <c r="G80" s="1717" t="s">
        <v>817</v>
      </c>
      <c r="H80" s="848"/>
      <c r="I80" s="454"/>
      <c r="J80" s="1855"/>
      <c r="K80" s="1855"/>
      <c r="L80" s="1855"/>
      <c r="M80" s="1855"/>
      <c r="N80" s="1855"/>
      <c r="O80" s="1855"/>
      <c r="P80" s="1855"/>
      <c r="Q80" s="1855"/>
      <c r="R80" s="1855"/>
      <c r="S80" s="1855"/>
      <c r="T80" s="1855"/>
      <c r="U80" s="1855"/>
      <c r="V80" s="1855"/>
      <c r="W80" s="1855"/>
      <c r="X80" s="1855"/>
      <c r="Y80" s="1855"/>
      <c r="Z80" s="1855"/>
      <c r="AA80" s="1855"/>
      <c r="AB80" s="1855"/>
      <c r="AC80" s="1855"/>
      <c r="AD80" s="1855"/>
      <c r="AE80" s="1855"/>
      <c r="AF80" s="1855"/>
      <c r="AG80" s="1855"/>
      <c r="AH80" s="1855"/>
      <c r="AI80" s="1855"/>
      <c r="AJ80" s="1855"/>
      <c r="AK80" s="1855"/>
      <c r="AL80" s="1855"/>
      <c r="AM80" s="1855"/>
      <c r="AN80" s="1855"/>
      <c r="AO80" s="1855"/>
      <c r="AP80" s="1855"/>
      <c r="AQ80" s="1855"/>
      <c r="AR80" s="1855"/>
      <c r="AS80" s="1855"/>
      <c r="AT80" s="1855"/>
      <c r="AU80" s="1855"/>
      <c r="AV80" s="1855"/>
      <c r="AW80" s="1855"/>
      <c r="AX80" s="1855"/>
      <c r="AY80" s="1855"/>
      <c r="AZ80" s="1855"/>
      <c r="BA80" s="1855"/>
      <c r="BB80" s="1855"/>
      <c r="BC80" s="1855"/>
      <c r="BD80" s="1855"/>
      <c r="BE80" s="1855"/>
      <c r="BF80" s="1855"/>
      <c r="BG80" s="1855"/>
      <c r="BH80" s="1855"/>
      <c r="BI80" s="1855"/>
      <c r="BJ80" s="1855"/>
      <c r="BK80" s="1855"/>
      <c r="BL80" s="1855"/>
      <c r="BM80" s="1855"/>
      <c r="BN80" s="1855"/>
      <c r="BO80" s="1855"/>
      <c r="BP80" s="1855"/>
      <c r="BQ80" s="1855"/>
      <c r="BR80" s="1855"/>
      <c r="BS80" s="1855"/>
      <c r="BT80" s="1855"/>
      <c r="BU80" s="1855"/>
      <c r="BV80" s="1855"/>
      <c r="BW80" s="1855"/>
      <c r="BX80" s="1855"/>
      <c r="BY80" s="1855"/>
      <c r="BZ80" s="1855"/>
      <c r="CA80" s="1855"/>
      <c r="CB80" s="1855"/>
      <c r="CC80" s="1855"/>
      <c r="CD80" s="1855"/>
      <c r="CE80" s="1855"/>
      <c r="CF80" s="1855"/>
      <c r="CG80" s="1855"/>
      <c r="CH80" s="1855"/>
      <c r="CI80" s="1855"/>
      <c r="CJ80" s="1855"/>
      <c r="CK80" s="1855"/>
      <c r="CL80" s="1855"/>
      <c r="CM80" s="1855"/>
      <c r="CN80" s="1855"/>
      <c r="CO80" s="1855"/>
      <c r="CP80" s="1855"/>
      <c r="CQ80" s="1855"/>
      <c r="CR80" s="1855"/>
      <c r="CS80" s="1855"/>
      <c r="CT80" s="1855"/>
      <c r="CU80" s="1855"/>
      <c r="CV80" s="1855"/>
      <c r="CW80" s="1855"/>
      <c r="CX80" s="201" t="str">
        <f>FHD_NOTE_P_42</f>
        <v/>
      </c>
      <c r="CY80" s="440"/>
      <c r="CZ80" s="1481"/>
      <c r="DA80" s="1481"/>
      <c r="DF80" s="1481"/>
      <c r="DI80" s="441"/>
      <c r="DO80" s="1477"/>
      <c r="DP80" s="1477"/>
      <c r="DQ80" s="1477"/>
      <c r="DR80" s="1477"/>
      <c r="DS80" s="1477"/>
    </row>
    <row r="81" spans="1:123" s="1903" customFormat="1" ht="33.75" customHeight="1">
      <c r="A81" s="858"/>
      <c r="C81" s="1481"/>
      <c r="D81" s="1483"/>
      <c r="E81" s="443" t="str">
        <f>FHD_NUM_P_43</f>
        <v>6</v>
      </c>
      <c r="F81" s="1719" t="str">
        <f>FHD_P_43</f>
        <v>Годовая бухгалтерская (финансовая) отчетность, включая бухгалтерский баланс и приложения к нему</v>
      </c>
      <c r="G81" s="1717" t="s">
        <v>566</v>
      </c>
      <c r="H81" s="925"/>
      <c r="I81" s="699"/>
      <c r="J81" s="1856"/>
      <c r="K81" s="1856"/>
      <c r="L81" s="1856"/>
      <c r="M81" s="1856"/>
      <c r="N81" s="1856"/>
      <c r="O81" s="1856"/>
      <c r="P81" s="1856"/>
      <c r="Q81" s="1856"/>
      <c r="R81" s="1856"/>
      <c r="S81" s="1856"/>
      <c r="T81" s="1856"/>
      <c r="U81" s="1856"/>
      <c r="V81" s="1856"/>
      <c r="W81" s="1856"/>
      <c r="X81" s="1856"/>
      <c r="Y81" s="1856"/>
      <c r="Z81" s="1856"/>
      <c r="AA81" s="1856"/>
      <c r="AB81" s="1856"/>
      <c r="AC81" s="1856"/>
      <c r="AD81" s="1856"/>
      <c r="AE81" s="1856"/>
      <c r="AF81" s="1856"/>
      <c r="AG81" s="1856"/>
      <c r="AH81" s="1856"/>
      <c r="AI81" s="1856"/>
      <c r="AJ81" s="1856"/>
      <c r="AK81" s="1856"/>
      <c r="AL81" s="1856"/>
      <c r="AM81" s="1856"/>
      <c r="AN81" s="1856"/>
      <c r="AO81" s="1856"/>
      <c r="AP81" s="1856"/>
      <c r="AQ81" s="1856"/>
      <c r="AR81" s="1856"/>
      <c r="AS81" s="1856"/>
      <c r="AT81" s="1856"/>
      <c r="AU81" s="1856"/>
      <c r="AV81" s="1856"/>
      <c r="AW81" s="1856"/>
      <c r="AX81" s="1856"/>
      <c r="AY81" s="1856"/>
      <c r="AZ81" s="1856"/>
      <c r="BA81" s="1856"/>
      <c r="BB81" s="1856"/>
      <c r="BC81" s="1856"/>
      <c r="BD81" s="1856"/>
      <c r="BE81" s="1856"/>
      <c r="BF81" s="1856"/>
      <c r="BG81" s="1856"/>
      <c r="BH81" s="1856"/>
      <c r="BI81" s="1856"/>
      <c r="BJ81" s="1856"/>
      <c r="BK81" s="1856"/>
      <c r="BL81" s="1856"/>
      <c r="BM81" s="1856"/>
      <c r="BN81" s="1856"/>
      <c r="BO81" s="1856"/>
      <c r="BP81" s="1856"/>
      <c r="BQ81" s="1856"/>
      <c r="BR81" s="1856"/>
      <c r="BS81" s="1856"/>
      <c r="BT81" s="1856"/>
      <c r="BU81" s="1856"/>
      <c r="BV81" s="1856"/>
      <c r="BW81" s="1856"/>
      <c r="BX81" s="1856"/>
      <c r="BY81" s="1856"/>
      <c r="BZ81" s="1856"/>
      <c r="CA81" s="1856"/>
      <c r="CB81" s="1856"/>
      <c r="CC81" s="1856"/>
      <c r="CD81" s="1856"/>
      <c r="CE81" s="1856"/>
      <c r="CF81" s="1856"/>
      <c r="CG81" s="1856"/>
      <c r="CH81" s="1856"/>
      <c r="CI81" s="1856"/>
      <c r="CJ81" s="1856"/>
      <c r="CK81" s="1856"/>
      <c r="CL81" s="1856"/>
      <c r="CM81" s="1856"/>
      <c r="CN81" s="1856"/>
      <c r="CO81" s="1856"/>
      <c r="CP81" s="1856"/>
      <c r="CQ81" s="1856"/>
      <c r="CR81" s="1856"/>
      <c r="CS81" s="1856"/>
      <c r="CT81" s="1856"/>
      <c r="CU81" s="1856"/>
      <c r="CV81" s="1856"/>
      <c r="CW81" s="1856"/>
      <c r="CX81" s="201"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CY81" s="440"/>
      <c r="CZ81" s="1481"/>
      <c r="DA81" s="1481"/>
      <c r="DF81" s="1481"/>
      <c r="DI81" s="441"/>
      <c r="DO81" s="1477"/>
      <c r="DP81" s="1477"/>
      <c r="DQ81" s="1477"/>
      <c r="DR81" s="1477"/>
      <c r="DS81" s="1477"/>
    </row>
    <row r="82" spans="1:123" s="1903" customFormat="1" ht="18.75" hidden="1" customHeight="1">
      <c r="A82" s="3605" t="s">
        <v>845</v>
      </c>
      <c r="C82" s="625"/>
      <c r="D82" s="623"/>
      <c r="E82" s="443" t="str">
        <f>FHD_NUM_P_44</f>
        <v/>
      </c>
      <c r="F82" s="1719" t="str">
        <f>FHD_P_44</f>
        <v/>
      </c>
      <c r="G82" s="1720" t="s">
        <v>846</v>
      </c>
      <c r="H82" s="849"/>
      <c r="I82" s="474"/>
      <c r="J82" s="1857"/>
      <c r="K82" s="1857"/>
      <c r="L82" s="1857"/>
      <c r="M82" s="1857"/>
      <c r="N82" s="1857"/>
      <c r="O82" s="1857"/>
      <c r="P82" s="1857"/>
      <c r="Q82" s="1857"/>
      <c r="R82" s="1857"/>
      <c r="S82" s="1857"/>
      <c r="T82" s="1857"/>
      <c r="U82" s="1857"/>
      <c r="V82" s="1857"/>
      <c r="W82" s="1857"/>
      <c r="X82" s="1857"/>
      <c r="Y82" s="1857"/>
      <c r="Z82" s="1857"/>
      <c r="AA82" s="1857"/>
      <c r="AB82" s="1857"/>
      <c r="AC82" s="1857"/>
      <c r="AD82" s="1857"/>
      <c r="AE82" s="1857"/>
      <c r="AF82" s="1857"/>
      <c r="AG82" s="1857"/>
      <c r="AH82" s="1857"/>
      <c r="AI82" s="1857"/>
      <c r="AJ82" s="1857"/>
      <c r="AK82" s="1857"/>
      <c r="AL82" s="1857"/>
      <c r="AM82" s="1857"/>
      <c r="AN82" s="1857"/>
      <c r="AO82" s="1857"/>
      <c r="AP82" s="1857"/>
      <c r="AQ82" s="1857"/>
      <c r="AR82" s="1857"/>
      <c r="AS82" s="1857"/>
      <c r="AT82" s="1857"/>
      <c r="AU82" s="1857"/>
      <c r="AV82" s="1857"/>
      <c r="AW82" s="1857"/>
      <c r="AX82" s="1857"/>
      <c r="AY82" s="1857"/>
      <c r="AZ82" s="1857"/>
      <c r="BA82" s="1857"/>
      <c r="BB82" s="1857"/>
      <c r="BC82" s="1857"/>
      <c r="BD82" s="1857"/>
      <c r="BE82" s="1857"/>
      <c r="BF82" s="1857"/>
      <c r="BG82" s="1857"/>
      <c r="BH82" s="1857"/>
      <c r="BI82" s="1857"/>
      <c r="BJ82" s="1857"/>
      <c r="BK82" s="1857"/>
      <c r="BL82" s="1857"/>
      <c r="BM82" s="1857"/>
      <c r="BN82" s="1857"/>
      <c r="BO82" s="1857"/>
      <c r="BP82" s="1857"/>
      <c r="BQ82" s="1857"/>
      <c r="BR82" s="1857"/>
      <c r="BS82" s="1857"/>
      <c r="BT82" s="1857"/>
      <c r="BU82" s="1857"/>
      <c r="BV82" s="1857"/>
      <c r="BW82" s="1857"/>
      <c r="BX82" s="1857"/>
      <c r="BY82" s="1857"/>
      <c r="BZ82" s="1857"/>
      <c r="CA82" s="1857"/>
      <c r="CB82" s="1857"/>
      <c r="CC82" s="1857"/>
      <c r="CD82" s="1857"/>
      <c r="CE82" s="1857"/>
      <c r="CF82" s="1857"/>
      <c r="CG82" s="1857"/>
      <c r="CH82" s="1857"/>
      <c r="CI82" s="1857"/>
      <c r="CJ82" s="1857"/>
      <c r="CK82" s="1857"/>
      <c r="CL82" s="1857"/>
      <c r="CM82" s="1857"/>
      <c r="CN82" s="1857"/>
      <c r="CO82" s="1857"/>
      <c r="CP82" s="1857"/>
      <c r="CQ82" s="1857"/>
      <c r="CR82" s="1857"/>
      <c r="CS82" s="1857"/>
      <c r="CT82" s="1857"/>
      <c r="CU82" s="1857"/>
      <c r="CV82" s="1857"/>
      <c r="CW82" s="1857"/>
      <c r="CX82" s="201" t="str">
        <f>FHD_NOTE_P_44</f>
        <v/>
      </c>
      <c r="CY82" s="624"/>
      <c r="CZ82" s="625"/>
      <c r="DA82" s="625"/>
      <c r="DF82" s="625"/>
      <c r="DI82" s="626"/>
      <c r="DO82" s="627"/>
      <c r="DP82" s="627"/>
      <c r="DQ82" s="627"/>
      <c r="DR82" s="627"/>
      <c r="DS82" s="627"/>
    </row>
    <row r="83" spans="1:123" s="1903" customFormat="1" ht="18.75" hidden="1" customHeight="1">
      <c r="A83" s="3605"/>
      <c r="C83" s="625"/>
      <c r="D83" s="623"/>
      <c r="E83" s="443" t="str">
        <f>FHD_NUM_P_45</f>
        <v/>
      </c>
      <c r="F83" s="1719" t="str">
        <f>FHD_P_45</f>
        <v/>
      </c>
      <c r="G83" s="1720" t="s">
        <v>846</v>
      </c>
      <c r="H83" s="849"/>
      <c r="I83" s="474"/>
      <c r="J83" s="1857"/>
      <c r="K83" s="1857"/>
      <c r="L83" s="1857"/>
      <c r="M83" s="1857"/>
      <c r="N83" s="1857"/>
      <c r="O83" s="1857"/>
      <c r="P83" s="1857"/>
      <c r="Q83" s="1857"/>
      <c r="R83" s="1857"/>
      <c r="S83" s="1857"/>
      <c r="T83" s="1857"/>
      <c r="U83" s="1857"/>
      <c r="V83" s="1857"/>
      <c r="W83" s="1857"/>
      <c r="X83" s="1857"/>
      <c r="Y83" s="1857"/>
      <c r="Z83" s="1857"/>
      <c r="AA83" s="1857"/>
      <c r="AB83" s="1857"/>
      <c r="AC83" s="1857"/>
      <c r="AD83" s="1857"/>
      <c r="AE83" s="1857"/>
      <c r="AF83" s="1857"/>
      <c r="AG83" s="1857"/>
      <c r="AH83" s="1857"/>
      <c r="AI83" s="1857"/>
      <c r="AJ83" s="1857"/>
      <c r="AK83" s="1857"/>
      <c r="AL83" s="1857"/>
      <c r="AM83" s="1857"/>
      <c r="AN83" s="1857"/>
      <c r="AO83" s="1857"/>
      <c r="AP83" s="1857"/>
      <c r="AQ83" s="1857"/>
      <c r="AR83" s="1857"/>
      <c r="AS83" s="1857"/>
      <c r="AT83" s="1857"/>
      <c r="AU83" s="1857"/>
      <c r="AV83" s="1857"/>
      <c r="AW83" s="1857"/>
      <c r="AX83" s="1857"/>
      <c r="AY83" s="1857"/>
      <c r="AZ83" s="1857"/>
      <c r="BA83" s="1857"/>
      <c r="BB83" s="1857"/>
      <c r="BC83" s="1857"/>
      <c r="BD83" s="1857"/>
      <c r="BE83" s="1857"/>
      <c r="BF83" s="1857"/>
      <c r="BG83" s="1857"/>
      <c r="BH83" s="1857"/>
      <c r="BI83" s="1857"/>
      <c r="BJ83" s="1857"/>
      <c r="BK83" s="1857"/>
      <c r="BL83" s="1857"/>
      <c r="BM83" s="1857"/>
      <c r="BN83" s="1857"/>
      <c r="BO83" s="1857"/>
      <c r="BP83" s="1857"/>
      <c r="BQ83" s="1857"/>
      <c r="BR83" s="1857"/>
      <c r="BS83" s="1857"/>
      <c r="BT83" s="1857"/>
      <c r="BU83" s="1857"/>
      <c r="BV83" s="1857"/>
      <c r="BW83" s="1857"/>
      <c r="BX83" s="1857"/>
      <c r="BY83" s="1857"/>
      <c r="BZ83" s="1857"/>
      <c r="CA83" s="1857"/>
      <c r="CB83" s="1857"/>
      <c r="CC83" s="1857"/>
      <c r="CD83" s="1857"/>
      <c r="CE83" s="1857"/>
      <c r="CF83" s="1857"/>
      <c r="CG83" s="1857"/>
      <c r="CH83" s="1857"/>
      <c r="CI83" s="1857"/>
      <c r="CJ83" s="1857"/>
      <c r="CK83" s="1857"/>
      <c r="CL83" s="1857"/>
      <c r="CM83" s="1857"/>
      <c r="CN83" s="1857"/>
      <c r="CO83" s="1857"/>
      <c r="CP83" s="1857"/>
      <c r="CQ83" s="1857"/>
      <c r="CR83" s="1857"/>
      <c r="CS83" s="1857"/>
      <c r="CT83" s="1857"/>
      <c r="CU83" s="1857"/>
      <c r="CV83" s="1857"/>
      <c r="CW83" s="1857"/>
      <c r="CX83" s="201" t="str">
        <f>FHD_NOTE_P_45</f>
        <v/>
      </c>
      <c r="CY83" s="624"/>
      <c r="CZ83" s="625"/>
      <c r="DA83" s="625"/>
      <c r="DF83" s="625"/>
      <c r="DI83" s="626"/>
      <c r="DO83" s="627"/>
      <c r="DP83" s="627"/>
      <c r="DQ83" s="627"/>
      <c r="DR83" s="627"/>
      <c r="DS83" s="627"/>
    </row>
    <row r="84" spans="1:123" s="1903" customFormat="1" ht="18.75" hidden="1" customHeight="1">
      <c r="A84" s="3605"/>
      <c r="C84" s="625"/>
      <c r="D84" s="628"/>
      <c r="E84" s="443" t="str">
        <f>FHD_NUM_P_46</f>
        <v/>
      </c>
      <c r="F84" s="1719" t="str">
        <f>FHD_P_46</f>
        <v/>
      </c>
      <c r="G84" s="1720" t="s">
        <v>846</v>
      </c>
      <c r="H84" s="849"/>
      <c r="I84" s="474"/>
      <c r="J84" s="1857"/>
      <c r="K84" s="1857"/>
      <c r="L84" s="1857"/>
      <c r="M84" s="1857"/>
      <c r="N84" s="1857"/>
      <c r="O84" s="1857"/>
      <c r="P84" s="1857"/>
      <c r="Q84" s="1857"/>
      <c r="R84" s="1857"/>
      <c r="S84" s="1857"/>
      <c r="T84" s="1857"/>
      <c r="U84" s="1857"/>
      <c r="V84" s="1857"/>
      <c r="W84" s="1857"/>
      <c r="X84" s="1857"/>
      <c r="Y84" s="1857"/>
      <c r="Z84" s="1857"/>
      <c r="AA84" s="1857"/>
      <c r="AB84" s="1857"/>
      <c r="AC84" s="1857"/>
      <c r="AD84" s="1857"/>
      <c r="AE84" s="1857"/>
      <c r="AF84" s="1857"/>
      <c r="AG84" s="1857"/>
      <c r="AH84" s="1857"/>
      <c r="AI84" s="1857"/>
      <c r="AJ84" s="1857"/>
      <c r="AK84" s="1857"/>
      <c r="AL84" s="1857"/>
      <c r="AM84" s="1857"/>
      <c r="AN84" s="1857"/>
      <c r="AO84" s="1857"/>
      <c r="AP84" s="1857"/>
      <c r="AQ84" s="1857"/>
      <c r="AR84" s="1857"/>
      <c r="AS84" s="1857"/>
      <c r="AT84" s="1857"/>
      <c r="AU84" s="1857"/>
      <c r="AV84" s="1857"/>
      <c r="AW84" s="1857"/>
      <c r="AX84" s="1857"/>
      <c r="AY84" s="1857"/>
      <c r="AZ84" s="1857"/>
      <c r="BA84" s="1857"/>
      <c r="BB84" s="1857"/>
      <c r="BC84" s="1857"/>
      <c r="BD84" s="1857"/>
      <c r="BE84" s="1857"/>
      <c r="BF84" s="1857"/>
      <c r="BG84" s="1857"/>
      <c r="BH84" s="1857"/>
      <c r="BI84" s="1857"/>
      <c r="BJ84" s="1857"/>
      <c r="BK84" s="1857"/>
      <c r="BL84" s="1857"/>
      <c r="BM84" s="1857"/>
      <c r="BN84" s="1857"/>
      <c r="BO84" s="1857"/>
      <c r="BP84" s="1857"/>
      <c r="BQ84" s="1857"/>
      <c r="BR84" s="1857"/>
      <c r="BS84" s="1857"/>
      <c r="BT84" s="1857"/>
      <c r="BU84" s="1857"/>
      <c r="BV84" s="1857"/>
      <c r="BW84" s="1857"/>
      <c r="BX84" s="1857"/>
      <c r="BY84" s="1857"/>
      <c r="BZ84" s="1857"/>
      <c r="CA84" s="1857"/>
      <c r="CB84" s="1857"/>
      <c r="CC84" s="1857"/>
      <c r="CD84" s="1857"/>
      <c r="CE84" s="1857"/>
      <c r="CF84" s="1857"/>
      <c r="CG84" s="1857"/>
      <c r="CH84" s="1857"/>
      <c r="CI84" s="1857"/>
      <c r="CJ84" s="1857"/>
      <c r="CK84" s="1857"/>
      <c r="CL84" s="1857"/>
      <c r="CM84" s="1857"/>
      <c r="CN84" s="1857"/>
      <c r="CO84" s="1857"/>
      <c r="CP84" s="1857"/>
      <c r="CQ84" s="1857"/>
      <c r="CR84" s="1857"/>
      <c r="CS84" s="1857"/>
      <c r="CT84" s="1857"/>
      <c r="CU84" s="1857"/>
      <c r="CV84" s="1857"/>
      <c r="CW84" s="1857"/>
      <c r="CX84" s="201" t="str">
        <f>FHD_NOTE_P_46</f>
        <v/>
      </c>
      <c r="CY84" s="624"/>
      <c r="CZ84" s="625"/>
      <c r="DA84" s="625"/>
      <c r="DF84" s="625"/>
      <c r="DI84" s="626"/>
      <c r="DO84" s="627"/>
      <c r="DP84" s="627"/>
      <c r="DQ84" s="627"/>
      <c r="DR84" s="627"/>
      <c r="DS84" s="627"/>
    </row>
    <row r="85" spans="1:123" s="1903" customFormat="1" ht="18.75" hidden="1" customHeight="1">
      <c r="A85" s="3605"/>
      <c r="C85" s="625"/>
      <c r="D85" s="623"/>
      <c r="E85" s="443" t="str">
        <f>FHD_NUM_P_47</f>
        <v/>
      </c>
      <c r="F85" s="1719" t="str">
        <f>FHD_P_47</f>
        <v/>
      </c>
      <c r="G85" s="1720" t="s">
        <v>846</v>
      </c>
      <c r="H85" s="849"/>
      <c r="I85" s="474"/>
      <c r="J85" s="1857"/>
      <c r="K85" s="1857"/>
      <c r="L85" s="1857"/>
      <c r="M85" s="1857"/>
      <c r="N85" s="1857"/>
      <c r="O85" s="1857"/>
      <c r="P85" s="1857"/>
      <c r="Q85" s="1857"/>
      <c r="R85" s="1857"/>
      <c r="S85" s="1857"/>
      <c r="T85" s="1857"/>
      <c r="U85" s="1857"/>
      <c r="V85" s="1857"/>
      <c r="W85" s="1857"/>
      <c r="X85" s="1857"/>
      <c r="Y85" s="1857"/>
      <c r="Z85" s="1857"/>
      <c r="AA85" s="1857"/>
      <c r="AB85" s="1857"/>
      <c r="AC85" s="1857"/>
      <c r="AD85" s="1857"/>
      <c r="AE85" s="1857"/>
      <c r="AF85" s="1857"/>
      <c r="AG85" s="1857"/>
      <c r="AH85" s="1857"/>
      <c r="AI85" s="1857"/>
      <c r="AJ85" s="1857"/>
      <c r="AK85" s="1857"/>
      <c r="AL85" s="1857"/>
      <c r="AM85" s="1857"/>
      <c r="AN85" s="1857"/>
      <c r="AO85" s="1857"/>
      <c r="AP85" s="1857"/>
      <c r="AQ85" s="1857"/>
      <c r="AR85" s="1857"/>
      <c r="AS85" s="1857"/>
      <c r="AT85" s="1857"/>
      <c r="AU85" s="1857"/>
      <c r="AV85" s="1857"/>
      <c r="AW85" s="1857"/>
      <c r="AX85" s="1857"/>
      <c r="AY85" s="1857"/>
      <c r="AZ85" s="1857"/>
      <c r="BA85" s="1857"/>
      <c r="BB85" s="1857"/>
      <c r="BC85" s="1857"/>
      <c r="BD85" s="1857"/>
      <c r="BE85" s="1857"/>
      <c r="BF85" s="1857"/>
      <c r="BG85" s="1857"/>
      <c r="BH85" s="1857"/>
      <c r="BI85" s="1857"/>
      <c r="BJ85" s="1857"/>
      <c r="BK85" s="1857"/>
      <c r="BL85" s="1857"/>
      <c r="BM85" s="1857"/>
      <c r="BN85" s="1857"/>
      <c r="BO85" s="1857"/>
      <c r="BP85" s="1857"/>
      <c r="BQ85" s="1857"/>
      <c r="BR85" s="1857"/>
      <c r="BS85" s="1857"/>
      <c r="BT85" s="1857"/>
      <c r="BU85" s="1857"/>
      <c r="BV85" s="1857"/>
      <c r="BW85" s="1857"/>
      <c r="BX85" s="1857"/>
      <c r="BY85" s="1857"/>
      <c r="BZ85" s="1857"/>
      <c r="CA85" s="1857"/>
      <c r="CB85" s="1857"/>
      <c r="CC85" s="1857"/>
      <c r="CD85" s="1857"/>
      <c r="CE85" s="1857"/>
      <c r="CF85" s="1857"/>
      <c r="CG85" s="1857"/>
      <c r="CH85" s="1857"/>
      <c r="CI85" s="1857"/>
      <c r="CJ85" s="1857"/>
      <c r="CK85" s="1857"/>
      <c r="CL85" s="1857"/>
      <c r="CM85" s="1857"/>
      <c r="CN85" s="1857"/>
      <c r="CO85" s="1857"/>
      <c r="CP85" s="1857"/>
      <c r="CQ85" s="1857"/>
      <c r="CR85" s="1857"/>
      <c r="CS85" s="1857"/>
      <c r="CT85" s="1857"/>
      <c r="CU85" s="1857"/>
      <c r="CV85" s="1857"/>
      <c r="CW85" s="1857"/>
      <c r="CX85" s="201" t="str">
        <f>FHD_NOTE_P_47</f>
        <v/>
      </c>
      <c r="CY85" s="624"/>
      <c r="CZ85" s="625"/>
      <c r="DA85" s="625"/>
      <c r="DF85" s="625"/>
      <c r="DI85" s="626"/>
      <c r="DO85" s="627"/>
      <c r="DP85" s="627"/>
      <c r="DQ85" s="627"/>
      <c r="DR85" s="627"/>
      <c r="DS85" s="627"/>
    </row>
    <row r="86" spans="1:123" s="1910" customFormat="1" ht="18.75" hidden="1" customHeight="1">
      <c r="A86" s="3605"/>
      <c r="B86" s="786"/>
      <c r="C86" s="625"/>
      <c r="D86" s="623"/>
      <c r="E86" s="443" t="str">
        <f>FHD_NUM_P_48</f>
        <v/>
      </c>
      <c r="F86" s="1719" t="str">
        <f>FHD_P_48</f>
        <v/>
      </c>
      <c r="G86" s="1720" t="s">
        <v>846</v>
      </c>
      <c r="H86" s="849"/>
      <c r="I86" s="474"/>
      <c r="J86" s="1857"/>
      <c r="K86" s="1857"/>
      <c r="L86" s="1857"/>
      <c r="M86" s="1857"/>
      <c r="N86" s="1857"/>
      <c r="O86" s="1857"/>
      <c r="P86" s="1857"/>
      <c r="Q86" s="1857"/>
      <c r="R86" s="1857"/>
      <c r="S86" s="1857"/>
      <c r="T86" s="1857"/>
      <c r="U86" s="1857"/>
      <c r="V86" s="1857"/>
      <c r="W86" s="1857"/>
      <c r="X86" s="1857"/>
      <c r="Y86" s="1857"/>
      <c r="Z86" s="1857"/>
      <c r="AA86" s="1857"/>
      <c r="AB86" s="1857"/>
      <c r="AC86" s="1857"/>
      <c r="AD86" s="1857"/>
      <c r="AE86" s="1857"/>
      <c r="AF86" s="1857"/>
      <c r="AG86" s="1857"/>
      <c r="AH86" s="1857"/>
      <c r="AI86" s="1857"/>
      <c r="AJ86" s="1857"/>
      <c r="AK86" s="1857"/>
      <c r="AL86" s="1857"/>
      <c r="AM86" s="1857"/>
      <c r="AN86" s="1857"/>
      <c r="AO86" s="1857"/>
      <c r="AP86" s="1857"/>
      <c r="AQ86" s="1857"/>
      <c r="AR86" s="1857"/>
      <c r="AS86" s="1857"/>
      <c r="AT86" s="1857"/>
      <c r="AU86" s="1857"/>
      <c r="AV86" s="1857"/>
      <c r="AW86" s="1857"/>
      <c r="AX86" s="1857"/>
      <c r="AY86" s="1857"/>
      <c r="AZ86" s="1857"/>
      <c r="BA86" s="1857"/>
      <c r="BB86" s="1857"/>
      <c r="BC86" s="1857"/>
      <c r="BD86" s="1857"/>
      <c r="BE86" s="1857"/>
      <c r="BF86" s="1857"/>
      <c r="BG86" s="1857"/>
      <c r="BH86" s="1857"/>
      <c r="BI86" s="1857"/>
      <c r="BJ86" s="1857"/>
      <c r="BK86" s="1857"/>
      <c r="BL86" s="1857"/>
      <c r="BM86" s="1857"/>
      <c r="BN86" s="1857"/>
      <c r="BO86" s="1857"/>
      <c r="BP86" s="1857"/>
      <c r="BQ86" s="1857"/>
      <c r="BR86" s="1857"/>
      <c r="BS86" s="1857"/>
      <c r="BT86" s="1857"/>
      <c r="BU86" s="1857"/>
      <c r="BV86" s="1857"/>
      <c r="BW86" s="1857"/>
      <c r="BX86" s="1857"/>
      <c r="BY86" s="1857"/>
      <c r="BZ86" s="1857"/>
      <c r="CA86" s="1857"/>
      <c r="CB86" s="1857"/>
      <c r="CC86" s="1857"/>
      <c r="CD86" s="1857"/>
      <c r="CE86" s="1857"/>
      <c r="CF86" s="1857"/>
      <c r="CG86" s="1857"/>
      <c r="CH86" s="1857"/>
      <c r="CI86" s="1857"/>
      <c r="CJ86" s="1857"/>
      <c r="CK86" s="1857"/>
      <c r="CL86" s="1857"/>
      <c r="CM86" s="1857"/>
      <c r="CN86" s="1857"/>
      <c r="CO86" s="1857"/>
      <c r="CP86" s="1857"/>
      <c r="CQ86" s="1857"/>
      <c r="CR86" s="1857"/>
      <c r="CS86" s="1857"/>
      <c r="CT86" s="1857"/>
      <c r="CU86" s="1857"/>
      <c r="CV86" s="1857"/>
      <c r="CW86" s="1857"/>
      <c r="CX86" s="201" t="str">
        <f>FHD_NOTE_P_48</f>
        <v/>
      </c>
      <c r="CY86" s="624"/>
      <c r="CZ86" s="625"/>
      <c r="DA86" s="625"/>
      <c r="DB86" s="786"/>
      <c r="DC86" s="786"/>
      <c r="DD86" s="786"/>
      <c r="DE86" s="786"/>
      <c r="DF86" s="625"/>
      <c r="DG86" s="786"/>
      <c r="DH86" s="786"/>
      <c r="DI86" s="626"/>
      <c r="DJ86" s="786"/>
      <c r="DK86" s="786"/>
      <c r="DL86" s="786"/>
      <c r="DM86" s="786"/>
      <c r="DN86" s="786"/>
      <c r="DO86" s="627"/>
      <c r="DP86" s="627"/>
      <c r="DQ86" s="627"/>
      <c r="DR86" s="627"/>
      <c r="DS86" s="627"/>
    </row>
    <row r="87" spans="1:123" s="1910" customFormat="1" ht="18.75" hidden="1" customHeight="1">
      <c r="A87" s="3605"/>
      <c r="B87" s="786"/>
      <c r="C87" s="625"/>
      <c r="D87" s="623"/>
      <c r="E87" s="443" t="str">
        <f>FHD_NUM_P_49</f>
        <v/>
      </c>
      <c r="F87" s="1719" t="str">
        <f>FHD_P_49</f>
        <v/>
      </c>
      <c r="G87" s="1720" t="s">
        <v>846</v>
      </c>
      <c r="H87" s="850">
        <f t="shared" ref="H87:AM87" si="22">SUM(H88:H89)</f>
        <v>0</v>
      </c>
      <c r="I87" s="638">
        <f t="shared" si="22"/>
        <v>0</v>
      </c>
      <c r="J87" s="1859">
        <f t="shared" si="22"/>
        <v>0</v>
      </c>
      <c r="K87" s="1859">
        <f t="shared" si="22"/>
        <v>0</v>
      </c>
      <c r="L87" s="1859">
        <f t="shared" si="22"/>
        <v>0</v>
      </c>
      <c r="M87" s="1859">
        <f t="shared" si="22"/>
        <v>0</v>
      </c>
      <c r="N87" s="1859">
        <f t="shared" si="22"/>
        <v>0</v>
      </c>
      <c r="O87" s="1859">
        <f t="shared" si="22"/>
        <v>0</v>
      </c>
      <c r="P87" s="1859">
        <f t="shared" si="22"/>
        <v>0</v>
      </c>
      <c r="Q87" s="1859">
        <f t="shared" si="22"/>
        <v>0</v>
      </c>
      <c r="R87" s="1859">
        <f t="shared" si="22"/>
        <v>0</v>
      </c>
      <c r="S87" s="1859">
        <f t="shared" si="22"/>
        <v>0</v>
      </c>
      <c r="T87" s="1859">
        <f t="shared" si="22"/>
        <v>0</v>
      </c>
      <c r="U87" s="1859">
        <f t="shared" si="22"/>
        <v>0</v>
      </c>
      <c r="V87" s="1859">
        <f t="shared" si="22"/>
        <v>0</v>
      </c>
      <c r="W87" s="1859">
        <f t="shared" si="22"/>
        <v>0</v>
      </c>
      <c r="X87" s="1859">
        <f t="shared" si="22"/>
        <v>0</v>
      </c>
      <c r="Y87" s="1859">
        <f t="shared" si="22"/>
        <v>0</v>
      </c>
      <c r="Z87" s="1859">
        <f t="shared" si="22"/>
        <v>0</v>
      </c>
      <c r="AA87" s="1859">
        <f t="shared" si="22"/>
        <v>0</v>
      </c>
      <c r="AB87" s="1859">
        <f t="shared" si="22"/>
        <v>0</v>
      </c>
      <c r="AC87" s="1859">
        <f t="shared" si="22"/>
        <v>0</v>
      </c>
      <c r="AD87" s="1859">
        <f t="shared" si="22"/>
        <v>0</v>
      </c>
      <c r="AE87" s="1859">
        <f t="shared" si="22"/>
        <v>0</v>
      </c>
      <c r="AF87" s="1859">
        <f t="shared" si="22"/>
        <v>0</v>
      </c>
      <c r="AG87" s="1859">
        <f t="shared" si="22"/>
        <v>0</v>
      </c>
      <c r="AH87" s="1859">
        <f t="shared" si="22"/>
        <v>0</v>
      </c>
      <c r="AI87" s="1859">
        <f t="shared" si="22"/>
        <v>0</v>
      </c>
      <c r="AJ87" s="1859">
        <f t="shared" si="22"/>
        <v>0</v>
      </c>
      <c r="AK87" s="1859">
        <f t="shared" si="22"/>
        <v>0</v>
      </c>
      <c r="AL87" s="1859">
        <f t="shared" si="22"/>
        <v>0</v>
      </c>
      <c r="AM87" s="1859">
        <f t="shared" si="22"/>
        <v>0</v>
      </c>
      <c r="AN87" s="1859">
        <f t="shared" ref="AN87:BS87" si="23">SUM(AN88:AN89)</f>
        <v>0</v>
      </c>
      <c r="AO87" s="1859">
        <f t="shared" si="23"/>
        <v>0</v>
      </c>
      <c r="AP87" s="1859">
        <f t="shared" si="23"/>
        <v>0</v>
      </c>
      <c r="AQ87" s="1859">
        <f t="shared" si="23"/>
        <v>0</v>
      </c>
      <c r="AR87" s="1859">
        <f t="shared" si="23"/>
        <v>0</v>
      </c>
      <c r="AS87" s="1859">
        <f t="shared" si="23"/>
        <v>0</v>
      </c>
      <c r="AT87" s="1859">
        <f t="shared" si="23"/>
        <v>0</v>
      </c>
      <c r="AU87" s="1859">
        <f t="shared" si="23"/>
        <v>0</v>
      </c>
      <c r="AV87" s="1859">
        <f t="shared" si="23"/>
        <v>0</v>
      </c>
      <c r="AW87" s="1859">
        <f t="shared" si="23"/>
        <v>0</v>
      </c>
      <c r="AX87" s="1859">
        <f t="shared" si="23"/>
        <v>0</v>
      </c>
      <c r="AY87" s="1859">
        <f t="shared" si="23"/>
        <v>0</v>
      </c>
      <c r="AZ87" s="1859">
        <f t="shared" si="23"/>
        <v>0</v>
      </c>
      <c r="BA87" s="1859">
        <f t="shared" si="23"/>
        <v>0</v>
      </c>
      <c r="BB87" s="1859">
        <f t="shared" si="23"/>
        <v>0</v>
      </c>
      <c r="BC87" s="1859">
        <f t="shared" si="23"/>
        <v>0</v>
      </c>
      <c r="BD87" s="1859">
        <f t="shared" si="23"/>
        <v>0</v>
      </c>
      <c r="BE87" s="1859">
        <f t="shared" si="23"/>
        <v>0</v>
      </c>
      <c r="BF87" s="1859">
        <f t="shared" si="23"/>
        <v>0</v>
      </c>
      <c r="BG87" s="1859">
        <f t="shared" si="23"/>
        <v>0</v>
      </c>
      <c r="BH87" s="1859">
        <f t="shared" si="23"/>
        <v>0</v>
      </c>
      <c r="BI87" s="1859">
        <f t="shared" si="23"/>
        <v>0</v>
      </c>
      <c r="BJ87" s="1859">
        <f t="shared" si="23"/>
        <v>0</v>
      </c>
      <c r="BK87" s="1859">
        <f t="shared" si="23"/>
        <v>0</v>
      </c>
      <c r="BL87" s="1859">
        <f t="shared" si="23"/>
        <v>0</v>
      </c>
      <c r="BM87" s="1859">
        <f t="shared" si="23"/>
        <v>0</v>
      </c>
      <c r="BN87" s="1859">
        <f t="shared" si="23"/>
        <v>0</v>
      </c>
      <c r="BO87" s="1859">
        <f t="shared" si="23"/>
        <v>0</v>
      </c>
      <c r="BP87" s="1859">
        <f t="shared" si="23"/>
        <v>0</v>
      </c>
      <c r="BQ87" s="1859">
        <f t="shared" si="23"/>
        <v>0</v>
      </c>
      <c r="BR87" s="1859">
        <f t="shared" si="23"/>
        <v>0</v>
      </c>
      <c r="BS87" s="1859">
        <f t="shared" si="23"/>
        <v>0</v>
      </c>
      <c r="BT87" s="1859">
        <f t="shared" ref="BT87:CY87" si="24">SUM(BT88:BT89)</f>
        <v>0</v>
      </c>
      <c r="BU87" s="1859">
        <f t="shared" si="24"/>
        <v>0</v>
      </c>
      <c r="BV87" s="1859">
        <f t="shared" si="24"/>
        <v>0</v>
      </c>
      <c r="BW87" s="1859">
        <f t="shared" si="24"/>
        <v>0</v>
      </c>
      <c r="BX87" s="1859">
        <f t="shared" si="24"/>
        <v>0</v>
      </c>
      <c r="BY87" s="1859">
        <f t="shared" si="24"/>
        <v>0</v>
      </c>
      <c r="BZ87" s="1859">
        <f t="shared" si="24"/>
        <v>0</v>
      </c>
      <c r="CA87" s="1859">
        <f t="shared" si="24"/>
        <v>0</v>
      </c>
      <c r="CB87" s="1859">
        <f t="shared" si="24"/>
        <v>0</v>
      </c>
      <c r="CC87" s="1859">
        <f t="shared" si="24"/>
        <v>0</v>
      </c>
      <c r="CD87" s="1859">
        <f t="shared" si="24"/>
        <v>0</v>
      </c>
      <c r="CE87" s="1859">
        <f t="shared" si="24"/>
        <v>0</v>
      </c>
      <c r="CF87" s="1859">
        <f t="shared" si="24"/>
        <v>0</v>
      </c>
      <c r="CG87" s="1859">
        <f t="shared" si="24"/>
        <v>0</v>
      </c>
      <c r="CH87" s="1859">
        <f t="shared" si="24"/>
        <v>0</v>
      </c>
      <c r="CI87" s="1859">
        <f t="shared" si="24"/>
        <v>0</v>
      </c>
      <c r="CJ87" s="1859">
        <f t="shared" si="24"/>
        <v>0</v>
      </c>
      <c r="CK87" s="1859">
        <f t="shared" si="24"/>
        <v>0</v>
      </c>
      <c r="CL87" s="1859">
        <f t="shared" si="24"/>
        <v>0</v>
      </c>
      <c r="CM87" s="1859">
        <f t="shared" si="24"/>
        <v>0</v>
      </c>
      <c r="CN87" s="1859">
        <f t="shared" si="24"/>
        <v>0</v>
      </c>
      <c r="CO87" s="1859">
        <f t="shared" si="24"/>
        <v>0</v>
      </c>
      <c r="CP87" s="1859">
        <f t="shared" si="24"/>
        <v>0</v>
      </c>
      <c r="CQ87" s="1859">
        <f t="shared" si="24"/>
        <v>0</v>
      </c>
      <c r="CR87" s="1859">
        <f t="shared" si="24"/>
        <v>0</v>
      </c>
      <c r="CS87" s="1859">
        <f t="shared" si="24"/>
        <v>0</v>
      </c>
      <c r="CT87" s="1859">
        <f t="shared" si="24"/>
        <v>0</v>
      </c>
      <c r="CU87" s="1859">
        <f t="shared" si="24"/>
        <v>0</v>
      </c>
      <c r="CV87" s="1859">
        <f t="shared" si="24"/>
        <v>0</v>
      </c>
      <c r="CW87" s="1859">
        <f t="shared" si="24"/>
        <v>0</v>
      </c>
      <c r="CX87" s="201" t="str">
        <f>FHD_NOTE_P_49</f>
        <v/>
      </c>
      <c r="CY87" s="624"/>
      <c r="CZ87" s="625"/>
      <c r="DA87" s="625"/>
      <c r="DB87" s="786"/>
      <c r="DC87" s="786"/>
      <c r="DD87" s="786"/>
      <c r="DE87" s="786"/>
      <c r="DF87" s="625"/>
      <c r="DG87" s="786"/>
      <c r="DH87" s="786"/>
      <c r="DI87" s="626"/>
      <c r="DJ87" s="786"/>
      <c r="DK87" s="786"/>
      <c r="DL87" s="786"/>
      <c r="DM87" s="786"/>
      <c r="DN87" s="786"/>
      <c r="DO87" s="627"/>
      <c r="DP87" s="627"/>
      <c r="DQ87" s="627"/>
      <c r="DR87" s="627"/>
      <c r="DS87" s="627"/>
    </row>
    <row r="88" spans="1:123" s="1910" customFormat="1" ht="18.75" hidden="1" customHeight="1">
      <c r="A88" s="3605"/>
      <c r="B88" s="786"/>
      <c r="C88" s="625"/>
      <c r="D88" s="623"/>
      <c r="E88" s="443" t="str">
        <f>FHD_NUM_P_50</f>
        <v/>
      </c>
      <c r="F88" s="1719" t="str">
        <f>FHD_P_50</f>
        <v/>
      </c>
      <c r="G88" s="1720" t="s">
        <v>846</v>
      </c>
      <c r="H88" s="849"/>
      <c r="I88" s="474"/>
      <c r="J88" s="1857"/>
      <c r="K88" s="1857"/>
      <c r="L88" s="1857"/>
      <c r="M88" s="1857"/>
      <c r="N88" s="1857"/>
      <c r="O88" s="1857"/>
      <c r="P88" s="1857"/>
      <c r="Q88" s="1857"/>
      <c r="R88" s="1857"/>
      <c r="S88" s="1857"/>
      <c r="T88" s="1857"/>
      <c r="U88" s="1857"/>
      <c r="V88" s="1857"/>
      <c r="W88" s="1857"/>
      <c r="X88" s="1857"/>
      <c r="Y88" s="1857"/>
      <c r="Z88" s="1857"/>
      <c r="AA88" s="1857"/>
      <c r="AB88" s="1857"/>
      <c r="AC88" s="1857"/>
      <c r="AD88" s="1857"/>
      <c r="AE88" s="1857"/>
      <c r="AF88" s="1857"/>
      <c r="AG88" s="1857"/>
      <c r="AH88" s="1857"/>
      <c r="AI88" s="1857"/>
      <c r="AJ88" s="1857"/>
      <c r="AK88" s="1857"/>
      <c r="AL88" s="1857"/>
      <c r="AM88" s="1857"/>
      <c r="AN88" s="1857"/>
      <c r="AO88" s="1857"/>
      <c r="AP88" s="1857"/>
      <c r="AQ88" s="1857"/>
      <c r="AR88" s="1857"/>
      <c r="AS88" s="1857"/>
      <c r="AT88" s="1857"/>
      <c r="AU88" s="1857"/>
      <c r="AV88" s="1857"/>
      <c r="AW88" s="1857"/>
      <c r="AX88" s="1857"/>
      <c r="AY88" s="1857"/>
      <c r="AZ88" s="1857"/>
      <c r="BA88" s="1857"/>
      <c r="BB88" s="1857"/>
      <c r="BC88" s="1857"/>
      <c r="BD88" s="1857"/>
      <c r="BE88" s="1857"/>
      <c r="BF88" s="1857"/>
      <c r="BG88" s="1857"/>
      <c r="BH88" s="1857"/>
      <c r="BI88" s="1857"/>
      <c r="BJ88" s="1857"/>
      <c r="BK88" s="1857"/>
      <c r="BL88" s="1857"/>
      <c r="BM88" s="1857"/>
      <c r="BN88" s="1857"/>
      <c r="BO88" s="1857"/>
      <c r="BP88" s="1857"/>
      <c r="BQ88" s="1857"/>
      <c r="BR88" s="1857"/>
      <c r="BS88" s="1857"/>
      <c r="BT88" s="1857"/>
      <c r="BU88" s="1857"/>
      <c r="BV88" s="1857"/>
      <c r="BW88" s="1857"/>
      <c r="BX88" s="1857"/>
      <c r="BY88" s="1857"/>
      <c r="BZ88" s="1857"/>
      <c r="CA88" s="1857"/>
      <c r="CB88" s="1857"/>
      <c r="CC88" s="1857"/>
      <c r="CD88" s="1857"/>
      <c r="CE88" s="1857"/>
      <c r="CF88" s="1857"/>
      <c r="CG88" s="1857"/>
      <c r="CH88" s="1857"/>
      <c r="CI88" s="1857"/>
      <c r="CJ88" s="1857"/>
      <c r="CK88" s="1857"/>
      <c r="CL88" s="1857"/>
      <c r="CM88" s="1857"/>
      <c r="CN88" s="1857"/>
      <c r="CO88" s="1857"/>
      <c r="CP88" s="1857"/>
      <c r="CQ88" s="1857"/>
      <c r="CR88" s="1857"/>
      <c r="CS88" s="1857"/>
      <c r="CT88" s="1857"/>
      <c r="CU88" s="1857"/>
      <c r="CV88" s="1857"/>
      <c r="CW88" s="1857"/>
      <c r="CX88" s="201" t="str">
        <f>FHD_NOTE_P_50</f>
        <v/>
      </c>
      <c r="CY88" s="624"/>
      <c r="CZ88" s="625"/>
      <c r="DA88" s="625"/>
      <c r="DB88" s="786"/>
      <c r="DC88" s="786"/>
      <c r="DD88" s="786"/>
      <c r="DE88" s="786"/>
      <c r="DF88" s="625"/>
      <c r="DG88" s="786"/>
      <c r="DH88" s="786"/>
      <c r="DI88" s="626"/>
      <c r="DJ88" s="786"/>
      <c r="DK88" s="786"/>
      <c r="DL88" s="786"/>
      <c r="DM88" s="786"/>
      <c r="DN88" s="786"/>
      <c r="DO88" s="627"/>
      <c r="DP88" s="627"/>
      <c r="DQ88" s="627"/>
      <c r="DR88" s="627"/>
      <c r="DS88" s="627"/>
    </row>
    <row r="89" spans="1:123" s="1910" customFormat="1" ht="18.75" hidden="1" customHeight="1">
      <c r="A89" s="3605"/>
      <c r="B89" s="786"/>
      <c r="C89" s="625"/>
      <c r="D89" s="623"/>
      <c r="E89" s="443" t="str">
        <f>FHD_NUM_P_51</f>
        <v/>
      </c>
      <c r="F89" s="1719" t="str">
        <f>FHD_P_51</f>
        <v/>
      </c>
      <c r="G89" s="1720" t="s">
        <v>846</v>
      </c>
      <c r="H89" s="849"/>
      <c r="I89" s="474"/>
      <c r="J89" s="1857"/>
      <c r="K89" s="1857"/>
      <c r="L89" s="1857"/>
      <c r="M89" s="1857"/>
      <c r="N89" s="1857"/>
      <c r="O89" s="1857"/>
      <c r="P89" s="1857"/>
      <c r="Q89" s="1857"/>
      <c r="R89" s="1857"/>
      <c r="S89" s="1857"/>
      <c r="T89" s="1857"/>
      <c r="U89" s="1857"/>
      <c r="V89" s="1857"/>
      <c r="W89" s="1857"/>
      <c r="X89" s="1857"/>
      <c r="Y89" s="1857"/>
      <c r="Z89" s="1857"/>
      <c r="AA89" s="1857"/>
      <c r="AB89" s="1857"/>
      <c r="AC89" s="1857"/>
      <c r="AD89" s="1857"/>
      <c r="AE89" s="1857"/>
      <c r="AF89" s="1857"/>
      <c r="AG89" s="1857"/>
      <c r="AH89" s="1857"/>
      <c r="AI89" s="1857"/>
      <c r="AJ89" s="1857"/>
      <c r="AK89" s="1857"/>
      <c r="AL89" s="1857"/>
      <c r="AM89" s="1857"/>
      <c r="AN89" s="1857"/>
      <c r="AO89" s="1857"/>
      <c r="AP89" s="1857"/>
      <c r="AQ89" s="1857"/>
      <c r="AR89" s="1857"/>
      <c r="AS89" s="1857"/>
      <c r="AT89" s="1857"/>
      <c r="AU89" s="1857"/>
      <c r="AV89" s="1857"/>
      <c r="AW89" s="1857"/>
      <c r="AX89" s="1857"/>
      <c r="AY89" s="1857"/>
      <c r="AZ89" s="1857"/>
      <c r="BA89" s="1857"/>
      <c r="BB89" s="1857"/>
      <c r="BC89" s="1857"/>
      <c r="BD89" s="1857"/>
      <c r="BE89" s="1857"/>
      <c r="BF89" s="1857"/>
      <c r="BG89" s="1857"/>
      <c r="BH89" s="1857"/>
      <c r="BI89" s="1857"/>
      <c r="BJ89" s="1857"/>
      <c r="BK89" s="1857"/>
      <c r="BL89" s="1857"/>
      <c r="BM89" s="1857"/>
      <c r="BN89" s="1857"/>
      <c r="BO89" s="1857"/>
      <c r="BP89" s="1857"/>
      <c r="BQ89" s="1857"/>
      <c r="BR89" s="1857"/>
      <c r="BS89" s="1857"/>
      <c r="BT89" s="1857"/>
      <c r="BU89" s="1857"/>
      <c r="BV89" s="1857"/>
      <c r="BW89" s="1857"/>
      <c r="BX89" s="1857"/>
      <c r="BY89" s="1857"/>
      <c r="BZ89" s="1857"/>
      <c r="CA89" s="1857"/>
      <c r="CB89" s="1857"/>
      <c r="CC89" s="1857"/>
      <c r="CD89" s="1857"/>
      <c r="CE89" s="1857"/>
      <c r="CF89" s="1857"/>
      <c r="CG89" s="1857"/>
      <c r="CH89" s="1857"/>
      <c r="CI89" s="1857"/>
      <c r="CJ89" s="1857"/>
      <c r="CK89" s="1857"/>
      <c r="CL89" s="1857"/>
      <c r="CM89" s="1857"/>
      <c r="CN89" s="1857"/>
      <c r="CO89" s="1857"/>
      <c r="CP89" s="1857"/>
      <c r="CQ89" s="1857"/>
      <c r="CR89" s="1857"/>
      <c r="CS89" s="1857"/>
      <c r="CT89" s="1857"/>
      <c r="CU89" s="1857"/>
      <c r="CV89" s="1857"/>
      <c r="CW89" s="1857"/>
      <c r="CX89" s="201" t="str">
        <f>FHD_NOTE_P_51</f>
        <v/>
      </c>
      <c r="CY89" s="624"/>
      <c r="CZ89" s="625"/>
      <c r="DA89" s="625"/>
      <c r="DB89" s="786"/>
      <c r="DC89" s="786"/>
      <c r="DD89" s="786"/>
      <c r="DE89" s="786"/>
      <c r="DF89" s="625"/>
      <c r="DG89" s="786"/>
      <c r="DH89" s="786"/>
      <c r="DI89" s="626"/>
      <c r="DJ89" s="786"/>
      <c r="DK89" s="786"/>
      <c r="DL89" s="786"/>
      <c r="DM89" s="786"/>
      <c r="DN89" s="786"/>
      <c r="DO89" s="627"/>
      <c r="DP89" s="627"/>
      <c r="DQ89" s="627"/>
      <c r="DR89" s="627"/>
      <c r="DS89" s="627"/>
    </row>
    <row r="90" spans="1:123" s="1910" customFormat="1" ht="18.75" hidden="1" customHeight="1">
      <c r="A90" s="3605"/>
      <c r="B90" s="786"/>
      <c r="C90" s="625"/>
      <c r="D90" s="623"/>
      <c r="E90" s="443" t="str">
        <f>FHD_NUM_P_52</f>
        <v/>
      </c>
      <c r="F90" s="1719" t="str">
        <f>FHD_P_52</f>
        <v/>
      </c>
      <c r="G90" s="1720" t="s">
        <v>823</v>
      </c>
      <c r="H90" s="848"/>
      <c r="I90" s="454"/>
      <c r="J90" s="1855"/>
      <c r="K90" s="1855"/>
      <c r="L90" s="1855"/>
      <c r="M90" s="1855"/>
      <c r="N90" s="1855"/>
      <c r="O90" s="1855"/>
      <c r="P90" s="1855"/>
      <c r="Q90" s="1855"/>
      <c r="R90" s="1855"/>
      <c r="S90" s="1855"/>
      <c r="T90" s="1855"/>
      <c r="U90" s="1855"/>
      <c r="V90" s="1855"/>
      <c r="W90" s="1855"/>
      <c r="X90" s="1855"/>
      <c r="Y90" s="1855"/>
      <c r="Z90" s="1855"/>
      <c r="AA90" s="1855"/>
      <c r="AB90" s="1855"/>
      <c r="AC90" s="1855"/>
      <c r="AD90" s="1855"/>
      <c r="AE90" s="1855"/>
      <c r="AF90" s="1855"/>
      <c r="AG90" s="1855"/>
      <c r="AH90" s="1855"/>
      <c r="AI90" s="1855"/>
      <c r="AJ90" s="1855"/>
      <c r="AK90" s="1855"/>
      <c r="AL90" s="1855"/>
      <c r="AM90" s="1855"/>
      <c r="AN90" s="1855"/>
      <c r="AO90" s="1855"/>
      <c r="AP90" s="1855"/>
      <c r="AQ90" s="1855"/>
      <c r="AR90" s="1855"/>
      <c r="AS90" s="1855"/>
      <c r="AT90" s="1855"/>
      <c r="AU90" s="1855"/>
      <c r="AV90" s="1855"/>
      <c r="AW90" s="1855"/>
      <c r="AX90" s="1855"/>
      <c r="AY90" s="1855"/>
      <c r="AZ90" s="1855"/>
      <c r="BA90" s="1855"/>
      <c r="BB90" s="1855"/>
      <c r="BC90" s="1855"/>
      <c r="BD90" s="1855"/>
      <c r="BE90" s="1855"/>
      <c r="BF90" s="1855"/>
      <c r="BG90" s="1855"/>
      <c r="BH90" s="1855"/>
      <c r="BI90" s="1855"/>
      <c r="BJ90" s="1855"/>
      <c r="BK90" s="1855"/>
      <c r="BL90" s="1855"/>
      <c r="BM90" s="1855"/>
      <c r="BN90" s="1855"/>
      <c r="BO90" s="1855"/>
      <c r="BP90" s="1855"/>
      <c r="BQ90" s="1855"/>
      <c r="BR90" s="1855"/>
      <c r="BS90" s="1855"/>
      <c r="BT90" s="1855"/>
      <c r="BU90" s="1855"/>
      <c r="BV90" s="1855"/>
      <c r="BW90" s="1855"/>
      <c r="BX90" s="1855"/>
      <c r="BY90" s="1855"/>
      <c r="BZ90" s="1855"/>
      <c r="CA90" s="1855"/>
      <c r="CB90" s="1855"/>
      <c r="CC90" s="1855"/>
      <c r="CD90" s="1855"/>
      <c r="CE90" s="1855"/>
      <c r="CF90" s="1855"/>
      <c r="CG90" s="1855"/>
      <c r="CH90" s="1855"/>
      <c r="CI90" s="1855"/>
      <c r="CJ90" s="1855"/>
      <c r="CK90" s="1855"/>
      <c r="CL90" s="1855"/>
      <c r="CM90" s="1855"/>
      <c r="CN90" s="1855"/>
      <c r="CO90" s="1855"/>
      <c r="CP90" s="1855"/>
      <c r="CQ90" s="1855"/>
      <c r="CR90" s="1855"/>
      <c r="CS90" s="1855"/>
      <c r="CT90" s="1855"/>
      <c r="CU90" s="1855"/>
      <c r="CV90" s="1855"/>
      <c r="CW90" s="1855"/>
      <c r="CX90" s="201" t="str">
        <f>FHD_NOTE_P_52</f>
        <v/>
      </c>
      <c r="CY90" s="624"/>
      <c r="CZ90" s="625"/>
      <c r="DA90" s="625"/>
      <c r="DB90" s="786"/>
      <c r="DC90" s="786"/>
      <c r="DD90" s="786"/>
      <c r="DE90" s="786"/>
      <c r="DF90" s="625"/>
      <c r="DG90" s="786"/>
      <c r="DH90" s="786"/>
      <c r="DI90" s="626"/>
      <c r="DJ90" s="786"/>
      <c r="DK90" s="786"/>
      <c r="DL90" s="786"/>
      <c r="DM90" s="786"/>
      <c r="DN90" s="786"/>
      <c r="DO90" s="627"/>
      <c r="DP90" s="627"/>
      <c r="DQ90" s="627"/>
      <c r="DR90" s="627"/>
      <c r="DS90" s="627"/>
    </row>
    <row r="91" spans="1:123" s="1903" customFormat="1" ht="18.75" hidden="1" customHeight="1">
      <c r="A91" s="3605" t="s">
        <v>847</v>
      </c>
      <c r="C91" s="625"/>
      <c r="D91" s="623"/>
      <c r="E91" s="443" t="str">
        <f>FHD_NUM_P_53</f>
        <v/>
      </c>
      <c r="F91" s="1719" t="str">
        <f>FHD_P_53</f>
        <v/>
      </c>
      <c r="G91" s="1720" t="s">
        <v>846</v>
      </c>
      <c r="H91" s="849"/>
      <c r="I91" s="474"/>
      <c r="J91" s="1857"/>
      <c r="K91" s="1857"/>
      <c r="L91" s="1857"/>
      <c r="M91" s="1857"/>
      <c r="N91" s="1857"/>
      <c r="O91" s="1857"/>
      <c r="P91" s="1857"/>
      <c r="Q91" s="1857"/>
      <c r="R91" s="1857"/>
      <c r="S91" s="1857"/>
      <c r="T91" s="1857"/>
      <c r="U91" s="1857"/>
      <c r="V91" s="1857"/>
      <c r="W91" s="1857"/>
      <c r="X91" s="1857"/>
      <c r="Y91" s="1857"/>
      <c r="Z91" s="1857"/>
      <c r="AA91" s="1857"/>
      <c r="AB91" s="1857"/>
      <c r="AC91" s="1857"/>
      <c r="AD91" s="1857"/>
      <c r="AE91" s="1857"/>
      <c r="AF91" s="1857"/>
      <c r="AG91" s="1857"/>
      <c r="AH91" s="1857"/>
      <c r="AI91" s="1857"/>
      <c r="AJ91" s="1857"/>
      <c r="AK91" s="1857"/>
      <c r="AL91" s="1857"/>
      <c r="AM91" s="1857"/>
      <c r="AN91" s="1857"/>
      <c r="AO91" s="1857"/>
      <c r="AP91" s="1857"/>
      <c r="AQ91" s="1857"/>
      <c r="AR91" s="1857"/>
      <c r="AS91" s="1857"/>
      <c r="AT91" s="1857"/>
      <c r="AU91" s="1857"/>
      <c r="AV91" s="1857"/>
      <c r="AW91" s="1857"/>
      <c r="AX91" s="1857"/>
      <c r="AY91" s="1857"/>
      <c r="AZ91" s="1857"/>
      <c r="BA91" s="1857"/>
      <c r="BB91" s="1857"/>
      <c r="BC91" s="1857"/>
      <c r="BD91" s="1857"/>
      <c r="BE91" s="1857"/>
      <c r="BF91" s="1857"/>
      <c r="BG91" s="1857"/>
      <c r="BH91" s="1857"/>
      <c r="BI91" s="1857"/>
      <c r="BJ91" s="1857"/>
      <c r="BK91" s="1857"/>
      <c r="BL91" s="1857"/>
      <c r="BM91" s="1857"/>
      <c r="BN91" s="1857"/>
      <c r="BO91" s="1857"/>
      <c r="BP91" s="1857"/>
      <c r="BQ91" s="1857"/>
      <c r="BR91" s="1857"/>
      <c r="BS91" s="1857"/>
      <c r="BT91" s="1857"/>
      <c r="BU91" s="1857"/>
      <c r="BV91" s="1857"/>
      <c r="BW91" s="1857"/>
      <c r="BX91" s="1857"/>
      <c r="BY91" s="1857"/>
      <c r="BZ91" s="1857"/>
      <c r="CA91" s="1857"/>
      <c r="CB91" s="1857"/>
      <c r="CC91" s="1857"/>
      <c r="CD91" s="1857"/>
      <c r="CE91" s="1857"/>
      <c r="CF91" s="1857"/>
      <c r="CG91" s="1857"/>
      <c r="CH91" s="1857"/>
      <c r="CI91" s="1857"/>
      <c r="CJ91" s="1857"/>
      <c r="CK91" s="1857"/>
      <c r="CL91" s="1857"/>
      <c r="CM91" s="1857"/>
      <c r="CN91" s="1857"/>
      <c r="CO91" s="1857"/>
      <c r="CP91" s="1857"/>
      <c r="CQ91" s="1857"/>
      <c r="CR91" s="1857"/>
      <c r="CS91" s="1857"/>
      <c r="CT91" s="1857"/>
      <c r="CU91" s="1857"/>
      <c r="CV91" s="1857"/>
      <c r="CW91" s="1857"/>
      <c r="CX91" s="201" t="str">
        <f>FHD_NOTE_P_53</f>
        <v/>
      </c>
      <c r="CY91" s="624"/>
      <c r="CZ91" s="625"/>
      <c r="DA91" s="625"/>
      <c r="DF91" s="625"/>
      <c r="DI91" s="626"/>
      <c r="DO91" s="627"/>
      <c r="DP91" s="627"/>
      <c r="DQ91" s="627"/>
      <c r="DR91" s="627"/>
      <c r="DS91" s="627"/>
    </row>
    <row r="92" spans="1:123" s="1903" customFormat="1" ht="18.75" hidden="1" customHeight="1">
      <c r="A92" s="3605"/>
      <c r="C92" s="625"/>
      <c r="D92" s="623"/>
      <c r="E92" s="443" t="str">
        <f>FHD_NUM_P_54</f>
        <v/>
      </c>
      <c r="F92" s="1719" t="str">
        <f>FHD_P_54</f>
        <v/>
      </c>
      <c r="G92" s="1720" t="s">
        <v>846</v>
      </c>
      <c r="H92" s="849"/>
      <c r="I92" s="474"/>
      <c r="J92" s="1857"/>
      <c r="K92" s="1857"/>
      <c r="L92" s="1857"/>
      <c r="M92" s="1857"/>
      <c r="N92" s="1857"/>
      <c r="O92" s="1857"/>
      <c r="P92" s="1857"/>
      <c r="Q92" s="1857"/>
      <c r="R92" s="1857"/>
      <c r="S92" s="1857"/>
      <c r="T92" s="1857"/>
      <c r="U92" s="1857"/>
      <c r="V92" s="1857"/>
      <c r="W92" s="1857"/>
      <c r="X92" s="1857"/>
      <c r="Y92" s="1857"/>
      <c r="Z92" s="1857"/>
      <c r="AA92" s="1857"/>
      <c r="AB92" s="1857"/>
      <c r="AC92" s="1857"/>
      <c r="AD92" s="1857"/>
      <c r="AE92" s="1857"/>
      <c r="AF92" s="1857"/>
      <c r="AG92" s="1857"/>
      <c r="AH92" s="1857"/>
      <c r="AI92" s="1857"/>
      <c r="AJ92" s="1857"/>
      <c r="AK92" s="1857"/>
      <c r="AL92" s="1857"/>
      <c r="AM92" s="1857"/>
      <c r="AN92" s="1857"/>
      <c r="AO92" s="1857"/>
      <c r="AP92" s="1857"/>
      <c r="AQ92" s="1857"/>
      <c r="AR92" s="1857"/>
      <c r="AS92" s="1857"/>
      <c r="AT92" s="1857"/>
      <c r="AU92" s="1857"/>
      <c r="AV92" s="1857"/>
      <c r="AW92" s="1857"/>
      <c r="AX92" s="1857"/>
      <c r="AY92" s="1857"/>
      <c r="AZ92" s="1857"/>
      <c r="BA92" s="1857"/>
      <c r="BB92" s="1857"/>
      <c r="BC92" s="1857"/>
      <c r="BD92" s="1857"/>
      <c r="BE92" s="1857"/>
      <c r="BF92" s="1857"/>
      <c r="BG92" s="1857"/>
      <c r="BH92" s="1857"/>
      <c r="BI92" s="1857"/>
      <c r="BJ92" s="1857"/>
      <c r="BK92" s="1857"/>
      <c r="BL92" s="1857"/>
      <c r="BM92" s="1857"/>
      <c r="BN92" s="1857"/>
      <c r="BO92" s="1857"/>
      <c r="BP92" s="1857"/>
      <c r="BQ92" s="1857"/>
      <c r="BR92" s="1857"/>
      <c r="BS92" s="1857"/>
      <c r="BT92" s="1857"/>
      <c r="BU92" s="1857"/>
      <c r="BV92" s="1857"/>
      <c r="BW92" s="1857"/>
      <c r="BX92" s="1857"/>
      <c r="BY92" s="1857"/>
      <c r="BZ92" s="1857"/>
      <c r="CA92" s="1857"/>
      <c r="CB92" s="1857"/>
      <c r="CC92" s="1857"/>
      <c r="CD92" s="1857"/>
      <c r="CE92" s="1857"/>
      <c r="CF92" s="1857"/>
      <c r="CG92" s="1857"/>
      <c r="CH92" s="1857"/>
      <c r="CI92" s="1857"/>
      <c r="CJ92" s="1857"/>
      <c r="CK92" s="1857"/>
      <c r="CL92" s="1857"/>
      <c r="CM92" s="1857"/>
      <c r="CN92" s="1857"/>
      <c r="CO92" s="1857"/>
      <c r="CP92" s="1857"/>
      <c r="CQ92" s="1857"/>
      <c r="CR92" s="1857"/>
      <c r="CS92" s="1857"/>
      <c r="CT92" s="1857"/>
      <c r="CU92" s="1857"/>
      <c r="CV92" s="1857"/>
      <c r="CW92" s="1857"/>
      <c r="CX92" s="201" t="str">
        <f>FHD_NOTE_P_54</f>
        <v/>
      </c>
      <c r="CY92" s="624"/>
      <c r="CZ92" s="625"/>
      <c r="DA92" s="625"/>
      <c r="DF92" s="625"/>
      <c r="DI92" s="626"/>
      <c r="DO92" s="627"/>
      <c r="DP92" s="627"/>
      <c r="DQ92" s="627"/>
      <c r="DR92" s="627"/>
      <c r="DS92" s="627"/>
    </row>
    <row r="93" spans="1:123" s="1903" customFormat="1" ht="18.75" hidden="1" customHeight="1">
      <c r="A93" s="3605"/>
      <c r="C93" s="625"/>
      <c r="D93" s="628"/>
      <c r="E93" s="443" t="str">
        <f>FHD_NUM_P_55</f>
        <v/>
      </c>
      <c r="F93" s="1719" t="str">
        <f>FHD_P_55</f>
        <v/>
      </c>
      <c r="G93" s="1723"/>
      <c r="H93" s="849"/>
      <c r="I93" s="474"/>
      <c r="J93" s="1857"/>
      <c r="K93" s="1857"/>
      <c r="L93" s="1857"/>
      <c r="M93" s="1857"/>
      <c r="N93" s="1857"/>
      <c r="O93" s="1857"/>
      <c r="P93" s="1857"/>
      <c r="Q93" s="1857"/>
      <c r="R93" s="1857"/>
      <c r="S93" s="1857"/>
      <c r="T93" s="1857"/>
      <c r="U93" s="1857"/>
      <c r="V93" s="1857"/>
      <c r="W93" s="1857"/>
      <c r="X93" s="1857"/>
      <c r="Y93" s="1857"/>
      <c r="Z93" s="1857"/>
      <c r="AA93" s="1857"/>
      <c r="AB93" s="1857"/>
      <c r="AC93" s="1857"/>
      <c r="AD93" s="1857"/>
      <c r="AE93" s="1857"/>
      <c r="AF93" s="1857"/>
      <c r="AG93" s="1857"/>
      <c r="AH93" s="1857"/>
      <c r="AI93" s="1857"/>
      <c r="AJ93" s="1857"/>
      <c r="AK93" s="1857"/>
      <c r="AL93" s="1857"/>
      <c r="AM93" s="1857"/>
      <c r="AN93" s="1857"/>
      <c r="AO93" s="1857"/>
      <c r="AP93" s="1857"/>
      <c r="AQ93" s="1857"/>
      <c r="AR93" s="1857"/>
      <c r="AS93" s="1857"/>
      <c r="AT93" s="1857"/>
      <c r="AU93" s="1857"/>
      <c r="AV93" s="1857"/>
      <c r="AW93" s="1857"/>
      <c r="AX93" s="1857"/>
      <c r="AY93" s="1857"/>
      <c r="AZ93" s="1857"/>
      <c r="BA93" s="1857"/>
      <c r="BB93" s="1857"/>
      <c r="BC93" s="1857"/>
      <c r="BD93" s="1857"/>
      <c r="BE93" s="1857"/>
      <c r="BF93" s="1857"/>
      <c r="BG93" s="1857"/>
      <c r="BH93" s="1857"/>
      <c r="BI93" s="1857"/>
      <c r="BJ93" s="1857"/>
      <c r="BK93" s="1857"/>
      <c r="BL93" s="1857"/>
      <c r="BM93" s="1857"/>
      <c r="BN93" s="1857"/>
      <c r="BO93" s="1857"/>
      <c r="BP93" s="1857"/>
      <c r="BQ93" s="1857"/>
      <c r="BR93" s="1857"/>
      <c r="BS93" s="1857"/>
      <c r="BT93" s="1857"/>
      <c r="BU93" s="1857"/>
      <c r="BV93" s="1857"/>
      <c r="BW93" s="1857"/>
      <c r="BX93" s="1857"/>
      <c r="BY93" s="1857"/>
      <c r="BZ93" s="1857"/>
      <c r="CA93" s="1857"/>
      <c r="CB93" s="1857"/>
      <c r="CC93" s="1857"/>
      <c r="CD93" s="1857"/>
      <c r="CE93" s="1857"/>
      <c r="CF93" s="1857"/>
      <c r="CG93" s="1857"/>
      <c r="CH93" s="1857"/>
      <c r="CI93" s="1857"/>
      <c r="CJ93" s="1857"/>
      <c r="CK93" s="1857"/>
      <c r="CL93" s="1857"/>
      <c r="CM93" s="1857"/>
      <c r="CN93" s="1857"/>
      <c r="CO93" s="1857"/>
      <c r="CP93" s="1857"/>
      <c r="CQ93" s="1857"/>
      <c r="CR93" s="1857"/>
      <c r="CS93" s="1857"/>
      <c r="CT93" s="1857"/>
      <c r="CU93" s="1857"/>
      <c r="CV93" s="1857"/>
      <c r="CW93" s="1857"/>
      <c r="CX93" s="201" t="str">
        <f>FHD_NOTE_P_55</f>
        <v/>
      </c>
      <c r="CY93" s="624"/>
      <c r="CZ93" s="625"/>
      <c r="DA93" s="625"/>
      <c r="DF93" s="625"/>
      <c r="DI93" s="626"/>
      <c r="DO93" s="627"/>
      <c r="DP93" s="627"/>
      <c r="DQ93" s="627"/>
      <c r="DR93" s="627"/>
      <c r="DS93" s="627"/>
    </row>
    <row r="94" spans="1:123" s="1903" customFormat="1" ht="18.75" hidden="1" customHeight="1">
      <c r="A94" s="3605"/>
      <c r="C94" s="625"/>
      <c r="D94" s="623"/>
      <c r="E94" s="443" t="str">
        <f>FHD_NUM_P_56</f>
        <v/>
      </c>
      <c r="F94" s="1719" t="str">
        <f>FHD_P_56</f>
        <v/>
      </c>
      <c r="G94" s="1720" t="s">
        <v>848</v>
      </c>
      <c r="H94" s="849"/>
      <c r="I94" s="474"/>
      <c r="J94" s="1857"/>
      <c r="K94" s="1857"/>
      <c r="L94" s="1857"/>
      <c r="M94" s="1857"/>
      <c r="N94" s="1857"/>
      <c r="O94" s="1857"/>
      <c r="P94" s="1857"/>
      <c r="Q94" s="1857"/>
      <c r="R94" s="1857"/>
      <c r="S94" s="1857"/>
      <c r="T94" s="1857"/>
      <c r="U94" s="1857"/>
      <c r="V94" s="1857"/>
      <c r="W94" s="1857"/>
      <c r="X94" s="1857"/>
      <c r="Y94" s="1857"/>
      <c r="Z94" s="1857"/>
      <c r="AA94" s="1857"/>
      <c r="AB94" s="1857"/>
      <c r="AC94" s="1857"/>
      <c r="AD94" s="1857"/>
      <c r="AE94" s="1857"/>
      <c r="AF94" s="1857"/>
      <c r="AG94" s="1857"/>
      <c r="AH94" s="1857"/>
      <c r="AI94" s="1857"/>
      <c r="AJ94" s="1857"/>
      <c r="AK94" s="1857"/>
      <c r="AL94" s="1857"/>
      <c r="AM94" s="1857"/>
      <c r="AN94" s="1857"/>
      <c r="AO94" s="1857"/>
      <c r="AP94" s="1857"/>
      <c r="AQ94" s="1857"/>
      <c r="AR94" s="1857"/>
      <c r="AS94" s="1857"/>
      <c r="AT94" s="1857"/>
      <c r="AU94" s="1857"/>
      <c r="AV94" s="1857"/>
      <c r="AW94" s="1857"/>
      <c r="AX94" s="1857"/>
      <c r="AY94" s="1857"/>
      <c r="AZ94" s="1857"/>
      <c r="BA94" s="1857"/>
      <c r="BB94" s="1857"/>
      <c r="BC94" s="1857"/>
      <c r="BD94" s="1857"/>
      <c r="BE94" s="1857"/>
      <c r="BF94" s="1857"/>
      <c r="BG94" s="1857"/>
      <c r="BH94" s="1857"/>
      <c r="BI94" s="1857"/>
      <c r="BJ94" s="1857"/>
      <c r="BK94" s="1857"/>
      <c r="BL94" s="1857"/>
      <c r="BM94" s="1857"/>
      <c r="BN94" s="1857"/>
      <c r="BO94" s="1857"/>
      <c r="BP94" s="1857"/>
      <c r="BQ94" s="1857"/>
      <c r="BR94" s="1857"/>
      <c r="BS94" s="1857"/>
      <c r="BT94" s="1857"/>
      <c r="BU94" s="1857"/>
      <c r="BV94" s="1857"/>
      <c r="BW94" s="1857"/>
      <c r="BX94" s="1857"/>
      <c r="BY94" s="1857"/>
      <c r="BZ94" s="1857"/>
      <c r="CA94" s="1857"/>
      <c r="CB94" s="1857"/>
      <c r="CC94" s="1857"/>
      <c r="CD94" s="1857"/>
      <c r="CE94" s="1857"/>
      <c r="CF94" s="1857"/>
      <c r="CG94" s="1857"/>
      <c r="CH94" s="1857"/>
      <c r="CI94" s="1857"/>
      <c r="CJ94" s="1857"/>
      <c r="CK94" s="1857"/>
      <c r="CL94" s="1857"/>
      <c r="CM94" s="1857"/>
      <c r="CN94" s="1857"/>
      <c r="CO94" s="1857"/>
      <c r="CP94" s="1857"/>
      <c r="CQ94" s="1857"/>
      <c r="CR94" s="1857"/>
      <c r="CS94" s="1857"/>
      <c r="CT94" s="1857"/>
      <c r="CU94" s="1857"/>
      <c r="CV94" s="1857"/>
      <c r="CW94" s="1857"/>
      <c r="CX94" s="201" t="str">
        <f>FHD_NOTE_P_56</f>
        <v/>
      </c>
      <c r="CY94" s="624"/>
      <c r="CZ94" s="625"/>
      <c r="DA94" s="625"/>
      <c r="DF94" s="625"/>
      <c r="DI94" s="626"/>
      <c r="DO94" s="627"/>
      <c r="DP94" s="627"/>
      <c r="DQ94" s="627"/>
      <c r="DR94" s="627"/>
      <c r="DS94" s="627"/>
    </row>
    <row r="95" spans="1:123" s="1910" customFormat="1" ht="18.75" hidden="1" customHeight="1">
      <c r="A95" s="3605"/>
      <c r="B95" s="786"/>
      <c r="C95" s="625"/>
      <c r="D95" s="623"/>
      <c r="E95" s="443" t="str">
        <f>FHD_NUM_P_57</f>
        <v/>
      </c>
      <c r="F95" s="1719" t="str">
        <f>FHD_P_57</f>
        <v/>
      </c>
      <c r="G95" s="1720" t="s">
        <v>823</v>
      </c>
      <c r="H95" s="848"/>
      <c r="I95" s="454"/>
      <c r="J95" s="1855"/>
      <c r="K95" s="1855"/>
      <c r="L95" s="1855"/>
      <c r="M95" s="1855"/>
      <c r="N95" s="1855"/>
      <c r="O95" s="1855"/>
      <c r="P95" s="1855"/>
      <c r="Q95" s="1855"/>
      <c r="R95" s="1855"/>
      <c r="S95" s="1855"/>
      <c r="T95" s="1855"/>
      <c r="U95" s="1855"/>
      <c r="V95" s="1855"/>
      <c r="W95" s="1855"/>
      <c r="X95" s="1855"/>
      <c r="Y95" s="1855"/>
      <c r="Z95" s="1855"/>
      <c r="AA95" s="1855"/>
      <c r="AB95" s="1855"/>
      <c r="AC95" s="1855"/>
      <c r="AD95" s="1855"/>
      <c r="AE95" s="1855"/>
      <c r="AF95" s="1855"/>
      <c r="AG95" s="1855"/>
      <c r="AH95" s="1855"/>
      <c r="AI95" s="1855"/>
      <c r="AJ95" s="1855"/>
      <c r="AK95" s="1855"/>
      <c r="AL95" s="1855"/>
      <c r="AM95" s="1855"/>
      <c r="AN95" s="1855"/>
      <c r="AO95" s="1855"/>
      <c r="AP95" s="1855"/>
      <c r="AQ95" s="1855"/>
      <c r="AR95" s="1855"/>
      <c r="AS95" s="1855"/>
      <c r="AT95" s="1855"/>
      <c r="AU95" s="1855"/>
      <c r="AV95" s="1855"/>
      <c r="AW95" s="1855"/>
      <c r="AX95" s="1855"/>
      <c r="AY95" s="1855"/>
      <c r="AZ95" s="1855"/>
      <c r="BA95" s="1855"/>
      <c r="BB95" s="1855"/>
      <c r="BC95" s="1855"/>
      <c r="BD95" s="1855"/>
      <c r="BE95" s="1855"/>
      <c r="BF95" s="1855"/>
      <c r="BG95" s="1855"/>
      <c r="BH95" s="1855"/>
      <c r="BI95" s="1855"/>
      <c r="BJ95" s="1855"/>
      <c r="BK95" s="1855"/>
      <c r="BL95" s="1855"/>
      <c r="BM95" s="1855"/>
      <c r="BN95" s="1855"/>
      <c r="BO95" s="1855"/>
      <c r="BP95" s="1855"/>
      <c r="BQ95" s="1855"/>
      <c r="BR95" s="1855"/>
      <c r="BS95" s="1855"/>
      <c r="BT95" s="1855"/>
      <c r="BU95" s="1855"/>
      <c r="BV95" s="1855"/>
      <c r="BW95" s="1855"/>
      <c r="BX95" s="1855"/>
      <c r="BY95" s="1855"/>
      <c r="BZ95" s="1855"/>
      <c r="CA95" s="1855"/>
      <c r="CB95" s="1855"/>
      <c r="CC95" s="1855"/>
      <c r="CD95" s="1855"/>
      <c r="CE95" s="1855"/>
      <c r="CF95" s="1855"/>
      <c r="CG95" s="1855"/>
      <c r="CH95" s="1855"/>
      <c r="CI95" s="1855"/>
      <c r="CJ95" s="1855"/>
      <c r="CK95" s="1855"/>
      <c r="CL95" s="1855"/>
      <c r="CM95" s="1855"/>
      <c r="CN95" s="1855"/>
      <c r="CO95" s="1855"/>
      <c r="CP95" s="1855"/>
      <c r="CQ95" s="1855"/>
      <c r="CR95" s="1855"/>
      <c r="CS95" s="1855"/>
      <c r="CT95" s="1855"/>
      <c r="CU95" s="1855"/>
      <c r="CV95" s="1855"/>
      <c r="CW95" s="1855"/>
      <c r="CX95" s="201" t="str">
        <f>FHD_NOTE_P_57</f>
        <v/>
      </c>
      <c r="CY95" s="624"/>
      <c r="CZ95" s="625"/>
      <c r="DA95" s="625"/>
      <c r="DB95" s="786"/>
      <c r="DC95" s="786"/>
      <c r="DD95" s="786"/>
      <c r="DE95" s="786"/>
      <c r="DF95" s="625"/>
      <c r="DG95" s="786"/>
      <c r="DH95" s="786"/>
      <c r="DI95" s="626"/>
      <c r="DJ95" s="786"/>
      <c r="DK95" s="786"/>
      <c r="DL95" s="786"/>
      <c r="DM95" s="786"/>
      <c r="DN95" s="786"/>
      <c r="DO95" s="627"/>
      <c r="DP95" s="627"/>
      <c r="DQ95" s="627"/>
      <c r="DR95" s="627"/>
      <c r="DS95" s="627"/>
    </row>
    <row r="96" spans="1:123" ht="18.75" hidden="1" customHeight="1">
      <c r="A96" s="3605" t="s">
        <v>849</v>
      </c>
      <c r="D96" s="1483"/>
      <c r="E96" s="443" t="str">
        <f>FHD_NUM_P_58</f>
        <v/>
      </c>
      <c r="F96" s="1719" t="str">
        <f>FHD_P_58</f>
        <v/>
      </c>
      <c r="G96" s="1720" t="s">
        <v>846</v>
      </c>
      <c r="H96" s="849"/>
      <c r="I96" s="474"/>
      <c r="J96" s="1857"/>
      <c r="K96" s="1857"/>
      <c r="L96" s="1857"/>
      <c r="M96" s="1857"/>
      <c r="N96" s="1857"/>
      <c r="O96" s="1857"/>
      <c r="P96" s="1857"/>
      <c r="Q96" s="1857"/>
      <c r="R96" s="1857"/>
      <c r="S96" s="1857"/>
      <c r="T96" s="1857"/>
      <c r="U96" s="1857"/>
      <c r="V96" s="1857"/>
      <c r="W96" s="1857"/>
      <c r="X96" s="1857"/>
      <c r="Y96" s="1857"/>
      <c r="Z96" s="1857"/>
      <c r="AA96" s="1857"/>
      <c r="AB96" s="1857"/>
      <c r="AC96" s="1857"/>
      <c r="AD96" s="1857"/>
      <c r="AE96" s="1857"/>
      <c r="AF96" s="1857"/>
      <c r="AG96" s="1857"/>
      <c r="AH96" s="1857"/>
      <c r="AI96" s="1857"/>
      <c r="AJ96" s="1857"/>
      <c r="AK96" s="1857"/>
      <c r="AL96" s="1857"/>
      <c r="AM96" s="1857"/>
      <c r="AN96" s="1857"/>
      <c r="AO96" s="1857"/>
      <c r="AP96" s="1857"/>
      <c r="AQ96" s="1857"/>
      <c r="AR96" s="1857"/>
      <c r="AS96" s="1857"/>
      <c r="AT96" s="1857"/>
      <c r="AU96" s="1857"/>
      <c r="AV96" s="1857"/>
      <c r="AW96" s="1857"/>
      <c r="AX96" s="1857"/>
      <c r="AY96" s="1857"/>
      <c r="AZ96" s="1857"/>
      <c r="BA96" s="1857"/>
      <c r="BB96" s="1857"/>
      <c r="BC96" s="1857"/>
      <c r="BD96" s="1857"/>
      <c r="BE96" s="1857"/>
      <c r="BF96" s="1857"/>
      <c r="BG96" s="1857"/>
      <c r="BH96" s="1857"/>
      <c r="BI96" s="1857"/>
      <c r="BJ96" s="1857"/>
      <c r="BK96" s="1857"/>
      <c r="BL96" s="1857"/>
      <c r="BM96" s="1857"/>
      <c r="BN96" s="1857"/>
      <c r="BO96" s="1857"/>
      <c r="BP96" s="1857"/>
      <c r="BQ96" s="1857"/>
      <c r="BR96" s="1857"/>
      <c r="BS96" s="1857"/>
      <c r="BT96" s="1857"/>
      <c r="BU96" s="1857"/>
      <c r="BV96" s="1857"/>
      <c r="BW96" s="1857"/>
      <c r="BX96" s="1857"/>
      <c r="BY96" s="1857"/>
      <c r="BZ96" s="1857"/>
      <c r="CA96" s="1857"/>
      <c r="CB96" s="1857"/>
      <c r="CC96" s="1857"/>
      <c r="CD96" s="1857"/>
      <c r="CE96" s="1857"/>
      <c r="CF96" s="1857"/>
      <c r="CG96" s="1857"/>
      <c r="CH96" s="1857"/>
      <c r="CI96" s="1857"/>
      <c r="CJ96" s="1857"/>
      <c r="CK96" s="1857"/>
      <c r="CL96" s="1857"/>
      <c r="CM96" s="1857"/>
      <c r="CN96" s="1857"/>
      <c r="CO96" s="1857"/>
      <c r="CP96" s="1857"/>
      <c r="CQ96" s="1857"/>
      <c r="CR96" s="1857"/>
      <c r="CS96" s="1857"/>
      <c r="CT96" s="1857"/>
      <c r="CU96" s="1857"/>
      <c r="CV96" s="1857"/>
      <c r="CW96" s="1857"/>
      <c r="CX96" s="201" t="str">
        <f>FHD_NOTE_P_58</f>
        <v/>
      </c>
      <c r="CY96" s="440"/>
    </row>
    <row r="97" spans="1:123" ht="33.75" hidden="1" customHeight="1">
      <c r="A97" s="3605"/>
      <c r="D97" s="1483"/>
      <c r="E97" s="443" t="str">
        <f>FHD_NUM_P_59</f>
        <v/>
      </c>
      <c r="F97" s="1719" t="str">
        <f>FHD_P_59</f>
        <v/>
      </c>
      <c r="G97" s="1720" t="s">
        <v>846</v>
      </c>
      <c r="H97" s="849"/>
      <c r="I97" s="474"/>
      <c r="J97" s="1857"/>
      <c r="K97" s="1857"/>
      <c r="L97" s="1857"/>
      <c r="M97" s="1857"/>
      <c r="N97" s="1857"/>
      <c r="O97" s="1857"/>
      <c r="P97" s="1857"/>
      <c r="Q97" s="1857"/>
      <c r="R97" s="1857"/>
      <c r="S97" s="1857"/>
      <c r="T97" s="1857"/>
      <c r="U97" s="1857"/>
      <c r="V97" s="1857"/>
      <c r="W97" s="1857"/>
      <c r="X97" s="1857"/>
      <c r="Y97" s="1857"/>
      <c r="Z97" s="1857"/>
      <c r="AA97" s="1857"/>
      <c r="AB97" s="1857"/>
      <c r="AC97" s="1857"/>
      <c r="AD97" s="1857"/>
      <c r="AE97" s="1857"/>
      <c r="AF97" s="1857"/>
      <c r="AG97" s="1857"/>
      <c r="AH97" s="1857"/>
      <c r="AI97" s="1857"/>
      <c r="AJ97" s="1857"/>
      <c r="AK97" s="1857"/>
      <c r="AL97" s="1857"/>
      <c r="AM97" s="1857"/>
      <c r="AN97" s="1857"/>
      <c r="AO97" s="1857"/>
      <c r="AP97" s="1857"/>
      <c r="AQ97" s="1857"/>
      <c r="AR97" s="1857"/>
      <c r="AS97" s="1857"/>
      <c r="AT97" s="1857"/>
      <c r="AU97" s="1857"/>
      <c r="AV97" s="1857"/>
      <c r="AW97" s="1857"/>
      <c r="AX97" s="1857"/>
      <c r="AY97" s="1857"/>
      <c r="AZ97" s="1857"/>
      <c r="BA97" s="1857"/>
      <c r="BB97" s="1857"/>
      <c r="BC97" s="1857"/>
      <c r="BD97" s="1857"/>
      <c r="BE97" s="1857"/>
      <c r="BF97" s="1857"/>
      <c r="BG97" s="1857"/>
      <c r="BH97" s="1857"/>
      <c r="BI97" s="1857"/>
      <c r="BJ97" s="1857"/>
      <c r="BK97" s="1857"/>
      <c r="BL97" s="1857"/>
      <c r="BM97" s="1857"/>
      <c r="BN97" s="1857"/>
      <c r="BO97" s="1857"/>
      <c r="BP97" s="1857"/>
      <c r="BQ97" s="1857"/>
      <c r="BR97" s="1857"/>
      <c r="BS97" s="1857"/>
      <c r="BT97" s="1857"/>
      <c r="BU97" s="1857"/>
      <c r="BV97" s="1857"/>
      <c r="BW97" s="1857"/>
      <c r="BX97" s="1857"/>
      <c r="BY97" s="1857"/>
      <c r="BZ97" s="1857"/>
      <c r="CA97" s="1857"/>
      <c r="CB97" s="1857"/>
      <c r="CC97" s="1857"/>
      <c r="CD97" s="1857"/>
      <c r="CE97" s="1857"/>
      <c r="CF97" s="1857"/>
      <c r="CG97" s="1857"/>
      <c r="CH97" s="1857"/>
      <c r="CI97" s="1857"/>
      <c r="CJ97" s="1857"/>
      <c r="CK97" s="1857"/>
      <c r="CL97" s="1857"/>
      <c r="CM97" s="1857"/>
      <c r="CN97" s="1857"/>
      <c r="CO97" s="1857"/>
      <c r="CP97" s="1857"/>
      <c r="CQ97" s="1857"/>
      <c r="CR97" s="1857"/>
      <c r="CS97" s="1857"/>
      <c r="CT97" s="1857"/>
      <c r="CU97" s="1857"/>
      <c r="CV97" s="1857"/>
      <c r="CW97" s="1857"/>
      <c r="CX97" s="201" t="str">
        <f>FHD_NOTE_P_59</f>
        <v/>
      </c>
      <c r="CY97" s="440"/>
    </row>
    <row r="98" spans="1:123" ht="22.5" hidden="1" customHeight="1">
      <c r="A98" s="3605"/>
      <c r="D98" s="1483"/>
      <c r="E98" s="443" t="str">
        <f>FHD_NUM_P_60</f>
        <v/>
      </c>
      <c r="F98" s="1719" t="str">
        <f>FHD_P_60</f>
        <v/>
      </c>
      <c r="G98" s="1720" t="s">
        <v>846</v>
      </c>
      <c r="H98" s="849"/>
      <c r="I98" s="474"/>
      <c r="J98" s="1857"/>
      <c r="K98" s="1857"/>
      <c r="L98" s="1857"/>
      <c r="M98" s="1857"/>
      <c r="N98" s="1857"/>
      <c r="O98" s="1857"/>
      <c r="P98" s="1857"/>
      <c r="Q98" s="1857"/>
      <c r="R98" s="1857"/>
      <c r="S98" s="1857"/>
      <c r="T98" s="1857"/>
      <c r="U98" s="1857"/>
      <c r="V98" s="1857"/>
      <c r="W98" s="1857"/>
      <c r="X98" s="1857"/>
      <c r="Y98" s="1857"/>
      <c r="Z98" s="1857"/>
      <c r="AA98" s="1857"/>
      <c r="AB98" s="1857"/>
      <c r="AC98" s="1857"/>
      <c r="AD98" s="1857"/>
      <c r="AE98" s="1857"/>
      <c r="AF98" s="1857"/>
      <c r="AG98" s="1857"/>
      <c r="AH98" s="1857"/>
      <c r="AI98" s="1857"/>
      <c r="AJ98" s="1857"/>
      <c r="AK98" s="1857"/>
      <c r="AL98" s="1857"/>
      <c r="AM98" s="1857"/>
      <c r="AN98" s="1857"/>
      <c r="AO98" s="1857"/>
      <c r="AP98" s="1857"/>
      <c r="AQ98" s="1857"/>
      <c r="AR98" s="1857"/>
      <c r="AS98" s="1857"/>
      <c r="AT98" s="1857"/>
      <c r="AU98" s="1857"/>
      <c r="AV98" s="1857"/>
      <c r="AW98" s="1857"/>
      <c r="AX98" s="1857"/>
      <c r="AY98" s="1857"/>
      <c r="AZ98" s="1857"/>
      <c r="BA98" s="1857"/>
      <c r="BB98" s="1857"/>
      <c r="BC98" s="1857"/>
      <c r="BD98" s="1857"/>
      <c r="BE98" s="1857"/>
      <c r="BF98" s="1857"/>
      <c r="BG98" s="1857"/>
      <c r="BH98" s="1857"/>
      <c r="BI98" s="1857"/>
      <c r="BJ98" s="1857"/>
      <c r="BK98" s="1857"/>
      <c r="BL98" s="1857"/>
      <c r="BM98" s="1857"/>
      <c r="BN98" s="1857"/>
      <c r="BO98" s="1857"/>
      <c r="BP98" s="1857"/>
      <c r="BQ98" s="1857"/>
      <c r="BR98" s="1857"/>
      <c r="BS98" s="1857"/>
      <c r="BT98" s="1857"/>
      <c r="BU98" s="1857"/>
      <c r="BV98" s="1857"/>
      <c r="BW98" s="1857"/>
      <c r="BX98" s="1857"/>
      <c r="BY98" s="1857"/>
      <c r="BZ98" s="1857"/>
      <c r="CA98" s="1857"/>
      <c r="CB98" s="1857"/>
      <c r="CC98" s="1857"/>
      <c r="CD98" s="1857"/>
      <c r="CE98" s="1857"/>
      <c r="CF98" s="1857"/>
      <c r="CG98" s="1857"/>
      <c r="CH98" s="1857"/>
      <c r="CI98" s="1857"/>
      <c r="CJ98" s="1857"/>
      <c r="CK98" s="1857"/>
      <c r="CL98" s="1857"/>
      <c r="CM98" s="1857"/>
      <c r="CN98" s="1857"/>
      <c r="CO98" s="1857"/>
      <c r="CP98" s="1857"/>
      <c r="CQ98" s="1857"/>
      <c r="CR98" s="1857"/>
      <c r="CS98" s="1857"/>
      <c r="CT98" s="1857"/>
      <c r="CU98" s="1857"/>
      <c r="CV98" s="1857"/>
      <c r="CW98" s="1857"/>
      <c r="CX98" s="201" t="str">
        <f>FHD_NOTE_P_60</f>
        <v/>
      </c>
      <c r="CY98" s="440"/>
    </row>
    <row r="99" spans="1:123" s="1903" customFormat="1" ht="18.75" customHeight="1">
      <c r="A99" s="3605" t="s">
        <v>850</v>
      </c>
      <c r="C99" s="1481"/>
      <c r="D99" s="1483"/>
      <c r="E99" s="443" t="str">
        <f>FHD_NUM_P_61</f>
        <v>7</v>
      </c>
      <c r="F99" s="1719"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17" t="s">
        <v>821</v>
      </c>
      <c r="H99" s="851"/>
      <c r="I99" s="631"/>
      <c r="J99" s="1860"/>
      <c r="K99" s="1860"/>
      <c r="L99" s="1860"/>
      <c r="M99" s="1860"/>
      <c r="N99" s="1860"/>
      <c r="O99" s="1860"/>
      <c r="P99" s="1860"/>
      <c r="Q99" s="1860"/>
      <c r="R99" s="1860"/>
      <c r="S99" s="1860"/>
      <c r="T99" s="1860"/>
      <c r="U99" s="1860"/>
      <c r="V99" s="1860"/>
      <c r="W99" s="1860"/>
      <c r="X99" s="1860"/>
      <c r="Y99" s="1860"/>
      <c r="Z99" s="1860"/>
      <c r="AA99" s="1860"/>
      <c r="AB99" s="1860"/>
      <c r="AC99" s="1860"/>
      <c r="AD99" s="1860"/>
      <c r="AE99" s="1860"/>
      <c r="AF99" s="1860"/>
      <c r="AG99" s="1860"/>
      <c r="AH99" s="1860"/>
      <c r="AI99" s="1860"/>
      <c r="AJ99" s="1860"/>
      <c r="AK99" s="1860"/>
      <c r="AL99" s="1860"/>
      <c r="AM99" s="1860"/>
      <c r="AN99" s="1860"/>
      <c r="AO99" s="1860"/>
      <c r="AP99" s="1860"/>
      <c r="AQ99" s="1860"/>
      <c r="AR99" s="1860"/>
      <c r="AS99" s="1860"/>
      <c r="AT99" s="1860"/>
      <c r="AU99" s="1860"/>
      <c r="AV99" s="1860"/>
      <c r="AW99" s="1860"/>
      <c r="AX99" s="1860"/>
      <c r="AY99" s="1860"/>
      <c r="AZ99" s="1860"/>
      <c r="BA99" s="1860"/>
      <c r="BB99" s="1860"/>
      <c r="BC99" s="1860"/>
      <c r="BD99" s="1860"/>
      <c r="BE99" s="1860"/>
      <c r="BF99" s="1860"/>
      <c r="BG99" s="1860"/>
      <c r="BH99" s="1860"/>
      <c r="BI99" s="1860"/>
      <c r="BJ99" s="1860"/>
      <c r="BK99" s="1860"/>
      <c r="BL99" s="1860"/>
      <c r="BM99" s="1860"/>
      <c r="BN99" s="1860"/>
      <c r="BO99" s="1860"/>
      <c r="BP99" s="1860"/>
      <c r="BQ99" s="1860"/>
      <c r="BR99" s="1860"/>
      <c r="BS99" s="1860"/>
      <c r="BT99" s="1860"/>
      <c r="BU99" s="1860"/>
      <c r="BV99" s="1860"/>
      <c r="BW99" s="1860"/>
      <c r="BX99" s="1860"/>
      <c r="BY99" s="1860"/>
      <c r="BZ99" s="1860"/>
      <c r="CA99" s="1860"/>
      <c r="CB99" s="1860"/>
      <c r="CC99" s="1860"/>
      <c r="CD99" s="1860"/>
      <c r="CE99" s="1860"/>
      <c r="CF99" s="1860"/>
      <c r="CG99" s="1860"/>
      <c r="CH99" s="1860"/>
      <c r="CI99" s="1860"/>
      <c r="CJ99" s="1860"/>
      <c r="CK99" s="1860"/>
      <c r="CL99" s="1860"/>
      <c r="CM99" s="1860"/>
      <c r="CN99" s="1860"/>
      <c r="CO99" s="1860"/>
      <c r="CP99" s="1860"/>
      <c r="CQ99" s="1860"/>
      <c r="CR99" s="1860"/>
      <c r="CS99" s="1860"/>
      <c r="CT99" s="1860"/>
      <c r="CU99" s="1860"/>
      <c r="CV99" s="1860"/>
      <c r="CW99" s="1860"/>
      <c r="CX99" s="201"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CY99" s="440"/>
      <c r="CZ99" s="1481"/>
      <c r="DA99" s="1481"/>
      <c r="DF99" s="1481"/>
      <c r="DI99" s="441"/>
      <c r="DO99" s="1477"/>
      <c r="DP99" s="1477"/>
      <c r="DQ99" s="1477"/>
      <c r="DR99" s="1477"/>
      <c r="DS99" s="1477"/>
    </row>
    <row r="100" spans="1:123" s="1866" customFormat="1" ht="0.75" customHeight="1">
      <c r="A100" s="3605"/>
      <c r="D100" s="445"/>
      <c r="E100" s="883" t="str">
        <f>E99&amp;".0"</f>
        <v>7.0</v>
      </c>
      <c r="F100" s="865"/>
      <c r="G100" s="866"/>
      <c r="H100" s="863"/>
      <c r="I100" s="863"/>
      <c r="J100" s="1854"/>
      <c r="K100" s="1854"/>
      <c r="L100" s="1854"/>
      <c r="M100" s="1854"/>
      <c r="N100" s="1854"/>
      <c r="O100" s="1854"/>
      <c r="P100" s="1854"/>
      <c r="Q100" s="1854"/>
      <c r="R100" s="1854"/>
      <c r="S100" s="1854"/>
      <c r="T100" s="1854"/>
      <c r="U100" s="1854"/>
      <c r="V100" s="1854"/>
      <c r="W100" s="1854"/>
      <c r="X100" s="1854"/>
      <c r="Y100" s="1854"/>
      <c r="Z100" s="1854"/>
      <c r="AA100" s="1854"/>
      <c r="AB100" s="1854"/>
      <c r="AC100" s="1854"/>
      <c r="AD100" s="1854"/>
      <c r="AE100" s="1854"/>
      <c r="AF100" s="1854"/>
      <c r="AG100" s="1854"/>
      <c r="AH100" s="1854"/>
      <c r="AI100" s="1854"/>
      <c r="AJ100" s="1854"/>
      <c r="AK100" s="1854"/>
      <c r="AL100" s="1854"/>
      <c r="AM100" s="1854"/>
      <c r="AN100" s="1854"/>
      <c r="AO100" s="1854"/>
      <c r="AP100" s="1854"/>
      <c r="AQ100" s="1854"/>
      <c r="AR100" s="1854"/>
      <c r="AS100" s="1854"/>
      <c r="AT100" s="1854"/>
      <c r="AU100" s="1854"/>
      <c r="AV100" s="1854"/>
      <c r="AW100" s="1854"/>
      <c r="AX100" s="1854"/>
      <c r="AY100" s="1854"/>
      <c r="AZ100" s="1854"/>
      <c r="BA100" s="1854"/>
      <c r="BB100" s="1854"/>
      <c r="BC100" s="1854"/>
      <c r="BD100" s="1854"/>
      <c r="BE100" s="1854"/>
      <c r="BF100" s="1854"/>
      <c r="BG100" s="1854"/>
      <c r="BH100" s="1854"/>
      <c r="BI100" s="1854"/>
      <c r="BJ100" s="1854"/>
      <c r="BK100" s="1854"/>
      <c r="BL100" s="1854"/>
      <c r="BM100" s="1854"/>
      <c r="BN100" s="1854"/>
      <c r="BO100" s="1854"/>
      <c r="BP100" s="1854"/>
      <c r="BQ100" s="1854"/>
      <c r="BR100" s="1854"/>
      <c r="BS100" s="1854"/>
      <c r="BT100" s="1854"/>
      <c r="BU100" s="1854"/>
      <c r="BV100" s="1854"/>
      <c r="BW100" s="1854"/>
      <c r="BX100" s="1854"/>
      <c r="BY100" s="1854"/>
      <c r="BZ100" s="1854"/>
      <c r="CA100" s="1854"/>
      <c r="CB100" s="1854"/>
      <c r="CC100" s="1854"/>
      <c r="CD100" s="1854"/>
      <c r="CE100" s="1854"/>
      <c r="CF100" s="1854"/>
      <c r="CG100" s="1854"/>
      <c r="CH100" s="1854"/>
      <c r="CI100" s="1854"/>
      <c r="CJ100" s="1854"/>
      <c r="CK100" s="1854"/>
      <c r="CL100" s="1854"/>
      <c r="CM100" s="1854"/>
      <c r="CN100" s="1854"/>
      <c r="CO100" s="1854"/>
      <c r="CP100" s="1854"/>
      <c r="CQ100" s="1854"/>
      <c r="CR100" s="1854"/>
      <c r="CS100" s="1854"/>
      <c r="CT100" s="1854"/>
      <c r="CU100" s="1854"/>
      <c r="CV100" s="1854"/>
      <c r="CW100" s="1854"/>
      <c r="CX100" s="867"/>
    </row>
    <row r="101" spans="1:123" ht="15" customHeight="1">
      <c r="A101" s="3605"/>
      <c r="D101" s="1478"/>
      <c r="E101" s="843"/>
      <c r="F101" s="844" t="s">
        <v>851</v>
      </c>
      <c r="G101" s="469"/>
      <c r="H101" s="470"/>
      <c r="I101" s="470"/>
      <c r="J101" s="2151"/>
      <c r="K101" s="2152"/>
      <c r="L101" s="2153"/>
      <c r="M101" s="2154"/>
      <c r="N101" s="2155"/>
      <c r="O101" s="2156"/>
      <c r="P101" s="2157"/>
      <c r="Q101" s="2158"/>
      <c r="R101" s="2159"/>
      <c r="S101" s="2160"/>
      <c r="T101" s="2161"/>
      <c r="U101" s="2162"/>
      <c r="V101" s="2163"/>
      <c r="W101" s="2164"/>
      <c r="X101" s="2165"/>
      <c r="Y101" s="2166"/>
      <c r="Z101" s="2167"/>
      <c r="AA101" s="2168"/>
      <c r="AB101" s="2169"/>
      <c r="AC101" s="2170"/>
      <c r="AD101" s="2171"/>
      <c r="AE101" s="2172"/>
      <c r="AF101" s="2173"/>
      <c r="AG101" s="2174"/>
      <c r="AH101" s="2175"/>
      <c r="AI101" s="2176"/>
      <c r="AJ101" s="2177"/>
      <c r="AK101" s="2178"/>
      <c r="AL101" s="2179"/>
      <c r="AM101" s="2180"/>
      <c r="AN101" s="2181"/>
      <c r="AO101" s="2182"/>
      <c r="AP101" s="2183"/>
      <c r="AQ101" s="2184"/>
      <c r="AR101" s="2185"/>
      <c r="AS101" s="2186"/>
      <c r="AT101" s="2187"/>
      <c r="AU101" s="2188"/>
      <c r="AV101" s="2189"/>
      <c r="AW101" s="2190"/>
      <c r="AX101" s="2191"/>
      <c r="AY101" s="2192"/>
      <c r="AZ101" s="2193"/>
      <c r="BA101" s="2194"/>
      <c r="BB101" s="2195"/>
      <c r="BC101" s="2196"/>
      <c r="BD101" s="2197"/>
      <c r="BE101" s="2198"/>
      <c r="BF101" s="2199"/>
      <c r="BG101" s="2200"/>
      <c r="BH101" s="2201"/>
      <c r="BI101" s="2202"/>
      <c r="BJ101" s="2203"/>
      <c r="BK101" s="2204"/>
      <c r="BL101" s="2205"/>
      <c r="BM101" s="2206"/>
      <c r="BN101" s="2207"/>
      <c r="BO101" s="2208"/>
      <c r="BP101" s="2209"/>
      <c r="BQ101" s="2210"/>
      <c r="BR101" s="2211"/>
      <c r="BS101" s="2212"/>
      <c r="BT101" s="2213"/>
      <c r="BU101" s="2214"/>
      <c r="BV101" s="2215"/>
      <c r="BW101" s="2216"/>
      <c r="BX101" s="2217"/>
      <c r="BY101" s="2218"/>
      <c r="BZ101" s="2219"/>
      <c r="CA101" s="2220"/>
      <c r="CB101" s="2221"/>
      <c r="CC101" s="2222"/>
      <c r="CD101" s="2223"/>
      <c r="CE101" s="2224"/>
      <c r="CF101" s="2225"/>
      <c r="CG101" s="2226"/>
      <c r="CH101" s="2227"/>
      <c r="CI101" s="2228"/>
      <c r="CJ101" s="2229"/>
      <c r="CK101" s="2230"/>
      <c r="CL101" s="2231"/>
      <c r="CM101" s="2232"/>
      <c r="CN101" s="2233"/>
      <c r="CO101" s="2234"/>
      <c r="CP101" s="2235"/>
      <c r="CQ101" s="2236"/>
      <c r="CR101" s="2237"/>
      <c r="CS101" s="2238"/>
      <c r="CT101" s="2239"/>
      <c r="CU101" s="2240"/>
      <c r="CV101" s="2241"/>
      <c r="CW101" s="2242"/>
      <c r="CX101" s="874" t="s">
        <v>852</v>
      </c>
      <c r="CY101" s="440"/>
    </row>
    <row r="102" spans="1:123" s="1903" customFormat="1" ht="18.75" customHeight="1">
      <c r="A102" s="3605"/>
      <c r="C102" s="1481"/>
      <c r="D102" s="1483"/>
      <c r="E102" s="443" t="str">
        <f>FHD_NUM_P_62</f>
        <v>8</v>
      </c>
      <c r="F102" s="1719" t="str">
        <f>FHD_P_62</f>
        <v>Тепловая нагрузка по договорам, заключенным в рамках осуществления регулируемых видов деятельности</v>
      </c>
      <c r="G102" s="1716" t="s">
        <v>821</v>
      </c>
      <c r="H102" s="454"/>
      <c r="I102" s="454"/>
      <c r="J102" s="1848"/>
      <c r="K102" s="1848"/>
      <c r="L102" s="1848"/>
      <c r="M102" s="1848"/>
      <c r="N102" s="1848"/>
      <c r="O102" s="1848"/>
      <c r="P102" s="1848"/>
      <c r="Q102" s="1848"/>
      <c r="R102" s="1848"/>
      <c r="S102" s="1848"/>
      <c r="T102" s="1848"/>
      <c r="U102" s="1848"/>
      <c r="V102" s="1848"/>
      <c r="W102" s="1848"/>
      <c r="X102" s="1848"/>
      <c r="Y102" s="1848"/>
      <c r="Z102" s="1848"/>
      <c r="AA102" s="1848"/>
      <c r="AB102" s="1848"/>
      <c r="AC102" s="1848"/>
      <c r="AD102" s="1848"/>
      <c r="AE102" s="1848"/>
      <c r="AF102" s="1848"/>
      <c r="AG102" s="1848"/>
      <c r="AH102" s="1848"/>
      <c r="AI102" s="1848"/>
      <c r="AJ102" s="1848"/>
      <c r="AK102" s="1848"/>
      <c r="AL102" s="1848"/>
      <c r="AM102" s="1848"/>
      <c r="AN102" s="1848"/>
      <c r="AO102" s="1848"/>
      <c r="AP102" s="1848"/>
      <c r="AQ102" s="1848"/>
      <c r="AR102" s="1848"/>
      <c r="AS102" s="1848"/>
      <c r="AT102" s="1848"/>
      <c r="AU102" s="1848"/>
      <c r="AV102" s="1848"/>
      <c r="AW102" s="1848"/>
      <c r="AX102" s="1848"/>
      <c r="AY102" s="1848"/>
      <c r="AZ102" s="1848"/>
      <c r="BA102" s="1848"/>
      <c r="BB102" s="1848"/>
      <c r="BC102" s="1848"/>
      <c r="BD102" s="1848"/>
      <c r="BE102" s="1848"/>
      <c r="BF102" s="1848"/>
      <c r="BG102" s="1848"/>
      <c r="BH102" s="1848"/>
      <c r="BI102" s="1848"/>
      <c r="BJ102" s="1848"/>
      <c r="BK102" s="1848"/>
      <c r="BL102" s="1848"/>
      <c r="BM102" s="1848"/>
      <c r="BN102" s="1848"/>
      <c r="BO102" s="1848"/>
      <c r="BP102" s="1848"/>
      <c r="BQ102" s="1848"/>
      <c r="BR102" s="1848"/>
      <c r="BS102" s="1848"/>
      <c r="BT102" s="1848"/>
      <c r="BU102" s="1848"/>
      <c r="BV102" s="1848"/>
      <c r="BW102" s="1848"/>
      <c r="BX102" s="1848"/>
      <c r="BY102" s="1848"/>
      <c r="BZ102" s="1848"/>
      <c r="CA102" s="1848"/>
      <c r="CB102" s="1848"/>
      <c r="CC102" s="1848"/>
      <c r="CD102" s="1848"/>
      <c r="CE102" s="1848"/>
      <c r="CF102" s="1848"/>
      <c r="CG102" s="1848"/>
      <c r="CH102" s="1848"/>
      <c r="CI102" s="1848"/>
      <c r="CJ102" s="1848"/>
      <c r="CK102" s="1848"/>
      <c r="CL102" s="1848"/>
      <c r="CM102" s="1848"/>
      <c r="CN102" s="1848"/>
      <c r="CO102" s="1848"/>
      <c r="CP102" s="1848"/>
      <c r="CQ102" s="1848"/>
      <c r="CR102" s="1848"/>
      <c r="CS102" s="1848"/>
      <c r="CT102" s="1848"/>
      <c r="CU102" s="1848"/>
      <c r="CV102" s="1848"/>
      <c r="CW102" s="1848"/>
      <c r="CX102" s="201" t="str">
        <f>FHD_NOTE_P_62</f>
        <v>Регулируемыми организациями указывается информация по договорам, заключенным в рамках осуществления регулируемых видов деятельности</v>
      </c>
      <c r="CY102" s="440"/>
      <c r="CZ102" s="1481"/>
      <c r="DA102" s="1481"/>
      <c r="DF102" s="1481"/>
      <c r="DI102" s="441"/>
      <c r="DO102" s="1477"/>
      <c r="DP102" s="1477"/>
      <c r="DQ102" s="1477"/>
      <c r="DR102" s="1477"/>
      <c r="DS102" s="1477"/>
    </row>
    <row r="103" spans="1:123" s="1903" customFormat="1" ht="18.75" customHeight="1">
      <c r="A103" s="3605"/>
      <c r="C103" s="1481"/>
      <c r="D103" s="1483"/>
      <c r="E103" s="443" t="str">
        <f>FHD_NUM_P_63</f>
        <v>9</v>
      </c>
      <c r="F103" s="1719" t="str">
        <f>FHD_P_63</f>
        <v>Объем вырабатываемой регулируемой организацией тепловой энергии в рамках осуществления регулируемых видов деятельности</v>
      </c>
      <c r="G103" s="1716" t="s">
        <v>848</v>
      </c>
      <c r="H103" s="474"/>
      <c r="I103" s="474"/>
      <c r="J103" s="1851"/>
      <c r="K103" s="1851"/>
      <c r="L103" s="1851"/>
      <c r="M103" s="1851"/>
      <c r="N103" s="1851"/>
      <c r="O103" s="1851"/>
      <c r="P103" s="1851"/>
      <c r="Q103" s="1851"/>
      <c r="R103" s="1851"/>
      <c r="S103" s="1851"/>
      <c r="T103" s="1851"/>
      <c r="U103" s="1851"/>
      <c r="V103" s="1851"/>
      <c r="W103" s="1851"/>
      <c r="X103" s="1851"/>
      <c r="Y103" s="1851"/>
      <c r="Z103" s="1851"/>
      <c r="AA103" s="1851"/>
      <c r="AB103" s="1851"/>
      <c r="AC103" s="1851"/>
      <c r="AD103" s="1851"/>
      <c r="AE103" s="1851"/>
      <c r="AF103" s="1851"/>
      <c r="AG103" s="1851"/>
      <c r="AH103" s="1851"/>
      <c r="AI103" s="1851"/>
      <c r="AJ103" s="1851"/>
      <c r="AK103" s="1851"/>
      <c r="AL103" s="1851"/>
      <c r="AM103" s="1851"/>
      <c r="AN103" s="1851"/>
      <c r="AO103" s="1851"/>
      <c r="AP103" s="1851"/>
      <c r="AQ103" s="1851"/>
      <c r="AR103" s="1851"/>
      <c r="AS103" s="1851"/>
      <c r="AT103" s="1851"/>
      <c r="AU103" s="1851"/>
      <c r="AV103" s="1851"/>
      <c r="AW103" s="1851"/>
      <c r="AX103" s="1851"/>
      <c r="AY103" s="1851"/>
      <c r="AZ103" s="1851"/>
      <c r="BA103" s="1851"/>
      <c r="BB103" s="1851"/>
      <c r="BC103" s="1851"/>
      <c r="BD103" s="1851"/>
      <c r="BE103" s="1851"/>
      <c r="BF103" s="1851"/>
      <c r="BG103" s="1851"/>
      <c r="BH103" s="1851"/>
      <c r="BI103" s="1851"/>
      <c r="BJ103" s="1851"/>
      <c r="BK103" s="1851"/>
      <c r="BL103" s="1851"/>
      <c r="BM103" s="1851"/>
      <c r="BN103" s="1851"/>
      <c r="BO103" s="1851"/>
      <c r="BP103" s="1851"/>
      <c r="BQ103" s="1851"/>
      <c r="BR103" s="1851"/>
      <c r="BS103" s="1851"/>
      <c r="BT103" s="1851"/>
      <c r="BU103" s="1851"/>
      <c r="BV103" s="1851"/>
      <c r="BW103" s="1851"/>
      <c r="BX103" s="1851"/>
      <c r="BY103" s="1851"/>
      <c r="BZ103" s="1851"/>
      <c r="CA103" s="1851"/>
      <c r="CB103" s="1851"/>
      <c r="CC103" s="1851"/>
      <c r="CD103" s="1851"/>
      <c r="CE103" s="1851"/>
      <c r="CF103" s="1851"/>
      <c r="CG103" s="1851"/>
      <c r="CH103" s="1851"/>
      <c r="CI103" s="1851"/>
      <c r="CJ103" s="1851"/>
      <c r="CK103" s="1851"/>
      <c r="CL103" s="1851"/>
      <c r="CM103" s="1851"/>
      <c r="CN103" s="1851"/>
      <c r="CO103" s="1851"/>
      <c r="CP103" s="1851"/>
      <c r="CQ103" s="1851"/>
      <c r="CR103" s="1851"/>
      <c r="CS103" s="1851"/>
      <c r="CT103" s="1851"/>
      <c r="CU103" s="1851"/>
      <c r="CV103" s="1851"/>
      <c r="CW103" s="1851"/>
      <c r="CX103" s="201"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CY103" s="440"/>
      <c r="CZ103" s="1481"/>
      <c r="DA103" s="1481"/>
      <c r="DF103" s="1481"/>
      <c r="DI103" s="441"/>
      <c r="DO103" s="1477"/>
      <c r="DP103" s="1477"/>
      <c r="DQ103" s="1477"/>
      <c r="DR103" s="1477"/>
      <c r="DS103" s="1477"/>
    </row>
    <row r="104" spans="1:123" s="1903" customFormat="1" ht="18.75" customHeight="1">
      <c r="A104" s="3605"/>
      <c r="C104" s="1481" t="s">
        <v>853</v>
      </c>
      <c r="D104" s="1483"/>
      <c r="E104" s="443" t="str">
        <f>FHD_NUM_P_64</f>
        <v>9.1</v>
      </c>
      <c r="F104" s="1719" t="str">
        <f>FHD_P_64</f>
        <v>Объем приобретаемой регулируемой организацией тепловой энергии в рамках осуществления регулируемых видов деятельности</v>
      </c>
      <c r="G104" s="1716" t="s">
        <v>848</v>
      </c>
      <c r="H104" s="442"/>
      <c r="I104" s="442"/>
      <c r="J104" s="1846"/>
      <c r="K104" s="1846"/>
      <c r="L104" s="1846"/>
      <c r="M104" s="1846"/>
      <c r="N104" s="1846"/>
      <c r="O104" s="1846"/>
      <c r="P104" s="1846"/>
      <c r="Q104" s="1846"/>
      <c r="R104" s="1846"/>
      <c r="S104" s="1846"/>
      <c r="T104" s="1846"/>
      <c r="U104" s="1846"/>
      <c r="V104" s="1846"/>
      <c r="W104" s="1846"/>
      <c r="X104" s="1846"/>
      <c r="Y104" s="1846"/>
      <c r="Z104" s="1846"/>
      <c r="AA104" s="1846"/>
      <c r="AB104" s="1846"/>
      <c r="AC104" s="1846"/>
      <c r="AD104" s="1846"/>
      <c r="AE104" s="1846"/>
      <c r="AF104" s="1846"/>
      <c r="AG104" s="1846"/>
      <c r="AH104" s="1846"/>
      <c r="AI104" s="1846"/>
      <c r="AJ104" s="1846"/>
      <c r="AK104" s="1846"/>
      <c r="AL104" s="1846"/>
      <c r="AM104" s="1846"/>
      <c r="AN104" s="1846"/>
      <c r="AO104" s="1846"/>
      <c r="AP104" s="1846"/>
      <c r="AQ104" s="1846"/>
      <c r="AR104" s="1846"/>
      <c r="AS104" s="1846"/>
      <c r="AT104" s="1846"/>
      <c r="AU104" s="1846"/>
      <c r="AV104" s="1846"/>
      <c r="AW104" s="1846"/>
      <c r="AX104" s="1846"/>
      <c r="AY104" s="1846"/>
      <c r="AZ104" s="1846"/>
      <c r="BA104" s="1846"/>
      <c r="BB104" s="1846"/>
      <c r="BC104" s="1846"/>
      <c r="BD104" s="1846"/>
      <c r="BE104" s="1846"/>
      <c r="BF104" s="1846"/>
      <c r="BG104" s="1846"/>
      <c r="BH104" s="1846"/>
      <c r="BI104" s="1846"/>
      <c r="BJ104" s="1846"/>
      <c r="BK104" s="1846"/>
      <c r="BL104" s="1846"/>
      <c r="BM104" s="1846"/>
      <c r="BN104" s="1846"/>
      <c r="BO104" s="1846"/>
      <c r="BP104" s="1846"/>
      <c r="BQ104" s="1846"/>
      <c r="BR104" s="1846"/>
      <c r="BS104" s="1846"/>
      <c r="BT104" s="1846"/>
      <c r="BU104" s="1846"/>
      <c r="BV104" s="1846"/>
      <c r="BW104" s="1846"/>
      <c r="BX104" s="1846"/>
      <c r="BY104" s="1846"/>
      <c r="BZ104" s="1846"/>
      <c r="CA104" s="1846"/>
      <c r="CB104" s="1846"/>
      <c r="CC104" s="1846"/>
      <c r="CD104" s="1846"/>
      <c r="CE104" s="1846"/>
      <c r="CF104" s="1846"/>
      <c r="CG104" s="1846"/>
      <c r="CH104" s="1846"/>
      <c r="CI104" s="1846"/>
      <c r="CJ104" s="1846"/>
      <c r="CK104" s="1846"/>
      <c r="CL104" s="1846"/>
      <c r="CM104" s="1846"/>
      <c r="CN104" s="1846"/>
      <c r="CO104" s="1846"/>
      <c r="CP104" s="1846"/>
      <c r="CQ104" s="1846"/>
      <c r="CR104" s="1846"/>
      <c r="CS104" s="1846"/>
      <c r="CT104" s="1846"/>
      <c r="CU104" s="1846"/>
      <c r="CV104" s="1846"/>
      <c r="CW104" s="1846"/>
      <c r="CX104" s="201" t="str">
        <f>FHD_NOTE_P_64</f>
        <v>Информация указывается только едиными теплоснабжающими организациями.</v>
      </c>
      <c r="CY104" s="440"/>
      <c r="CZ104" s="1481"/>
      <c r="DA104" s="1481"/>
      <c r="DF104" s="1481"/>
      <c r="DI104" s="441"/>
      <c r="DO104" s="1477"/>
      <c r="DP104" s="1477"/>
      <c r="DQ104" s="1477"/>
      <c r="DR104" s="1477"/>
      <c r="DS104" s="1477"/>
    </row>
    <row r="105" spans="1:123" s="1903" customFormat="1" ht="18.75" customHeight="1">
      <c r="A105" s="3605"/>
      <c r="C105" s="1481"/>
      <c r="D105" s="1483"/>
      <c r="E105" s="443" t="str">
        <f>FHD_NUM_P_65</f>
        <v>10</v>
      </c>
      <c r="F105" s="1719"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16" t="s">
        <v>848</v>
      </c>
      <c r="H105" s="474"/>
      <c r="I105" s="474"/>
      <c r="J105" s="1851"/>
      <c r="K105" s="1851"/>
      <c r="L105" s="1851"/>
      <c r="M105" s="1851"/>
      <c r="N105" s="1851"/>
      <c r="O105" s="1851"/>
      <c r="P105" s="1851"/>
      <c r="Q105" s="1851"/>
      <c r="R105" s="1851"/>
      <c r="S105" s="1851"/>
      <c r="T105" s="1851"/>
      <c r="U105" s="1851"/>
      <c r="V105" s="1851"/>
      <c r="W105" s="1851"/>
      <c r="X105" s="1851"/>
      <c r="Y105" s="1851"/>
      <c r="Z105" s="1851"/>
      <c r="AA105" s="1851"/>
      <c r="AB105" s="1851"/>
      <c r="AC105" s="1851"/>
      <c r="AD105" s="1851"/>
      <c r="AE105" s="1851"/>
      <c r="AF105" s="1851"/>
      <c r="AG105" s="1851"/>
      <c r="AH105" s="1851"/>
      <c r="AI105" s="1851"/>
      <c r="AJ105" s="1851"/>
      <c r="AK105" s="1851"/>
      <c r="AL105" s="1851"/>
      <c r="AM105" s="1851"/>
      <c r="AN105" s="1851"/>
      <c r="AO105" s="1851"/>
      <c r="AP105" s="1851"/>
      <c r="AQ105" s="1851"/>
      <c r="AR105" s="1851"/>
      <c r="AS105" s="1851"/>
      <c r="AT105" s="1851"/>
      <c r="AU105" s="1851"/>
      <c r="AV105" s="1851"/>
      <c r="AW105" s="1851"/>
      <c r="AX105" s="1851"/>
      <c r="AY105" s="1851"/>
      <c r="AZ105" s="1851"/>
      <c r="BA105" s="1851"/>
      <c r="BB105" s="1851"/>
      <c r="BC105" s="1851"/>
      <c r="BD105" s="1851"/>
      <c r="BE105" s="1851"/>
      <c r="BF105" s="1851"/>
      <c r="BG105" s="1851"/>
      <c r="BH105" s="1851"/>
      <c r="BI105" s="1851"/>
      <c r="BJ105" s="1851"/>
      <c r="BK105" s="1851"/>
      <c r="BL105" s="1851"/>
      <c r="BM105" s="1851"/>
      <c r="BN105" s="1851"/>
      <c r="BO105" s="1851"/>
      <c r="BP105" s="1851"/>
      <c r="BQ105" s="1851"/>
      <c r="BR105" s="1851"/>
      <c r="BS105" s="1851"/>
      <c r="BT105" s="1851"/>
      <c r="BU105" s="1851"/>
      <c r="BV105" s="1851"/>
      <c r="BW105" s="1851"/>
      <c r="BX105" s="1851"/>
      <c r="BY105" s="1851"/>
      <c r="BZ105" s="1851"/>
      <c r="CA105" s="1851"/>
      <c r="CB105" s="1851"/>
      <c r="CC105" s="1851"/>
      <c r="CD105" s="1851"/>
      <c r="CE105" s="1851"/>
      <c r="CF105" s="1851"/>
      <c r="CG105" s="1851"/>
      <c r="CH105" s="1851"/>
      <c r="CI105" s="1851"/>
      <c r="CJ105" s="1851"/>
      <c r="CK105" s="1851"/>
      <c r="CL105" s="1851"/>
      <c r="CM105" s="1851"/>
      <c r="CN105" s="1851"/>
      <c r="CO105" s="1851"/>
      <c r="CP105" s="1851"/>
      <c r="CQ105" s="1851"/>
      <c r="CR105" s="1851"/>
      <c r="CS105" s="1851"/>
      <c r="CT105" s="1851"/>
      <c r="CU105" s="1851"/>
      <c r="CV105" s="1851"/>
      <c r="CW105" s="1851"/>
      <c r="CX105" s="201"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CY105" s="440"/>
      <c r="CZ105" s="1481"/>
      <c r="DA105" s="1481"/>
      <c r="DF105" s="1481"/>
      <c r="DI105" s="441"/>
      <c r="DO105" s="1477"/>
      <c r="DP105" s="1477"/>
      <c r="DQ105" s="1477"/>
      <c r="DR105" s="1477"/>
      <c r="DS105" s="1477"/>
    </row>
    <row r="106" spans="1:123" s="1903" customFormat="1" ht="18.75" customHeight="1">
      <c r="A106" s="3605"/>
      <c r="C106" s="1481"/>
      <c r="D106" s="1483"/>
      <c r="E106" s="443" t="str">
        <f>FHD_NUM_P_66</f>
        <v>10.1</v>
      </c>
      <c r="F106" s="1379" t="str">
        <f>FHD_P_66</f>
        <v xml:space="preserve">По приборам учёта </v>
      </c>
      <c r="G106" s="1716" t="s">
        <v>848</v>
      </c>
      <c r="H106" s="474"/>
      <c r="I106" s="474"/>
      <c r="J106" s="1851"/>
      <c r="K106" s="1851"/>
      <c r="L106" s="1851"/>
      <c r="M106" s="1851"/>
      <c r="N106" s="1851"/>
      <c r="O106" s="1851"/>
      <c r="P106" s="1851"/>
      <c r="Q106" s="1851"/>
      <c r="R106" s="1851"/>
      <c r="S106" s="1851"/>
      <c r="T106" s="1851"/>
      <c r="U106" s="1851"/>
      <c r="V106" s="1851"/>
      <c r="W106" s="1851"/>
      <c r="X106" s="1851"/>
      <c r="Y106" s="1851"/>
      <c r="Z106" s="1851"/>
      <c r="AA106" s="1851"/>
      <c r="AB106" s="1851"/>
      <c r="AC106" s="1851"/>
      <c r="AD106" s="1851"/>
      <c r="AE106" s="1851"/>
      <c r="AF106" s="1851"/>
      <c r="AG106" s="1851"/>
      <c r="AH106" s="1851"/>
      <c r="AI106" s="1851"/>
      <c r="AJ106" s="1851"/>
      <c r="AK106" s="1851"/>
      <c r="AL106" s="1851"/>
      <c r="AM106" s="1851"/>
      <c r="AN106" s="1851"/>
      <c r="AO106" s="1851"/>
      <c r="AP106" s="1851"/>
      <c r="AQ106" s="1851"/>
      <c r="AR106" s="1851"/>
      <c r="AS106" s="1851"/>
      <c r="AT106" s="1851"/>
      <c r="AU106" s="1851"/>
      <c r="AV106" s="1851"/>
      <c r="AW106" s="1851"/>
      <c r="AX106" s="1851"/>
      <c r="AY106" s="1851"/>
      <c r="AZ106" s="1851"/>
      <c r="BA106" s="1851"/>
      <c r="BB106" s="1851"/>
      <c r="BC106" s="1851"/>
      <c r="BD106" s="1851"/>
      <c r="BE106" s="1851"/>
      <c r="BF106" s="1851"/>
      <c r="BG106" s="1851"/>
      <c r="BH106" s="1851"/>
      <c r="BI106" s="1851"/>
      <c r="BJ106" s="1851"/>
      <c r="BK106" s="1851"/>
      <c r="BL106" s="1851"/>
      <c r="BM106" s="1851"/>
      <c r="BN106" s="1851"/>
      <c r="BO106" s="1851"/>
      <c r="BP106" s="1851"/>
      <c r="BQ106" s="1851"/>
      <c r="BR106" s="1851"/>
      <c r="BS106" s="1851"/>
      <c r="BT106" s="1851"/>
      <c r="BU106" s="1851"/>
      <c r="BV106" s="1851"/>
      <c r="BW106" s="1851"/>
      <c r="BX106" s="1851"/>
      <c r="BY106" s="1851"/>
      <c r="BZ106" s="1851"/>
      <c r="CA106" s="1851"/>
      <c r="CB106" s="1851"/>
      <c r="CC106" s="1851"/>
      <c r="CD106" s="1851"/>
      <c r="CE106" s="1851"/>
      <c r="CF106" s="1851"/>
      <c r="CG106" s="1851"/>
      <c r="CH106" s="1851"/>
      <c r="CI106" s="1851"/>
      <c r="CJ106" s="1851"/>
      <c r="CK106" s="1851"/>
      <c r="CL106" s="1851"/>
      <c r="CM106" s="1851"/>
      <c r="CN106" s="1851"/>
      <c r="CO106" s="1851"/>
      <c r="CP106" s="1851"/>
      <c r="CQ106" s="1851"/>
      <c r="CR106" s="1851"/>
      <c r="CS106" s="1851"/>
      <c r="CT106" s="1851"/>
      <c r="CU106" s="1851"/>
      <c r="CV106" s="1851"/>
      <c r="CW106" s="1851"/>
      <c r="CX106" s="201" t="str">
        <f>FHD_NOTE_P_66</f>
        <v/>
      </c>
      <c r="CY106" s="440"/>
      <c r="CZ106" s="1481"/>
      <c r="DA106" s="1481"/>
      <c r="DF106" s="1481"/>
      <c r="DI106" s="441"/>
      <c r="DO106" s="1477"/>
      <c r="DP106" s="1477"/>
      <c r="DQ106" s="1477"/>
      <c r="DR106" s="1477"/>
      <c r="DS106" s="1477"/>
    </row>
    <row r="107" spans="1:123" s="1903" customFormat="1" ht="18.75" customHeight="1">
      <c r="A107" s="3605"/>
      <c r="C107" s="1481"/>
      <c r="D107" s="1483"/>
      <c r="E107" s="443" t="str">
        <f>FHD_NUM_P_67</f>
        <v>10.1.1</v>
      </c>
      <c r="F107" s="149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16" t="s">
        <v>848</v>
      </c>
      <c r="H107" s="474"/>
      <c r="I107" s="474"/>
      <c r="J107" s="1851"/>
      <c r="K107" s="1851"/>
      <c r="L107" s="1851"/>
      <c r="M107" s="1851"/>
      <c r="N107" s="1851"/>
      <c r="O107" s="1851"/>
      <c r="P107" s="1851"/>
      <c r="Q107" s="1851"/>
      <c r="R107" s="1851"/>
      <c r="S107" s="1851"/>
      <c r="T107" s="1851"/>
      <c r="U107" s="1851"/>
      <c r="V107" s="1851"/>
      <c r="W107" s="1851"/>
      <c r="X107" s="1851"/>
      <c r="Y107" s="1851"/>
      <c r="Z107" s="1851"/>
      <c r="AA107" s="1851"/>
      <c r="AB107" s="1851"/>
      <c r="AC107" s="1851"/>
      <c r="AD107" s="1851"/>
      <c r="AE107" s="1851"/>
      <c r="AF107" s="1851"/>
      <c r="AG107" s="1851"/>
      <c r="AH107" s="1851"/>
      <c r="AI107" s="1851"/>
      <c r="AJ107" s="1851"/>
      <c r="AK107" s="1851"/>
      <c r="AL107" s="1851"/>
      <c r="AM107" s="1851"/>
      <c r="AN107" s="1851"/>
      <c r="AO107" s="1851"/>
      <c r="AP107" s="1851"/>
      <c r="AQ107" s="1851"/>
      <c r="AR107" s="1851"/>
      <c r="AS107" s="1851"/>
      <c r="AT107" s="1851"/>
      <c r="AU107" s="1851"/>
      <c r="AV107" s="1851"/>
      <c r="AW107" s="1851"/>
      <c r="AX107" s="1851"/>
      <c r="AY107" s="1851"/>
      <c r="AZ107" s="1851"/>
      <c r="BA107" s="1851"/>
      <c r="BB107" s="1851"/>
      <c r="BC107" s="1851"/>
      <c r="BD107" s="1851"/>
      <c r="BE107" s="1851"/>
      <c r="BF107" s="1851"/>
      <c r="BG107" s="1851"/>
      <c r="BH107" s="1851"/>
      <c r="BI107" s="1851"/>
      <c r="BJ107" s="1851"/>
      <c r="BK107" s="1851"/>
      <c r="BL107" s="1851"/>
      <c r="BM107" s="1851"/>
      <c r="BN107" s="1851"/>
      <c r="BO107" s="1851"/>
      <c r="BP107" s="1851"/>
      <c r="BQ107" s="1851"/>
      <c r="BR107" s="1851"/>
      <c r="BS107" s="1851"/>
      <c r="BT107" s="1851"/>
      <c r="BU107" s="1851"/>
      <c r="BV107" s="1851"/>
      <c r="BW107" s="1851"/>
      <c r="BX107" s="1851"/>
      <c r="BY107" s="1851"/>
      <c r="BZ107" s="1851"/>
      <c r="CA107" s="1851"/>
      <c r="CB107" s="1851"/>
      <c r="CC107" s="1851"/>
      <c r="CD107" s="1851"/>
      <c r="CE107" s="1851"/>
      <c r="CF107" s="1851"/>
      <c r="CG107" s="1851"/>
      <c r="CH107" s="1851"/>
      <c r="CI107" s="1851"/>
      <c r="CJ107" s="1851"/>
      <c r="CK107" s="1851"/>
      <c r="CL107" s="1851"/>
      <c r="CM107" s="1851"/>
      <c r="CN107" s="1851"/>
      <c r="CO107" s="1851"/>
      <c r="CP107" s="1851"/>
      <c r="CQ107" s="1851"/>
      <c r="CR107" s="1851"/>
      <c r="CS107" s="1851"/>
      <c r="CT107" s="1851"/>
      <c r="CU107" s="1851"/>
      <c r="CV107" s="1851"/>
      <c r="CW107" s="1851"/>
      <c r="CX107" s="201" t="str">
        <f>FHD_NOTE_P_67</f>
        <v/>
      </c>
      <c r="CY107" s="440"/>
      <c r="CZ107" s="1481"/>
      <c r="DA107" s="1481"/>
      <c r="DF107" s="1481"/>
      <c r="DI107" s="441"/>
      <c r="DO107" s="1477"/>
      <c r="DP107" s="1477"/>
      <c r="DQ107" s="1477"/>
      <c r="DR107" s="1477"/>
      <c r="DS107" s="1477"/>
    </row>
    <row r="108" spans="1:123" s="1903" customFormat="1" ht="18.75" customHeight="1">
      <c r="A108" s="3605"/>
      <c r="C108" s="1481"/>
      <c r="D108" s="1483"/>
      <c r="E108" s="443" t="str">
        <f>FHD_NUM_P_68</f>
        <v>10.2</v>
      </c>
      <c r="F108" s="1379" t="str">
        <f>FHD_P_68</f>
        <v>Расчётным путём</v>
      </c>
      <c r="G108" s="1716" t="s">
        <v>848</v>
      </c>
      <c r="H108" s="474"/>
      <c r="I108" s="474"/>
      <c r="J108" s="1851"/>
      <c r="K108" s="1851"/>
      <c r="L108" s="1851"/>
      <c r="M108" s="1851"/>
      <c r="N108" s="1851"/>
      <c r="O108" s="1851"/>
      <c r="P108" s="1851"/>
      <c r="Q108" s="1851"/>
      <c r="R108" s="1851"/>
      <c r="S108" s="1851"/>
      <c r="T108" s="1851"/>
      <c r="U108" s="1851"/>
      <c r="V108" s="1851"/>
      <c r="W108" s="1851"/>
      <c r="X108" s="1851"/>
      <c r="Y108" s="1851"/>
      <c r="Z108" s="1851"/>
      <c r="AA108" s="1851"/>
      <c r="AB108" s="1851"/>
      <c r="AC108" s="1851"/>
      <c r="AD108" s="1851"/>
      <c r="AE108" s="1851"/>
      <c r="AF108" s="1851"/>
      <c r="AG108" s="1851"/>
      <c r="AH108" s="1851"/>
      <c r="AI108" s="1851"/>
      <c r="AJ108" s="1851"/>
      <c r="AK108" s="1851"/>
      <c r="AL108" s="1851"/>
      <c r="AM108" s="1851"/>
      <c r="AN108" s="1851"/>
      <c r="AO108" s="1851"/>
      <c r="AP108" s="1851"/>
      <c r="AQ108" s="1851"/>
      <c r="AR108" s="1851"/>
      <c r="AS108" s="1851"/>
      <c r="AT108" s="1851"/>
      <c r="AU108" s="1851"/>
      <c r="AV108" s="1851"/>
      <c r="AW108" s="1851"/>
      <c r="AX108" s="1851"/>
      <c r="AY108" s="1851"/>
      <c r="AZ108" s="1851"/>
      <c r="BA108" s="1851"/>
      <c r="BB108" s="1851"/>
      <c r="BC108" s="1851"/>
      <c r="BD108" s="1851"/>
      <c r="BE108" s="1851"/>
      <c r="BF108" s="1851"/>
      <c r="BG108" s="1851"/>
      <c r="BH108" s="1851"/>
      <c r="BI108" s="1851"/>
      <c r="BJ108" s="1851"/>
      <c r="BK108" s="1851"/>
      <c r="BL108" s="1851"/>
      <c r="BM108" s="1851"/>
      <c r="BN108" s="1851"/>
      <c r="BO108" s="1851"/>
      <c r="BP108" s="1851"/>
      <c r="BQ108" s="1851"/>
      <c r="BR108" s="1851"/>
      <c r="BS108" s="1851"/>
      <c r="BT108" s="1851"/>
      <c r="BU108" s="1851"/>
      <c r="BV108" s="1851"/>
      <c r="BW108" s="1851"/>
      <c r="BX108" s="1851"/>
      <c r="BY108" s="1851"/>
      <c r="BZ108" s="1851"/>
      <c r="CA108" s="1851"/>
      <c r="CB108" s="1851"/>
      <c r="CC108" s="1851"/>
      <c r="CD108" s="1851"/>
      <c r="CE108" s="1851"/>
      <c r="CF108" s="1851"/>
      <c r="CG108" s="1851"/>
      <c r="CH108" s="1851"/>
      <c r="CI108" s="1851"/>
      <c r="CJ108" s="1851"/>
      <c r="CK108" s="1851"/>
      <c r="CL108" s="1851"/>
      <c r="CM108" s="1851"/>
      <c r="CN108" s="1851"/>
      <c r="CO108" s="1851"/>
      <c r="CP108" s="1851"/>
      <c r="CQ108" s="1851"/>
      <c r="CR108" s="1851"/>
      <c r="CS108" s="1851"/>
      <c r="CT108" s="1851"/>
      <c r="CU108" s="1851"/>
      <c r="CV108" s="1851"/>
      <c r="CW108" s="1851"/>
      <c r="CX108" s="201" t="str">
        <f>FHD_NOTE_P_68</f>
        <v/>
      </c>
      <c r="CY108" s="440"/>
      <c r="CZ108" s="1481"/>
      <c r="DA108" s="1481"/>
      <c r="DF108" s="1481"/>
      <c r="DI108" s="441"/>
      <c r="DO108" s="1477"/>
      <c r="DP108" s="1477"/>
      <c r="DQ108" s="1477"/>
      <c r="DR108" s="1477"/>
      <c r="DS108" s="1477"/>
    </row>
    <row r="109" spans="1:123" s="1903" customFormat="1" ht="18.75" customHeight="1">
      <c r="A109" s="3605"/>
      <c r="C109" s="1481"/>
      <c r="D109" s="1483"/>
      <c r="E109" s="443" t="str">
        <f>FHD_NUM_P_69</f>
        <v>10.3</v>
      </c>
      <c r="F109" s="1379" t="str">
        <f>FHD_P_69</f>
        <v>По нормативам потребления коммунальных услуг и нормативам потребления коммунальных ресурсов</v>
      </c>
      <c r="G109" s="1716" t="s">
        <v>848</v>
      </c>
      <c r="H109" s="474"/>
      <c r="I109" s="474"/>
      <c r="J109" s="1851"/>
      <c r="K109" s="1851"/>
      <c r="L109" s="1851"/>
      <c r="M109" s="1851"/>
      <c r="N109" s="1851"/>
      <c r="O109" s="1851"/>
      <c r="P109" s="1851"/>
      <c r="Q109" s="1851"/>
      <c r="R109" s="1851"/>
      <c r="S109" s="1851"/>
      <c r="T109" s="1851"/>
      <c r="U109" s="1851"/>
      <c r="V109" s="1851"/>
      <c r="W109" s="1851"/>
      <c r="X109" s="1851"/>
      <c r="Y109" s="1851"/>
      <c r="Z109" s="1851"/>
      <c r="AA109" s="1851"/>
      <c r="AB109" s="1851"/>
      <c r="AC109" s="1851"/>
      <c r="AD109" s="1851"/>
      <c r="AE109" s="1851"/>
      <c r="AF109" s="1851"/>
      <c r="AG109" s="1851"/>
      <c r="AH109" s="1851"/>
      <c r="AI109" s="1851"/>
      <c r="AJ109" s="1851"/>
      <c r="AK109" s="1851"/>
      <c r="AL109" s="1851"/>
      <c r="AM109" s="1851"/>
      <c r="AN109" s="1851"/>
      <c r="AO109" s="1851"/>
      <c r="AP109" s="1851"/>
      <c r="AQ109" s="1851"/>
      <c r="AR109" s="1851"/>
      <c r="AS109" s="1851"/>
      <c r="AT109" s="1851"/>
      <c r="AU109" s="1851"/>
      <c r="AV109" s="1851"/>
      <c r="AW109" s="1851"/>
      <c r="AX109" s="1851"/>
      <c r="AY109" s="1851"/>
      <c r="AZ109" s="1851"/>
      <c r="BA109" s="1851"/>
      <c r="BB109" s="1851"/>
      <c r="BC109" s="1851"/>
      <c r="BD109" s="1851"/>
      <c r="BE109" s="1851"/>
      <c r="BF109" s="1851"/>
      <c r="BG109" s="1851"/>
      <c r="BH109" s="1851"/>
      <c r="BI109" s="1851"/>
      <c r="BJ109" s="1851"/>
      <c r="BK109" s="1851"/>
      <c r="BL109" s="1851"/>
      <c r="BM109" s="1851"/>
      <c r="BN109" s="1851"/>
      <c r="BO109" s="1851"/>
      <c r="BP109" s="1851"/>
      <c r="BQ109" s="1851"/>
      <c r="BR109" s="1851"/>
      <c r="BS109" s="1851"/>
      <c r="BT109" s="1851"/>
      <c r="BU109" s="1851"/>
      <c r="BV109" s="1851"/>
      <c r="BW109" s="1851"/>
      <c r="BX109" s="1851"/>
      <c r="BY109" s="1851"/>
      <c r="BZ109" s="1851"/>
      <c r="CA109" s="1851"/>
      <c r="CB109" s="1851"/>
      <c r="CC109" s="1851"/>
      <c r="CD109" s="1851"/>
      <c r="CE109" s="1851"/>
      <c r="CF109" s="1851"/>
      <c r="CG109" s="1851"/>
      <c r="CH109" s="1851"/>
      <c r="CI109" s="1851"/>
      <c r="CJ109" s="1851"/>
      <c r="CK109" s="1851"/>
      <c r="CL109" s="1851"/>
      <c r="CM109" s="1851"/>
      <c r="CN109" s="1851"/>
      <c r="CO109" s="1851"/>
      <c r="CP109" s="1851"/>
      <c r="CQ109" s="1851"/>
      <c r="CR109" s="1851"/>
      <c r="CS109" s="1851"/>
      <c r="CT109" s="1851"/>
      <c r="CU109" s="1851"/>
      <c r="CV109" s="1851"/>
      <c r="CW109" s="1851"/>
      <c r="CX109" s="201" t="str">
        <f>FHD_NOTE_P_69</f>
        <v/>
      </c>
      <c r="CY109" s="440"/>
      <c r="CZ109" s="1481"/>
      <c r="DA109" s="1481"/>
      <c r="DF109" s="1481"/>
      <c r="DI109" s="441"/>
      <c r="DO109" s="1477"/>
      <c r="DP109" s="1477"/>
      <c r="DQ109" s="1477"/>
      <c r="DR109" s="1477"/>
      <c r="DS109" s="1477"/>
    </row>
    <row r="110" spans="1:123" s="1903" customFormat="1" ht="22.5" customHeight="1">
      <c r="A110" s="3605"/>
      <c r="C110" s="1481"/>
      <c r="D110" s="1483"/>
      <c r="E110" s="443" t="str">
        <f>FHD_NUM_P_70</f>
        <v>11</v>
      </c>
      <c r="F110" s="1719"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16" t="s">
        <v>854</v>
      </c>
      <c r="H110" s="454"/>
      <c r="I110" s="454"/>
      <c r="J110" s="1848"/>
      <c r="K110" s="1848"/>
      <c r="L110" s="1848"/>
      <c r="M110" s="1848"/>
      <c r="N110" s="1848"/>
      <c r="O110" s="1848"/>
      <c r="P110" s="1848"/>
      <c r="Q110" s="1848"/>
      <c r="R110" s="1848"/>
      <c r="S110" s="1848"/>
      <c r="T110" s="1848"/>
      <c r="U110" s="1848"/>
      <c r="V110" s="1848"/>
      <c r="W110" s="1848"/>
      <c r="X110" s="1848"/>
      <c r="Y110" s="1848"/>
      <c r="Z110" s="1848"/>
      <c r="AA110" s="1848"/>
      <c r="AB110" s="1848"/>
      <c r="AC110" s="1848"/>
      <c r="AD110" s="1848"/>
      <c r="AE110" s="1848"/>
      <c r="AF110" s="1848"/>
      <c r="AG110" s="1848"/>
      <c r="AH110" s="1848"/>
      <c r="AI110" s="1848"/>
      <c r="AJ110" s="1848"/>
      <c r="AK110" s="1848"/>
      <c r="AL110" s="1848"/>
      <c r="AM110" s="1848"/>
      <c r="AN110" s="1848"/>
      <c r="AO110" s="1848"/>
      <c r="AP110" s="1848"/>
      <c r="AQ110" s="1848"/>
      <c r="AR110" s="1848"/>
      <c r="AS110" s="1848"/>
      <c r="AT110" s="1848"/>
      <c r="AU110" s="1848"/>
      <c r="AV110" s="1848"/>
      <c r="AW110" s="1848"/>
      <c r="AX110" s="1848"/>
      <c r="AY110" s="1848"/>
      <c r="AZ110" s="1848"/>
      <c r="BA110" s="1848"/>
      <c r="BB110" s="1848"/>
      <c r="BC110" s="1848"/>
      <c r="BD110" s="1848"/>
      <c r="BE110" s="1848"/>
      <c r="BF110" s="1848"/>
      <c r="BG110" s="1848"/>
      <c r="BH110" s="1848"/>
      <c r="BI110" s="1848"/>
      <c r="BJ110" s="1848"/>
      <c r="BK110" s="1848"/>
      <c r="BL110" s="1848"/>
      <c r="BM110" s="1848"/>
      <c r="BN110" s="1848"/>
      <c r="BO110" s="1848"/>
      <c r="BP110" s="1848"/>
      <c r="BQ110" s="1848"/>
      <c r="BR110" s="1848"/>
      <c r="BS110" s="1848"/>
      <c r="BT110" s="1848"/>
      <c r="BU110" s="1848"/>
      <c r="BV110" s="1848"/>
      <c r="BW110" s="1848"/>
      <c r="BX110" s="1848"/>
      <c r="BY110" s="1848"/>
      <c r="BZ110" s="1848"/>
      <c r="CA110" s="1848"/>
      <c r="CB110" s="1848"/>
      <c r="CC110" s="1848"/>
      <c r="CD110" s="1848"/>
      <c r="CE110" s="1848"/>
      <c r="CF110" s="1848"/>
      <c r="CG110" s="1848"/>
      <c r="CH110" s="1848"/>
      <c r="CI110" s="1848"/>
      <c r="CJ110" s="1848"/>
      <c r="CK110" s="1848"/>
      <c r="CL110" s="1848"/>
      <c r="CM110" s="1848"/>
      <c r="CN110" s="1848"/>
      <c r="CO110" s="1848"/>
      <c r="CP110" s="1848"/>
      <c r="CQ110" s="1848"/>
      <c r="CR110" s="1848"/>
      <c r="CS110" s="1848"/>
      <c r="CT110" s="1848"/>
      <c r="CU110" s="1848"/>
      <c r="CV110" s="1848"/>
      <c r="CW110" s="1848"/>
      <c r="CX110" s="201" t="str">
        <f>FHD_NOTE_P_70</f>
        <v/>
      </c>
      <c r="CY110" s="440"/>
      <c r="CZ110" s="1481"/>
      <c r="DA110" s="1481"/>
      <c r="DF110" s="1481"/>
      <c r="DI110" s="441"/>
      <c r="DO110" s="1477"/>
      <c r="DP110" s="1477"/>
      <c r="DQ110" s="1477"/>
      <c r="DR110" s="1477"/>
      <c r="DS110" s="1477"/>
    </row>
    <row r="111" spans="1:123" s="1903" customFormat="1" ht="22.5" customHeight="1">
      <c r="A111" s="3605"/>
      <c r="C111" s="1481"/>
      <c r="D111" s="1483"/>
      <c r="E111" s="443" t="str">
        <f>FHD_NUM_P_71</f>
        <v>12</v>
      </c>
      <c r="F111" s="1719" t="str">
        <f>FHD_P_71</f>
        <v>Фактический объем потерь при передаче тепловой энергии</v>
      </c>
      <c r="G111" s="1716" t="s">
        <v>854</v>
      </c>
      <c r="H111" s="454"/>
      <c r="I111" s="454"/>
      <c r="J111" s="1848"/>
      <c r="K111" s="1848"/>
      <c r="L111" s="1848"/>
      <c r="M111" s="1848"/>
      <c r="N111" s="1848"/>
      <c r="O111" s="1848"/>
      <c r="P111" s="1848"/>
      <c r="Q111" s="1848"/>
      <c r="R111" s="1848"/>
      <c r="S111" s="1848"/>
      <c r="T111" s="1848"/>
      <c r="U111" s="1848"/>
      <c r="V111" s="1848"/>
      <c r="W111" s="1848"/>
      <c r="X111" s="1848"/>
      <c r="Y111" s="1848"/>
      <c r="Z111" s="1848"/>
      <c r="AA111" s="1848"/>
      <c r="AB111" s="1848"/>
      <c r="AC111" s="1848"/>
      <c r="AD111" s="1848"/>
      <c r="AE111" s="1848"/>
      <c r="AF111" s="1848"/>
      <c r="AG111" s="1848"/>
      <c r="AH111" s="1848"/>
      <c r="AI111" s="1848"/>
      <c r="AJ111" s="1848"/>
      <c r="AK111" s="1848"/>
      <c r="AL111" s="1848"/>
      <c r="AM111" s="1848"/>
      <c r="AN111" s="1848"/>
      <c r="AO111" s="1848"/>
      <c r="AP111" s="1848"/>
      <c r="AQ111" s="1848"/>
      <c r="AR111" s="1848"/>
      <c r="AS111" s="1848"/>
      <c r="AT111" s="1848"/>
      <c r="AU111" s="1848"/>
      <c r="AV111" s="1848"/>
      <c r="AW111" s="1848"/>
      <c r="AX111" s="1848"/>
      <c r="AY111" s="1848"/>
      <c r="AZ111" s="1848"/>
      <c r="BA111" s="1848"/>
      <c r="BB111" s="1848"/>
      <c r="BC111" s="1848"/>
      <c r="BD111" s="1848"/>
      <c r="BE111" s="1848"/>
      <c r="BF111" s="1848"/>
      <c r="BG111" s="1848"/>
      <c r="BH111" s="1848"/>
      <c r="BI111" s="1848"/>
      <c r="BJ111" s="1848"/>
      <c r="BK111" s="1848"/>
      <c r="BL111" s="1848"/>
      <c r="BM111" s="1848"/>
      <c r="BN111" s="1848"/>
      <c r="BO111" s="1848"/>
      <c r="BP111" s="1848"/>
      <c r="BQ111" s="1848"/>
      <c r="BR111" s="1848"/>
      <c r="BS111" s="1848"/>
      <c r="BT111" s="1848"/>
      <c r="BU111" s="1848"/>
      <c r="BV111" s="1848"/>
      <c r="BW111" s="1848"/>
      <c r="BX111" s="1848"/>
      <c r="BY111" s="1848"/>
      <c r="BZ111" s="1848"/>
      <c r="CA111" s="1848"/>
      <c r="CB111" s="1848"/>
      <c r="CC111" s="1848"/>
      <c r="CD111" s="1848"/>
      <c r="CE111" s="1848"/>
      <c r="CF111" s="1848"/>
      <c r="CG111" s="1848"/>
      <c r="CH111" s="1848"/>
      <c r="CI111" s="1848"/>
      <c r="CJ111" s="1848"/>
      <c r="CK111" s="1848"/>
      <c r="CL111" s="1848"/>
      <c r="CM111" s="1848"/>
      <c r="CN111" s="1848"/>
      <c r="CO111" s="1848"/>
      <c r="CP111" s="1848"/>
      <c r="CQ111" s="1848"/>
      <c r="CR111" s="1848"/>
      <c r="CS111" s="1848"/>
      <c r="CT111" s="1848"/>
      <c r="CU111" s="1848"/>
      <c r="CV111" s="1848"/>
      <c r="CW111" s="1848"/>
      <c r="CX111" s="201" t="str">
        <f>FHD_NOTE_P_71</f>
        <v/>
      </c>
      <c r="CY111" s="440"/>
      <c r="CZ111" s="1481"/>
      <c r="DA111" s="1481"/>
      <c r="DF111" s="1481"/>
      <c r="DI111" s="441"/>
      <c r="DO111" s="1477"/>
      <c r="DP111" s="1477"/>
      <c r="DQ111" s="1477"/>
      <c r="DR111" s="1477"/>
      <c r="DS111" s="1477"/>
    </row>
    <row r="112" spans="1:123" ht="22.5" customHeight="1">
      <c r="D112" s="1483"/>
      <c r="E112" s="443" t="str">
        <f>FHD_NUM_P_72</f>
        <v>13</v>
      </c>
      <c r="F112" s="1719" t="str">
        <f>FHD_P_72</f>
        <v>Среднесписочная численность основного производственного персонала</v>
      </c>
      <c r="G112" s="1715" t="s">
        <v>855</v>
      </c>
      <c r="H112" s="474"/>
      <c r="I112" s="474"/>
      <c r="J112" s="1851"/>
      <c r="K112" s="1851"/>
      <c r="L112" s="1851"/>
      <c r="M112" s="1851"/>
      <c r="N112" s="1851"/>
      <c r="O112" s="1851"/>
      <c r="P112" s="1851"/>
      <c r="Q112" s="1851"/>
      <c r="R112" s="1851"/>
      <c r="S112" s="1851"/>
      <c r="T112" s="1851"/>
      <c r="U112" s="1851"/>
      <c r="V112" s="1851"/>
      <c r="W112" s="1851"/>
      <c r="X112" s="1851"/>
      <c r="Y112" s="1851"/>
      <c r="Z112" s="1851"/>
      <c r="AA112" s="1851"/>
      <c r="AB112" s="1851"/>
      <c r="AC112" s="1851"/>
      <c r="AD112" s="1851"/>
      <c r="AE112" s="1851"/>
      <c r="AF112" s="1851"/>
      <c r="AG112" s="1851"/>
      <c r="AH112" s="1851"/>
      <c r="AI112" s="1851"/>
      <c r="AJ112" s="1851"/>
      <c r="AK112" s="1851"/>
      <c r="AL112" s="1851"/>
      <c r="AM112" s="1851"/>
      <c r="AN112" s="1851"/>
      <c r="AO112" s="1851"/>
      <c r="AP112" s="1851"/>
      <c r="AQ112" s="1851"/>
      <c r="AR112" s="1851"/>
      <c r="AS112" s="1851"/>
      <c r="AT112" s="1851"/>
      <c r="AU112" s="1851"/>
      <c r="AV112" s="1851"/>
      <c r="AW112" s="1851"/>
      <c r="AX112" s="1851"/>
      <c r="AY112" s="1851"/>
      <c r="AZ112" s="1851"/>
      <c r="BA112" s="1851"/>
      <c r="BB112" s="1851"/>
      <c r="BC112" s="1851"/>
      <c r="BD112" s="1851"/>
      <c r="BE112" s="1851"/>
      <c r="BF112" s="1851"/>
      <c r="BG112" s="1851"/>
      <c r="BH112" s="1851"/>
      <c r="BI112" s="1851"/>
      <c r="BJ112" s="1851"/>
      <c r="BK112" s="1851"/>
      <c r="BL112" s="1851"/>
      <c r="BM112" s="1851"/>
      <c r="BN112" s="1851"/>
      <c r="BO112" s="1851"/>
      <c r="BP112" s="1851"/>
      <c r="BQ112" s="1851"/>
      <c r="BR112" s="1851"/>
      <c r="BS112" s="1851"/>
      <c r="BT112" s="1851"/>
      <c r="BU112" s="1851"/>
      <c r="BV112" s="1851"/>
      <c r="BW112" s="1851"/>
      <c r="BX112" s="1851"/>
      <c r="BY112" s="1851"/>
      <c r="BZ112" s="1851"/>
      <c r="CA112" s="1851"/>
      <c r="CB112" s="1851"/>
      <c r="CC112" s="1851"/>
      <c r="CD112" s="1851"/>
      <c r="CE112" s="1851"/>
      <c r="CF112" s="1851"/>
      <c r="CG112" s="1851"/>
      <c r="CH112" s="1851"/>
      <c r="CI112" s="1851"/>
      <c r="CJ112" s="1851"/>
      <c r="CK112" s="1851"/>
      <c r="CL112" s="1851"/>
      <c r="CM112" s="1851"/>
      <c r="CN112" s="1851"/>
      <c r="CO112" s="1851"/>
      <c r="CP112" s="1851"/>
      <c r="CQ112" s="1851"/>
      <c r="CR112" s="1851"/>
      <c r="CS112" s="1851"/>
      <c r="CT112" s="1851"/>
      <c r="CU112" s="1851"/>
      <c r="CV112" s="1851"/>
      <c r="CW112" s="1851"/>
      <c r="CX112" s="201" t="str">
        <f>FHD_NOTE_P_72</f>
        <v/>
      </c>
      <c r="CY112" s="440"/>
    </row>
    <row r="113" spans="1:123" ht="18.75" customHeight="1">
      <c r="A113" s="860" t="s">
        <v>856</v>
      </c>
      <c r="D113" s="1483"/>
      <c r="E113" s="443" t="str">
        <f>FHD_NUM_P_73</f>
        <v>14</v>
      </c>
      <c r="F113" s="1719" t="str">
        <f>FHD_P_73</f>
        <v>Среднесписочная численность административно-управленческого персонала</v>
      </c>
      <c r="G113" s="842" t="s">
        <v>855</v>
      </c>
      <c r="H113" s="840"/>
      <c r="I113" s="840"/>
      <c r="J113" s="1862"/>
      <c r="K113" s="1862"/>
      <c r="L113" s="1862"/>
      <c r="M113" s="1862"/>
      <c r="N113" s="1862"/>
      <c r="O113" s="1862"/>
      <c r="P113" s="1862"/>
      <c r="Q113" s="1862"/>
      <c r="R113" s="1862"/>
      <c r="S113" s="1862"/>
      <c r="T113" s="1862"/>
      <c r="U113" s="1862"/>
      <c r="V113" s="1862"/>
      <c r="W113" s="1862"/>
      <c r="X113" s="1862"/>
      <c r="Y113" s="1862"/>
      <c r="Z113" s="1862"/>
      <c r="AA113" s="1862"/>
      <c r="AB113" s="1862"/>
      <c r="AC113" s="1862"/>
      <c r="AD113" s="1862"/>
      <c r="AE113" s="1862"/>
      <c r="AF113" s="1862"/>
      <c r="AG113" s="1862"/>
      <c r="AH113" s="1862"/>
      <c r="AI113" s="1862"/>
      <c r="AJ113" s="1862"/>
      <c r="AK113" s="1862"/>
      <c r="AL113" s="1862"/>
      <c r="AM113" s="1862"/>
      <c r="AN113" s="1862"/>
      <c r="AO113" s="1862"/>
      <c r="AP113" s="1862"/>
      <c r="AQ113" s="1862"/>
      <c r="AR113" s="1862"/>
      <c r="AS113" s="1862"/>
      <c r="AT113" s="1862"/>
      <c r="AU113" s="1862"/>
      <c r="AV113" s="1862"/>
      <c r="AW113" s="1862"/>
      <c r="AX113" s="1862"/>
      <c r="AY113" s="1862"/>
      <c r="AZ113" s="1862"/>
      <c r="BA113" s="1862"/>
      <c r="BB113" s="1862"/>
      <c r="BC113" s="1862"/>
      <c r="BD113" s="1862"/>
      <c r="BE113" s="1862"/>
      <c r="BF113" s="1862"/>
      <c r="BG113" s="1862"/>
      <c r="BH113" s="1862"/>
      <c r="BI113" s="1862"/>
      <c r="BJ113" s="1862"/>
      <c r="BK113" s="1862"/>
      <c r="BL113" s="1862"/>
      <c r="BM113" s="1862"/>
      <c r="BN113" s="1862"/>
      <c r="BO113" s="1862"/>
      <c r="BP113" s="1862"/>
      <c r="BQ113" s="1862"/>
      <c r="BR113" s="1862"/>
      <c r="BS113" s="1862"/>
      <c r="BT113" s="1862"/>
      <c r="BU113" s="1862"/>
      <c r="BV113" s="1862"/>
      <c r="BW113" s="1862"/>
      <c r="BX113" s="1862"/>
      <c r="BY113" s="1862"/>
      <c r="BZ113" s="1862"/>
      <c r="CA113" s="1862"/>
      <c r="CB113" s="1862"/>
      <c r="CC113" s="1862"/>
      <c r="CD113" s="1862"/>
      <c r="CE113" s="1862"/>
      <c r="CF113" s="1862"/>
      <c r="CG113" s="1862"/>
      <c r="CH113" s="1862"/>
      <c r="CI113" s="1862"/>
      <c r="CJ113" s="1862"/>
      <c r="CK113" s="1862"/>
      <c r="CL113" s="1862"/>
      <c r="CM113" s="1862"/>
      <c r="CN113" s="1862"/>
      <c r="CO113" s="1862"/>
      <c r="CP113" s="1862"/>
      <c r="CQ113" s="1862"/>
      <c r="CR113" s="1862"/>
      <c r="CS113" s="1862"/>
      <c r="CT113" s="1862"/>
      <c r="CU113" s="1862"/>
      <c r="CV113" s="1862"/>
      <c r="CW113" s="1862"/>
      <c r="CX113" s="201" t="str">
        <f>FHD_NOTE_P_73</f>
        <v/>
      </c>
      <c r="CY113" s="440"/>
    </row>
    <row r="114" spans="1:123" ht="33.75" hidden="1" customHeight="1">
      <c r="A114" s="860" t="s">
        <v>857</v>
      </c>
      <c r="D114" s="1483"/>
      <c r="E114" s="443" t="str">
        <f>FHD_NUM_P_74</f>
        <v/>
      </c>
      <c r="F114" s="1719" t="str">
        <f>FHD_P_74</f>
        <v/>
      </c>
      <c r="G114" s="1715" t="s">
        <v>858</v>
      </c>
      <c r="H114" s="474"/>
      <c r="I114" s="474"/>
      <c r="J114" s="1851"/>
      <c r="K114" s="1851"/>
      <c r="L114" s="1851"/>
      <c r="M114" s="1851"/>
      <c r="N114" s="1851"/>
      <c r="O114" s="1851"/>
      <c r="P114" s="1851"/>
      <c r="Q114" s="1851"/>
      <c r="R114" s="1851"/>
      <c r="S114" s="1851"/>
      <c r="T114" s="1851"/>
      <c r="U114" s="1851"/>
      <c r="V114" s="1851"/>
      <c r="W114" s="1851"/>
      <c r="X114" s="1851"/>
      <c r="Y114" s="1851"/>
      <c r="Z114" s="1851"/>
      <c r="AA114" s="1851"/>
      <c r="AB114" s="1851"/>
      <c r="AC114" s="1851"/>
      <c r="AD114" s="1851"/>
      <c r="AE114" s="1851"/>
      <c r="AF114" s="1851"/>
      <c r="AG114" s="1851"/>
      <c r="AH114" s="1851"/>
      <c r="AI114" s="1851"/>
      <c r="AJ114" s="1851"/>
      <c r="AK114" s="1851"/>
      <c r="AL114" s="1851"/>
      <c r="AM114" s="1851"/>
      <c r="AN114" s="1851"/>
      <c r="AO114" s="1851"/>
      <c r="AP114" s="1851"/>
      <c r="AQ114" s="1851"/>
      <c r="AR114" s="1851"/>
      <c r="AS114" s="1851"/>
      <c r="AT114" s="1851"/>
      <c r="AU114" s="1851"/>
      <c r="AV114" s="1851"/>
      <c r="AW114" s="1851"/>
      <c r="AX114" s="1851"/>
      <c r="AY114" s="1851"/>
      <c r="AZ114" s="1851"/>
      <c r="BA114" s="1851"/>
      <c r="BB114" s="1851"/>
      <c r="BC114" s="1851"/>
      <c r="BD114" s="1851"/>
      <c r="BE114" s="1851"/>
      <c r="BF114" s="1851"/>
      <c r="BG114" s="1851"/>
      <c r="BH114" s="1851"/>
      <c r="BI114" s="1851"/>
      <c r="BJ114" s="1851"/>
      <c r="BK114" s="1851"/>
      <c r="BL114" s="1851"/>
      <c r="BM114" s="1851"/>
      <c r="BN114" s="1851"/>
      <c r="BO114" s="1851"/>
      <c r="BP114" s="1851"/>
      <c r="BQ114" s="1851"/>
      <c r="BR114" s="1851"/>
      <c r="BS114" s="1851"/>
      <c r="BT114" s="1851"/>
      <c r="BU114" s="1851"/>
      <c r="BV114" s="1851"/>
      <c r="BW114" s="1851"/>
      <c r="BX114" s="1851"/>
      <c r="BY114" s="1851"/>
      <c r="BZ114" s="1851"/>
      <c r="CA114" s="1851"/>
      <c r="CB114" s="1851"/>
      <c r="CC114" s="1851"/>
      <c r="CD114" s="1851"/>
      <c r="CE114" s="1851"/>
      <c r="CF114" s="1851"/>
      <c r="CG114" s="1851"/>
      <c r="CH114" s="1851"/>
      <c r="CI114" s="1851"/>
      <c r="CJ114" s="1851"/>
      <c r="CK114" s="1851"/>
      <c r="CL114" s="1851"/>
      <c r="CM114" s="1851"/>
      <c r="CN114" s="1851"/>
      <c r="CO114" s="1851"/>
      <c r="CP114" s="1851"/>
      <c r="CQ114" s="1851"/>
      <c r="CR114" s="1851"/>
      <c r="CS114" s="1851"/>
      <c r="CT114" s="1851"/>
      <c r="CU114" s="1851"/>
      <c r="CV114" s="1851"/>
      <c r="CW114" s="1851"/>
      <c r="CX114" s="201" t="str">
        <f>FHD_NOTE_P_74</f>
        <v/>
      </c>
      <c r="CY114" s="440"/>
    </row>
    <row r="115" spans="1:123" s="1910" customFormat="1" ht="18.75" hidden="1" customHeight="1">
      <c r="A115" s="3605" t="s">
        <v>859</v>
      </c>
      <c r="B115" s="786"/>
      <c r="C115" s="625"/>
      <c r="D115" s="623"/>
      <c r="E115" s="443" t="str">
        <f>FHD_NUM_P_75</f>
        <v/>
      </c>
      <c r="F115" s="1719" t="str">
        <f>FHD_P_75</f>
        <v/>
      </c>
      <c r="G115" s="1715" t="s">
        <v>823</v>
      </c>
      <c r="H115" s="454"/>
      <c r="I115" s="454"/>
      <c r="J115" s="1848"/>
      <c r="K115" s="1848"/>
      <c r="L115" s="1848"/>
      <c r="M115" s="1848"/>
      <c r="N115" s="1848"/>
      <c r="O115" s="1848"/>
      <c r="P115" s="1848"/>
      <c r="Q115" s="1848"/>
      <c r="R115" s="1848"/>
      <c r="S115" s="1848"/>
      <c r="T115" s="1848"/>
      <c r="U115" s="1848"/>
      <c r="V115" s="1848"/>
      <c r="W115" s="1848"/>
      <c r="X115" s="1848"/>
      <c r="Y115" s="1848"/>
      <c r="Z115" s="1848"/>
      <c r="AA115" s="1848"/>
      <c r="AB115" s="1848"/>
      <c r="AC115" s="1848"/>
      <c r="AD115" s="1848"/>
      <c r="AE115" s="1848"/>
      <c r="AF115" s="1848"/>
      <c r="AG115" s="1848"/>
      <c r="AH115" s="1848"/>
      <c r="AI115" s="1848"/>
      <c r="AJ115" s="1848"/>
      <c r="AK115" s="1848"/>
      <c r="AL115" s="1848"/>
      <c r="AM115" s="1848"/>
      <c r="AN115" s="1848"/>
      <c r="AO115" s="1848"/>
      <c r="AP115" s="1848"/>
      <c r="AQ115" s="1848"/>
      <c r="AR115" s="1848"/>
      <c r="AS115" s="1848"/>
      <c r="AT115" s="1848"/>
      <c r="AU115" s="1848"/>
      <c r="AV115" s="1848"/>
      <c r="AW115" s="1848"/>
      <c r="AX115" s="1848"/>
      <c r="AY115" s="1848"/>
      <c r="AZ115" s="1848"/>
      <c r="BA115" s="1848"/>
      <c r="BB115" s="1848"/>
      <c r="BC115" s="1848"/>
      <c r="BD115" s="1848"/>
      <c r="BE115" s="1848"/>
      <c r="BF115" s="1848"/>
      <c r="BG115" s="1848"/>
      <c r="BH115" s="1848"/>
      <c r="BI115" s="1848"/>
      <c r="BJ115" s="1848"/>
      <c r="BK115" s="1848"/>
      <c r="BL115" s="1848"/>
      <c r="BM115" s="1848"/>
      <c r="BN115" s="1848"/>
      <c r="BO115" s="1848"/>
      <c r="BP115" s="1848"/>
      <c r="BQ115" s="1848"/>
      <c r="BR115" s="1848"/>
      <c r="BS115" s="1848"/>
      <c r="BT115" s="1848"/>
      <c r="BU115" s="1848"/>
      <c r="BV115" s="1848"/>
      <c r="BW115" s="1848"/>
      <c r="BX115" s="1848"/>
      <c r="BY115" s="1848"/>
      <c r="BZ115" s="1848"/>
      <c r="CA115" s="1848"/>
      <c r="CB115" s="1848"/>
      <c r="CC115" s="1848"/>
      <c r="CD115" s="1848"/>
      <c r="CE115" s="1848"/>
      <c r="CF115" s="1848"/>
      <c r="CG115" s="1848"/>
      <c r="CH115" s="1848"/>
      <c r="CI115" s="1848"/>
      <c r="CJ115" s="1848"/>
      <c r="CK115" s="1848"/>
      <c r="CL115" s="1848"/>
      <c r="CM115" s="1848"/>
      <c r="CN115" s="1848"/>
      <c r="CO115" s="1848"/>
      <c r="CP115" s="1848"/>
      <c r="CQ115" s="1848"/>
      <c r="CR115" s="1848"/>
      <c r="CS115" s="1848"/>
      <c r="CT115" s="1848"/>
      <c r="CU115" s="1848"/>
      <c r="CV115" s="1848"/>
      <c r="CW115" s="1848"/>
      <c r="CX115" s="201" t="str">
        <f>FHD_NOTE_P_75</f>
        <v/>
      </c>
      <c r="CY115" s="624"/>
      <c r="CZ115" s="625"/>
      <c r="DA115" s="625"/>
      <c r="DB115" s="786"/>
      <c r="DC115" s="786"/>
      <c r="DD115" s="786"/>
      <c r="DE115" s="786"/>
      <c r="DF115" s="625"/>
      <c r="DG115" s="786"/>
      <c r="DH115" s="786"/>
      <c r="DI115" s="626"/>
      <c r="DJ115" s="786"/>
      <c r="DK115" s="786"/>
      <c r="DL115" s="786"/>
      <c r="DM115" s="786"/>
      <c r="DN115" s="786"/>
      <c r="DO115" s="627"/>
      <c r="DP115" s="627"/>
      <c r="DQ115" s="627"/>
      <c r="DR115" s="627"/>
      <c r="DS115" s="627"/>
    </row>
    <row r="116" spans="1:123" s="1910" customFormat="1" ht="18.75" hidden="1" customHeight="1">
      <c r="A116" s="3605"/>
      <c r="B116" s="786"/>
      <c r="C116" s="625"/>
      <c r="D116" s="623"/>
      <c r="E116" s="443" t="str">
        <f>FHD_NUM_P_76</f>
        <v/>
      </c>
      <c r="F116" s="1719" t="str">
        <f>FHD_P_76</f>
        <v/>
      </c>
      <c r="G116" s="1715" t="s">
        <v>823</v>
      </c>
      <c r="H116" s="454"/>
      <c r="I116" s="454"/>
      <c r="J116" s="1848"/>
      <c r="K116" s="1848"/>
      <c r="L116" s="1848"/>
      <c r="M116" s="1848"/>
      <c r="N116" s="1848"/>
      <c r="O116" s="1848"/>
      <c r="P116" s="1848"/>
      <c r="Q116" s="1848"/>
      <c r="R116" s="1848"/>
      <c r="S116" s="1848"/>
      <c r="T116" s="1848"/>
      <c r="U116" s="1848"/>
      <c r="V116" s="1848"/>
      <c r="W116" s="1848"/>
      <c r="X116" s="1848"/>
      <c r="Y116" s="1848"/>
      <c r="Z116" s="1848"/>
      <c r="AA116" s="1848"/>
      <c r="AB116" s="1848"/>
      <c r="AC116" s="1848"/>
      <c r="AD116" s="1848"/>
      <c r="AE116" s="1848"/>
      <c r="AF116" s="1848"/>
      <c r="AG116" s="1848"/>
      <c r="AH116" s="1848"/>
      <c r="AI116" s="1848"/>
      <c r="AJ116" s="1848"/>
      <c r="AK116" s="1848"/>
      <c r="AL116" s="1848"/>
      <c r="AM116" s="1848"/>
      <c r="AN116" s="1848"/>
      <c r="AO116" s="1848"/>
      <c r="AP116" s="1848"/>
      <c r="AQ116" s="1848"/>
      <c r="AR116" s="1848"/>
      <c r="AS116" s="1848"/>
      <c r="AT116" s="1848"/>
      <c r="AU116" s="1848"/>
      <c r="AV116" s="1848"/>
      <c r="AW116" s="1848"/>
      <c r="AX116" s="1848"/>
      <c r="AY116" s="1848"/>
      <c r="AZ116" s="1848"/>
      <c r="BA116" s="1848"/>
      <c r="BB116" s="1848"/>
      <c r="BC116" s="1848"/>
      <c r="BD116" s="1848"/>
      <c r="BE116" s="1848"/>
      <c r="BF116" s="1848"/>
      <c r="BG116" s="1848"/>
      <c r="BH116" s="1848"/>
      <c r="BI116" s="1848"/>
      <c r="BJ116" s="1848"/>
      <c r="BK116" s="1848"/>
      <c r="BL116" s="1848"/>
      <c r="BM116" s="1848"/>
      <c r="BN116" s="1848"/>
      <c r="BO116" s="1848"/>
      <c r="BP116" s="1848"/>
      <c r="BQ116" s="1848"/>
      <c r="BR116" s="1848"/>
      <c r="BS116" s="1848"/>
      <c r="BT116" s="1848"/>
      <c r="BU116" s="1848"/>
      <c r="BV116" s="1848"/>
      <c r="BW116" s="1848"/>
      <c r="BX116" s="1848"/>
      <c r="BY116" s="1848"/>
      <c r="BZ116" s="1848"/>
      <c r="CA116" s="1848"/>
      <c r="CB116" s="1848"/>
      <c r="CC116" s="1848"/>
      <c r="CD116" s="1848"/>
      <c r="CE116" s="1848"/>
      <c r="CF116" s="1848"/>
      <c r="CG116" s="1848"/>
      <c r="CH116" s="1848"/>
      <c r="CI116" s="1848"/>
      <c r="CJ116" s="1848"/>
      <c r="CK116" s="1848"/>
      <c r="CL116" s="1848"/>
      <c r="CM116" s="1848"/>
      <c r="CN116" s="1848"/>
      <c r="CO116" s="1848"/>
      <c r="CP116" s="1848"/>
      <c r="CQ116" s="1848"/>
      <c r="CR116" s="1848"/>
      <c r="CS116" s="1848"/>
      <c r="CT116" s="1848"/>
      <c r="CU116" s="1848"/>
      <c r="CV116" s="1848"/>
      <c r="CW116" s="1848"/>
      <c r="CX116" s="201" t="str">
        <f>FHD_NOTE_P_76</f>
        <v/>
      </c>
      <c r="CY116" s="624"/>
      <c r="CZ116" s="625"/>
      <c r="DA116" s="625"/>
      <c r="DB116" s="786"/>
      <c r="DC116" s="786"/>
      <c r="DD116" s="786"/>
      <c r="DE116" s="786"/>
      <c r="DF116" s="625"/>
      <c r="DG116" s="786"/>
      <c r="DH116" s="786"/>
      <c r="DI116" s="626"/>
      <c r="DJ116" s="786"/>
      <c r="DK116" s="786"/>
      <c r="DL116" s="786"/>
      <c r="DM116" s="786"/>
      <c r="DN116" s="786"/>
      <c r="DO116" s="627"/>
      <c r="DP116" s="627"/>
      <c r="DQ116" s="627"/>
      <c r="DR116" s="627"/>
      <c r="DS116" s="627"/>
    </row>
    <row r="117" spans="1:123" s="1910" customFormat="1" ht="18.75" hidden="1" customHeight="1">
      <c r="A117" s="3605"/>
      <c r="B117" s="786"/>
      <c r="C117" s="625"/>
      <c r="D117" s="623"/>
      <c r="E117" s="443" t="str">
        <f>FHD_NUM_P_77</f>
        <v/>
      </c>
      <c r="F117" s="1719" t="str">
        <f>FHD_P_77</f>
        <v/>
      </c>
      <c r="G117" s="1715" t="s">
        <v>823</v>
      </c>
      <c r="H117" s="454"/>
      <c r="I117" s="454"/>
      <c r="J117" s="1848"/>
      <c r="K117" s="1848"/>
      <c r="L117" s="1848"/>
      <c r="M117" s="1848"/>
      <c r="N117" s="1848"/>
      <c r="O117" s="1848"/>
      <c r="P117" s="1848"/>
      <c r="Q117" s="1848"/>
      <c r="R117" s="1848"/>
      <c r="S117" s="1848"/>
      <c r="T117" s="1848"/>
      <c r="U117" s="1848"/>
      <c r="V117" s="1848"/>
      <c r="W117" s="1848"/>
      <c r="X117" s="1848"/>
      <c r="Y117" s="1848"/>
      <c r="Z117" s="1848"/>
      <c r="AA117" s="1848"/>
      <c r="AB117" s="1848"/>
      <c r="AC117" s="1848"/>
      <c r="AD117" s="1848"/>
      <c r="AE117" s="1848"/>
      <c r="AF117" s="1848"/>
      <c r="AG117" s="1848"/>
      <c r="AH117" s="1848"/>
      <c r="AI117" s="1848"/>
      <c r="AJ117" s="1848"/>
      <c r="AK117" s="1848"/>
      <c r="AL117" s="1848"/>
      <c r="AM117" s="1848"/>
      <c r="AN117" s="1848"/>
      <c r="AO117" s="1848"/>
      <c r="AP117" s="1848"/>
      <c r="AQ117" s="1848"/>
      <c r="AR117" s="1848"/>
      <c r="AS117" s="1848"/>
      <c r="AT117" s="1848"/>
      <c r="AU117" s="1848"/>
      <c r="AV117" s="1848"/>
      <c r="AW117" s="1848"/>
      <c r="AX117" s="1848"/>
      <c r="AY117" s="1848"/>
      <c r="AZ117" s="1848"/>
      <c r="BA117" s="1848"/>
      <c r="BB117" s="1848"/>
      <c r="BC117" s="1848"/>
      <c r="BD117" s="1848"/>
      <c r="BE117" s="1848"/>
      <c r="BF117" s="1848"/>
      <c r="BG117" s="1848"/>
      <c r="BH117" s="1848"/>
      <c r="BI117" s="1848"/>
      <c r="BJ117" s="1848"/>
      <c r="BK117" s="1848"/>
      <c r="BL117" s="1848"/>
      <c r="BM117" s="1848"/>
      <c r="BN117" s="1848"/>
      <c r="BO117" s="1848"/>
      <c r="BP117" s="1848"/>
      <c r="BQ117" s="1848"/>
      <c r="BR117" s="1848"/>
      <c r="BS117" s="1848"/>
      <c r="BT117" s="1848"/>
      <c r="BU117" s="1848"/>
      <c r="BV117" s="1848"/>
      <c r="BW117" s="1848"/>
      <c r="BX117" s="1848"/>
      <c r="BY117" s="1848"/>
      <c r="BZ117" s="1848"/>
      <c r="CA117" s="1848"/>
      <c r="CB117" s="1848"/>
      <c r="CC117" s="1848"/>
      <c r="CD117" s="1848"/>
      <c r="CE117" s="1848"/>
      <c r="CF117" s="1848"/>
      <c r="CG117" s="1848"/>
      <c r="CH117" s="1848"/>
      <c r="CI117" s="1848"/>
      <c r="CJ117" s="1848"/>
      <c r="CK117" s="1848"/>
      <c r="CL117" s="1848"/>
      <c r="CM117" s="1848"/>
      <c r="CN117" s="1848"/>
      <c r="CO117" s="1848"/>
      <c r="CP117" s="1848"/>
      <c r="CQ117" s="1848"/>
      <c r="CR117" s="1848"/>
      <c r="CS117" s="1848"/>
      <c r="CT117" s="1848"/>
      <c r="CU117" s="1848"/>
      <c r="CV117" s="1848"/>
      <c r="CW117" s="1848"/>
      <c r="CX117" s="201" t="str">
        <f>FHD_NOTE_P_77</f>
        <v/>
      </c>
      <c r="CY117" s="624"/>
      <c r="CZ117" s="625"/>
      <c r="DA117" s="625"/>
      <c r="DB117" s="786"/>
      <c r="DC117" s="786"/>
      <c r="DD117" s="786"/>
      <c r="DE117" s="786"/>
      <c r="DF117" s="625"/>
      <c r="DG117" s="786"/>
      <c r="DH117" s="786"/>
      <c r="DI117" s="626"/>
      <c r="DJ117" s="786"/>
      <c r="DK117" s="786"/>
      <c r="DL117" s="786"/>
      <c r="DM117" s="786"/>
      <c r="DN117" s="786"/>
      <c r="DO117" s="627"/>
      <c r="DP117" s="627"/>
      <c r="DQ117" s="627"/>
      <c r="DR117" s="627"/>
      <c r="DS117" s="627"/>
    </row>
    <row r="118" spans="1:123" s="1866" customFormat="1" ht="0.75" hidden="1" customHeight="1">
      <c r="A118" s="3605"/>
      <c r="D118" s="445"/>
      <c r="E118" s="883" t="str">
        <f>E117&amp;".0"</f>
        <v>.0</v>
      </c>
      <c r="F118" s="868"/>
      <c r="G118" s="1496"/>
      <c r="H118" s="863"/>
      <c r="I118" s="863"/>
      <c r="J118" s="1854"/>
      <c r="K118" s="1854"/>
      <c r="L118" s="1854"/>
      <c r="M118" s="1854"/>
      <c r="N118" s="1854"/>
      <c r="O118" s="1854"/>
      <c r="P118" s="1854"/>
      <c r="Q118" s="1854"/>
      <c r="R118" s="1854"/>
      <c r="S118" s="1854"/>
      <c r="T118" s="1854"/>
      <c r="U118" s="1854"/>
      <c r="V118" s="1854"/>
      <c r="W118" s="1854"/>
      <c r="X118" s="1854"/>
      <c r="Y118" s="1854"/>
      <c r="Z118" s="1854"/>
      <c r="AA118" s="1854"/>
      <c r="AB118" s="1854"/>
      <c r="AC118" s="1854"/>
      <c r="AD118" s="1854"/>
      <c r="AE118" s="1854"/>
      <c r="AF118" s="1854"/>
      <c r="AG118" s="1854"/>
      <c r="AH118" s="1854"/>
      <c r="AI118" s="1854"/>
      <c r="AJ118" s="1854"/>
      <c r="AK118" s="1854"/>
      <c r="AL118" s="1854"/>
      <c r="AM118" s="1854"/>
      <c r="AN118" s="1854"/>
      <c r="AO118" s="1854"/>
      <c r="AP118" s="1854"/>
      <c r="AQ118" s="1854"/>
      <c r="AR118" s="1854"/>
      <c r="AS118" s="1854"/>
      <c r="AT118" s="1854"/>
      <c r="AU118" s="1854"/>
      <c r="AV118" s="1854"/>
      <c r="AW118" s="1854"/>
      <c r="AX118" s="1854"/>
      <c r="AY118" s="1854"/>
      <c r="AZ118" s="1854"/>
      <c r="BA118" s="1854"/>
      <c r="BB118" s="1854"/>
      <c r="BC118" s="1854"/>
      <c r="BD118" s="1854"/>
      <c r="BE118" s="1854"/>
      <c r="BF118" s="1854"/>
      <c r="BG118" s="1854"/>
      <c r="BH118" s="1854"/>
      <c r="BI118" s="1854"/>
      <c r="BJ118" s="1854"/>
      <c r="BK118" s="1854"/>
      <c r="BL118" s="1854"/>
      <c r="BM118" s="1854"/>
      <c r="BN118" s="1854"/>
      <c r="BO118" s="1854"/>
      <c r="BP118" s="1854"/>
      <c r="BQ118" s="1854"/>
      <c r="BR118" s="1854"/>
      <c r="BS118" s="1854"/>
      <c r="BT118" s="1854"/>
      <c r="BU118" s="1854"/>
      <c r="BV118" s="1854"/>
      <c r="BW118" s="1854"/>
      <c r="BX118" s="1854"/>
      <c r="BY118" s="1854"/>
      <c r="BZ118" s="1854"/>
      <c r="CA118" s="1854"/>
      <c r="CB118" s="1854"/>
      <c r="CC118" s="1854"/>
      <c r="CD118" s="1854"/>
      <c r="CE118" s="1854"/>
      <c r="CF118" s="1854"/>
      <c r="CG118" s="1854"/>
      <c r="CH118" s="1854"/>
      <c r="CI118" s="1854"/>
      <c r="CJ118" s="1854"/>
      <c r="CK118" s="1854"/>
      <c r="CL118" s="1854"/>
      <c r="CM118" s="1854"/>
      <c r="CN118" s="1854"/>
      <c r="CO118" s="1854"/>
      <c r="CP118" s="1854"/>
      <c r="CQ118" s="1854"/>
      <c r="CR118" s="1854"/>
      <c r="CS118" s="1854"/>
      <c r="CT118" s="1854"/>
      <c r="CU118" s="1854"/>
      <c r="CV118" s="1854"/>
      <c r="CW118" s="1854"/>
      <c r="CX118" s="867"/>
    </row>
    <row r="119" spans="1:123" s="1910" customFormat="1" ht="15" hidden="1" customHeight="1">
      <c r="A119" s="3605"/>
      <c r="B119" s="786"/>
      <c r="C119" s="625"/>
      <c r="D119" s="635"/>
      <c r="E119" s="845"/>
      <c r="F119" s="846" t="s">
        <v>860</v>
      </c>
      <c r="G119" s="636"/>
      <c r="H119" s="637"/>
      <c r="I119" s="637"/>
      <c r="J119" s="2243"/>
      <c r="K119" s="2244"/>
      <c r="L119" s="2245"/>
      <c r="M119" s="2246"/>
      <c r="N119" s="2247"/>
      <c r="O119" s="2248"/>
      <c r="P119" s="2249"/>
      <c r="Q119" s="2250"/>
      <c r="R119" s="2251"/>
      <c r="S119" s="2252"/>
      <c r="T119" s="2253"/>
      <c r="U119" s="2254"/>
      <c r="V119" s="2255"/>
      <c r="W119" s="2256"/>
      <c r="X119" s="2257"/>
      <c r="Y119" s="2258"/>
      <c r="Z119" s="2259"/>
      <c r="AA119" s="2260"/>
      <c r="AB119" s="2261"/>
      <c r="AC119" s="2262"/>
      <c r="AD119" s="2263"/>
      <c r="AE119" s="2264"/>
      <c r="AF119" s="2265"/>
      <c r="AG119" s="2266"/>
      <c r="AH119" s="2267"/>
      <c r="AI119" s="2268"/>
      <c r="AJ119" s="2269"/>
      <c r="AK119" s="2270"/>
      <c r="AL119" s="2271"/>
      <c r="AM119" s="2272"/>
      <c r="AN119" s="2273"/>
      <c r="AO119" s="2274"/>
      <c r="AP119" s="2275"/>
      <c r="AQ119" s="2276"/>
      <c r="AR119" s="2277"/>
      <c r="AS119" s="2278"/>
      <c r="AT119" s="2279"/>
      <c r="AU119" s="2280"/>
      <c r="AV119" s="2281"/>
      <c r="AW119" s="2282"/>
      <c r="AX119" s="2283"/>
      <c r="AY119" s="2284"/>
      <c r="AZ119" s="2285"/>
      <c r="BA119" s="2286"/>
      <c r="BB119" s="2287"/>
      <c r="BC119" s="2288"/>
      <c r="BD119" s="2289"/>
      <c r="BE119" s="2290"/>
      <c r="BF119" s="2291"/>
      <c r="BG119" s="2292"/>
      <c r="BH119" s="2293"/>
      <c r="BI119" s="2294"/>
      <c r="BJ119" s="2295"/>
      <c r="BK119" s="2296"/>
      <c r="BL119" s="2297"/>
      <c r="BM119" s="2298"/>
      <c r="BN119" s="2299"/>
      <c r="BO119" s="2300"/>
      <c r="BP119" s="2301"/>
      <c r="BQ119" s="2302"/>
      <c r="BR119" s="2303"/>
      <c r="BS119" s="2304"/>
      <c r="BT119" s="2305"/>
      <c r="BU119" s="2306"/>
      <c r="BV119" s="2307"/>
      <c r="BW119" s="2308"/>
      <c r="BX119" s="2309"/>
      <c r="BY119" s="2310"/>
      <c r="BZ119" s="2311"/>
      <c r="CA119" s="2312"/>
      <c r="CB119" s="2313"/>
      <c r="CC119" s="2314"/>
      <c r="CD119" s="2315"/>
      <c r="CE119" s="2316"/>
      <c r="CF119" s="2317"/>
      <c r="CG119" s="2318"/>
      <c r="CH119" s="2319"/>
      <c r="CI119" s="2320"/>
      <c r="CJ119" s="2321"/>
      <c r="CK119" s="2322"/>
      <c r="CL119" s="2323"/>
      <c r="CM119" s="2324"/>
      <c r="CN119" s="2325"/>
      <c r="CO119" s="2326"/>
      <c r="CP119" s="2327"/>
      <c r="CQ119" s="2328"/>
      <c r="CR119" s="2329"/>
      <c r="CS119" s="2330"/>
      <c r="CT119" s="2331"/>
      <c r="CU119" s="2332"/>
      <c r="CV119" s="2333"/>
      <c r="CW119" s="2334"/>
      <c r="CX119" s="873" t="s">
        <v>861</v>
      </c>
      <c r="CY119" s="624"/>
      <c r="CZ119" s="625"/>
      <c r="DA119" s="625"/>
      <c r="DB119" s="786"/>
      <c r="DC119" s="786"/>
      <c r="DD119" s="786"/>
      <c r="DE119" s="786"/>
      <c r="DF119" s="625"/>
      <c r="DG119" s="786"/>
      <c r="DH119" s="786"/>
      <c r="DI119" s="626"/>
      <c r="DJ119" s="786"/>
      <c r="DK119" s="786"/>
      <c r="DL119" s="786"/>
      <c r="DM119" s="786"/>
      <c r="DN119" s="786"/>
      <c r="DO119" s="627"/>
      <c r="DP119" s="627"/>
      <c r="DQ119" s="627"/>
      <c r="DR119" s="627"/>
      <c r="DS119" s="627"/>
    </row>
    <row r="120" spans="1:123" ht="22.5" customHeight="1">
      <c r="A120" s="3605" t="s">
        <v>862</v>
      </c>
      <c r="D120" s="1483"/>
      <c r="E120" s="443" t="str">
        <f>FHD_NUM_P_78</f>
        <v>15</v>
      </c>
      <c r="F120" s="1719"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16" t="s">
        <v>825</v>
      </c>
      <c r="H120" s="474"/>
      <c r="I120" s="474"/>
      <c r="J120" s="1851"/>
      <c r="K120" s="1851"/>
      <c r="L120" s="1851"/>
      <c r="M120" s="1851"/>
      <c r="N120" s="1851"/>
      <c r="O120" s="1851"/>
      <c r="P120" s="1851"/>
      <c r="Q120" s="1851"/>
      <c r="R120" s="1851"/>
      <c r="S120" s="1851"/>
      <c r="T120" s="1851"/>
      <c r="U120" s="1851"/>
      <c r="V120" s="1851"/>
      <c r="W120" s="1851"/>
      <c r="X120" s="1851"/>
      <c r="Y120" s="1851"/>
      <c r="Z120" s="1851"/>
      <c r="AA120" s="1851"/>
      <c r="AB120" s="1851"/>
      <c r="AC120" s="1851"/>
      <c r="AD120" s="1851"/>
      <c r="AE120" s="1851"/>
      <c r="AF120" s="1851"/>
      <c r="AG120" s="1851"/>
      <c r="AH120" s="1851"/>
      <c r="AI120" s="1851"/>
      <c r="AJ120" s="1851"/>
      <c r="AK120" s="1851"/>
      <c r="AL120" s="1851"/>
      <c r="AM120" s="1851"/>
      <c r="AN120" s="1851"/>
      <c r="AO120" s="1851"/>
      <c r="AP120" s="1851"/>
      <c r="AQ120" s="1851"/>
      <c r="AR120" s="1851"/>
      <c r="AS120" s="1851"/>
      <c r="AT120" s="1851"/>
      <c r="AU120" s="1851"/>
      <c r="AV120" s="1851"/>
      <c r="AW120" s="1851"/>
      <c r="AX120" s="1851"/>
      <c r="AY120" s="1851"/>
      <c r="AZ120" s="1851"/>
      <c r="BA120" s="1851"/>
      <c r="BB120" s="1851"/>
      <c r="BC120" s="1851"/>
      <c r="BD120" s="1851"/>
      <c r="BE120" s="1851"/>
      <c r="BF120" s="1851"/>
      <c r="BG120" s="1851"/>
      <c r="BH120" s="1851"/>
      <c r="BI120" s="1851"/>
      <c r="BJ120" s="1851"/>
      <c r="BK120" s="1851"/>
      <c r="BL120" s="1851"/>
      <c r="BM120" s="1851"/>
      <c r="BN120" s="1851"/>
      <c r="BO120" s="1851"/>
      <c r="BP120" s="1851"/>
      <c r="BQ120" s="1851"/>
      <c r="BR120" s="1851"/>
      <c r="BS120" s="1851"/>
      <c r="BT120" s="1851"/>
      <c r="BU120" s="1851"/>
      <c r="BV120" s="1851"/>
      <c r="BW120" s="1851"/>
      <c r="BX120" s="1851"/>
      <c r="BY120" s="1851"/>
      <c r="BZ120" s="1851"/>
      <c r="CA120" s="1851"/>
      <c r="CB120" s="1851"/>
      <c r="CC120" s="1851"/>
      <c r="CD120" s="1851"/>
      <c r="CE120" s="1851"/>
      <c r="CF120" s="1851"/>
      <c r="CG120" s="1851"/>
      <c r="CH120" s="1851"/>
      <c r="CI120" s="1851"/>
      <c r="CJ120" s="1851"/>
      <c r="CK120" s="1851"/>
      <c r="CL120" s="1851"/>
      <c r="CM120" s="1851"/>
      <c r="CN120" s="1851"/>
      <c r="CO120" s="1851"/>
      <c r="CP120" s="1851"/>
      <c r="CQ120" s="1851"/>
      <c r="CR120" s="1851"/>
      <c r="CS120" s="1851"/>
      <c r="CT120" s="1851"/>
      <c r="CU120" s="1851"/>
      <c r="CV120" s="1851"/>
      <c r="CW120" s="1851"/>
      <c r="CX120" s="201" t="str">
        <f>FHD_NOTE_P_78</f>
        <v/>
      </c>
      <c r="CY120" s="440"/>
    </row>
    <row r="121" spans="1:123" s="1866" customFormat="1" ht="0.75" customHeight="1">
      <c r="A121" s="3605"/>
      <c r="D121" s="445"/>
      <c r="E121" s="883" t="str">
        <f>E120&amp;".0"</f>
        <v>15.0</v>
      </c>
      <c r="F121" s="868"/>
      <c r="G121" s="1496"/>
      <c r="H121" s="863"/>
      <c r="I121" s="863"/>
      <c r="J121" s="1854"/>
      <c r="K121" s="1854"/>
      <c r="L121" s="1854"/>
      <c r="M121" s="1854"/>
      <c r="N121" s="1854"/>
      <c r="O121" s="1854"/>
      <c r="P121" s="1854"/>
      <c r="Q121" s="1854"/>
      <c r="R121" s="1854"/>
      <c r="S121" s="1854"/>
      <c r="T121" s="1854"/>
      <c r="U121" s="1854"/>
      <c r="V121" s="1854"/>
      <c r="W121" s="1854"/>
      <c r="X121" s="1854"/>
      <c r="Y121" s="1854"/>
      <c r="Z121" s="1854"/>
      <c r="AA121" s="1854"/>
      <c r="AB121" s="1854"/>
      <c r="AC121" s="1854"/>
      <c r="AD121" s="1854"/>
      <c r="AE121" s="1854"/>
      <c r="AF121" s="1854"/>
      <c r="AG121" s="1854"/>
      <c r="AH121" s="1854"/>
      <c r="AI121" s="1854"/>
      <c r="AJ121" s="1854"/>
      <c r="AK121" s="1854"/>
      <c r="AL121" s="1854"/>
      <c r="AM121" s="1854"/>
      <c r="AN121" s="1854"/>
      <c r="AO121" s="1854"/>
      <c r="AP121" s="1854"/>
      <c r="AQ121" s="1854"/>
      <c r="AR121" s="1854"/>
      <c r="AS121" s="1854"/>
      <c r="AT121" s="1854"/>
      <c r="AU121" s="1854"/>
      <c r="AV121" s="1854"/>
      <c r="AW121" s="1854"/>
      <c r="AX121" s="1854"/>
      <c r="AY121" s="1854"/>
      <c r="AZ121" s="1854"/>
      <c r="BA121" s="1854"/>
      <c r="BB121" s="1854"/>
      <c r="BC121" s="1854"/>
      <c r="BD121" s="1854"/>
      <c r="BE121" s="1854"/>
      <c r="BF121" s="1854"/>
      <c r="BG121" s="1854"/>
      <c r="BH121" s="1854"/>
      <c r="BI121" s="1854"/>
      <c r="BJ121" s="1854"/>
      <c r="BK121" s="1854"/>
      <c r="BL121" s="1854"/>
      <c r="BM121" s="1854"/>
      <c r="BN121" s="1854"/>
      <c r="BO121" s="1854"/>
      <c r="BP121" s="1854"/>
      <c r="BQ121" s="1854"/>
      <c r="BR121" s="1854"/>
      <c r="BS121" s="1854"/>
      <c r="BT121" s="1854"/>
      <c r="BU121" s="1854"/>
      <c r="BV121" s="1854"/>
      <c r="BW121" s="1854"/>
      <c r="BX121" s="1854"/>
      <c r="BY121" s="1854"/>
      <c r="BZ121" s="1854"/>
      <c r="CA121" s="1854"/>
      <c r="CB121" s="1854"/>
      <c r="CC121" s="1854"/>
      <c r="CD121" s="1854"/>
      <c r="CE121" s="1854"/>
      <c r="CF121" s="1854"/>
      <c r="CG121" s="1854"/>
      <c r="CH121" s="1854"/>
      <c r="CI121" s="1854"/>
      <c r="CJ121" s="1854"/>
      <c r="CK121" s="1854"/>
      <c r="CL121" s="1854"/>
      <c r="CM121" s="1854"/>
      <c r="CN121" s="1854"/>
      <c r="CO121" s="1854"/>
      <c r="CP121" s="1854"/>
      <c r="CQ121" s="1854"/>
      <c r="CR121" s="1854"/>
      <c r="CS121" s="1854"/>
      <c r="CT121" s="1854"/>
      <c r="CU121" s="1854"/>
      <c r="CV121" s="1854"/>
      <c r="CW121" s="1854"/>
      <c r="CX121" s="867"/>
    </row>
    <row r="122" spans="1:123" ht="15" customHeight="1">
      <c r="A122" s="3605"/>
      <c r="D122" s="1478"/>
      <c r="E122" s="467"/>
      <c r="F122" s="1031" t="s">
        <v>851</v>
      </c>
      <c r="G122" s="469"/>
      <c r="H122" s="470"/>
      <c r="I122" s="470"/>
      <c r="J122" s="2335"/>
      <c r="K122" s="2336"/>
      <c r="L122" s="2337"/>
      <c r="M122" s="2338"/>
      <c r="N122" s="2339"/>
      <c r="O122" s="2340"/>
      <c r="P122" s="2341"/>
      <c r="Q122" s="2342"/>
      <c r="R122" s="2343"/>
      <c r="S122" s="2344"/>
      <c r="T122" s="2345"/>
      <c r="U122" s="2346"/>
      <c r="V122" s="2347"/>
      <c r="W122" s="2348"/>
      <c r="X122" s="2349"/>
      <c r="Y122" s="2350"/>
      <c r="Z122" s="2351"/>
      <c r="AA122" s="2352"/>
      <c r="AB122" s="2353"/>
      <c r="AC122" s="2354"/>
      <c r="AD122" s="2355"/>
      <c r="AE122" s="2356"/>
      <c r="AF122" s="2357"/>
      <c r="AG122" s="2358"/>
      <c r="AH122" s="2359"/>
      <c r="AI122" s="2360"/>
      <c r="AJ122" s="2361"/>
      <c r="AK122" s="2362"/>
      <c r="AL122" s="2363"/>
      <c r="AM122" s="2364"/>
      <c r="AN122" s="2365"/>
      <c r="AO122" s="2366"/>
      <c r="AP122" s="2367"/>
      <c r="AQ122" s="2368"/>
      <c r="AR122" s="2369"/>
      <c r="AS122" s="2370"/>
      <c r="AT122" s="2371"/>
      <c r="AU122" s="2372"/>
      <c r="AV122" s="2373"/>
      <c r="AW122" s="2374"/>
      <c r="AX122" s="2375"/>
      <c r="AY122" s="2376"/>
      <c r="AZ122" s="2377"/>
      <c r="BA122" s="2378"/>
      <c r="BB122" s="2379"/>
      <c r="BC122" s="2380"/>
      <c r="BD122" s="2381"/>
      <c r="BE122" s="2382"/>
      <c r="BF122" s="2383"/>
      <c r="BG122" s="2384"/>
      <c r="BH122" s="2385"/>
      <c r="BI122" s="2386"/>
      <c r="BJ122" s="2387"/>
      <c r="BK122" s="2388"/>
      <c r="BL122" s="2389"/>
      <c r="BM122" s="2390"/>
      <c r="BN122" s="2391"/>
      <c r="BO122" s="2392"/>
      <c r="BP122" s="2393"/>
      <c r="BQ122" s="2394"/>
      <c r="BR122" s="2395"/>
      <c r="BS122" s="2396"/>
      <c r="BT122" s="2397"/>
      <c r="BU122" s="2398"/>
      <c r="BV122" s="2399"/>
      <c r="BW122" s="2400"/>
      <c r="BX122" s="2401"/>
      <c r="BY122" s="2402"/>
      <c r="BZ122" s="2403"/>
      <c r="CA122" s="2404"/>
      <c r="CB122" s="2405"/>
      <c r="CC122" s="2406"/>
      <c r="CD122" s="2407"/>
      <c r="CE122" s="2408"/>
      <c r="CF122" s="2409"/>
      <c r="CG122" s="2410"/>
      <c r="CH122" s="2411"/>
      <c r="CI122" s="2412"/>
      <c r="CJ122" s="2413"/>
      <c r="CK122" s="2414"/>
      <c r="CL122" s="2415"/>
      <c r="CM122" s="2416"/>
      <c r="CN122" s="2417"/>
      <c r="CO122" s="2418"/>
      <c r="CP122" s="2419"/>
      <c r="CQ122" s="2420"/>
      <c r="CR122" s="2421"/>
      <c r="CS122" s="2422"/>
      <c r="CT122" s="2423"/>
      <c r="CU122" s="2424"/>
      <c r="CV122" s="2425"/>
      <c r="CW122" s="2426"/>
      <c r="CX122" s="874" t="s">
        <v>863</v>
      </c>
      <c r="CY122" s="440"/>
    </row>
    <row r="123" spans="1:123" ht="22.5" customHeight="1">
      <c r="A123" s="3605"/>
      <c r="D123" s="1483"/>
      <c r="E123" s="443" t="str">
        <f>FHD_NUM_P_79</f>
        <v>16</v>
      </c>
      <c r="F123" s="1719"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17" t="s">
        <v>827</v>
      </c>
      <c r="H123" s="474"/>
      <c r="I123" s="474"/>
      <c r="J123" s="1851"/>
      <c r="K123" s="1851"/>
      <c r="L123" s="1851"/>
      <c r="M123" s="1851"/>
      <c r="N123" s="1851"/>
      <c r="O123" s="1851"/>
      <c r="P123" s="1851"/>
      <c r="Q123" s="1851"/>
      <c r="R123" s="1851"/>
      <c r="S123" s="1851"/>
      <c r="T123" s="1851"/>
      <c r="U123" s="1851"/>
      <c r="V123" s="1851"/>
      <c r="W123" s="1851"/>
      <c r="X123" s="1851"/>
      <c r="Y123" s="1851"/>
      <c r="Z123" s="1851"/>
      <c r="AA123" s="1851"/>
      <c r="AB123" s="1851"/>
      <c r="AC123" s="1851"/>
      <c r="AD123" s="1851"/>
      <c r="AE123" s="1851"/>
      <c r="AF123" s="1851"/>
      <c r="AG123" s="1851"/>
      <c r="AH123" s="1851"/>
      <c r="AI123" s="1851"/>
      <c r="AJ123" s="1851"/>
      <c r="AK123" s="1851"/>
      <c r="AL123" s="1851"/>
      <c r="AM123" s="1851"/>
      <c r="AN123" s="1851"/>
      <c r="AO123" s="1851"/>
      <c r="AP123" s="1851"/>
      <c r="AQ123" s="1851"/>
      <c r="AR123" s="1851"/>
      <c r="AS123" s="1851"/>
      <c r="AT123" s="1851"/>
      <c r="AU123" s="1851"/>
      <c r="AV123" s="1851"/>
      <c r="AW123" s="1851"/>
      <c r="AX123" s="1851"/>
      <c r="AY123" s="1851"/>
      <c r="AZ123" s="1851"/>
      <c r="BA123" s="1851"/>
      <c r="BB123" s="1851"/>
      <c r="BC123" s="1851"/>
      <c r="BD123" s="1851"/>
      <c r="BE123" s="1851"/>
      <c r="BF123" s="1851"/>
      <c r="BG123" s="1851"/>
      <c r="BH123" s="1851"/>
      <c r="BI123" s="1851"/>
      <c r="BJ123" s="1851"/>
      <c r="BK123" s="1851"/>
      <c r="BL123" s="1851"/>
      <c r="BM123" s="1851"/>
      <c r="BN123" s="1851"/>
      <c r="BO123" s="1851"/>
      <c r="BP123" s="1851"/>
      <c r="BQ123" s="1851"/>
      <c r="BR123" s="1851"/>
      <c r="BS123" s="1851"/>
      <c r="BT123" s="1851"/>
      <c r="BU123" s="1851"/>
      <c r="BV123" s="1851"/>
      <c r="BW123" s="1851"/>
      <c r="BX123" s="1851"/>
      <c r="BY123" s="1851"/>
      <c r="BZ123" s="1851"/>
      <c r="CA123" s="1851"/>
      <c r="CB123" s="1851"/>
      <c r="CC123" s="1851"/>
      <c r="CD123" s="1851"/>
      <c r="CE123" s="1851"/>
      <c r="CF123" s="1851"/>
      <c r="CG123" s="1851"/>
      <c r="CH123" s="1851"/>
      <c r="CI123" s="1851"/>
      <c r="CJ123" s="1851"/>
      <c r="CK123" s="1851"/>
      <c r="CL123" s="1851"/>
      <c r="CM123" s="1851"/>
      <c r="CN123" s="1851"/>
      <c r="CO123" s="1851"/>
      <c r="CP123" s="1851"/>
      <c r="CQ123" s="1851"/>
      <c r="CR123" s="1851"/>
      <c r="CS123" s="1851"/>
      <c r="CT123" s="1851"/>
      <c r="CU123" s="1851"/>
      <c r="CV123" s="1851"/>
      <c r="CW123" s="1851"/>
      <c r="CX123" s="201"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CY123" s="440"/>
    </row>
    <row r="124" spans="1:123" s="1866" customFormat="1" ht="0.75" customHeight="1">
      <c r="A124" s="3605"/>
      <c r="D124" s="445"/>
      <c r="E124" s="883" t="str">
        <f>E123&amp;".0"</f>
        <v>16.0</v>
      </c>
      <c r="F124" s="869"/>
      <c r="G124" s="1496"/>
      <c r="H124" s="863"/>
      <c r="I124" s="863"/>
      <c r="J124" s="1854"/>
      <c r="K124" s="1854"/>
      <c r="L124" s="1854"/>
      <c r="M124" s="1854"/>
      <c r="N124" s="1854"/>
      <c r="O124" s="1854"/>
      <c r="P124" s="1854"/>
      <c r="Q124" s="1854"/>
      <c r="R124" s="1854"/>
      <c r="S124" s="1854"/>
      <c r="T124" s="1854"/>
      <c r="U124" s="1854"/>
      <c r="V124" s="1854"/>
      <c r="W124" s="1854"/>
      <c r="X124" s="1854"/>
      <c r="Y124" s="1854"/>
      <c r="Z124" s="1854"/>
      <c r="AA124" s="1854"/>
      <c r="AB124" s="1854"/>
      <c r="AC124" s="1854"/>
      <c r="AD124" s="1854"/>
      <c r="AE124" s="1854"/>
      <c r="AF124" s="1854"/>
      <c r="AG124" s="1854"/>
      <c r="AH124" s="1854"/>
      <c r="AI124" s="1854"/>
      <c r="AJ124" s="1854"/>
      <c r="AK124" s="1854"/>
      <c r="AL124" s="1854"/>
      <c r="AM124" s="1854"/>
      <c r="AN124" s="1854"/>
      <c r="AO124" s="1854"/>
      <c r="AP124" s="1854"/>
      <c r="AQ124" s="1854"/>
      <c r="AR124" s="1854"/>
      <c r="AS124" s="1854"/>
      <c r="AT124" s="1854"/>
      <c r="AU124" s="1854"/>
      <c r="AV124" s="1854"/>
      <c r="AW124" s="1854"/>
      <c r="AX124" s="1854"/>
      <c r="AY124" s="1854"/>
      <c r="AZ124" s="1854"/>
      <c r="BA124" s="1854"/>
      <c r="BB124" s="1854"/>
      <c r="BC124" s="1854"/>
      <c r="BD124" s="1854"/>
      <c r="BE124" s="1854"/>
      <c r="BF124" s="1854"/>
      <c r="BG124" s="1854"/>
      <c r="BH124" s="1854"/>
      <c r="BI124" s="1854"/>
      <c r="BJ124" s="1854"/>
      <c r="BK124" s="1854"/>
      <c r="BL124" s="1854"/>
      <c r="BM124" s="1854"/>
      <c r="BN124" s="1854"/>
      <c r="BO124" s="1854"/>
      <c r="BP124" s="1854"/>
      <c r="BQ124" s="1854"/>
      <c r="BR124" s="1854"/>
      <c r="BS124" s="1854"/>
      <c r="BT124" s="1854"/>
      <c r="BU124" s="1854"/>
      <c r="BV124" s="1854"/>
      <c r="BW124" s="1854"/>
      <c r="BX124" s="1854"/>
      <c r="BY124" s="1854"/>
      <c r="BZ124" s="1854"/>
      <c r="CA124" s="1854"/>
      <c r="CB124" s="1854"/>
      <c r="CC124" s="1854"/>
      <c r="CD124" s="1854"/>
      <c r="CE124" s="1854"/>
      <c r="CF124" s="1854"/>
      <c r="CG124" s="1854"/>
      <c r="CH124" s="1854"/>
      <c r="CI124" s="1854"/>
      <c r="CJ124" s="1854"/>
      <c r="CK124" s="1854"/>
      <c r="CL124" s="1854"/>
      <c r="CM124" s="1854"/>
      <c r="CN124" s="1854"/>
      <c r="CO124" s="1854"/>
      <c r="CP124" s="1854"/>
      <c r="CQ124" s="1854"/>
      <c r="CR124" s="1854"/>
      <c r="CS124" s="1854"/>
      <c r="CT124" s="1854"/>
      <c r="CU124" s="1854"/>
      <c r="CV124" s="1854"/>
      <c r="CW124" s="1854"/>
      <c r="CX124" s="867"/>
    </row>
    <row r="125" spans="1:123" ht="15" customHeight="1">
      <c r="A125" s="3605"/>
      <c r="D125" s="1478"/>
      <c r="E125" s="467"/>
      <c r="F125" s="1031" t="s">
        <v>851</v>
      </c>
      <c r="G125" s="469"/>
      <c r="H125" s="470"/>
      <c r="I125" s="470"/>
      <c r="J125" s="2427"/>
      <c r="K125" s="2428"/>
      <c r="L125" s="2429"/>
      <c r="M125" s="2430"/>
      <c r="N125" s="2431"/>
      <c r="O125" s="2432"/>
      <c r="P125" s="2433"/>
      <c r="Q125" s="2434"/>
      <c r="R125" s="2435"/>
      <c r="S125" s="2436"/>
      <c r="T125" s="2437"/>
      <c r="U125" s="2438"/>
      <c r="V125" s="2439"/>
      <c r="W125" s="2440"/>
      <c r="X125" s="2441"/>
      <c r="Y125" s="2442"/>
      <c r="Z125" s="2443"/>
      <c r="AA125" s="2444"/>
      <c r="AB125" s="2445"/>
      <c r="AC125" s="2446"/>
      <c r="AD125" s="2447"/>
      <c r="AE125" s="2448"/>
      <c r="AF125" s="2449"/>
      <c r="AG125" s="2450"/>
      <c r="AH125" s="2451"/>
      <c r="AI125" s="2452"/>
      <c r="AJ125" s="2453"/>
      <c r="AK125" s="2454"/>
      <c r="AL125" s="2455"/>
      <c r="AM125" s="2456"/>
      <c r="AN125" s="2457"/>
      <c r="AO125" s="2458"/>
      <c r="AP125" s="2459"/>
      <c r="AQ125" s="2460"/>
      <c r="AR125" s="2461"/>
      <c r="AS125" s="2462"/>
      <c r="AT125" s="2463"/>
      <c r="AU125" s="2464"/>
      <c r="AV125" s="2465"/>
      <c r="AW125" s="2466"/>
      <c r="AX125" s="2467"/>
      <c r="AY125" s="2468"/>
      <c r="AZ125" s="2469"/>
      <c r="BA125" s="2470"/>
      <c r="BB125" s="2471"/>
      <c r="BC125" s="2472"/>
      <c r="BD125" s="2473"/>
      <c r="BE125" s="2474"/>
      <c r="BF125" s="2475"/>
      <c r="BG125" s="2476"/>
      <c r="BH125" s="2477"/>
      <c r="BI125" s="2478"/>
      <c r="BJ125" s="2479"/>
      <c r="BK125" s="2480"/>
      <c r="BL125" s="2481"/>
      <c r="BM125" s="2482"/>
      <c r="BN125" s="2483"/>
      <c r="BO125" s="2484"/>
      <c r="BP125" s="2485"/>
      <c r="BQ125" s="2486"/>
      <c r="BR125" s="2487"/>
      <c r="BS125" s="2488"/>
      <c r="BT125" s="2489"/>
      <c r="BU125" s="2490"/>
      <c r="BV125" s="2491"/>
      <c r="BW125" s="2492"/>
      <c r="BX125" s="2493"/>
      <c r="BY125" s="2494"/>
      <c r="BZ125" s="2495"/>
      <c r="CA125" s="2496"/>
      <c r="CB125" s="2497"/>
      <c r="CC125" s="2498"/>
      <c r="CD125" s="2499"/>
      <c r="CE125" s="2500"/>
      <c r="CF125" s="2501"/>
      <c r="CG125" s="2502"/>
      <c r="CH125" s="2503"/>
      <c r="CI125" s="2504"/>
      <c r="CJ125" s="2505"/>
      <c r="CK125" s="2506"/>
      <c r="CL125" s="2507"/>
      <c r="CM125" s="2508"/>
      <c r="CN125" s="2509"/>
      <c r="CO125" s="2510"/>
      <c r="CP125" s="2511"/>
      <c r="CQ125" s="2512"/>
      <c r="CR125" s="2513"/>
      <c r="CS125" s="2514"/>
      <c r="CT125" s="2515"/>
      <c r="CU125" s="2516"/>
      <c r="CV125" s="2517"/>
      <c r="CW125" s="2518"/>
      <c r="CX125" s="874" t="s">
        <v>864</v>
      </c>
      <c r="CY125" s="440"/>
    </row>
    <row r="126" spans="1:123" ht="22.5" customHeight="1">
      <c r="A126" s="3605"/>
      <c r="D126" s="1483"/>
      <c r="E126" s="443" t="str">
        <f>FHD_NUM_P_80</f>
        <v>17</v>
      </c>
      <c r="F126" s="1719"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17" t="s">
        <v>865</v>
      </c>
      <c r="H126" s="454"/>
      <c r="I126" s="454"/>
      <c r="J126" s="1848"/>
      <c r="K126" s="1848"/>
      <c r="L126" s="1848"/>
      <c r="M126" s="1848"/>
      <c r="N126" s="1848"/>
      <c r="O126" s="1848"/>
      <c r="P126" s="1848"/>
      <c r="Q126" s="1848"/>
      <c r="R126" s="1848"/>
      <c r="S126" s="1848"/>
      <c r="T126" s="1848"/>
      <c r="U126" s="1848"/>
      <c r="V126" s="1848"/>
      <c r="W126" s="1848"/>
      <c r="X126" s="1848"/>
      <c r="Y126" s="1848"/>
      <c r="Z126" s="1848"/>
      <c r="AA126" s="1848"/>
      <c r="AB126" s="1848"/>
      <c r="AC126" s="1848"/>
      <c r="AD126" s="1848"/>
      <c r="AE126" s="1848"/>
      <c r="AF126" s="1848"/>
      <c r="AG126" s="1848"/>
      <c r="AH126" s="1848"/>
      <c r="AI126" s="1848"/>
      <c r="AJ126" s="1848"/>
      <c r="AK126" s="1848"/>
      <c r="AL126" s="1848"/>
      <c r="AM126" s="1848"/>
      <c r="AN126" s="1848"/>
      <c r="AO126" s="1848"/>
      <c r="AP126" s="1848"/>
      <c r="AQ126" s="1848"/>
      <c r="AR126" s="1848"/>
      <c r="AS126" s="1848"/>
      <c r="AT126" s="1848"/>
      <c r="AU126" s="1848"/>
      <c r="AV126" s="1848"/>
      <c r="AW126" s="1848"/>
      <c r="AX126" s="1848"/>
      <c r="AY126" s="1848"/>
      <c r="AZ126" s="1848"/>
      <c r="BA126" s="1848"/>
      <c r="BB126" s="1848"/>
      <c r="BC126" s="1848"/>
      <c r="BD126" s="1848"/>
      <c r="BE126" s="1848"/>
      <c r="BF126" s="1848"/>
      <c r="BG126" s="1848"/>
      <c r="BH126" s="1848"/>
      <c r="BI126" s="1848"/>
      <c r="BJ126" s="1848"/>
      <c r="BK126" s="1848"/>
      <c r="BL126" s="1848"/>
      <c r="BM126" s="1848"/>
      <c r="BN126" s="1848"/>
      <c r="BO126" s="1848"/>
      <c r="BP126" s="1848"/>
      <c r="BQ126" s="1848"/>
      <c r="BR126" s="1848"/>
      <c r="BS126" s="1848"/>
      <c r="BT126" s="1848"/>
      <c r="BU126" s="1848"/>
      <c r="BV126" s="1848"/>
      <c r="BW126" s="1848"/>
      <c r="BX126" s="1848"/>
      <c r="BY126" s="1848"/>
      <c r="BZ126" s="1848"/>
      <c r="CA126" s="1848"/>
      <c r="CB126" s="1848"/>
      <c r="CC126" s="1848"/>
      <c r="CD126" s="1848"/>
      <c r="CE126" s="1848"/>
      <c r="CF126" s="1848"/>
      <c r="CG126" s="1848"/>
      <c r="CH126" s="1848"/>
      <c r="CI126" s="1848"/>
      <c r="CJ126" s="1848"/>
      <c r="CK126" s="1848"/>
      <c r="CL126" s="1848"/>
      <c r="CM126" s="1848"/>
      <c r="CN126" s="1848"/>
      <c r="CO126" s="1848"/>
      <c r="CP126" s="1848"/>
      <c r="CQ126" s="1848"/>
      <c r="CR126" s="1848"/>
      <c r="CS126" s="1848"/>
      <c r="CT126" s="1848"/>
      <c r="CU126" s="1848"/>
      <c r="CV126" s="1848"/>
      <c r="CW126" s="1848"/>
      <c r="CX126" s="201" t="str">
        <f>FHD_NOTE_P_80</f>
        <v>Регулируемыми организациями указывается информация с по договорам, заключенным в рамках осуществления регулируемой деятельности.</v>
      </c>
      <c r="CY126" s="440"/>
    </row>
    <row r="127" spans="1:123" ht="18.75" customHeight="1">
      <c r="A127" s="3605"/>
      <c r="D127" s="1483"/>
      <c r="E127" s="443" t="str">
        <f>FHD_NUM_P_81</f>
        <v>18</v>
      </c>
      <c r="F127" s="1719"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17" t="s">
        <v>866</v>
      </c>
      <c r="H127" s="454"/>
      <c r="I127" s="454"/>
      <c r="J127" s="1848"/>
      <c r="K127" s="1848"/>
      <c r="L127" s="1848"/>
      <c r="M127" s="1848"/>
      <c r="N127" s="1848"/>
      <c r="O127" s="1848"/>
      <c r="P127" s="1848"/>
      <c r="Q127" s="1848"/>
      <c r="R127" s="1848"/>
      <c r="S127" s="1848"/>
      <c r="T127" s="1848"/>
      <c r="U127" s="1848"/>
      <c r="V127" s="1848"/>
      <c r="W127" s="1848"/>
      <c r="X127" s="1848"/>
      <c r="Y127" s="1848"/>
      <c r="Z127" s="1848"/>
      <c r="AA127" s="1848"/>
      <c r="AB127" s="1848"/>
      <c r="AC127" s="1848"/>
      <c r="AD127" s="1848"/>
      <c r="AE127" s="1848"/>
      <c r="AF127" s="1848"/>
      <c r="AG127" s="1848"/>
      <c r="AH127" s="1848"/>
      <c r="AI127" s="1848"/>
      <c r="AJ127" s="1848"/>
      <c r="AK127" s="1848"/>
      <c r="AL127" s="1848"/>
      <c r="AM127" s="1848"/>
      <c r="AN127" s="1848"/>
      <c r="AO127" s="1848"/>
      <c r="AP127" s="1848"/>
      <c r="AQ127" s="1848"/>
      <c r="AR127" s="1848"/>
      <c r="AS127" s="1848"/>
      <c r="AT127" s="1848"/>
      <c r="AU127" s="1848"/>
      <c r="AV127" s="1848"/>
      <c r="AW127" s="1848"/>
      <c r="AX127" s="1848"/>
      <c r="AY127" s="1848"/>
      <c r="AZ127" s="1848"/>
      <c r="BA127" s="1848"/>
      <c r="BB127" s="1848"/>
      <c r="BC127" s="1848"/>
      <c r="BD127" s="1848"/>
      <c r="BE127" s="1848"/>
      <c r="BF127" s="1848"/>
      <c r="BG127" s="1848"/>
      <c r="BH127" s="1848"/>
      <c r="BI127" s="1848"/>
      <c r="BJ127" s="1848"/>
      <c r="BK127" s="1848"/>
      <c r="BL127" s="1848"/>
      <c r="BM127" s="1848"/>
      <c r="BN127" s="1848"/>
      <c r="BO127" s="1848"/>
      <c r="BP127" s="1848"/>
      <c r="BQ127" s="1848"/>
      <c r="BR127" s="1848"/>
      <c r="BS127" s="1848"/>
      <c r="BT127" s="1848"/>
      <c r="BU127" s="1848"/>
      <c r="BV127" s="1848"/>
      <c r="BW127" s="1848"/>
      <c r="BX127" s="1848"/>
      <c r="BY127" s="1848"/>
      <c r="BZ127" s="1848"/>
      <c r="CA127" s="1848"/>
      <c r="CB127" s="1848"/>
      <c r="CC127" s="1848"/>
      <c r="CD127" s="1848"/>
      <c r="CE127" s="1848"/>
      <c r="CF127" s="1848"/>
      <c r="CG127" s="1848"/>
      <c r="CH127" s="1848"/>
      <c r="CI127" s="1848"/>
      <c r="CJ127" s="1848"/>
      <c r="CK127" s="1848"/>
      <c r="CL127" s="1848"/>
      <c r="CM127" s="1848"/>
      <c r="CN127" s="1848"/>
      <c r="CO127" s="1848"/>
      <c r="CP127" s="1848"/>
      <c r="CQ127" s="1848"/>
      <c r="CR127" s="1848"/>
      <c r="CS127" s="1848"/>
      <c r="CT127" s="1848"/>
      <c r="CU127" s="1848"/>
      <c r="CV127" s="1848"/>
      <c r="CW127" s="1848"/>
      <c r="CX127" s="201" t="str">
        <f>FHD_NOTE_P_81</f>
        <v>Регулируемыми организациями указывается информация с по договорам, заключенным в рамках осуществления регулируемой деятельности.</v>
      </c>
      <c r="CY127" s="440"/>
    </row>
    <row r="128" spans="1:123" ht="18.75" customHeight="1">
      <c r="A128" s="3605"/>
      <c r="C128" s="1481" t="s">
        <v>853</v>
      </c>
      <c r="D128" s="1483"/>
      <c r="E128" s="443" t="str">
        <f>FHD_NUM_P_82</f>
        <v>19</v>
      </c>
      <c r="F128" s="1719"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17" t="s">
        <v>566</v>
      </c>
      <c r="H128" s="308"/>
      <c r="I128" s="308"/>
      <c r="J128" s="1863"/>
      <c r="K128" s="1863"/>
      <c r="L128" s="1863"/>
      <c r="M128" s="1863"/>
      <c r="N128" s="1863"/>
      <c r="O128" s="1863"/>
      <c r="P128" s="1863"/>
      <c r="Q128" s="1863"/>
      <c r="R128" s="1863"/>
      <c r="S128" s="1863"/>
      <c r="T128" s="1863"/>
      <c r="U128" s="1863"/>
      <c r="V128" s="1863"/>
      <c r="W128" s="1863"/>
      <c r="X128" s="1863"/>
      <c r="Y128" s="1863"/>
      <c r="Z128" s="1863"/>
      <c r="AA128" s="1863"/>
      <c r="AB128" s="1863"/>
      <c r="AC128" s="1863"/>
      <c r="AD128" s="1863"/>
      <c r="AE128" s="1863"/>
      <c r="AF128" s="1863"/>
      <c r="AG128" s="1863"/>
      <c r="AH128" s="1863"/>
      <c r="AI128" s="1863"/>
      <c r="AJ128" s="1863"/>
      <c r="AK128" s="1863"/>
      <c r="AL128" s="1863"/>
      <c r="AM128" s="1863"/>
      <c r="AN128" s="1863"/>
      <c r="AO128" s="1863"/>
      <c r="AP128" s="1863"/>
      <c r="AQ128" s="1863"/>
      <c r="AR128" s="1863"/>
      <c r="AS128" s="1863"/>
      <c r="AT128" s="1863"/>
      <c r="AU128" s="1863"/>
      <c r="AV128" s="1863"/>
      <c r="AW128" s="1863"/>
      <c r="AX128" s="1863"/>
      <c r="AY128" s="1863"/>
      <c r="AZ128" s="1863"/>
      <c r="BA128" s="1863"/>
      <c r="BB128" s="1863"/>
      <c r="BC128" s="1863"/>
      <c r="BD128" s="1863"/>
      <c r="BE128" s="1863"/>
      <c r="BF128" s="1863"/>
      <c r="BG128" s="1863"/>
      <c r="BH128" s="1863"/>
      <c r="BI128" s="1863"/>
      <c r="BJ128" s="1863"/>
      <c r="BK128" s="1863"/>
      <c r="BL128" s="1863"/>
      <c r="BM128" s="1863"/>
      <c r="BN128" s="1863"/>
      <c r="BO128" s="1863"/>
      <c r="BP128" s="1863"/>
      <c r="BQ128" s="1863"/>
      <c r="BR128" s="1863"/>
      <c r="BS128" s="1863"/>
      <c r="BT128" s="1863"/>
      <c r="BU128" s="1863"/>
      <c r="BV128" s="1863"/>
      <c r="BW128" s="1863"/>
      <c r="BX128" s="1863"/>
      <c r="BY128" s="1863"/>
      <c r="BZ128" s="1863"/>
      <c r="CA128" s="1863"/>
      <c r="CB128" s="1863"/>
      <c r="CC128" s="1863"/>
      <c r="CD128" s="1863"/>
      <c r="CE128" s="1863"/>
      <c r="CF128" s="1863"/>
      <c r="CG128" s="1863"/>
      <c r="CH128" s="1863"/>
      <c r="CI128" s="1863"/>
      <c r="CJ128" s="1863"/>
      <c r="CK128" s="1863"/>
      <c r="CL128" s="1863"/>
      <c r="CM128" s="1863"/>
      <c r="CN128" s="1863"/>
      <c r="CO128" s="1863"/>
      <c r="CP128" s="1863"/>
      <c r="CQ128" s="1863"/>
      <c r="CR128" s="1863"/>
      <c r="CS128" s="1863"/>
      <c r="CT128" s="1863"/>
      <c r="CU128" s="1863"/>
      <c r="CV128" s="1863"/>
      <c r="CW128" s="1863"/>
      <c r="CX128" s="201" t="str">
        <f>FHD_NOTE_P_82</f>
        <v>Указывается ссылка на документ, предварительно загруженный в хранилище файлов ФГИС ЕИАС.</v>
      </c>
      <c r="CY128" s="440"/>
    </row>
    <row r="129" spans="1:123" ht="18.75" customHeight="1">
      <c r="A129" s="3605"/>
      <c r="C129" s="1481" t="s">
        <v>853</v>
      </c>
      <c r="D129" s="1483"/>
      <c r="E129" s="443" t="str">
        <f>FHD_NUM_P_83</f>
        <v>19.1</v>
      </c>
      <c r="F129" s="1379" t="str">
        <f>FHD_P_83</f>
        <v>Информация о показателях физического износа объектов теплоснабжения</v>
      </c>
      <c r="G129" s="1717" t="s">
        <v>566</v>
      </c>
      <c r="H129" s="308"/>
      <c r="I129" s="308"/>
      <c r="J129" s="1863"/>
      <c r="K129" s="1863"/>
      <c r="L129" s="1863"/>
      <c r="M129" s="1863"/>
      <c r="N129" s="1863"/>
      <c r="O129" s="1863"/>
      <c r="P129" s="1863"/>
      <c r="Q129" s="1863"/>
      <c r="R129" s="1863"/>
      <c r="S129" s="1863"/>
      <c r="T129" s="1863"/>
      <c r="U129" s="1863"/>
      <c r="V129" s="1863"/>
      <c r="W129" s="1863"/>
      <c r="X129" s="1863"/>
      <c r="Y129" s="1863"/>
      <c r="Z129" s="1863"/>
      <c r="AA129" s="1863"/>
      <c r="AB129" s="1863"/>
      <c r="AC129" s="1863"/>
      <c r="AD129" s="1863"/>
      <c r="AE129" s="1863"/>
      <c r="AF129" s="1863"/>
      <c r="AG129" s="1863"/>
      <c r="AH129" s="1863"/>
      <c r="AI129" s="1863"/>
      <c r="AJ129" s="1863"/>
      <c r="AK129" s="1863"/>
      <c r="AL129" s="1863"/>
      <c r="AM129" s="1863"/>
      <c r="AN129" s="1863"/>
      <c r="AO129" s="1863"/>
      <c r="AP129" s="1863"/>
      <c r="AQ129" s="1863"/>
      <c r="AR129" s="1863"/>
      <c r="AS129" s="1863"/>
      <c r="AT129" s="1863"/>
      <c r="AU129" s="1863"/>
      <c r="AV129" s="1863"/>
      <c r="AW129" s="1863"/>
      <c r="AX129" s="1863"/>
      <c r="AY129" s="1863"/>
      <c r="AZ129" s="1863"/>
      <c r="BA129" s="1863"/>
      <c r="BB129" s="1863"/>
      <c r="BC129" s="1863"/>
      <c r="BD129" s="1863"/>
      <c r="BE129" s="1863"/>
      <c r="BF129" s="1863"/>
      <c r="BG129" s="1863"/>
      <c r="BH129" s="1863"/>
      <c r="BI129" s="1863"/>
      <c r="BJ129" s="1863"/>
      <c r="BK129" s="1863"/>
      <c r="BL129" s="1863"/>
      <c r="BM129" s="1863"/>
      <c r="BN129" s="1863"/>
      <c r="BO129" s="1863"/>
      <c r="BP129" s="1863"/>
      <c r="BQ129" s="1863"/>
      <c r="BR129" s="1863"/>
      <c r="BS129" s="1863"/>
      <c r="BT129" s="1863"/>
      <c r="BU129" s="1863"/>
      <c r="BV129" s="1863"/>
      <c r="BW129" s="1863"/>
      <c r="BX129" s="1863"/>
      <c r="BY129" s="1863"/>
      <c r="BZ129" s="1863"/>
      <c r="CA129" s="1863"/>
      <c r="CB129" s="1863"/>
      <c r="CC129" s="1863"/>
      <c r="CD129" s="1863"/>
      <c r="CE129" s="1863"/>
      <c r="CF129" s="1863"/>
      <c r="CG129" s="1863"/>
      <c r="CH129" s="1863"/>
      <c r="CI129" s="1863"/>
      <c r="CJ129" s="1863"/>
      <c r="CK129" s="1863"/>
      <c r="CL129" s="1863"/>
      <c r="CM129" s="1863"/>
      <c r="CN129" s="1863"/>
      <c r="CO129" s="1863"/>
      <c r="CP129" s="1863"/>
      <c r="CQ129" s="1863"/>
      <c r="CR129" s="1863"/>
      <c r="CS129" s="1863"/>
      <c r="CT129" s="1863"/>
      <c r="CU129" s="1863"/>
      <c r="CV129" s="1863"/>
      <c r="CW129" s="1863"/>
      <c r="CX129" s="201" t="str">
        <f>FHD_NOTE_P_83</f>
        <v>Указывается ссылка на документ, предварительно загруженный в хранилище файлов ФГИС ЕИАС.</v>
      </c>
      <c r="CY129" s="440"/>
    </row>
    <row r="130" spans="1:123" ht="18.75" customHeight="1">
      <c r="A130" s="3605"/>
      <c r="C130" s="1481" t="s">
        <v>853</v>
      </c>
      <c r="D130" s="1483"/>
      <c r="E130" s="443" t="str">
        <f>FHD_NUM_P_84</f>
        <v>19.2</v>
      </c>
      <c r="F130" s="1379" t="str">
        <f>FHD_P_84</f>
        <v>Информация о показателях энергетической эффективности объектов теплоснабжения</v>
      </c>
      <c r="G130" s="1717" t="s">
        <v>566</v>
      </c>
      <c r="H130" s="308"/>
      <c r="I130" s="308"/>
      <c r="J130" s="1863"/>
      <c r="K130" s="1863"/>
      <c r="L130" s="1863"/>
      <c r="M130" s="1863"/>
      <c r="N130" s="1863"/>
      <c r="O130" s="1863"/>
      <c r="P130" s="1863"/>
      <c r="Q130" s="1863"/>
      <c r="R130" s="1863"/>
      <c r="S130" s="1863"/>
      <c r="T130" s="1863"/>
      <c r="U130" s="1863"/>
      <c r="V130" s="1863"/>
      <c r="W130" s="1863"/>
      <c r="X130" s="1863"/>
      <c r="Y130" s="1863"/>
      <c r="Z130" s="1863"/>
      <c r="AA130" s="1863"/>
      <c r="AB130" s="1863"/>
      <c r="AC130" s="1863"/>
      <c r="AD130" s="1863"/>
      <c r="AE130" s="1863"/>
      <c r="AF130" s="1863"/>
      <c r="AG130" s="1863"/>
      <c r="AH130" s="1863"/>
      <c r="AI130" s="1863"/>
      <c r="AJ130" s="1863"/>
      <c r="AK130" s="1863"/>
      <c r="AL130" s="1863"/>
      <c r="AM130" s="1863"/>
      <c r="AN130" s="1863"/>
      <c r="AO130" s="1863"/>
      <c r="AP130" s="1863"/>
      <c r="AQ130" s="1863"/>
      <c r="AR130" s="1863"/>
      <c r="AS130" s="1863"/>
      <c r="AT130" s="1863"/>
      <c r="AU130" s="1863"/>
      <c r="AV130" s="1863"/>
      <c r="AW130" s="1863"/>
      <c r="AX130" s="1863"/>
      <c r="AY130" s="1863"/>
      <c r="AZ130" s="1863"/>
      <c r="BA130" s="1863"/>
      <c r="BB130" s="1863"/>
      <c r="BC130" s="1863"/>
      <c r="BD130" s="1863"/>
      <c r="BE130" s="1863"/>
      <c r="BF130" s="1863"/>
      <c r="BG130" s="1863"/>
      <c r="BH130" s="1863"/>
      <c r="BI130" s="1863"/>
      <c r="BJ130" s="1863"/>
      <c r="BK130" s="1863"/>
      <c r="BL130" s="1863"/>
      <c r="BM130" s="1863"/>
      <c r="BN130" s="1863"/>
      <c r="BO130" s="1863"/>
      <c r="BP130" s="1863"/>
      <c r="BQ130" s="1863"/>
      <c r="BR130" s="1863"/>
      <c r="BS130" s="1863"/>
      <c r="BT130" s="1863"/>
      <c r="BU130" s="1863"/>
      <c r="BV130" s="1863"/>
      <c r="BW130" s="1863"/>
      <c r="BX130" s="1863"/>
      <c r="BY130" s="1863"/>
      <c r="BZ130" s="1863"/>
      <c r="CA130" s="1863"/>
      <c r="CB130" s="1863"/>
      <c r="CC130" s="1863"/>
      <c r="CD130" s="1863"/>
      <c r="CE130" s="1863"/>
      <c r="CF130" s="1863"/>
      <c r="CG130" s="1863"/>
      <c r="CH130" s="1863"/>
      <c r="CI130" s="1863"/>
      <c r="CJ130" s="1863"/>
      <c r="CK130" s="1863"/>
      <c r="CL130" s="1863"/>
      <c r="CM130" s="1863"/>
      <c r="CN130" s="1863"/>
      <c r="CO130" s="1863"/>
      <c r="CP130" s="1863"/>
      <c r="CQ130" s="1863"/>
      <c r="CR130" s="1863"/>
      <c r="CS130" s="1863"/>
      <c r="CT130" s="1863"/>
      <c r="CU130" s="1863"/>
      <c r="CV130" s="1863"/>
      <c r="CW130" s="1863"/>
      <c r="CX130" s="201" t="str">
        <f>FHD_NOTE_P_84</f>
        <v>Указывается ссылка на документ, предварительно загруженный в хранилище файлов ФГИС ЕИАС.</v>
      </c>
      <c r="CY130" s="440"/>
    </row>
    <row r="131" spans="1:123" ht="11.25" customHeight="1">
      <c r="D131" s="1483"/>
    </row>
    <row r="132" spans="1:123" ht="12.75" customHeight="1">
      <c r="D132" s="1483"/>
      <c r="E132" s="247"/>
      <c r="F132" s="277"/>
      <c r="G132" s="277"/>
      <c r="H132" s="277"/>
      <c r="I132" s="1492"/>
      <c r="J132" s="1905"/>
      <c r="K132" s="1905"/>
      <c r="L132" s="1905"/>
      <c r="M132" s="1905"/>
      <c r="N132" s="1905"/>
      <c r="O132" s="1905"/>
      <c r="P132" s="1905"/>
      <c r="Q132" s="1905"/>
      <c r="R132" s="1905"/>
      <c r="S132" s="1905"/>
      <c r="T132" s="1905"/>
      <c r="U132" s="1905"/>
      <c r="V132" s="1905"/>
      <c r="W132" s="1905"/>
      <c r="X132" s="1905"/>
      <c r="Y132" s="1905"/>
      <c r="Z132" s="1905"/>
      <c r="AA132" s="1905"/>
      <c r="AB132" s="1905"/>
      <c r="AC132" s="1905"/>
      <c r="AD132" s="1905"/>
      <c r="AE132" s="1905"/>
      <c r="AF132" s="1905"/>
      <c r="AG132" s="1905"/>
      <c r="AH132" s="1905"/>
      <c r="AI132" s="1905"/>
      <c r="AJ132" s="1905"/>
      <c r="AK132" s="1905"/>
      <c r="AL132" s="1905"/>
      <c r="AM132" s="1905"/>
      <c r="AN132" s="1905"/>
      <c r="AO132" s="1905"/>
      <c r="AP132" s="1905"/>
      <c r="AQ132" s="1905"/>
      <c r="AR132" s="1905"/>
      <c r="AS132" s="1905"/>
      <c r="AT132" s="1905"/>
      <c r="AU132" s="1905"/>
      <c r="AV132" s="1905"/>
      <c r="AW132" s="1905"/>
      <c r="AX132" s="1905"/>
      <c r="AY132" s="1905"/>
      <c r="AZ132" s="1905"/>
      <c r="BA132" s="1905"/>
      <c r="BB132" s="1905"/>
      <c r="BC132" s="1905"/>
      <c r="BD132" s="1905"/>
      <c r="BE132" s="1905"/>
      <c r="BF132" s="1905"/>
      <c r="BG132" s="1905"/>
      <c r="BH132" s="1905"/>
      <c r="BI132" s="1905"/>
      <c r="BJ132" s="1905"/>
      <c r="BK132" s="1905"/>
      <c r="BL132" s="1905"/>
      <c r="BM132" s="1905"/>
      <c r="BN132" s="1905"/>
      <c r="BO132" s="1905"/>
      <c r="BP132" s="1905"/>
      <c r="BQ132" s="1905"/>
      <c r="BR132" s="1905"/>
      <c r="BS132" s="1905"/>
      <c r="BT132" s="1905"/>
      <c r="BU132" s="1905"/>
      <c r="BV132" s="1905"/>
      <c r="BW132" s="1905"/>
      <c r="BX132" s="1905"/>
      <c r="BY132" s="1905"/>
      <c r="BZ132" s="1905"/>
      <c r="CA132" s="1905"/>
      <c r="CB132" s="1905"/>
      <c r="CC132" s="1905"/>
      <c r="CD132" s="1905"/>
      <c r="CE132" s="1905"/>
      <c r="CF132" s="1905"/>
      <c r="CG132" s="1905"/>
      <c r="CH132" s="1905"/>
      <c r="CI132" s="1905"/>
      <c r="CJ132" s="1905"/>
      <c r="CK132" s="1905"/>
      <c r="CL132" s="1905"/>
      <c r="CM132" s="1905"/>
      <c r="CN132" s="1905"/>
      <c r="CO132" s="1905"/>
      <c r="CP132" s="1905"/>
      <c r="CQ132" s="1905"/>
      <c r="CR132" s="1905"/>
      <c r="CS132" s="1905"/>
      <c r="CT132" s="1905"/>
      <c r="CU132" s="1905"/>
      <c r="CV132" s="1905"/>
      <c r="CW132" s="1905"/>
      <c r="CX132" s="478"/>
    </row>
    <row r="133" spans="1:123" s="1838" customFormat="1" ht="11.25" customHeight="1">
      <c r="A133" s="858"/>
      <c r="B133" s="1481"/>
      <c r="C133" s="1481"/>
      <c r="D133" s="260"/>
      <c r="F133" s="1485"/>
      <c r="G133" s="1476"/>
      <c r="H133" s="1476"/>
      <c r="I133" s="1476"/>
      <c r="J133" s="1910"/>
      <c r="K133" s="1910"/>
      <c r="L133" s="1910"/>
      <c r="M133" s="1910"/>
      <c r="N133" s="1910"/>
      <c r="O133" s="1910"/>
      <c r="P133" s="1910"/>
      <c r="Q133" s="1910"/>
      <c r="R133" s="1910"/>
      <c r="S133" s="1910"/>
      <c r="T133" s="1910"/>
      <c r="U133" s="1910"/>
      <c r="V133" s="1910"/>
      <c r="W133" s="1910"/>
      <c r="X133" s="1910"/>
      <c r="Y133" s="1910"/>
      <c r="Z133" s="1910"/>
      <c r="AA133" s="1910"/>
      <c r="AB133" s="1910"/>
      <c r="AC133" s="1910"/>
      <c r="AD133" s="1910"/>
      <c r="AE133" s="1910"/>
      <c r="AF133" s="1910"/>
      <c r="AG133" s="1910"/>
      <c r="AH133" s="1910"/>
      <c r="AI133" s="1910"/>
      <c r="AJ133" s="1910"/>
      <c r="AK133" s="1910"/>
      <c r="AL133" s="1910"/>
      <c r="AM133" s="1910"/>
      <c r="AN133" s="1910"/>
      <c r="AO133" s="1910"/>
      <c r="AP133" s="1910"/>
      <c r="AQ133" s="1910"/>
      <c r="AR133" s="1910"/>
      <c r="AS133" s="1910"/>
      <c r="AT133" s="1910"/>
      <c r="AU133" s="1910"/>
      <c r="AV133" s="1910"/>
      <c r="AW133" s="1910"/>
      <c r="AX133" s="1910"/>
      <c r="AY133" s="1910"/>
      <c r="AZ133" s="1910"/>
      <c r="BA133" s="1910"/>
      <c r="BB133" s="1910"/>
      <c r="BC133" s="1910"/>
      <c r="BD133" s="1910"/>
      <c r="BE133" s="1910"/>
      <c r="BF133" s="1910"/>
      <c r="BG133" s="1910"/>
      <c r="BH133" s="1910"/>
      <c r="BI133" s="1910"/>
      <c r="BJ133" s="1910"/>
      <c r="BK133" s="1910"/>
      <c r="BL133" s="1910"/>
      <c r="BM133" s="1910"/>
      <c r="BN133" s="1910"/>
      <c r="BO133" s="1910"/>
      <c r="BP133" s="1910"/>
      <c r="BQ133" s="1910"/>
      <c r="BR133" s="1910"/>
      <c r="BS133" s="1910"/>
      <c r="BT133" s="1910"/>
      <c r="BU133" s="1910"/>
      <c r="BV133" s="1910"/>
      <c r="BW133" s="1910"/>
      <c r="BX133" s="1910"/>
      <c r="BY133" s="1910"/>
      <c r="BZ133" s="1910"/>
      <c r="CA133" s="1910"/>
      <c r="CB133" s="1910"/>
      <c r="CC133" s="1910"/>
      <c r="CD133" s="1910"/>
      <c r="CE133" s="1910"/>
      <c r="CF133" s="1910"/>
      <c r="CG133" s="1910"/>
      <c r="CH133" s="1910"/>
      <c r="CI133" s="1910"/>
      <c r="CJ133" s="1910"/>
      <c r="CK133" s="1910"/>
      <c r="CL133" s="1910"/>
      <c r="CM133" s="1910"/>
      <c r="CN133" s="1910"/>
      <c r="CO133" s="1910"/>
      <c r="CP133" s="1910"/>
      <c r="CQ133" s="1910"/>
      <c r="CR133" s="1910"/>
      <c r="CS133" s="1910"/>
      <c r="CT133" s="1910"/>
      <c r="CU133" s="1910"/>
      <c r="CV133" s="1910"/>
      <c r="CW133" s="1910"/>
      <c r="CY133" s="1023"/>
      <c r="CZ133" s="1481"/>
      <c r="DA133" s="1481"/>
      <c r="DB133" s="1023"/>
      <c r="DC133" s="1023"/>
      <c r="DD133" s="1023"/>
      <c r="DE133" s="1023"/>
      <c r="DF133" s="1481"/>
      <c r="DG133" s="1023"/>
      <c r="DH133" s="1023"/>
      <c r="DI133" s="441"/>
      <c r="DJ133" s="1023"/>
      <c r="DK133" s="1023"/>
      <c r="DL133" s="1023"/>
      <c r="DM133" s="1023"/>
      <c r="DN133" s="1023"/>
      <c r="DO133" s="1477"/>
      <c r="DP133" s="463"/>
      <c r="DQ133" s="463"/>
      <c r="DR133" s="463"/>
      <c r="DS133" s="463"/>
    </row>
    <row r="134" spans="1:123" s="1838" customFormat="1" ht="11.25" customHeight="1">
      <c r="A134" s="858"/>
      <c r="B134" s="1481"/>
      <c r="C134" s="1481"/>
      <c r="D134" s="260"/>
      <c r="CY134" s="1023"/>
      <c r="CZ134" s="1481"/>
      <c r="DA134" s="1481"/>
      <c r="DB134" s="1023"/>
      <c r="DC134" s="1023"/>
      <c r="DD134" s="1023"/>
      <c r="DE134" s="1023"/>
      <c r="DF134" s="1481"/>
      <c r="DG134" s="1023"/>
      <c r="DH134" s="1023"/>
      <c r="DI134" s="441"/>
      <c r="DJ134" s="1023"/>
      <c r="DK134" s="1023"/>
      <c r="DL134" s="1023"/>
      <c r="DM134" s="1023"/>
      <c r="DN134" s="1023"/>
      <c r="DO134" s="1477"/>
      <c r="DP134" s="463"/>
      <c r="DQ134" s="463"/>
      <c r="DR134" s="463"/>
      <c r="DS134" s="463"/>
    </row>
    <row r="135" spans="1:123" s="1838" customFormat="1" ht="11.25" customHeight="1">
      <c r="A135" s="858"/>
      <c r="B135" s="1481"/>
      <c r="C135" s="1481"/>
      <c r="D135" s="260"/>
      <c r="CY135" s="1023"/>
      <c r="CZ135" s="1481"/>
      <c r="DA135" s="1481"/>
      <c r="DB135" s="1023"/>
      <c r="DC135" s="1023"/>
      <c r="DD135" s="1023"/>
      <c r="DE135" s="1023"/>
      <c r="DF135" s="1481"/>
      <c r="DG135" s="1023"/>
      <c r="DH135" s="1023"/>
      <c r="DI135" s="441"/>
      <c r="DJ135" s="1023"/>
      <c r="DK135" s="1023"/>
      <c r="DL135" s="1023"/>
      <c r="DM135" s="1023"/>
      <c r="DN135" s="1023"/>
      <c r="DO135" s="1477"/>
      <c r="DP135" s="463"/>
      <c r="DQ135" s="463"/>
      <c r="DR135" s="463"/>
      <c r="DS135" s="463"/>
    </row>
    <row r="136" spans="1:123" s="1838" customFormat="1" ht="11.25" customHeight="1">
      <c r="A136" s="858"/>
      <c r="B136" s="1481"/>
      <c r="C136" s="1481"/>
      <c r="D136" s="260"/>
      <c r="H136" s="463" t="str">
        <f t="shared" ref="H136:AM136" si="25">IF(H30-H31&lt;&gt;H72,"WARNING","")</f>
        <v/>
      </c>
      <c r="I136" s="463" t="str">
        <f t="shared" si="25"/>
        <v/>
      </c>
      <c r="J136" s="1864" t="str">
        <f t="shared" si="25"/>
        <v/>
      </c>
      <c r="K136" s="1864" t="str">
        <f t="shared" si="25"/>
        <v/>
      </c>
      <c r="L136" s="1864" t="str">
        <f t="shared" si="25"/>
        <v/>
      </c>
      <c r="M136" s="1864" t="str">
        <f t="shared" si="25"/>
        <v/>
      </c>
      <c r="N136" s="1864" t="str">
        <f t="shared" si="25"/>
        <v/>
      </c>
      <c r="O136" s="1864" t="str">
        <f t="shared" si="25"/>
        <v/>
      </c>
      <c r="P136" s="1864" t="str">
        <f t="shared" si="25"/>
        <v/>
      </c>
      <c r="Q136" s="1864" t="str">
        <f t="shared" si="25"/>
        <v/>
      </c>
      <c r="R136" s="1864" t="str">
        <f t="shared" si="25"/>
        <v/>
      </c>
      <c r="S136" s="1864" t="str">
        <f t="shared" si="25"/>
        <v/>
      </c>
      <c r="T136" s="1864" t="str">
        <f t="shared" si="25"/>
        <v/>
      </c>
      <c r="U136" s="1864" t="str">
        <f t="shared" si="25"/>
        <v/>
      </c>
      <c r="V136" s="1864" t="str">
        <f t="shared" si="25"/>
        <v/>
      </c>
      <c r="W136" s="1864" t="str">
        <f t="shared" si="25"/>
        <v/>
      </c>
      <c r="X136" s="1864" t="str">
        <f t="shared" si="25"/>
        <v/>
      </c>
      <c r="Y136" s="1864" t="str">
        <f t="shared" si="25"/>
        <v/>
      </c>
      <c r="Z136" s="1864" t="str">
        <f t="shared" si="25"/>
        <v/>
      </c>
      <c r="AA136" s="1864" t="str">
        <f t="shared" si="25"/>
        <v/>
      </c>
      <c r="AB136" s="1864" t="str">
        <f t="shared" si="25"/>
        <v/>
      </c>
      <c r="AC136" s="1864" t="str">
        <f t="shared" si="25"/>
        <v/>
      </c>
      <c r="AD136" s="1864" t="str">
        <f t="shared" si="25"/>
        <v/>
      </c>
      <c r="AE136" s="1864" t="str">
        <f t="shared" si="25"/>
        <v/>
      </c>
      <c r="AF136" s="1864" t="str">
        <f t="shared" si="25"/>
        <v/>
      </c>
      <c r="AG136" s="1864" t="str">
        <f t="shared" si="25"/>
        <v/>
      </c>
      <c r="AH136" s="1864" t="str">
        <f t="shared" si="25"/>
        <v/>
      </c>
      <c r="AI136" s="1864" t="str">
        <f t="shared" si="25"/>
        <v/>
      </c>
      <c r="AJ136" s="1864" t="str">
        <f t="shared" si="25"/>
        <v/>
      </c>
      <c r="AK136" s="1864" t="str">
        <f t="shared" si="25"/>
        <v/>
      </c>
      <c r="AL136" s="1864" t="str">
        <f t="shared" si="25"/>
        <v/>
      </c>
      <c r="AM136" s="1864" t="str">
        <f t="shared" si="25"/>
        <v/>
      </c>
      <c r="AN136" s="1864" t="str">
        <f t="shared" ref="AN136:BS136" si="26">IF(AN30-AN31&lt;&gt;AN72,"WARNING","")</f>
        <v/>
      </c>
      <c r="AO136" s="1864" t="str">
        <f t="shared" si="26"/>
        <v/>
      </c>
      <c r="AP136" s="1864" t="str">
        <f t="shared" si="26"/>
        <v/>
      </c>
      <c r="AQ136" s="1864" t="str">
        <f t="shared" si="26"/>
        <v/>
      </c>
      <c r="AR136" s="1864" t="str">
        <f t="shared" si="26"/>
        <v/>
      </c>
      <c r="AS136" s="1864" t="str">
        <f t="shared" si="26"/>
        <v/>
      </c>
      <c r="AT136" s="1864" t="str">
        <f t="shared" si="26"/>
        <v/>
      </c>
      <c r="AU136" s="1864" t="str">
        <f t="shared" si="26"/>
        <v/>
      </c>
      <c r="AV136" s="1864" t="str">
        <f t="shared" si="26"/>
        <v/>
      </c>
      <c r="AW136" s="1864" t="str">
        <f t="shared" si="26"/>
        <v/>
      </c>
      <c r="AX136" s="1864" t="str">
        <f t="shared" si="26"/>
        <v/>
      </c>
      <c r="AY136" s="1864" t="str">
        <f t="shared" si="26"/>
        <v/>
      </c>
      <c r="AZ136" s="1864" t="str">
        <f t="shared" si="26"/>
        <v/>
      </c>
      <c r="BA136" s="1864" t="str">
        <f t="shared" si="26"/>
        <v/>
      </c>
      <c r="BB136" s="1864" t="str">
        <f t="shared" si="26"/>
        <v/>
      </c>
      <c r="BC136" s="1864" t="str">
        <f t="shared" si="26"/>
        <v/>
      </c>
      <c r="BD136" s="1864" t="str">
        <f t="shared" si="26"/>
        <v/>
      </c>
      <c r="BE136" s="1864" t="str">
        <f t="shared" si="26"/>
        <v/>
      </c>
      <c r="BF136" s="1864" t="str">
        <f t="shared" si="26"/>
        <v/>
      </c>
      <c r="BG136" s="1864" t="str">
        <f t="shared" si="26"/>
        <v/>
      </c>
      <c r="BH136" s="1864" t="str">
        <f t="shared" si="26"/>
        <v/>
      </c>
      <c r="BI136" s="1864" t="str">
        <f t="shared" si="26"/>
        <v/>
      </c>
      <c r="BJ136" s="1864" t="str">
        <f t="shared" si="26"/>
        <v/>
      </c>
      <c r="BK136" s="1864" t="str">
        <f t="shared" si="26"/>
        <v/>
      </c>
      <c r="BL136" s="1864" t="str">
        <f t="shared" si="26"/>
        <v/>
      </c>
      <c r="BM136" s="1864" t="str">
        <f t="shared" si="26"/>
        <v/>
      </c>
      <c r="BN136" s="1864" t="str">
        <f t="shared" si="26"/>
        <v/>
      </c>
      <c r="BO136" s="1864" t="str">
        <f t="shared" si="26"/>
        <v/>
      </c>
      <c r="BP136" s="1864" t="str">
        <f t="shared" si="26"/>
        <v/>
      </c>
      <c r="BQ136" s="1864" t="str">
        <f t="shared" si="26"/>
        <v/>
      </c>
      <c r="BR136" s="1864" t="str">
        <f t="shared" si="26"/>
        <v/>
      </c>
      <c r="BS136" s="1864" t="str">
        <f t="shared" si="26"/>
        <v/>
      </c>
      <c r="BT136" s="1864" t="str">
        <f t="shared" ref="BT136:CW136" si="27">IF(BT30-BT31&lt;&gt;BT72,"WARNING","")</f>
        <v/>
      </c>
      <c r="BU136" s="1864" t="str">
        <f t="shared" si="27"/>
        <v/>
      </c>
      <c r="BV136" s="1864" t="str">
        <f t="shared" si="27"/>
        <v/>
      </c>
      <c r="BW136" s="1864" t="str">
        <f t="shared" si="27"/>
        <v/>
      </c>
      <c r="BX136" s="1864" t="str">
        <f t="shared" si="27"/>
        <v/>
      </c>
      <c r="BY136" s="1864" t="str">
        <f t="shared" si="27"/>
        <v/>
      </c>
      <c r="BZ136" s="1864" t="str">
        <f t="shared" si="27"/>
        <v/>
      </c>
      <c r="CA136" s="1864" t="str">
        <f t="shared" si="27"/>
        <v/>
      </c>
      <c r="CB136" s="1864" t="str">
        <f t="shared" si="27"/>
        <v/>
      </c>
      <c r="CC136" s="1864" t="str">
        <f t="shared" si="27"/>
        <v/>
      </c>
      <c r="CD136" s="1864" t="str">
        <f t="shared" si="27"/>
        <v/>
      </c>
      <c r="CE136" s="1864" t="str">
        <f t="shared" si="27"/>
        <v/>
      </c>
      <c r="CF136" s="1864" t="str">
        <f t="shared" si="27"/>
        <v/>
      </c>
      <c r="CG136" s="1864" t="str">
        <f t="shared" si="27"/>
        <v/>
      </c>
      <c r="CH136" s="1864" t="str">
        <f t="shared" si="27"/>
        <v/>
      </c>
      <c r="CI136" s="1864" t="str">
        <f t="shared" si="27"/>
        <v/>
      </c>
      <c r="CJ136" s="1864" t="str">
        <f t="shared" si="27"/>
        <v/>
      </c>
      <c r="CK136" s="1864" t="str">
        <f t="shared" si="27"/>
        <v/>
      </c>
      <c r="CL136" s="1864" t="str">
        <f t="shared" si="27"/>
        <v/>
      </c>
      <c r="CM136" s="1864" t="str">
        <f t="shared" si="27"/>
        <v/>
      </c>
      <c r="CN136" s="1864" t="str">
        <f t="shared" si="27"/>
        <v/>
      </c>
      <c r="CO136" s="1864" t="str">
        <f t="shared" si="27"/>
        <v/>
      </c>
      <c r="CP136" s="1864" t="str">
        <f t="shared" si="27"/>
        <v/>
      </c>
      <c r="CQ136" s="1864" t="str">
        <f t="shared" si="27"/>
        <v/>
      </c>
      <c r="CR136" s="1864" t="str">
        <f t="shared" si="27"/>
        <v/>
      </c>
      <c r="CS136" s="1864" t="str">
        <f t="shared" si="27"/>
        <v/>
      </c>
      <c r="CT136" s="1864" t="str">
        <f t="shared" si="27"/>
        <v/>
      </c>
      <c r="CU136" s="1864" t="str">
        <f t="shared" si="27"/>
        <v/>
      </c>
      <c r="CV136" s="1864" t="str">
        <f t="shared" si="27"/>
        <v/>
      </c>
      <c r="CW136" s="1864" t="str">
        <f t="shared" si="27"/>
        <v/>
      </c>
      <c r="CY136" s="1023"/>
      <c r="CZ136" s="1481"/>
      <c r="DA136" s="1481"/>
      <c r="DB136" s="1023"/>
      <c r="DC136" s="1023"/>
      <c r="DD136" s="1023"/>
      <c r="DE136" s="1023"/>
      <c r="DF136" s="1481"/>
      <c r="DG136" s="1023"/>
      <c r="DH136" s="1023"/>
      <c r="DI136" s="441"/>
      <c r="DJ136" s="1023"/>
      <c r="DK136" s="1023"/>
      <c r="DL136" s="1023"/>
      <c r="DM136" s="1023"/>
      <c r="DN136" s="1023"/>
      <c r="DO136" s="1477"/>
      <c r="DP136" s="463"/>
      <c r="DQ136" s="463"/>
      <c r="DR136" s="463"/>
      <c r="DS136" s="463"/>
    </row>
    <row r="137" spans="1:123" s="1838" customFormat="1" ht="11.25" customHeight="1">
      <c r="A137" s="858"/>
      <c r="B137" s="1481"/>
      <c r="C137" s="1481"/>
      <c r="D137" s="260"/>
      <c r="CY137" s="1023"/>
      <c r="CZ137" s="1481"/>
      <c r="DA137" s="1481"/>
      <c r="DB137" s="1023"/>
      <c r="DC137" s="1023"/>
      <c r="DD137" s="1023"/>
      <c r="DE137" s="1023"/>
      <c r="DF137" s="1481"/>
      <c r="DG137" s="1023"/>
      <c r="DH137" s="1023"/>
      <c r="DI137" s="441"/>
      <c r="DJ137" s="1023"/>
      <c r="DK137" s="1023"/>
      <c r="DL137" s="1023"/>
      <c r="DM137" s="1023"/>
      <c r="DN137" s="1023"/>
      <c r="DO137" s="1477"/>
      <c r="DP137" s="463"/>
      <c r="DQ137" s="463"/>
      <c r="DR137" s="463"/>
      <c r="DS137" s="463"/>
    </row>
    <row r="138" spans="1:123" s="1838" customFormat="1" ht="11.25" customHeight="1">
      <c r="A138" s="858"/>
      <c r="B138" s="1481"/>
      <c r="C138" s="1481"/>
      <c r="D138" s="260"/>
      <c r="CY138" s="1023"/>
      <c r="CZ138" s="1481"/>
      <c r="DA138" s="1481"/>
      <c r="DB138" s="1023"/>
      <c r="DC138" s="1023"/>
      <c r="DD138" s="1023"/>
      <c r="DE138" s="1023"/>
      <c r="DF138" s="1481"/>
      <c r="DG138" s="1023"/>
      <c r="DH138" s="1023"/>
      <c r="DI138" s="441"/>
      <c r="DJ138" s="1023"/>
      <c r="DK138" s="1023"/>
      <c r="DL138" s="1023"/>
      <c r="DM138" s="1023"/>
      <c r="DN138" s="1023"/>
      <c r="DO138" s="1477"/>
      <c r="DP138" s="463"/>
      <c r="DQ138" s="463"/>
      <c r="DR138" s="463"/>
      <c r="DS138" s="463"/>
    </row>
    <row r="139" spans="1:123" s="1838" customFormat="1" ht="11.25" customHeight="1">
      <c r="A139" s="858"/>
      <c r="B139" s="1481"/>
      <c r="C139" s="1481"/>
      <c r="D139" s="260"/>
      <c r="CY139" s="1023"/>
      <c r="CZ139" s="1481"/>
      <c r="DA139" s="1481"/>
      <c r="DB139" s="1023"/>
      <c r="DC139" s="1023"/>
      <c r="DD139" s="1023"/>
      <c r="DE139" s="1023"/>
      <c r="DF139" s="1481"/>
      <c r="DG139" s="1023"/>
      <c r="DH139" s="1023"/>
      <c r="DI139" s="441"/>
      <c r="DJ139" s="1023"/>
      <c r="DK139" s="1023"/>
      <c r="DL139" s="1023"/>
      <c r="DM139" s="1023"/>
      <c r="DN139" s="1023"/>
      <c r="DO139" s="1477"/>
      <c r="DP139" s="463"/>
      <c r="DQ139" s="463"/>
      <c r="DR139" s="463"/>
      <c r="DS139" s="463"/>
    </row>
    <row r="140" spans="1:123" s="1838" customFormat="1" ht="11.25" customHeight="1">
      <c r="A140" s="858"/>
      <c r="B140" s="1481"/>
      <c r="C140" s="1481"/>
      <c r="D140" s="260"/>
      <c r="CY140" s="1023"/>
      <c r="CZ140" s="1481"/>
      <c r="DA140" s="1481"/>
      <c r="DB140" s="1023"/>
      <c r="DC140" s="1023"/>
      <c r="DD140" s="1023"/>
      <c r="DE140" s="1023"/>
      <c r="DF140" s="1481"/>
      <c r="DG140" s="1023"/>
      <c r="DH140" s="1023"/>
      <c r="DI140" s="441"/>
      <c r="DJ140" s="1023"/>
      <c r="DK140" s="1023"/>
      <c r="DL140" s="1023"/>
      <c r="DM140" s="1023"/>
      <c r="DN140" s="1023"/>
      <c r="DO140" s="1477"/>
      <c r="DP140" s="463"/>
      <c r="DQ140" s="463"/>
      <c r="DR140" s="463"/>
      <c r="DS140" s="463"/>
    </row>
    <row r="141" spans="1:123" s="1838" customFormat="1" ht="11.25" customHeight="1">
      <c r="A141" s="858"/>
      <c r="B141" s="1481"/>
      <c r="C141" s="1481"/>
      <c r="D141" s="260"/>
      <c r="CY141" s="1023"/>
      <c r="CZ141" s="1481"/>
      <c r="DA141" s="1481"/>
      <c r="DB141" s="1023"/>
      <c r="DC141" s="1023"/>
      <c r="DD141" s="1023"/>
      <c r="DE141" s="1023"/>
      <c r="DF141" s="1481"/>
      <c r="DG141" s="1023"/>
      <c r="DH141" s="1023"/>
      <c r="DI141" s="441"/>
      <c r="DJ141" s="1023"/>
      <c r="DK141" s="1023"/>
      <c r="DL141" s="1023"/>
      <c r="DM141" s="1023"/>
      <c r="DN141" s="1023"/>
      <c r="DO141" s="1477"/>
      <c r="DP141" s="463"/>
      <c r="DQ141" s="463"/>
      <c r="DR141" s="463"/>
      <c r="DS141" s="463"/>
    </row>
    <row r="142" spans="1:123" s="1838" customFormat="1" ht="11.25" customHeight="1">
      <c r="A142" s="858"/>
      <c r="B142" s="1481"/>
      <c r="C142" s="1481"/>
      <c r="D142" s="260"/>
      <c r="CY142" s="1023"/>
      <c r="CZ142" s="1481"/>
      <c r="DA142" s="1481"/>
      <c r="DB142" s="1023"/>
      <c r="DC142" s="1023"/>
      <c r="DD142" s="1023"/>
      <c r="DE142" s="1023"/>
      <c r="DF142" s="1481"/>
      <c r="DG142" s="1023"/>
      <c r="DH142" s="1023"/>
      <c r="DI142" s="441"/>
      <c r="DJ142" s="1023"/>
      <c r="DK142" s="1023"/>
      <c r="DL142" s="1023"/>
      <c r="DM142" s="1023"/>
      <c r="DN142" s="1023"/>
      <c r="DO142" s="1477"/>
      <c r="DP142" s="463"/>
      <c r="DQ142" s="463"/>
      <c r="DR142" s="463"/>
      <c r="DS142" s="463"/>
    </row>
    <row r="143" spans="1:123" s="1838" customFormat="1" ht="11.25" customHeight="1">
      <c r="A143" s="858"/>
      <c r="B143" s="1481"/>
      <c r="C143" s="1481"/>
      <c r="D143" s="260"/>
      <c r="CY143" s="1023"/>
      <c r="CZ143" s="1481"/>
      <c r="DA143" s="1481"/>
      <c r="DB143" s="1023"/>
      <c r="DC143" s="1023"/>
      <c r="DD143" s="1023"/>
      <c r="DE143" s="1023"/>
      <c r="DF143" s="1481"/>
      <c r="DG143" s="1023"/>
      <c r="DH143" s="1023"/>
      <c r="DI143" s="441"/>
      <c r="DJ143" s="1023"/>
      <c r="DK143" s="1023"/>
      <c r="DL143" s="1023"/>
      <c r="DM143" s="1023"/>
      <c r="DN143" s="1023"/>
      <c r="DO143" s="1477"/>
      <c r="DP143" s="463"/>
      <c r="DQ143" s="463"/>
      <c r="DR143" s="463"/>
      <c r="DS143" s="463"/>
    </row>
    <row r="144" spans="1:123" s="1838" customFormat="1" ht="11.25" customHeight="1">
      <c r="A144" s="858"/>
      <c r="B144" s="1481"/>
      <c r="C144" s="1481"/>
      <c r="D144" s="260"/>
      <c r="CY144" s="1023"/>
      <c r="CZ144" s="1481"/>
      <c r="DA144" s="1481"/>
      <c r="DB144" s="1023"/>
      <c r="DC144" s="1023"/>
      <c r="DD144" s="1023"/>
      <c r="DE144" s="1023"/>
      <c r="DF144" s="1481"/>
      <c r="DG144" s="1023"/>
      <c r="DH144" s="1023"/>
      <c r="DI144" s="441"/>
      <c r="DJ144" s="1023"/>
      <c r="DK144" s="1023"/>
      <c r="DL144" s="1023"/>
      <c r="DM144" s="1023"/>
      <c r="DN144" s="1023"/>
      <c r="DO144" s="1477"/>
      <c r="DP144" s="463"/>
      <c r="DQ144" s="463"/>
      <c r="DR144" s="463"/>
      <c r="DS144" s="463"/>
    </row>
    <row r="145" spans="1:123" s="1838" customFormat="1" ht="11.25" customHeight="1">
      <c r="A145" s="858"/>
      <c r="B145" s="1481"/>
      <c r="C145" s="1481"/>
      <c r="D145" s="260"/>
      <c r="CY145" s="1023"/>
      <c r="CZ145" s="1481"/>
      <c r="DA145" s="1481"/>
      <c r="DB145" s="1023"/>
      <c r="DC145" s="1023"/>
      <c r="DD145" s="1023"/>
      <c r="DE145" s="1023"/>
      <c r="DF145" s="1481"/>
      <c r="DG145" s="1023"/>
      <c r="DH145" s="1023"/>
      <c r="DI145" s="441"/>
      <c r="DJ145" s="1023"/>
      <c r="DK145" s="1023"/>
      <c r="DL145" s="1023"/>
      <c r="DM145" s="1023"/>
      <c r="DN145" s="1023"/>
      <c r="DO145" s="1477"/>
      <c r="DP145" s="463"/>
      <c r="DQ145" s="463"/>
      <c r="DR145" s="463"/>
      <c r="DS145" s="463"/>
    </row>
    <row r="146" spans="1:123" s="1838" customFormat="1" ht="11.25" customHeight="1">
      <c r="A146" s="858"/>
      <c r="B146" s="1481"/>
      <c r="C146" s="1481"/>
      <c r="D146" s="260"/>
      <c r="CY146" s="1023"/>
      <c r="CZ146" s="1481"/>
      <c r="DA146" s="1481"/>
      <c r="DB146" s="1023"/>
      <c r="DC146" s="1023"/>
      <c r="DD146" s="1023"/>
      <c r="DE146" s="1023"/>
      <c r="DF146" s="1481"/>
      <c r="DG146" s="1023"/>
      <c r="DH146" s="1023"/>
      <c r="DI146" s="441"/>
      <c r="DJ146" s="1023"/>
      <c r="DK146" s="1023"/>
      <c r="DL146" s="1023"/>
      <c r="DM146" s="1023"/>
      <c r="DN146" s="1023"/>
      <c r="DO146" s="1477"/>
      <c r="DP146" s="463"/>
      <c r="DQ146" s="463"/>
      <c r="DR146" s="463"/>
      <c r="DS146" s="463"/>
    </row>
    <row r="147" spans="1:123" s="1838" customFormat="1" ht="11.25" customHeight="1">
      <c r="A147" s="858"/>
      <c r="B147" s="1481"/>
      <c r="C147" s="1481"/>
      <c r="D147" s="260"/>
      <c r="CY147" s="1023"/>
      <c r="CZ147" s="1481"/>
      <c r="DA147" s="1481"/>
      <c r="DB147" s="1023"/>
      <c r="DC147" s="1023"/>
      <c r="DD147" s="1023"/>
      <c r="DE147" s="1023"/>
      <c r="DF147" s="1481"/>
      <c r="DG147" s="1023"/>
      <c r="DH147" s="1023"/>
      <c r="DI147" s="441"/>
      <c r="DJ147" s="1023"/>
      <c r="DK147" s="1023"/>
      <c r="DL147" s="1023"/>
      <c r="DM147" s="1023"/>
      <c r="DN147" s="1023"/>
      <c r="DO147" s="1477"/>
      <c r="DP147" s="463"/>
      <c r="DQ147" s="463"/>
      <c r="DR147" s="463"/>
      <c r="DS147" s="463"/>
    </row>
    <row r="148" spans="1:123" s="1838" customFormat="1" ht="11.25" customHeight="1">
      <c r="A148" s="858"/>
      <c r="B148" s="1481"/>
      <c r="C148" s="1481"/>
      <c r="D148" s="260"/>
      <c r="CY148" s="1023"/>
      <c r="CZ148" s="1481"/>
      <c r="DA148" s="1481"/>
      <c r="DB148" s="1023"/>
      <c r="DC148" s="1023"/>
      <c r="DD148" s="1023"/>
      <c r="DE148" s="1023"/>
      <c r="DF148" s="1481"/>
      <c r="DG148" s="1023"/>
      <c r="DH148" s="1023"/>
      <c r="DI148" s="441"/>
      <c r="DJ148" s="1023"/>
      <c r="DK148" s="1023"/>
      <c r="DL148" s="1023"/>
      <c r="DM148" s="1023"/>
      <c r="DN148" s="1023"/>
      <c r="DO148" s="1477"/>
      <c r="DP148" s="463"/>
      <c r="DQ148" s="463"/>
      <c r="DR148" s="463"/>
      <c r="DS148" s="463"/>
    </row>
    <row r="149" spans="1:123" s="1838" customFormat="1" ht="11.25" customHeight="1">
      <c r="A149" s="858"/>
      <c r="B149" s="1481"/>
      <c r="C149" s="1481"/>
      <c r="D149" s="260"/>
      <c r="CY149" s="1023"/>
      <c r="CZ149" s="1481"/>
      <c r="DA149" s="1481"/>
      <c r="DB149" s="1023"/>
      <c r="DC149" s="1023"/>
      <c r="DD149" s="1023"/>
      <c r="DE149" s="1023"/>
      <c r="DF149" s="1481"/>
      <c r="DG149" s="1023"/>
      <c r="DH149" s="1023"/>
      <c r="DI149" s="441"/>
      <c r="DJ149" s="1023"/>
      <c r="DK149" s="1023"/>
      <c r="DL149" s="1023"/>
      <c r="DM149" s="1023"/>
      <c r="DN149" s="1023"/>
      <c r="DO149" s="1477"/>
      <c r="DP149" s="463"/>
      <c r="DQ149" s="463"/>
      <c r="DR149" s="463"/>
      <c r="DS149" s="463"/>
    </row>
    <row r="150" spans="1:123" s="1838" customFormat="1" ht="11.25" customHeight="1">
      <c r="A150" s="858"/>
      <c r="B150" s="1481"/>
      <c r="C150" s="1481"/>
      <c r="D150" s="260"/>
      <c r="CY150" s="1023"/>
      <c r="CZ150" s="1481"/>
      <c r="DA150" s="1481"/>
      <c r="DB150" s="1023"/>
      <c r="DC150" s="1023"/>
      <c r="DD150" s="1023"/>
      <c r="DE150" s="1023"/>
      <c r="DF150" s="1481"/>
      <c r="DG150" s="1023"/>
      <c r="DH150" s="1023"/>
      <c r="DI150" s="441"/>
      <c r="DJ150" s="1023"/>
      <c r="DK150" s="1023"/>
      <c r="DL150" s="1023"/>
      <c r="DM150" s="1023"/>
      <c r="DN150" s="1023"/>
      <c r="DO150" s="1477"/>
      <c r="DP150" s="463"/>
      <c r="DQ150" s="463"/>
      <c r="DR150" s="463"/>
      <c r="DS150" s="463"/>
    </row>
    <row r="151" spans="1:123" s="1838" customFormat="1" ht="11.25" customHeight="1">
      <c r="A151" s="858"/>
      <c r="B151" s="1481"/>
      <c r="C151" s="1481"/>
      <c r="D151" s="260"/>
      <c r="CY151" s="1023"/>
      <c r="CZ151" s="1481"/>
      <c r="DA151" s="1481"/>
      <c r="DB151" s="1023"/>
      <c r="DC151" s="1023"/>
      <c r="DD151" s="1023"/>
      <c r="DE151" s="1023"/>
      <c r="DF151" s="1481"/>
      <c r="DG151" s="1023"/>
      <c r="DH151" s="1023"/>
      <c r="DI151" s="441"/>
      <c r="DJ151" s="1023"/>
      <c r="DK151" s="1023"/>
      <c r="DL151" s="1023"/>
      <c r="DM151" s="1023"/>
      <c r="DN151" s="1023"/>
      <c r="DO151" s="1477"/>
      <c r="DP151" s="463"/>
      <c r="DQ151" s="463"/>
      <c r="DR151" s="463"/>
      <c r="DS151" s="463"/>
    </row>
    <row r="152" spans="1:123" s="1838" customFormat="1" ht="11.25" customHeight="1">
      <c r="A152" s="858"/>
      <c r="B152" s="1481"/>
      <c r="C152" s="1481"/>
      <c r="D152" s="260"/>
      <c r="CY152" s="1023"/>
      <c r="CZ152" s="1481"/>
      <c r="DA152" s="1481"/>
      <c r="DB152" s="1023"/>
      <c r="DC152" s="1023"/>
      <c r="DD152" s="1023"/>
      <c r="DE152" s="1023"/>
      <c r="DF152" s="1481"/>
      <c r="DG152" s="1023"/>
      <c r="DH152" s="1023"/>
      <c r="DI152" s="441"/>
      <c r="DJ152" s="1023"/>
      <c r="DK152" s="1023"/>
      <c r="DL152" s="1023"/>
      <c r="DM152" s="1023"/>
      <c r="DN152" s="1023"/>
      <c r="DO152" s="1477"/>
      <c r="DP152" s="463"/>
      <c r="DQ152" s="463"/>
      <c r="DR152" s="463"/>
      <c r="DS152" s="463"/>
    </row>
    <row r="153" spans="1:123" s="1838" customFormat="1" ht="11.25" customHeight="1">
      <c r="A153" s="858"/>
      <c r="B153" s="1481"/>
      <c r="C153" s="1481"/>
      <c r="D153" s="260"/>
      <c r="CY153" s="1023"/>
      <c r="CZ153" s="1481"/>
      <c r="DA153" s="1481"/>
      <c r="DB153" s="1023"/>
      <c r="DC153" s="1023"/>
      <c r="DD153" s="1023"/>
      <c r="DE153" s="1023"/>
      <c r="DF153" s="1481"/>
      <c r="DG153" s="1023"/>
      <c r="DH153" s="1023"/>
      <c r="DI153" s="441"/>
      <c r="DJ153" s="1023"/>
      <c r="DK153" s="1023"/>
      <c r="DL153" s="1023"/>
      <c r="DM153" s="1023"/>
      <c r="DN153" s="1023"/>
      <c r="DO153" s="1477"/>
      <c r="DP153" s="463"/>
      <c r="DQ153" s="463"/>
      <c r="DR153" s="463"/>
      <c r="DS153" s="463"/>
    </row>
    <row r="154" spans="1:123" s="1838" customFormat="1" ht="11.25" customHeight="1">
      <c r="A154" s="858"/>
      <c r="B154" s="1481"/>
      <c r="C154" s="1481"/>
      <c r="D154" s="260"/>
      <c r="CY154" s="1023"/>
      <c r="CZ154" s="1481"/>
      <c r="DA154" s="1481"/>
      <c r="DB154" s="1023"/>
      <c r="DC154" s="1023"/>
      <c r="DD154" s="1023"/>
      <c r="DE154" s="1023"/>
      <c r="DF154" s="1481"/>
      <c r="DG154" s="1023"/>
      <c r="DH154" s="1023"/>
      <c r="DI154" s="441"/>
      <c r="DJ154" s="1023"/>
      <c r="DK154" s="1023"/>
      <c r="DL154" s="1023"/>
      <c r="DM154" s="1023"/>
      <c r="DN154" s="1023"/>
      <c r="DO154" s="1477"/>
      <c r="DP154" s="463"/>
      <c r="DQ154" s="463"/>
      <c r="DR154" s="463"/>
      <c r="DS154" s="463"/>
    </row>
    <row r="155" spans="1:123" s="1838" customFormat="1" ht="11.25" customHeight="1">
      <c r="A155" s="858"/>
      <c r="B155" s="1481"/>
      <c r="C155" s="1481"/>
      <c r="D155" s="260"/>
      <c r="CY155" s="1023"/>
      <c r="CZ155" s="1481"/>
      <c r="DA155" s="1481"/>
      <c r="DB155" s="1023"/>
      <c r="DC155" s="1023"/>
      <c r="DD155" s="1023"/>
      <c r="DE155" s="1023"/>
      <c r="DF155" s="1481"/>
      <c r="DG155" s="1023"/>
      <c r="DH155" s="1023"/>
      <c r="DI155" s="441"/>
      <c r="DJ155" s="1023"/>
      <c r="DK155" s="1023"/>
      <c r="DL155" s="1023"/>
      <c r="DM155" s="1023"/>
      <c r="DN155" s="1023"/>
      <c r="DO155" s="1477"/>
      <c r="DP155" s="463"/>
      <c r="DQ155" s="463"/>
      <c r="DR155" s="463"/>
      <c r="DS155" s="463"/>
    </row>
    <row r="156" spans="1:123" s="1838" customFormat="1" ht="11.25" customHeight="1">
      <c r="A156" s="858"/>
      <c r="B156" s="1481"/>
      <c r="C156" s="1481"/>
      <c r="D156" s="260"/>
      <c r="CY156" s="1023"/>
      <c r="CZ156" s="1481"/>
      <c r="DA156" s="1481"/>
      <c r="DB156" s="1023"/>
      <c r="DC156" s="1023"/>
      <c r="DD156" s="1023"/>
      <c r="DE156" s="1023"/>
      <c r="DF156" s="1481"/>
      <c r="DG156" s="1023"/>
      <c r="DH156" s="1023"/>
      <c r="DI156" s="441"/>
      <c r="DJ156" s="1023"/>
      <c r="DK156" s="1023"/>
      <c r="DL156" s="1023"/>
      <c r="DM156" s="1023"/>
      <c r="DN156" s="1023"/>
      <c r="DO156" s="1477"/>
      <c r="DP156" s="463"/>
      <c r="DQ156" s="463"/>
      <c r="DR156" s="463"/>
      <c r="DS156" s="463"/>
    </row>
    <row r="157" spans="1:123" s="1838" customFormat="1" ht="11.25" customHeight="1">
      <c r="A157" s="858"/>
      <c r="B157" s="1481"/>
      <c r="C157" s="1481"/>
      <c r="D157" s="260"/>
      <c r="CY157" s="1023"/>
      <c r="CZ157" s="1481"/>
      <c r="DA157" s="1481"/>
      <c r="DB157" s="1023"/>
      <c r="DC157" s="1023"/>
      <c r="DD157" s="1023"/>
      <c r="DE157" s="1023"/>
      <c r="DF157" s="1481"/>
      <c r="DG157" s="1023"/>
      <c r="DH157" s="1023"/>
      <c r="DI157" s="441"/>
      <c r="DJ157" s="1023"/>
      <c r="DK157" s="1023"/>
      <c r="DL157" s="1023"/>
      <c r="DM157" s="1023"/>
      <c r="DN157" s="1023"/>
      <c r="DO157" s="1477"/>
      <c r="DP157" s="463"/>
      <c r="DQ157" s="463"/>
      <c r="DR157" s="463"/>
      <c r="DS157" s="463"/>
    </row>
    <row r="158" spans="1:123" s="1838" customFormat="1" ht="11.25" customHeight="1">
      <c r="A158" s="858"/>
      <c r="B158" s="1481"/>
      <c r="C158" s="1481"/>
      <c r="D158" s="260"/>
      <c r="CY158" s="1023"/>
      <c r="CZ158" s="1481"/>
      <c r="DA158" s="1481"/>
      <c r="DB158" s="1023"/>
      <c r="DC158" s="1023"/>
      <c r="DD158" s="1023"/>
      <c r="DE158" s="1023"/>
      <c r="DF158" s="1481"/>
      <c r="DG158" s="1023"/>
      <c r="DH158" s="1023"/>
      <c r="DI158" s="441"/>
      <c r="DJ158" s="1023"/>
      <c r="DK158" s="1023"/>
      <c r="DL158" s="1023"/>
      <c r="DM158" s="1023"/>
      <c r="DN158" s="1023"/>
      <c r="DO158" s="1477"/>
      <c r="DP158" s="463"/>
      <c r="DQ158" s="463"/>
      <c r="DR158" s="463"/>
      <c r="DS158" s="463"/>
    </row>
    <row r="159" spans="1:123" s="1838" customFormat="1" ht="11.25" customHeight="1">
      <c r="A159" s="858"/>
      <c r="B159" s="1481"/>
      <c r="C159" s="1481"/>
      <c r="D159" s="260"/>
      <c r="CY159" s="1023"/>
      <c r="CZ159" s="1481"/>
      <c r="DA159" s="1481"/>
      <c r="DB159" s="1023"/>
      <c r="DC159" s="1023"/>
      <c r="DD159" s="1023"/>
      <c r="DE159" s="1023"/>
      <c r="DF159" s="1481"/>
      <c r="DG159" s="1023"/>
      <c r="DH159" s="1023"/>
      <c r="DI159" s="441"/>
      <c r="DJ159" s="1023"/>
      <c r="DK159" s="1023"/>
      <c r="DL159" s="1023"/>
      <c r="DM159" s="1023"/>
      <c r="DN159" s="1023"/>
      <c r="DO159" s="1477"/>
      <c r="DP159" s="463"/>
      <c r="DQ159" s="463"/>
      <c r="DR159" s="463"/>
      <c r="DS159" s="463"/>
    </row>
    <row r="160" spans="1:123" s="1838" customFormat="1" ht="11.25" customHeight="1">
      <c r="A160" s="858"/>
      <c r="B160" s="1481"/>
      <c r="C160" s="1481"/>
      <c r="D160" s="260"/>
      <c r="CY160" s="1023"/>
      <c r="CZ160" s="1481"/>
      <c r="DA160" s="1481"/>
      <c r="DB160" s="1023"/>
      <c r="DC160" s="1023"/>
      <c r="DD160" s="1023"/>
      <c r="DE160" s="1023"/>
      <c r="DF160" s="1481"/>
      <c r="DG160" s="1023"/>
      <c r="DH160" s="1023"/>
      <c r="DI160" s="441"/>
      <c r="DJ160" s="1023"/>
      <c r="DK160" s="1023"/>
      <c r="DL160" s="1023"/>
      <c r="DM160" s="1023"/>
      <c r="DN160" s="1023"/>
      <c r="DO160" s="1477"/>
      <c r="DP160" s="463"/>
      <c r="DQ160" s="463"/>
      <c r="DR160" s="463"/>
      <c r="DS160" s="463"/>
    </row>
    <row r="161" spans="1:123" s="1838" customFormat="1" ht="11.25" customHeight="1">
      <c r="A161" s="858"/>
      <c r="B161" s="1481"/>
      <c r="C161" s="1481"/>
      <c r="D161" s="260"/>
      <c r="CY161" s="1023"/>
      <c r="CZ161" s="1481"/>
      <c r="DA161" s="1481"/>
      <c r="DB161" s="1023"/>
      <c r="DC161" s="1023"/>
      <c r="DD161" s="1023"/>
      <c r="DE161" s="1023"/>
      <c r="DF161" s="1481"/>
      <c r="DG161" s="1023"/>
      <c r="DH161" s="1023"/>
      <c r="DI161" s="441"/>
      <c r="DJ161" s="1023"/>
      <c r="DK161" s="1023"/>
      <c r="DL161" s="1023"/>
      <c r="DM161" s="1023"/>
      <c r="DN161" s="1023"/>
      <c r="DO161" s="1477"/>
      <c r="DP161" s="463"/>
      <c r="DQ161" s="463"/>
      <c r="DR161" s="463"/>
      <c r="DS161" s="463"/>
    </row>
    <row r="162" spans="1:123" s="1838" customFormat="1" ht="11.25" customHeight="1">
      <c r="A162" s="858"/>
      <c r="B162" s="1481"/>
      <c r="C162" s="1481"/>
      <c r="D162" s="260"/>
      <c r="CY162" s="1023"/>
      <c r="CZ162" s="1481"/>
      <c r="DA162" s="1481"/>
      <c r="DB162" s="1023"/>
      <c r="DC162" s="1023"/>
      <c r="DD162" s="1023"/>
      <c r="DE162" s="1023"/>
      <c r="DF162" s="1481"/>
      <c r="DG162" s="1023"/>
      <c r="DH162" s="1023"/>
      <c r="DI162" s="441"/>
      <c r="DJ162" s="1023"/>
      <c r="DK162" s="1023"/>
      <c r="DL162" s="1023"/>
      <c r="DM162" s="1023"/>
      <c r="DN162" s="1023"/>
      <c r="DO162" s="1477"/>
      <c r="DP162" s="463"/>
      <c r="DQ162" s="463"/>
      <c r="DR162" s="463"/>
      <c r="DS162" s="463"/>
    </row>
    <row r="163" spans="1:123" s="1838" customFormat="1" ht="11.25" customHeight="1">
      <c r="A163" s="858"/>
      <c r="B163" s="1481"/>
      <c r="C163" s="1481"/>
      <c r="D163" s="260"/>
      <c r="CY163" s="1023"/>
      <c r="CZ163" s="1481"/>
      <c r="DA163" s="1481"/>
      <c r="DB163" s="1023"/>
      <c r="DC163" s="1023"/>
      <c r="DD163" s="1023"/>
      <c r="DE163" s="1023"/>
      <c r="DF163" s="1481"/>
      <c r="DG163" s="1023"/>
      <c r="DH163" s="1023"/>
      <c r="DI163" s="441"/>
      <c r="DJ163" s="1023"/>
      <c r="DK163" s="1023"/>
      <c r="DL163" s="1023"/>
      <c r="DM163" s="1023"/>
      <c r="DN163" s="1023"/>
      <c r="DO163" s="1477"/>
      <c r="DP163" s="463"/>
      <c r="DQ163" s="463"/>
      <c r="DR163" s="463"/>
      <c r="DS163" s="463"/>
    </row>
    <row r="164" spans="1:123" s="1838" customFormat="1" ht="11.25" customHeight="1">
      <c r="A164" s="858"/>
      <c r="B164" s="1481"/>
      <c r="C164" s="1481"/>
      <c r="D164" s="260"/>
      <c r="CY164" s="1023"/>
      <c r="CZ164" s="1481"/>
      <c r="DA164" s="1481"/>
      <c r="DB164" s="1023"/>
      <c r="DC164" s="1023"/>
      <c r="DD164" s="1023"/>
      <c r="DE164" s="1023"/>
      <c r="DF164" s="1481"/>
      <c r="DG164" s="1023"/>
      <c r="DH164" s="1023"/>
      <c r="DI164" s="441"/>
      <c r="DJ164" s="1023"/>
      <c r="DK164" s="1023"/>
      <c r="DL164" s="1023"/>
      <c r="DM164" s="1023"/>
      <c r="DN164" s="1023"/>
      <c r="DO164" s="1477"/>
      <c r="DP164" s="463"/>
      <c r="DQ164" s="463"/>
      <c r="DR164" s="463"/>
      <c r="DS164" s="463"/>
    </row>
    <row r="165" spans="1:123" s="1838" customFormat="1" ht="11.25" customHeight="1">
      <c r="A165" s="858"/>
      <c r="B165" s="1481"/>
      <c r="C165" s="1481"/>
      <c r="D165" s="260"/>
      <c r="CY165" s="1023"/>
      <c r="CZ165" s="1481"/>
      <c r="DA165" s="1481"/>
      <c r="DB165" s="1023"/>
      <c r="DC165" s="1023"/>
      <c r="DD165" s="1023"/>
      <c r="DE165" s="1023"/>
      <c r="DF165" s="1481"/>
      <c r="DG165" s="1023"/>
      <c r="DH165" s="1023"/>
      <c r="DI165" s="441"/>
      <c r="DJ165" s="1023"/>
      <c r="DK165" s="1023"/>
      <c r="DL165" s="1023"/>
      <c r="DM165" s="1023"/>
      <c r="DN165" s="1023"/>
      <c r="DO165" s="1477"/>
      <c r="DP165" s="463"/>
      <c r="DQ165" s="463"/>
      <c r="DR165" s="463"/>
      <c r="DS165" s="463"/>
    </row>
    <row r="166" spans="1:123" s="1838" customFormat="1" ht="11.25" customHeight="1">
      <c r="A166" s="858"/>
      <c r="B166" s="1481"/>
      <c r="C166" s="1481"/>
      <c r="D166" s="260"/>
      <c r="CY166" s="1023"/>
      <c r="CZ166" s="1481"/>
      <c r="DA166" s="1481"/>
      <c r="DB166" s="1023"/>
      <c r="DC166" s="1023"/>
      <c r="DD166" s="1023"/>
      <c r="DE166" s="1023"/>
      <c r="DF166" s="1481"/>
      <c r="DG166" s="1023"/>
      <c r="DH166" s="1023"/>
      <c r="DI166" s="441"/>
      <c r="DJ166" s="1023"/>
      <c r="DK166" s="1023"/>
      <c r="DL166" s="1023"/>
      <c r="DM166" s="1023"/>
      <c r="DN166" s="1023"/>
      <c r="DO166" s="1477"/>
      <c r="DP166" s="463"/>
      <c r="DQ166" s="463"/>
      <c r="DR166" s="463"/>
      <c r="DS166" s="463"/>
    </row>
    <row r="167" spans="1:123" s="1838" customFormat="1" ht="11.25" customHeight="1">
      <c r="A167" s="858"/>
      <c r="B167" s="1481"/>
      <c r="C167" s="1481"/>
      <c r="D167" s="260"/>
      <c r="CY167" s="1023"/>
      <c r="CZ167" s="1481"/>
      <c r="DA167" s="1481"/>
      <c r="DB167" s="1023"/>
      <c r="DC167" s="1023"/>
      <c r="DD167" s="1023"/>
      <c r="DE167" s="1023"/>
      <c r="DF167" s="1481"/>
      <c r="DG167" s="1023"/>
      <c r="DH167" s="1023"/>
      <c r="DI167" s="441"/>
      <c r="DJ167" s="1023"/>
      <c r="DK167" s="1023"/>
      <c r="DL167" s="1023"/>
      <c r="DM167" s="1023"/>
      <c r="DN167" s="1023"/>
      <c r="DO167" s="1477"/>
      <c r="DP167" s="463"/>
      <c r="DQ167" s="463"/>
      <c r="DR167" s="463"/>
      <c r="DS167" s="463"/>
    </row>
    <row r="168" spans="1:123" s="1838" customFormat="1" ht="11.25" customHeight="1">
      <c r="A168" s="858"/>
      <c r="B168" s="1481"/>
      <c r="C168" s="1481"/>
      <c r="D168" s="260"/>
      <c r="CY168" s="1023"/>
      <c r="CZ168" s="1481"/>
      <c r="DA168" s="1481"/>
      <c r="DB168" s="1023"/>
      <c r="DC168" s="1023"/>
      <c r="DD168" s="1023"/>
      <c r="DE168" s="1023"/>
      <c r="DF168" s="1481"/>
      <c r="DG168" s="1023"/>
      <c r="DH168" s="1023"/>
      <c r="DI168" s="441"/>
      <c r="DJ168" s="1023"/>
      <c r="DK168" s="1023"/>
      <c r="DL168" s="1023"/>
      <c r="DM168" s="1023"/>
      <c r="DN168" s="1023"/>
      <c r="DO168" s="1477"/>
      <c r="DP168" s="463"/>
      <c r="DQ168" s="463"/>
      <c r="DR168" s="463"/>
      <c r="DS168" s="463"/>
    </row>
    <row r="169" spans="1:123" s="1838" customFormat="1" ht="11.25" customHeight="1">
      <c r="A169" s="858"/>
      <c r="B169" s="1481"/>
      <c r="C169" s="1481"/>
      <c r="D169" s="260"/>
      <c r="CY169" s="1023"/>
      <c r="CZ169" s="1481"/>
      <c r="DA169" s="1481"/>
      <c r="DB169" s="1023"/>
      <c r="DC169" s="1023"/>
      <c r="DD169" s="1023"/>
      <c r="DE169" s="1023"/>
      <c r="DF169" s="1481"/>
      <c r="DG169" s="1023"/>
      <c r="DH169" s="1023"/>
      <c r="DI169" s="441"/>
      <c r="DJ169" s="1023"/>
      <c r="DK169" s="1023"/>
      <c r="DL169" s="1023"/>
      <c r="DM169" s="1023"/>
      <c r="DN169" s="1023"/>
      <c r="DO169" s="1477"/>
      <c r="DP169" s="463"/>
      <c r="DQ169" s="463"/>
      <c r="DR169" s="463"/>
      <c r="DS169" s="463"/>
    </row>
    <row r="170" spans="1:123" s="1838" customFormat="1" ht="11.25" customHeight="1">
      <c r="A170" s="858"/>
      <c r="B170" s="1481"/>
      <c r="C170" s="1481"/>
      <c r="D170" s="260"/>
      <c r="CY170" s="1023"/>
      <c r="CZ170" s="1481"/>
      <c r="DA170" s="1481"/>
      <c r="DB170" s="1023"/>
      <c r="DC170" s="1023"/>
      <c r="DD170" s="1023"/>
      <c r="DE170" s="1023"/>
      <c r="DF170" s="1481"/>
      <c r="DG170" s="1023"/>
      <c r="DH170" s="1023"/>
      <c r="DI170" s="441"/>
      <c r="DJ170" s="1023"/>
      <c r="DK170" s="1023"/>
      <c r="DL170" s="1023"/>
      <c r="DM170" s="1023"/>
      <c r="DN170" s="1023"/>
      <c r="DO170" s="1477"/>
      <c r="DP170" s="463"/>
      <c r="DQ170" s="463"/>
      <c r="DR170" s="463"/>
      <c r="DS170" s="463"/>
    </row>
    <row r="171" spans="1:123" s="1838" customFormat="1" ht="11.25" customHeight="1">
      <c r="A171" s="858"/>
      <c r="B171" s="1481"/>
      <c r="C171" s="1481"/>
      <c r="D171" s="260"/>
      <c r="CY171" s="1023"/>
      <c r="CZ171" s="1481"/>
      <c r="DA171" s="1481"/>
      <c r="DB171" s="1023"/>
      <c r="DC171" s="1023"/>
      <c r="DD171" s="1023"/>
      <c r="DE171" s="1023"/>
      <c r="DF171" s="1481"/>
      <c r="DG171" s="1023"/>
      <c r="DH171" s="1023"/>
      <c r="DI171" s="441"/>
      <c r="DJ171" s="1023"/>
      <c r="DK171" s="1023"/>
      <c r="DL171" s="1023"/>
      <c r="DM171" s="1023"/>
      <c r="DN171" s="1023"/>
      <c r="DO171" s="1477"/>
      <c r="DP171" s="463"/>
      <c r="DQ171" s="463"/>
      <c r="DR171" s="463"/>
      <c r="DS171" s="463"/>
    </row>
    <row r="172" spans="1:123" s="1838" customFormat="1" ht="11.25" customHeight="1">
      <c r="A172" s="858"/>
      <c r="B172" s="1481"/>
      <c r="C172" s="1481"/>
      <c r="D172" s="260"/>
      <c r="CY172" s="1023"/>
      <c r="CZ172" s="1481"/>
      <c r="DA172" s="1481"/>
      <c r="DB172" s="1023"/>
      <c r="DC172" s="1023"/>
      <c r="DD172" s="1023"/>
      <c r="DE172" s="1023"/>
      <c r="DF172" s="1481"/>
      <c r="DG172" s="1023"/>
      <c r="DH172" s="1023"/>
      <c r="DI172" s="441"/>
      <c r="DJ172" s="1023"/>
      <c r="DK172" s="1023"/>
      <c r="DL172" s="1023"/>
      <c r="DM172" s="1023"/>
      <c r="DN172" s="1023"/>
      <c r="DO172" s="1477"/>
      <c r="DP172" s="463"/>
      <c r="DQ172" s="463"/>
      <c r="DR172" s="463"/>
      <c r="DS172" s="463"/>
    </row>
    <row r="173" spans="1:123" s="1838" customFormat="1" ht="11.25" customHeight="1">
      <c r="A173" s="858"/>
      <c r="B173" s="1481"/>
      <c r="C173" s="1481"/>
      <c r="D173" s="260"/>
      <c r="CY173" s="1023"/>
      <c r="CZ173" s="1481"/>
      <c r="DA173" s="1481"/>
      <c r="DB173" s="1023"/>
      <c r="DC173" s="1023"/>
      <c r="DD173" s="1023"/>
      <c r="DE173" s="1023"/>
      <c r="DF173" s="1481"/>
      <c r="DG173" s="1023"/>
      <c r="DH173" s="1023"/>
      <c r="DI173" s="441"/>
      <c r="DJ173" s="1023"/>
      <c r="DK173" s="1023"/>
      <c r="DL173" s="1023"/>
      <c r="DM173" s="1023"/>
      <c r="DN173" s="1023"/>
      <c r="DO173" s="1477"/>
      <c r="DP173" s="463"/>
      <c r="DQ173" s="463"/>
      <c r="DR173" s="463"/>
      <c r="DS173" s="463"/>
    </row>
    <row r="174" spans="1:123" s="1838" customFormat="1" ht="11.25" customHeight="1">
      <c r="A174" s="858"/>
      <c r="B174" s="1481"/>
      <c r="C174" s="1481"/>
      <c r="D174" s="260"/>
      <c r="CY174" s="1023"/>
      <c r="CZ174" s="1481"/>
      <c r="DA174" s="1481"/>
      <c r="DB174" s="1023"/>
      <c r="DC174" s="1023"/>
      <c r="DD174" s="1023"/>
      <c r="DE174" s="1023"/>
      <c r="DF174" s="1481"/>
      <c r="DG174" s="1023"/>
      <c r="DH174" s="1023"/>
      <c r="DI174" s="441"/>
      <c r="DJ174" s="1023"/>
      <c r="DK174" s="1023"/>
      <c r="DL174" s="1023"/>
      <c r="DM174" s="1023"/>
      <c r="DN174" s="1023"/>
      <c r="DO174" s="1477"/>
      <c r="DP174" s="463"/>
      <c r="DQ174" s="463"/>
      <c r="DR174" s="463"/>
      <c r="DS174" s="463"/>
    </row>
    <row r="175" spans="1:123" s="1838" customFormat="1" ht="11.25" customHeight="1">
      <c r="A175" s="858"/>
      <c r="B175" s="1481"/>
      <c r="C175" s="1481"/>
      <c r="D175" s="260"/>
      <c r="CY175" s="1023"/>
      <c r="CZ175" s="1481"/>
      <c r="DA175" s="1481"/>
      <c r="DB175" s="1023"/>
      <c r="DC175" s="1023"/>
      <c r="DD175" s="1023"/>
      <c r="DE175" s="1023"/>
      <c r="DF175" s="1481"/>
      <c r="DG175" s="1023"/>
      <c r="DH175" s="1023"/>
      <c r="DI175" s="441"/>
      <c r="DJ175" s="1023"/>
      <c r="DK175" s="1023"/>
      <c r="DL175" s="1023"/>
      <c r="DM175" s="1023"/>
      <c r="DN175" s="1023"/>
      <c r="DO175" s="1477"/>
      <c r="DP175" s="463"/>
      <c r="DQ175" s="463"/>
      <c r="DR175" s="463"/>
      <c r="DS175" s="463"/>
    </row>
    <row r="176" spans="1:123" s="1838" customFormat="1" ht="11.25" customHeight="1">
      <c r="A176" s="858"/>
      <c r="B176" s="1481"/>
      <c r="C176" s="1481"/>
      <c r="D176" s="260"/>
      <c r="CY176" s="1023"/>
      <c r="CZ176" s="1481"/>
      <c r="DA176" s="1481"/>
      <c r="DB176" s="1023"/>
      <c r="DC176" s="1023"/>
      <c r="DD176" s="1023"/>
      <c r="DE176" s="1023"/>
      <c r="DF176" s="1481"/>
      <c r="DG176" s="1023"/>
      <c r="DH176" s="1023"/>
      <c r="DI176" s="441"/>
      <c r="DJ176" s="1023"/>
      <c r="DK176" s="1023"/>
      <c r="DL176" s="1023"/>
      <c r="DM176" s="1023"/>
      <c r="DN176" s="1023"/>
      <c r="DO176" s="1477"/>
      <c r="DP176" s="463"/>
      <c r="DQ176" s="463"/>
      <c r="DR176" s="463"/>
      <c r="DS176" s="463"/>
    </row>
    <row r="177" spans="1:123" s="1838" customFormat="1" ht="11.25" customHeight="1">
      <c r="A177" s="858"/>
      <c r="B177" s="1481"/>
      <c r="C177" s="1481"/>
      <c r="D177" s="260"/>
      <c r="CY177" s="1023"/>
      <c r="CZ177" s="1481"/>
      <c r="DA177" s="1481"/>
      <c r="DB177" s="1023"/>
      <c r="DC177" s="1023"/>
      <c r="DD177" s="1023"/>
      <c r="DE177" s="1023"/>
      <c r="DF177" s="1481"/>
      <c r="DG177" s="1023"/>
      <c r="DH177" s="1023"/>
      <c r="DI177" s="441"/>
      <c r="DJ177" s="1023"/>
      <c r="DK177" s="1023"/>
      <c r="DL177" s="1023"/>
      <c r="DM177" s="1023"/>
      <c r="DN177" s="1023"/>
      <c r="DO177" s="1477"/>
      <c r="DP177" s="463"/>
      <c r="DQ177" s="463"/>
      <c r="DR177" s="463"/>
      <c r="DS177" s="463"/>
    </row>
    <row r="178" spans="1:123" s="1838" customFormat="1" ht="11.25" customHeight="1">
      <c r="A178" s="858"/>
      <c r="B178" s="1481"/>
      <c r="C178" s="1481"/>
      <c r="D178" s="260"/>
      <c r="CY178" s="1023"/>
      <c r="CZ178" s="1481"/>
      <c r="DA178" s="1481"/>
      <c r="DB178" s="1023"/>
      <c r="DC178" s="1023"/>
      <c r="DD178" s="1023"/>
      <c r="DE178" s="1023"/>
      <c r="DF178" s="1481"/>
      <c r="DG178" s="1023"/>
      <c r="DH178" s="1023"/>
      <c r="DI178" s="441"/>
      <c r="DJ178" s="1023"/>
      <c r="DK178" s="1023"/>
      <c r="DL178" s="1023"/>
      <c r="DM178" s="1023"/>
      <c r="DN178" s="1023"/>
      <c r="DO178" s="1477"/>
      <c r="DP178" s="463"/>
      <c r="DQ178" s="463"/>
      <c r="DR178" s="463"/>
      <c r="DS178" s="463"/>
    </row>
    <row r="179" spans="1:123" s="1838" customFormat="1" ht="11.25" customHeight="1">
      <c r="A179" s="858"/>
      <c r="B179" s="1481"/>
      <c r="C179" s="1481"/>
      <c r="D179" s="260"/>
      <c r="CY179" s="1023"/>
      <c r="CZ179" s="1481"/>
      <c r="DA179" s="1481"/>
      <c r="DB179" s="1023"/>
      <c r="DC179" s="1023"/>
      <c r="DD179" s="1023"/>
      <c r="DE179" s="1023"/>
      <c r="DF179" s="1481"/>
      <c r="DG179" s="1023"/>
      <c r="DH179" s="1023"/>
      <c r="DI179" s="441"/>
      <c r="DJ179" s="1023"/>
      <c r="DK179" s="1023"/>
      <c r="DL179" s="1023"/>
      <c r="DM179" s="1023"/>
      <c r="DN179" s="1023"/>
      <c r="DO179" s="1477"/>
      <c r="DP179" s="463"/>
      <c r="DQ179" s="463"/>
      <c r="DR179" s="463"/>
      <c r="DS179" s="463"/>
    </row>
    <row r="180" spans="1:123" s="1838" customFormat="1" ht="11.25" customHeight="1">
      <c r="A180" s="858"/>
      <c r="B180" s="1481"/>
      <c r="C180" s="1481"/>
      <c r="D180" s="260"/>
      <c r="CY180" s="1023"/>
      <c r="CZ180" s="1481"/>
      <c r="DA180" s="1481"/>
      <c r="DB180" s="1023"/>
      <c r="DC180" s="1023"/>
      <c r="DD180" s="1023"/>
      <c r="DE180" s="1023"/>
      <c r="DF180" s="1481"/>
      <c r="DG180" s="1023"/>
      <c r="DH180" s="1023"/>
      <c r="DI180" s="441"/>
      <c r="DJ180" s="1023"/>
      <c r="DK180" s="1023"/>
      <c r="DL180" s="1023"/>
      <c r="DM180" s="1023"/>
      <c r="DN180" s="1023"/>
      <c r="DO180" s="1477"/>
      <c r="DP180" s="463"/>
      <c r="DQ180" s="463"/>
      <c r="DR180" s="463"/>
      <c r="DS180" s="463"/>
    </row>
    <row r="181" spans="1:123" s="1838" customFormat="1" ht="11.25" customHeight="1">
      <c r="A181" s="858"/>
      <c r="B181" s="1481"/>
      <c r="C181" s="1481"/>
      <c r="D181" s="260"/>
      <c r="CY181" s="1023"/>
      <c r="CZ181" s="1481"/>
      <c r="DA181" s="1481"/>
      <c r="DB181" s="1023"/>
      <c r="DC181" s="1023"/>
      <c r="DD181" s="1023"/>
      <c r="DE181" s="1023"/>
      <c r="DF181" s="1481"/>
      <c r="DG181" s="1023"/>
      <c r="DH181" s="1023"/>
      <c r="DI181" s="441"/>
      <c r="DJ181" s="1023"/>
      <c r="DK181" s="1023"/>
      <c r="DL181" s="1023"/>
      <c r="DM181" s="1023"/>
      <c r="DN181" s="1023"/>
      <c r="DO181" s="1477"/>
      <c r="DP181" s="463"/>
      <c r="DQ181" s="463"/>
      <c r="DR181" s="463"/>
      <c r="DS181" s="463"/>
    </row>
    <row r="182" spans="1:123" s="1838" customFormat="1" ht="11.25" customHeight="1">
      <c r="A182" s="858"/>
      <c r="B182" s="1481"/>
      <c r="C182" s="1481"/>
      <c r="D182" s="260"/>
      <c r="CY182" s="1023"/>
      <c r="CZ182" s="1481"/>
      <c r="DA182" s="1481"/>
      <c r="DB182" s="1023"/>
      <c r="DC182" s="1023"/>
      <c r="DD182" s="1023"/>
      <c r="DE182" s="1023"/>
      <c r="DF182" s="1481"/>
      <c r="DG182" s="1023"/>
      <c r="DH182" s="1023"/>
      <c r="DI182" s="441"/>
      <c r="DJ182" s="1023"/>
      <c r="DK182" s="1023"/>
      <c r="DL182" s="1023"/>
      <c r="DM182" s="1023"/>
      <c r="DN182" s="1023"/>
      <c r="DO182" s="1477"/>
      <c r="DP182" s="463"/>
      <c r="DQ182" s="463"/>
      <c r="DR182" s="463"/>
      <c r="DS182" s="463"/>
    </row>
    <row r="183" spans="1:123" s="1838" customFormat="1" ht="11.25" customHeight="1">
      <c r="A183" s="858"/>
      <c r="B183" s="1481"/>
      <c r="C183" s="1481"/>
      <c r="D183" s="260"/>
      <c r="CY183" s="1023"/>
      <c r="CZ183" s="1481"/>
      <c r="DA183" s="1481"/>
      <c r="DB183" s="1023"/>
      <c r="DC183" s="1023"/>
      <c r="DD183" s="1023"/>
      <c r="DE183" s="1023"/>
      <c r="DF183" s="1481"/>
      <c r="DG183" s="1023"/>
      <c r="DH183" s="1023"/>
      <c r="DI183" s="441"/>
      <c r="DJ183" s="1023"/>
      <c r="DK183" s="1023"/>
      <c r="DL183" s="1023"/>
      <c r="DM183" s="1023"/>
      <c r="DN183" s="1023"/>
      <c r="DO183" s="1477"/>
      <c r="DP183" s="463"/>
      <c r="DQ183" s="463"/>
      <c r="DR183" s="463"/>
      <c r="DS183" s="463"/>
    </row>
    <row r="184" spans="1:123" s="1838" customFormat="1" ht="11.25" customHeight="1">
      <c r="A184" s="858"/>
      <c r="B184" s="1481"/>
      <c r="C184" s="1481"/>
      <c r="D184" s="260"/>
      <c r="CY184" s="1023"/>
      <c r="CZ184" s="1481"/>
      <c r="DA184" s="1481"/>
      <c r="DB184" s="1023"/>
      <c r="DC184" s="1023"/>
      <c r="DD184" s="1023"/>
      <c r="DE184" s="1023"/>
      <c r="DF184" s="1481"/>
      <c r="DG184" s="1023"/>
      <c r="DH184" s="1023"/>
      <c r="DI184" s="441"/>
      <c r="DJ184" s="1023"/>
      <c r="DK184" s="1023"/>
      <c r="DL184" s="1023"/>
      <c r="DM184" s="1023"/>
      <c r="DN184" s="1023"/>
      <c r="DO184" s="1477"/>
      <c r="DP184" s="463"/>
      <c r="DQ184" s="463"/>
      <c r="DR184" s="463"/>
      <c r="DS184" s="463"/>
    </row>
    <row r="185" spans="1:123" s="1838" customFormat="1" ht="11.25" customHeight="1">
      <c r="A185" s="858"/>
      <c r="B185" s="1481"/>
      <c r="C185" s="1481"/>
      <c r="D185" s="260"/>
      <c r="CY185" s="1023"/>
      <c r="CZ185" s="1481"/>
      <c r="DA185" s="1481"/>
      <c r="DB185" s="1023"/>
      <c r="DC185" s="1023"/>
      <c r="DD185" s="1023"/>
      <c r="DE185" s="1023"/>
      <c r="DF185" s="1481"/>
      <c r="DG185" s="1023"/>
      <c r="DH185" s="1023"/>
      <c r="DI185" s="441"/>
      <c r="DJ185" s="1023"/>
      <c r="DK185" s="1023"/>
      <c r="DL185" s="1023"/>
      <c r="DM185" s="1023"/>
      <c r="DN185" s="1023"/>
      <c r="DO185" s="1477"/>
      <c r="DP185" s="463"/>
      <c r="DQ185" s="463"/>
      <c r="DR185" s="463"/>
      <c r="DS185" s="463"/>
    </row>
    <row r="186" spans="1:123" s="1838" customFormat="1" ht="11.25" customHeight="1">
      <c r="A186" s="858"/>
      <c r="B186" s="1481"/>
      <c r="C186" s="1481"/>
      <c r="D186" s="260"/>
      <c r="CY186" s="1023"/>
      <c r="CZ186" s="1481"/>
      <c r="DA186" s="1481"/>
      <c r="DB186" s="1023"/>
      <c r="DC186" s="1023"/>
      <c r="DD186" s="1023"/>
      <c r="DE186" s="1023"/>
      <c r="DF186" s="1481"/>
      <c r="DG186" s="1023"/>
      <c r="DH186" s="1023"/>
      <c r="DI186" s="441"/>
      <c r="DJ186" s="1023"/>
      <c r="DK186" s="1023"/>
      <c r="DL186" s="1023"/>
      <c r="DM186" s="1023"/>
      <c r="DN186" s="1023"/>
      <c r="DO186" s="1477"/>
      <c r="DP186" s="463"/>
      <c r="DQ186" s="463"/>
      <c r="DR186" s="463"/>
      <c r="DS186" s="463"/>
    </row>
    <row r="187" spans="1:123" s="1838" customFormat="1" ht="11.25" customHeight="1">
      <c r="A187" s="858"/>
      <c r="B187" s="1481"/>
      <c r="C187" s="1481"/>
      <c r="D187" s="260"/>
      <c r="CY187" s="1023"/>
      <c r="CZ187" s="1481"/>
      <c r="DA187" s="1481"/>
      <c r="DB187" s="1023"/>
      <c r="DC187" s="1023"/>
      <c r="DD187" s="1023"/>
      <c r="DE187" s="1023"/>
      <c r="DF187" s="1481"/>
      <c r="DG187" s="1023"/>
      <c r="DH187" s="1023"/>
      <c r="DI187" s="441"/>
      <c r="DJ187" s="1023"/>
      <c r="DK187" s="1023"/>
      <c r="DL187" s="1023"/>
      <c r="DM187" s="1023"/>
      <c r="DN187" s="1023"/>
      <c r="DO187" s="1477"/>
      <c r="DP187" s="463"/>
      <c r="DQ187" s="463"/>
      <c r="DR187" s="463"/>
      <c r="DS187" s="463"/>
    </row>
    <row r="188" spans="1:123" s="1838" customFormat="1" ht="11.25" customHeight="1">
      <c r="A188" s="858"/>
      <c r="B188" s="1481"/>
      <c r="C188" s="1481"/>
      <c r="D188" s="260"/>
      <c r="CY188" s="1023"/>
      <c r="CZ188" s="1481"/>
      <c r="DA188" s="1481"/>
      <c r="DB188" s="1023"/>
      <c r="DC188" s="1023"/>
      <c r="DD188" s="1023"/>
      <c r="DE188" s="1023"/>
      <c r="DF188" s="1481"/>
      <c r="DG188" s="1023"/>
      <c r="DH188" s="1023"/>
      <c r="DI188" s="441"/>
      <c r="DJ188" s="1023"/>
      <c r="DK188" s="1023"/>
      <c r="DL188" s="1023"/>
      <c r="DM188" s="1023"/>
      <c r="DN188" s="1023"/>
      <c r="DO188" s="1477"/>
      <c r="DP188" s="463"/>
      <c r="DQ188" s="463"/>
      <c r="DR188" s="463"/>
      <c r="DS188" s="463"/>
    </row>
    <row r="189" spans="1:123" s="1838" customFormat="1" ht="11.25" customHeight="1">
      <c r="A189" s="858"/>
      <c r="B189" s="1481"/>
      <c r="C189" s="1481"/>
      <c r="D189" s="260"/>
      <c r="CY189" s="1023"/>
      <c r="CZ189" s="1481"/>
      <c r="DA189" s="1481"/>
      <c r="DB189" s="1023"/>
      <c r="DC189" s="1023"/>
      <c r="DD189" s="1023"/>
      <c r="DE189" s="1023"/>
      <c r="DF189" s="1481"/>
      <c r="DG189" s="1023"/>
      <c r="DH189" s="1023"/>
      <c r="DI189" s="441"/>
      <c r="DJ189" s="1023"/>
      <c r="DK189" s="1023"/>
      <c r="DL189" s="1023"/>
      <c r="DM189" s="1023"/>
      <c r="DN189" s="1023"/>
      <c r="DO189" s="1477"/>
      <c r="DP189" s="463"/>
      <c r="DQ189" s="463"/>
      <c r="DR189" s="463"/>
      <c r="DS189" s="463"/>
    </row>
    <row r="190" spans="1:123" s="1838" customFormat="1" ht="11.25" customHeight="1">
      <c r="A190" s="858"/>
      <c r="B190" s="1481"/>
      <c r="C190" s="1481"/>
      <c r="D190" s="260"/>
      <c r="CY190" s="1023"/>
      <c r="CZ190" s="1481"/>
      <c r="DA190" s="1481"/>
      <c r="DB190" s="1023"/>
      <c r="DC190" s="1023"/>
      <c r="DD190" s="1023"/>
      <c r="DE190" s="1023"/>
      <c r="DF190" s="1481"/>
      <c r="DG190" s="1023"/>
      <c r="DH190" s="1023"/>
      <c r="DI190" s="441"/>
      <c r="DJ190" s="1023"/>
      <c r="DK190" s="1023"/>
      <c r="DL190" s="1023"/>
      <c r="DM190" s="1023"/>
      <c r="DN190" s="1023"/>
      <c r="DO190" s="1477"/>
      <c r="DP190" s="463"/>
      <c r="DQ190" s="463"/>
      <c r="DR190" s="463"/>
      <c r="DS190" s="463"/>
    </row>
    <row r="191" spans="1:123" s="1838" customFormat="1" ht="11.25" customHeight="1">
      <c r="A191" s="858"/>
      <c r="B191" s="1481"/>
      <c r="C191" s="1481"/>
      <c r="D191" s="260"/>
      <c r="CY191" s="1023"/>
      <c r="CZ191" s="1481"/>
      <c r="DA191" s="1481"/>
      <c r="DB191" s="1023"/>
      <c r="DC191" s="1023"/>
      <c r="DD191" s="1023"/>
      <c r="DE191" s="1023"/>
      <c r="DF191" s="1481"/>
      <c r="DG191" s="1023"/>
      <c r="DH191" s="1023"/>
      <c r="DI191" s="441"/>
      <c r="DJ191" s="1023"/>
      <c r="DK191" s="1023"/>
      <c r="DL191" s="1023"/>
      <c r="DM191" s="1023"/>
      <c r="DN191" s="1023"/>
      <c r="DO191" s="1477"/>
      <c r="DP191" s="463"/>
      <c r="DQ191" s="463"/>
      <c r="DR191" s="463"/>
      <c r="DS191" s="463"/>
    </row>
    <row r="192" spans="1:123" s="1838" customFormat="1" ht="11.25" customHeight="1">
      <c r="A192" s="858"/>
      <c r="B192" s="1481"/>
      <c r="C192" s="1481"/>
      <c r="D192" s="260"/>
      <c r="CY192" s="1023"/>
      <c r="CZ192" s="1481"/>
      <c r="DA192" s="1481"/>
      <c r="DB192" s="1023"/>
      <c r="DC192" s="1023"/>
      <c r="DD192" s="1023"/>
      <c r="DE192" s="1023"/>
      <c r="DF192" s="1481"/>
      <c r="DG192" s="1023"/>
      <c r="DH192" s="1023"/>
      <c r="DI192" s="441"/>
      <c r="DJ192" s="1023"/>
      <c r="DK192" s="1023"/>
      <c r="DL192" s="1023"/>
      <c r="DM192" s="1023"/>
      <c r="DN192" s="1023"/>
      <c r="DO192" s="1477"/>
      <c r="DP192" s="463"/>
      <c r="DQ192" s="463"/>
      <c r="DR192" s="463"/>
      <c r="DS192" s="463"/>
    </row>
    <row r="193" spans="1:123" s="1838" customFormat="1" ht="11.25" customHeight="1">
      <c r="A193" s="858"/>
      <c r="B193" s="1481"/>
      <c r="C193" s="1481"/>
      <c r="D193" s="260"/>
      <c r="CY193" s="1023"/>
      <c r="CZ193" s="1481"/>
      <c r="DA193" s="1481"/>
      <c r="DB193" s="1023"/>
      <c r="DC193" s="1023"/>
      <c r="DD193" s="1023"/>
      <c r="DE193" s="1023"/>
      <c r="DF193" s="1481"/>
      <c r="DG193" s="1023"/>
      <c r="DH193" s="1023"/>
      <c r="DI193" s="441"/>
      <c r="DJ193" s="1023"/>
      <c r="DK193" s="1023"/>
      <c r="DL193" s="1023"/>
      <c r="DM193" s="1023"/>
      <c r="DN193" s="1023"/>
      <c r="DO193" s="1477"/>
      <c r="DP193" s="463"/>
      <c r="DQ193" s="463"/>
      <c r="DR193" s="463"/>
      <c r="DS193" s="463"/>
    </row>
    <row r="194" spans="1:123" s="1838" customFormat="1" ht="11.25" customHeight="1">
      <c r="A194" s="858"/>
      <c r="B194" s="1481"/>
      <c r="C194" s="1481"/>
      <c r="D194" s="260"/>
      <c r="CY194" s="1023"/>
      <c r="CZ194" s="1481"/>
      <c r="DA194" s="1481"/>
      <c r="DB194" s="1023"/>
      <c r="DC194" s="1023"/>
      <c r="DD194" s="1023"/>
      <c r="DE194" s="1023"/>
      <c r="DF194" s="1481"/>
      <c r="DG194" s="1023"/>
      <c r="DH194" s="1023"/>
      <c r="DI194" s="441"/>
      <c r="DJ194" s="1023"/>
      <c r="DK194" s="1023"/>
      <c r="DL194" s="1023"/>
      <c r="DM194" s="1023"/>
      <c r="DN194" s="1023"/>
      <c r="DO194" s="1477"/>
      <c r="DP194" s="463"/>
      <c r="DQ194" s="463"/>
      <c r="DR194" s="463"/>
      <c r="DS194" s="463"/>
    </row>
    <row r="195" spans="1:123" s="1838" customFormat="1" ht="11.25" customHeight="1">
      <c r="A195" s="858"/>
      <c r="B195" s="1481"/>
      <c r="C195" s="1481"/>
      <c r="D195" s="260"/>
      <c r="CY195" s="1023"/>
      <c r="CZ195" s="1481"/>
      <c r="DA195" s="1481"/>
      <c r="DB195" s="1023"/>
      <c r="DC195" s="1023"/>
      <c r="DD195" s="1023"/>
      <c r="DE195" s="1023"/>
      <c r="DF195" s="1481"/>
      <c r="DG195" s="1023"/>
      <c r="DH195" s="1023"/>
      <c r="DI195" s="441"/>
      <c r="DJ195" s="1023"/>
      <c r="DK195" s="1023"/>
      <c r="DL195" s="1023"/>
      <c r="DM195" s="1023"/>
      <c r="DN195" s="1023"/>
      <c r="DO195" s="1477"/>
      <c r="DP195" s="463"/>
      <c r="DQ195" s="463"/>
      <c r="DR195" s="463"/>
      <c r="DS195" s="463"/>
    </row>
    <row r="196" spans="1:123" s="1838" customFormat="1" ht="11.25" customHeight="1">
      <c r="A196" s="858"/>
      <c r="B196" s="1481"/>
      <c r="C196" s="1481"/>
      <c r="D196" s="260"/>
      <c r="CY196" s="1023"/>
      <c r="CZ196" s="1481"/>
      <c r="DA196" s="1481"/>
      <c r="DB196" s="1023"/>
      <c r="DC196" s="1023"/>
      <c r="DD196" s="1023"/>
      <c r="DE196" s="1023"/>
      <c r="DF196" s="1481"/>
      <c r="DG196" s="1023"/>
      <c r="DH196" s="1023"/>
      <c r="DI196" s="441"/>
      <c r="DJ196" s="1023"/>
      <c r="DK196" s="1023"/>
      <c r="DL196" s="1023"/>
      <c r="DM196" s="1023"/>
      <c r="DN196" s="1023"/>
      <c r="DO196" s="1477"/>
      <c r="DP196" s="463"/>
      <c r="DQ196" s="463"/>
      <c r="DR196" s="463"/>
      <c r="DS196" s="463"/>
    </row>
    <row r="197" spans="1:123" s="1838" customFormat="1" ht="11.25" customHeight="1">
      <c r="A197" s="858"/>
      <c r="B197" s="1481"/>
      <c r="C197" s="1481"/>
      <c r="D197" s="260"/>
      <c r="CY197" s="1023"/>
      <c r="CZ197" s="1481"/>
      <c r="DA197" s="1481"/>
      <c r="DB197" s="1023"/>
      <c r="DC197" s="1023"/>
      <c r="DD197" s="1023"/>
      <c r="DE197" s="1023"/>
      <c r="DF197" s="1481"/>
      <c r="DG197" s="1023"/>
      <c r="DH197" s="1023"/>
      <c r="DI197" s="441"/>
      <c r="DJ197" s="1023"/>
      <c r="DK197" s="1023"/>
      <c r="DL197" s="1023"/>
      <c r="DM197" s="1023"/>
      <c r="DN197" s="1023"/>
      <c r="DO197" s="1477"/>
      <c r="DP197" s="463"/>
      <c r="DQ197" s="463"/>
      <c r="DR197" s="463"/>
      <c r="DS197" s="463"/>
    </row>
    <row r="198" spans="1:123" s="1838" customFormat="1" ht="11.25" customHeight="1">
      <c r="A198" s="858"/>
      <c r="B198" s="1481"/>
      <c r="C198" s="1481"/>
      <c r="D198" s="260"/>
      <c r="CY198" s="1023"/>
      <c r="CZ198" s="1481"/>
      <c r="DA198" s="1481"/>
      <c r="DB198" s="1023"/>
      <c r="DC198" s="1023"/>
      <c r="DD198" s="1023"/>
      <c r="DE198" s="1023"/>
      <c r="DF198" s="1481"/>
      <c r="DG198" s="1023"/>
      <c r="DH198" s="1023"/>
      <c r="DI198" s="441"/>
      <c r="DJ198" s="1023"/>
      <c r="DK198" s="1023"/>
      <c r="DL198" s="1023"/>
      <c r="DM198" s="1023"/>
      <c r="DN198" s="1023"/>
      <c r="DO198" s="1477"/>
      <c r="DP198" s="463"/>
      <c r="DQ198" s="463"/>
      <c r="DR198" s="463"/>
      <c r="DS198" s="463"/>
    </row>
    <row r="199" spans="1:123" s="1838" customFormat="1" ht="11.25" customHeight="1">
      <c r="A199" s="858"/>
      <c r="B199" s="1481"/>
      <c r="C199" s="1481"/>
      <c r="D199" s="260"/>
      <c r="CY199" s="1023"/>
      <c r="CZ199" s="1481"/>
      <c r="DA199" s="1481"/>
      <c r="DB199" s="1023"/>
      <c r="DC199" s="1023"/>
      <c r="DD199" s="1023"/>
      <c r="DE199" s="1023"/>
      <c r="DF199" s="1481"/>
      <c r="DG199" s="1023"/>
      <c r="DH199" s="1023"/>
      <c r="DI199" s="441"/>
      <c r="DJ199" s="1023"/>
      <c r="DK199" s="1023"/>
      <c r="DL199" s="1023"/>
      <c r="DM199" s="1023"/>
      <c r="DN199" s="1023"/>
      <c r="DO199" s="1477"/>
      <c r="DP199" s="463"/>
      <c r="DQ199" s="463"/>
      <c r="DR199" s="463"/>
      <c r="DS199" s="463"/>
    </row>
    <row r="200" spans="1:123" s="1838" customFormat="1" ht="11.25" customHeight="1">
      <c r="A200" s="858"/>
      <c r="B200" s="1481"/>
      <c r="C200" s="1481"/>
      <c r="D200" s="260"/>
      <c r="CY200" s="1023"/>
      <c r="CZ200" s="1481"/>
      <c r="DA200" s="1481"/>
      <c r="DB200" s="1023"/>
      <c r="DC200" s="1023"/>
      <c r="DD200" s="1023"/>
      <c r="DE200" s="1023"/>
      <c r="DF200" s="1481"/>
      <c r="DG200" s="1023"/>
      <c r="DH200" s="1023"/>
      <c r="DI200" s="441"/>
      <c r="DJ200" s="1023"/>
      <c r="DK200" s="1023"/>
      <c r="DL200" s="1023"/>
      <c r="DM200" s="1023"/>
      <c r="DN200" s="1023"/>
      <c r="DO200" s="1477"/>
      <c r="DP200" s="463"/>
      <c r="DQ200" s="463"/>
      <c r="DR200" s="463"/>
      <c r="DS200" s="463"/>
    </row>
    <row r="201" spans="1:123" s="1838" customFormat="1" ht="11.25" customHeight="1">
      <c r="A201" s="858"/>
      <c r="B201" s="1481"/>
      <c r="C201" s="1481"/>
      <c r="D201" s="260"/>
      <c r="CY201" s="1023"/>
      <c r="CZ201" s="1481"/>
      <c r="DA201" s="1481"/>
      <c r="DB201" s="1023"/>
      <c r="DC201" s="1023"/>
      <c r="DD201" s="1023"/>
      <c r="DE201" s="1023"/>
      <c r="DF201" s="1481"/>
      <c r="DG201" s="1023"/>
      <c r="DH201" s="1023"/>
      <c r="DI201" s="441"/>
      <c r="DJ201" s="1023"/>
      <c r="DK201" s="1023"/>
      <c r="DL201" s="1023"/>
      <c r="DM201" s="1023"/>
      <c r="DN201" s="1023"/>
      <c r="DO201" s="1477"/>
      <c r="DP201" s="463"/>
      <c r="DQ201" s="463"/>
      <c r="DR201" s="463"/>
      <c r="DS201" s="463"/>
    </row>
    <row r="202" spans="1:123" s="1838" customFormat="1" ht="11.25" customHeight="1">
      <c r="A202" s="858"/>
      <c r="B202" s="1481"/>
      <c r="C202" s="1481"/>
      <c r="D202" s="260"/>
      <c r="CY202" s="1023"/>
      <c r="CZ202" s="1481"/>
      <c r="DA202" s="1481"/>
      <c r="DB202" s="1023"/>
      <c r="DC202" s="1023"/>
      <c r="DD202" s="1023"/>
      <c r="DE202" s="1023"/>
      <c r="DF202" s="1481"/>
      <c r="DG202" s="1023"/>
      <c r="DH202" s="1023"/>
      <c r="DI202" s="441"/>
      <c r="DJ202" s="1023"/>
      <c r="DK202" s="1023"/>
      <c r="DL202" s="1023"/>
      <c r="DM202" s="1023"/>
      <c r="DN202" s="1023"/>
      <c r="DO202" s="1477"/>
      <c r="DP202" s="463"/>
      <c r="DQ202" s="463"/>
      <c r="DR202" s="463"/>
      <c r="DS202" s="463"/>
    </row>
    <row r="203" spans="1:123" s="1838" customFormat="1" ht="11.25" customHeight="1">
      <c r="A203" s="858"/>
      <c r="B203" s="1481"/>
      <c r="C203" s="1481"/>
      <c r="D203" s="260"/>
      <c r="CY203" s="1023"/>
      <c r="CZ203" s="1481"/>
      <c r="DA203" s="1481"/>
      <c r="DB203" s="1023"/>
      <c r="DC203" s="1023"/>
      <c r="DD203" s="1023"/>
      <c r="DE203" s="1023"/>
      <c r="DF203" s="1481"/>
      <c r="DG203" s="1023"/>
      <c r="DH203" s="1023"/>
      <c r="DI203" s="441"/>
      <c r="DJ203" s="1023"/>
      <c r="DK203" s="1023"/>
      <c r="DL203" s="1023"/>
      <c r="DM203" s="1023"/>
      <c r="DN203" s="1023"/>
      <c r="DO203" s="1477"/>
      <c r="DP203" s="463"/>
      <c r="DQ203" s="463"/>
      <c r="DR203" s="463"/>
      <c r="DS203" s="463"/>
    </row>
    <row r="204" spans="1:123" s="1838" customFormat="1" ht="11.25" customHeight="1">
      <c r="A204" s="858"/>
      <c r="B204" s="1481"/>
      <c r="C204" s="1481"/>
      <c r="D204" s="260"/>
      <c r="CY204" s="1023"/>
      <c r="CZ204" s="1481"/>
      <c r="DA204" s="1481"/>
      <c r="DB204" s="1023"/>
      <c r="DC204" s="1023"/>
      <c r="DD204" s="1023"/>
      <c r="DE204" s="1023"/>
      <c r="DF204" s="1481"/>
      <c r="DG204" s="1023"/>
      <c r="DH204" s="1023"/>
      <c r="DI204" s="441"/>
      <c r="DJ204" s="1023"/>
      <c r="DK204" s="1023"/>
      <c r="DL204" s="1023"/>
      <c r="DM204" s="1023"/>
      <c r="DN204" s="1023"/>
      <c r="DO204" s="1477"/>
      <c r="DP204" s="463"/>
      <c r="DQ204" s="463"/>
      <c r="DR204" s="463"/>
      <c r="DS204" s="463"/>
    </row>
    <row r="205" spans="1:123" s="1838" customFormat="1" ht="11.25" customHeight="1">
      <c r="A205" s="858"/>
      <c r="B205" s="1481"/>
      <c r="C205" s="1481"/>
      <c r="D205" s="260"/>
      <c r="CY205" s="1023"/>
      <c r="CZ205" s="1481"/>
      <c r="DA205" s="1481"/>
      <c r="DB205" s="1023"/>
      <c r="DC205" s="1023"/>
      <c r="DD205" s="1023"/>
      <c r="DE205" s="1023"/>
      <c r="DF205" s="1481"/>
      <c r="DG205" s="1023"/>
      <c r="DH205" s="1023"/>
      <c r="DI205" s="441"/>
      <c r="DJ205" s="1023"/>
      <c r="DK205" s="1023"/>
      <c r="DL205" s="1023"/>
      <c r="DM205" s="1023"/>
      <c r="DN205" s="1023"/>
      <c r="DO205" s="1477"/>
      <c r="DP205" s="463"/>
      <c r="DQ205" s="463"/>
      <c r="DR205" s="463"/>
      <c r="DS205" s="463"/>
    </row>
    <row r="206" spans="1:123" s="1838" customFormat="1" ht="11.25" customHeight="1">
      <c r="A206" s="858"/>
      <c r="B206" s="1481"/>
      <c r="C206" s="1481"/>
      <c r="D206" s="260"/>
      <c r="CY206" s="1023"/>
      <c r="CZ206" s="1481"/>
      <c r="DA206" s="1481"/>
      <c r="DB206" s="1023"/>
      <c r="DC206" s="1023"/>
      <c r="DD206" s="1023"/>
      <c r="DE206" s="1023"/>
      <c r="DF206" s="1481"/>
      <c r="DG206" s="1023"/>
      <c r="DH206" s="1023"/>
      <c r="DI206" s="441"/>
      <c r="DJ206" s="1023"/>
      <c r="DK206" s="1023"/>
      <c r="DL206" s="1023"/>
      <c r="DM206" s="1023"/>
      <c r="DN206" s="1023"/>
      <c r="DO206" s="1477"/>
      <c r="DP206" s="463"/>
      <c r="DQ206" s="463"/>
      <c r="DR206" s="463"/>
      <c r="DS206" s="463"/>
    </row>
    <row r="207" spans="1:123" s="1838" customFormat="1" ht="11.25" customHeight="1">
      <c r="A207" s="858"/>
      <c r="B207" s="1481"/>
      <c r="C207" s="1481"/>
      <c r="D207" s="260"/>
      <c r="CY207" s="1023"/>
      <c r="CZ207" s="1481"/>
      <c r="DA207" s="1481"/>
      <c r="DB207" s="1023"/>
      <c r="DC207" s="1023"/>
      <c r="DD207" s="1023"/>
      <c r="DE207" s="1023"/>
      <c r="DF207" s="1481"/>
      <c r="DG207" s="1023"/>
      <c r="DH207" s="1023"/>
      <c r="DI207" s="441"/>
      <c r="DJ207" s="1023"/>
      <c r="DK207" s="1023"/>
      <c r="DL207" s="1023"/>
      <c r="DM207" s="1023"/>
      <c r="DN207" s="1023"/>
      <c r="DO207" s="1477"/>
      <c r="DP207" s="463"/>
      <c r="DQ207" s="463"/>
      <c r="DR207" s="463"/>
      <c r="DS207" s="463"/>
    </row>
    <row r="208" spans="1:123" s="1838" customFormat="1" ht="11.25" customHeight="1">
      <c r="A208" s="858"/>
      <c r="B208" s="1481"/>
      <c r="C208" s="1481"/>
      <c r="D208" s="260"/>
      <c r="CY208" s="1023"/>
      <c r="CZ208" s="1481"/>
      <c r="DA208" s="1481"/>
      <c r="DB208" s="1023"/>
      <c r="DC208" s="1023"/>
      <c r="DD208" s="1023"/>
      <c r="DE208" s="1023"/>
      <c r="DF208" s="1481"/>
      <c r="DG208" s="1023"/>
      <c r="DH208" s="1023"/>
      <c r="DI208" s="441"/>
      <c r="DJ208" s="1023"/>
      <c r="DK208" s="1023"/>
      <c r="DL208" s="1023"/>
      <c r="DM208" s="1023"/>
      <c r="DN208" s="1023"/>
      <c r="DO208" s="1477"/>
      <c r="DP208" s="463"/>
      <c r="DQ208" s="463"/>
      <c r="DR208" s="463"/>
      <c r="DS208" s="463"/>
    </row>
    <row r="209" spans="1:123" s="1838" customFormat="1" ht="11.25" customHeight="1">
      <c r="A209" s="858"/>
      <c r="B209" s="1481"/>
      <c r="C209" s="1481"/>
      <c r="D209" s="260"/>
      <c r="CY209" s="1023"/>
      <c r="CZ209" s="1481"/>
      <c r="DA209" s="1481"/>
      <c r="DB209" s="1023"/>
      <c r="DC209" s="1023"/>
      <c r="DD209" s="1023"/>
      <c r="DE209" s="1023"/>
      <c r="DF209" s="1481"/>
      <c r="DG209" s="1023"/>
      <c r="DH209" s="1023"/>
      <c r="DI209" s="441"/>
      <c r="DJ209" s="1023"/>
      <c r="DK209" s="1023"/>
      <c r="DL209" s="1023"/>
      <c r="DM209" s="1023"/>
      <c r="DN209" s="1023"/>
      <c r="DO209" s="1477"/>
      <c r="DP209" s="463"/>
      <c r="DQ209" s="463"/>
      <c r="DR209" s="463"/>
      <c r="DS209" s="463"/>
    </row>
    <row r="210" spans="1:123" s="1838" customFormat="1" ht="11.25" customHeight="1">
      <c r="A210" s="858"/>
      <c r="B210" s="1481"/>
      <c r="C210" s="1481"/>
      <c r="D210" s="260"/>
      <c r="CY210" s="1023"/>
      <c r="CZ210" s="1481"/>
      <c r="DA210" s="1481"/>
      <c r="DB210" s="1023"/>
      <c r="DC210" s="1023"/>
      <c r="DD210" s="1023"/>
      <c r="DE210" s="1023"/>
      <c r="DF210" s="1481"/>
      <c r="DG210" s="1023"/>
      <c r="DH210" s="1023"/>
      <c r="DI210" s="441"/>
      <c r="DJ210" s="1023"/>
      <c r="DK210" s="1023"/>
      <c r="DL210" s="1023"/>
      <c r="DM210" s="1023"/>
      <c r="DN210" s="1023"/>
      <c r="DO210" s="1477"/>
      <c r="DP210" s="463"/>
      <c r="DQ210" s="463"/>
      <c r="DR210" s="463"/>
      <c r="DS210" s="463"/>
    </row>
    <row r="211" spans="1:123" s="1838" customFormat="1" ht="11.25" customHeight="1">
      <c r="A211" s="858"/>
      <c r="B211" s="1481"/>
      <c r="C211" s="1481"/>
      <c r="D211" s="260"/>
      <c r="CY211" s="1023"/>
      <c r="CZ211" s="1481"/>
      <c r="DA211" s="1481"/>
      <c r="DB211" s="1023"/>
      <c r="DC211" s="1023"/>
      <c r="DD211" s="1023"/>
      <c r="DE211" s="1023"/>
      <c r="DF211" s="1481"/>
      <c r="DG211" s="1023"/>
      <c r="DH211" s="1023"/>
      <c r="DI211" s="441"/>
      <c r="DJ211" s="1023"/>
      <c r="DK211" s="1023"/>
      <c r="DL211" s="1023"/>
      <c r="DM211" s="1023"/>
      <c r="DN211" s="1023"/>
      <c r="DO211" s="1477"/>
      <c r="DP211" s="463"/>
      <c r="DQ211" s="463"/>
      <c r="DR211" s="463"/>
      <c r="DS211" s="463"/>
    </row>
    <row r="212" spans="1:123" s="1838" customFormat="1" ht="11.25" customHeight="1">
      <c r="A212" s="858"/>
      <c r="B212" s="1481"/>
      <c r="C212" s="1481"/>
      <c r="D212" s="260"/>
      <c r="CY212" s="1023"/>
      <c r="CZ212" s="1481"/>
      <c r="DA212" s="1481"/>
      <c r="DB212" s="1023"/>
      <c r="DC212" s="1023"/>
      <c r="DD212" s="1023"/>
      <c r="DE212" s="1023"/>
      <c r="DF212" s="1481"/>
      <c r="DG212" s="1023"/>
      <c r="DH212" s="1023"/>
      <c r="DI212" s="441"/>
      <c r="DJ212" s="1023"/>
      <c r="DK212" s="1023"/>
      <c r="DL212" s="1023"/>
      <c r="DM212" s="1023"/>
      <c r="DN212" s="1023"/>
      <c r="DO212" s="1477"/>
      <c r="DP212" s="463"/>
      <c r="DQ212" s="463"/>
      <c r="DR212" s="463"/>
      <c r="DS212" s="463"/>
    </row>
    <row r="213" spans="1:123" s="1838" customFormat="1" ht="11.25" customHeight="1">
      <c r="A213" s="858"/>
      <c r="B213" s="1481"/>
      <c r="C213" s="1481"/>
      <c r="D213" s="260"/>
      <c r="CY213" s="1023"/>
      <c r="CZ213" s="1481"/>
      <c r="DA213" s="1481"/>
      <c r="DB213" s="1023"/>
      <c r="DC213" s="1023"/>
      <c r="DD213" s="1023"/>
      <c r="DE213" s="1023"/>
      <c r="DF213" s="1481"/>
      <c r="DG213" s="1023"/>
      <c r="DH213" s="1023"/>
      <c r="DI213" s="441"/>
      <c r="DJ213" s="1023"/>
      <c r="DK213" s="1023"/>
      <c r="DL213" s="1023"/>
      <c r="DM213" s="1023"/>
      <c r="DN213" s="1023"/>
      <c r="DO213" s="1477"/>
      <c r="DP213" s="463"/>
      <c r="DQ213" s="463"/>
      <c r="DR213" s="463"/>
      <c r="DS213" s="463"/>
    </row>
    <row r="214" spans="1:123" s="1838" customFormat="1" ht="11.25" customHeight="1">
      <c r="A214" s="858"/>
      <c r="B214" s="1481"/>
      <c r="C214" s="1481"/>
      <c r="D214" s="260"/>
      <c r="CY214" s="1023"/>
      <c r="CZ214" s="1481"/>
      <c r="DA214" s="1481"/>
      <c r="DB214" s="1023"/>
      <c r="DC214" s="1023"/>
      <c r="DD214" s="1023"/>
      <c r="DE214" s="1023"/>
      <c r="DF214" s="1481"/>
      <c r="DG214" s="1023"/>
      <c r="DH214" s="1023"/>
      <c r="DI214" s="441"/>
      <c r="DJ214" s="1023"/>
      <c r="DK214" s="1023"/>
      <c r="DL214" s="1023"/>
      <c r="DM214" s="1023"/>
      <c r="DN214" s="1023"/>
      <c r="DO214" s="1477"/>
      <c r="DP214" s="463"/>
      <c r="DQ214" s="463"/>
      <c r="DR214" s="463"/>
      <c r="DS214" s="463"/>
    </row>
    <row r="215" spans="1:123" s="1838" customFormat="1" ht="11.25" customHeight="1">
      <c r="A215" s="858"/>
      <c r="B215" s="1481"/>
      <c r="C215" s="1481"/>
      <c r="D215" s="260"/>
      <c r="CY215" s="1023"/>
      <c r="CZ215" s="1481"/>
      <c r="DA215" s="1481"/>
      <c r="DB215" s="1023"/>
      <c r="DC215" s="1023"/>
      <c r="DD215" s="1023"/>
      <c r="DE215" s="1023"/>
      <c r="DF215" s="1481"/>
      <c r="DG215" s="1023"/>
      <c r="DH215" s="1023"/>
      <c r="DI215" s="441"/>
      <c r="DJ215" s="1023"/>
      <c r="DK215" s="1023"/>
      <c r="DL215" s="1023"/>
      <c r="DM215" s="1023"/>
      <c r="DN215" s="1023"/>
      <c r="DO215" s="1477"/>
      <c r="DP215" s="463"/>
      <c r="DQ215" s="463"/>
      <c r="DR215" s="463"/>
      <c r="DS215" s="463"/>
    </row>
    <row r="216" spans="1:123" s="1838" customFormat="1" ht="11.25" customHeight="1">
      <c r="A216" s="858"/>
      <c r="B216" s="1481"/>
      <c r="C216" s="1481"/>
      <c r="D216" s="260"/>
      <c r="CY216" s="1023"/>
      <c r="CZ216" s="1481"/>
      <c r="DA216" s="1481"/>
      <c r="DB216" s="1023"/>
      <c r="DC216" s="1023"/>
      <c r="DD216" s="1023"/>
      <c r="DE216" s="1023"/>
      <c r="DF216" s="1481"/>
      <c r="DG216" s="1023"/>
      <c r="DH216" s="1023"/>
      <c r="DI216" s="441"/>
      <c r="DJ216" s="1023"/>
      <c r="DK216" s="1023"/>
      <c r="DL216" s="1023"/>
      <c r="DM216" s="1023"/>
      <c r="DN216" s="1023"/>
      <c r="DO216" s="1477"/>
      <c r="DP216" s="463"/>
      <c r="DQ216" s="463"/>
      <c r="DR216" s="463"/>
      <c r="DS216" s="463"/>
    </row>
    <row r="217" spans="1:123" s="1838" customFormat="1" ht="11.25" customHeight="1">
      <c r="A217" s="858"/>
      <c r="B217" s="1481"/>
      <c r="C217" s="1481"/>
      <c r="D217" s="260"/>
      <c r="CY217" s="1023"/>
      <c r="CZ217" s="1481"/>
      <c r="DA217" s="1481"/>
      <c r="DB217" s="1023"/>
      <c r="DC217" s="1023"/>
      <c r="DD217" s="1023"/>
      <c r="DE217" s="1023"/>
      <c r="DF217" s="1481"/>
      <c r="DG217" s="1023"/>
      <c r="DH217" s="1023"/>
      <c r="DI217" s="441"/>
      <c r="DJ217" s="1023"/>
      <c r="DK217" s="1023"/>
      <c r="DL217" s="1023"/>
      <c r="DM217" s="1023"/>
      <c r="DN217" s="1023"/>
      <c r="DO217" s="1477"/>
      <c r="DP217" s="463"/>
      <c r="DQ217" s="463"/>
      <c r="DR217" s="463"/>
      <c r="DS217" s="463"/>
    </row>
    <row r="218" spans="1:123" s="1838" customFormat="1" ht="11.25" customHeight="1">
      <c r="A218" s="858"/>
      <c r="B218" s="1481"/>
      <c r="C218" s="1481"/>
      <c r="D218" s="260"/>
      <c r="CY218" s="1023"/>
      <c r="CZ218" s="1481"/>
      <c r="DA218" s="1481"/>
      <c r="DB218" s="1023"/>
      <c r="DC218" s="1023"/>
      <c r="DD218" s="1023"/>
      <c r="DE218" s="1023"/>
      <c r="DF218" s="1481"/>
      <c r="DG218" s="1023"/>
      <c r="DH218" s="1023"/>
      <c r="DI218" s="441"/>
      <c r="DJ218" s="1023"/>
      <c r="DK218" s="1023"/>
      <c r="DL218" s="1023"/>
      <c r="DM218" s="1023"/>
      <c r="DN218" s="1023"/>
      <c r="DO218" s="1477"/>
      <c r="DP218" s="463"/>
      <c r="DQ218" s="463"/>
      <c r="DR218" s="463"/>
      <c r="DS218" s="463"/>
    </row>
    <row r="219" spans="1:123" s="1838" customFormat="1" ht="11.25" customHeight="1">
      <c r="A219" s="858"/>
      <c r="B219" s="1481"/>
      <c r="C219" s="1481"/>
      <c r="D219" s="260"/>
      <c r="CY219" s="1023"/>
      <c r="CZ219" s="1481"/>
      <c r="DA219" s="1481"/>
      <c r="DB219" s="1023"/>
      <c r="DC219" s="1023"/>
      <c r="DD219" s="1023"/>
      <c r="DE219" s="1023"/>
      <c r="DF219" s="1481"/>
      <c r="DG219" s="1023"/>
      <c r="DH219" s="1023"/>
      <c r="DI219" s="441"/>
      <c r="DJ219" s="1023"/>
      <c r="DK219" s="1023"/>
      <c r="DL219" s="1023"/>
      <c r="DM219" s="1023"/>
      <c r="DN219" s="1023"/>
      <c r="DO219" s="1477"/>
      <c r="DP219" s="463"/>
      <c r="DQ219" s="463"/>
      <c r="DR219" s="463"/>
      <c r="DS219" s="463"/>
    </row>
    <row r="220" spans="1:123" s="1838" customFormat="1" ht="11.25" customHeight="1">
      <c r="A220" s="858"/>
      <c r="B220" s="1481"/>
      <c r="C220" s="1481"/>
      <c r="D220" s="260"/>
      <c r="CY220" s="1023"/>
      <c r="CZ220" s="1481"/>
      <c r="DA220" s="1481"/>
      <c r="DB220" s="1023"/>
      <c r="DC220" s="1023"/>
      <c r="DD220" s="1023"/>
      <c r="DE220" s="1023"/>
      <c r="DF220" s="1481"/>
      <c r="DG220" s="1023"/>
      <c r="DH220" s="1023"/>
      <c r="DI220" s="441"/>
      <c r="DJ220" s="1023"/>
      <c r="DK220" s="1023"/>
      <c r="DL220" s="1023"/>
      <c r="DM220" s="1023"/>
      <c r="DN220" s="1023"/>
      <c r="DO220" s="1477"/>
      <c r="DP220" s="463"/>
      <c r="DQ220" s="463"/>
      <c r="DR220" s="463"/>
      <c r="DS220" s="463"/>
    </row>
    <row r="221" spans="1:123" s="1838" customFormat="1" ht="11.25" customHeight="1">
      <c r="A221" s="858"/>
      <c r="B221" s="1481"/>
      <c r="C221" s="1481"/>
      <c r="D221" s="260"/>
      <c r="CY221" s="1023"/>
      <c r="CZ221" s="1481"/>
      <c r="DA221" s="1481"/>
      <c r="DB221" s="1023"/>
      <c r="DC221" s="1023"/>
      <c r="DD221" s="1023"/>
      <c r="DE221" s="1023"/>
      <c r="DF221" s="1481"/>
      <c r="DG221" s="1023"/>
      <c r="DH221" s="1023"/>
      <c r="DI221" s="441"/>
      <c r="DJ221" s="1023"/>
      <c r="DK221" s="1023"/>
      <c r="DL221" s="1023"/>
      <c r="DM221" s="1023"/>
      <c r="DN221" s="1023"/>
      <c r="DO221" s="1477"/>
      <c r="DP221" s="463"/>
      <c r="DQ221" s="463"/>
      <c r="DR221" s="463"/>
      <c r="DS221" s="463"/>
    </row>
    <row r="222" spans="1:123" s="1838" customFormat="1" ht="11.25" customHeight="1">
      <c r="A222" s="858"/>
      <c r="B222" s="1481"/>
      <c r="C222" s="1481"/>
      <c r="D222" s="260"/>
      <c r="CY222" s="1023"/>
      <c r="CZ222" s="1481"/>
      <c r="DA222" s="1481"/>
      <c r="DB222" s="1023"/>
      <c r="DC222" s="1023"/>
      <c r="DD222" s="1023"/>
      <c r="DE222" s="1023"/>
      <c r="DF222" s="1481"/>
      <c r="DG222" s="1023"/>
      <c r="DH222" s="1023"/>
      <c r="DI222" s="441"/>
      <c r="DJ222" s="1023"/>
      <c r="DK222" s="1023"/>
      <c r="DL222" s="1023"/>
      <c r="DM222" s="1023"/>
      <c r="DN222" s="1023"/>
      <c r="DO222" s="1477"/>
      <c r="DP222" s="463"/>
      <c r="DQ222" s="463"/>
      <c r="DR222" s="463"/>
      <c r="DS222" s="463"/>
    </row>
    <row r="223" spans="1:123" s="1838" customFormat="1" ht="11.25" customHeight="1">
      <c r="A223" s="858"/>
      <c r="B223" s="1481"/>
      <c r="C223" s="1481"/>
      <c r="D223" s="260"/>
      <c r="CY223" s="1023"/>
      <c r="CZ223" s="1481"/>
      <c r="DA223" s="1481"/>
      <c r="DB223" s="1023"/>
      <c r="DC223" s="1023"/>
      <c r="DD223" s="1023"/>
      <c r="DE223" s="1023"/>
      <c r="DF223" s="1481"/>
      <c r="DG223" s="1023"/>
      <c r="DH223" s="1023"/>
      <c r="DI223" s="441"/>
      <c r="DJ223" s="1023"/>
      <c r="DK223" s="1023"/>
      <c r="DL223" s="1023"/>
      <c r="DM223" s="1023"/>
      <c r="DN223" s="1023"/>
      <c r="DO223" s="1477"/>
      <c r="DP223" s="463"/>
      <c r="DQ223" s="463"/>
      <c r="DR223" s="463"/>
      <c r="DS223" s="463"/>
    </row>
    <row r="224" spans="1:123" s="1838" customFormat="1" ht="11.25" customHeight="1">
      <c r="A224" s="858"/>
      <c r="B224" s="1481"/>
      <c r="C224" s="1481"/>
      <c r="D224" s="260"/>
      <c r="CY224" s="1023"/>
      <c r="CZ224" s="1481"/>
      <c r="DA224" s="1481"/>
      <c r="DB224" s="1023"/>
      <c r="DC224" s="1023"/>
      <c r="DD224" s="1023"/>
      <c r="DE224" s="1023"/>
      <c r="DF224" s="1481"/>
      <c r="DG224" s="1023"/>
      <c r="DH224" s="1023"/>
      <c r="DI224" s="441"/>
      <c r="DJ224" s="1023"/>
      <c r="DK224" s="1023"/>
      <c r="DL224" s="1023"/>
      <c r="DM224" s="1023"/>
      <c r="DN224" s="1023"/>
      <c r="DO224" s="1477"/>
      <c r="DP224" s="463"/>
      <c r="DQ224" s="463"/>
      <c r="DR224" s="463"/>
      <c r="DS224" s="463"/>
    </row>
    <row r="225" spans="1:123" s="1838" customFormat="1" ht="11.25" customHeight="1">
      <c r="A225" s="858"/>
      <c r="B225" s="1481"/>
      <c r="C225" s="1481"/>
      <c r="D225" s="260"/>
      <c r="CY225" s="1023"/>
      <c r="CZ225" s="1481"/>
      <c r="DA225" s="1481"/>
      <c r="DB225" s="1023"/>
      <c r="DC225" s="1023"/>
      <c r="DD225" s="1023"/>
      <c r="DE225" s="1023"/>
      <c r="DF225" s="1481"/>
      <c r="DG225" s="1023"/>
      <c r="DH225" s="1023"/>
      <c r="DI225" s="441"/>
      <c r="DJ225" s="1023"/>
      <c r="DK225" s="1023"/>
      <c r="DL225" s="1023"/>
      <c r="DM225" s="1023"/>
      <c r="DN225" s="1023"/>
      <c r="DO225" s="1477"/>
      <c r="DP225" s="463"/>
      <c r="DQ225" s="463"/>
      <c r="DR225" s="463"/>
      <c r="DS225" s="463"/>
    </row>
    <row r="226" spans="1:123" s="1838" customFormat="1" ht="11.25" customHeight="1">
      <c r="A226" s="858"/>
      <c r="B226" s="1481"/>
      <c r="C226" s="1481"/>
      <c r="D226" s="260"/>
      <c r="CY226" s="1023"/>
      <c r="CZ226" s="1481"/>
      <c r="DA226" s="1481"/>
      <c r="DB226" s="1023"/>
      <c r="DC226" s="1023"/>
      <c r="DD226" s="1023"/>
      <c r="DE226" s="1023"/>
      <c r="DF226" s="1481"/>
      <c r="DG226" s="1023"/>
      <c r="DH226" s="1023"/>
      <c r="DI226" s="441"/>
      <c r="DJ226" s="1023"/>
      <c r="DK226" s="1023"/>
      <c r="DL226" s="1023"/>
      <c r="DM226" s="1023"/>
      <c r="DN226" s="1023"/>
      <c r="DO226" s="1477"/>
      <c r="DP226" s="463"/>
      <c r="DQ226" s="463"/>
      <c r="DR226" s="463"/>
      <c r="DS226" s="463"/>
    </row>
    <row r="227" spans="1:123" s="1838" customFormat="1" ht="11.25" customHeight="1">
      <c r="A227" s="858"/>
      <c r="B227" s="1481"/>
      <c r="C227" s="1481"/>
      <c r="D227" s="260"/>
      <c r="CY227" s="1023"/>
      <c r="CZ227" s="1481"/>
      <c r="DA227" s="1481"/>
      <c r="DB227" s="1023"/>
      <c r="DC227" s="1023"/>
      <c r="DD227" s="1023"/>
      <c r="DE227" s="1023"/>
      <c r="DF227" s="1481"/>
      <c r="DG227" s="1023"/>
      <c r="DH227" s="1023"/>
      <c r="DI227" s="441"/>
      <c r="DJ227" s="1023"/>
      <c r="DK227" s="1023"/>
      <c r="DL227" s="1023"/>
      <c r="DM227" s="1023"/>
      <c r="DN227" s="1023"/>
      <c r="DO227" s="1477"/>
      <c r="DP227" s="463"/>
      <c r="DQ227" s="463"/>
      <c r="DR227" s="463"/>
      <c r="DS227" s="463"/>
    </row>
    <row r="228" spans="1:123" s="1838" customFormat="1" ht="11.25" customHeight="1">
      <c r="A228" s="858"/>
      <c r="B228" s="1481"/>
      <c r="C228" s="1481"/>
      <c r="D228" s="260"/>
      <c r="CY228" s="1023"/>
      <c r="CZ228" s="1481"/>
      <c r="DA228" s="1481"/>
      <c r="DB228" s="1023"/>
      <c r="DC228" s="1023"/>
      <c r="DD228" s="1023"/>
      <c r="DE228" s="1023"/>
      <c r="DF228" s="1481"/>
      <c r="DG228" s="1023"/>
      <c r="DH228" s="1023"/>
      <c r="DI228" s="441"/>
      <c r="DJ228" s="1023"/>
      <c r="DK228" s="1023"/>
      <c r="DL228" s="1023"/>
      <c r="DM228" s="1023"/>
      <c r="DN228" s="1023"/>
      <c r="DO228" s="1477"/>
      <c r="DP228" s="463"/>
      <c r="DQ228" s="463"/>
      <c r="DR228" s="463"/>
      <c r="DS228" s="463"/>
    </row>
    <row r="229" spans="1:123" s="1838" customFormat="1" ht="11.25" customHeight="1">
      <c r="A229" s="858"/>
      <c r="B229" s="1481"/>
      <c r="C229" s="1481"/>
      <c r="D229" s="260"/>
      <c r="CY229" s="1023"/>
      <c r="CZ229" s="1481"/>
      <c r="DA229" s="1481"/>
      <c r="DB229" s="1023"/>
      <c r="DC229" s="1023"/>
      <c r="DD229" s="1023"/>
      <c r="DE229" s="1023"/>
      <c r="DF229" s="1481"/>
      <c r="DG229" s="1023"/>
      <c r="DH229" s="1023"/>
      <c r="DI229" s="441"/>
      <c r="DJ229" s="1023"/>
      <c r="DK229" s="1023"/>
      <c r="DL229" s="1023"/>
      <c r="DM229" s="1023"/>
      <c r="DN229" s="1023"/>
      <c r="DO229" s="1477"/>
      <c r="DP229" s="463"/>
      <c r="DQ229" s="463"/>
      <c r="DR229" s="463"/>
      <c r="DS229" s="463"/>
    </row>
    <row r="230" spans="1:123" s="1838" customFormat="1" ht="11.25" customHeight="1">
      <c r="A230" s="858"/>
      <c r="B230" s="1481"/>
      <c r="C230" s="1481"/>
      <c r="D230" s="260"/>
      <c r="CY230" s="1023"/>
      <c r="CZ230" s="1481"/>
      <c r="DA230" s="1481"/>
      <c r="DB230" s="1023"/>
      <c r="DC230" s="1023"/>
      <c r="DD230" s="1023"/>
      <c r="DE230" s="1023"/>
      <c r="DF230" s="1481"/>
      <c r="DG230" s="1023"/>
      <c r="DH230" s="1023"/>
      <c r="DI230" s="441"/>
      <c r="DJ230" s="1023"/>
      <c r="DK230" s="1023"/>
      <c r="DL230" s="1023"/>
      <c r="DM230" s="1023"/>
      <c r="DN230" s="1023"/>
      <c r="DO230" s="1477"/>
      <c r="DP230" s="463"/>
      <c r="DQ230" s="463"/>
      <c r="DR230" s="463"/>
      <c r="DS230" s="463"/>
    </row>
    <row r="231" spans="1:123" s="1838" customFormat="1" ht="11.25" customHeight="1">
      <c r="A231" s="858"/>
      <c r="B231" s="1481"/>
      <c r="C231" s="1481"/>
      <c r="D231" s="260"/>
      <c r="CY231" s="1023"/>
      <c r="CZ231" s="1481"/>
      <c r="DA231" s="1481"/>
      <c r="DB231" s="1023"/>
      <c r="DC231" s="1023"/>
      <c r="DD231" s="1023"/>
      <c r="DE231" s="1023"/>
      <c r="DF231" s="1481"/>
      <c r="DG231" s="1023"/>
      <c r="DH231" s="1023"/>
      <c r="DI231" s="441"/>
      <c r="DJ231" s="1023"/>
      <c r="DK231" s="1023"/>
      <c r="DL231" s="1023"/>
      <c r="DM231" s="1023"/>
      <c r="DN231" s="1023"/>
      <c r="DO231" s="1477"/>
      <c r="DP231" s="463"/>
      <c r="DQ231" s="463"/>
      <c r="DR231" s="463"/>
      <c r="DS231" s="463"/>
    </row>
    <row r="232" spans="1:123" s="1838" customFormat="1" ht="11.25" customHeight="1">
      <c r="A232" s="858"/>
      <c r="B232" s="1481"/>
      <c r="C232" s="1481"/>
      <c r="D232" s="260"/>
      <c r="CY232" s="1023"/>
      <c r="CZ232" s="1481"/>
      <c r="DA232" s="1481"/>
      <c r="DB232" s="1023"/>
      <c r="DC232" s="1023"/>
      <c r="DD232" s="1023"/>
      <c r="DE232" s="1023"/>
      <c r="DF232" s="1481"/>
      <c r="DG232" s="1023"/>
      <c r="DH232" s="1023"/>
      <c r="DI232" s="441"/>
      <c r="DJ232" s="1023"/>
      <c r="DK232" s="1023"/>
      <c r="DL232" s="1023"/>
      <c r="DM232" s="1023"/>
      <c r="DN232" s="1023"/>
      <c r="DO232" s="1477"/>
      <c r="DP232" s="463"/>
      <c r="DQ232" s="463"/>
      <c r="DR232" s="463"/>
      <c r="DS232" s="463"/>
    </row>
    <row r="233" spans="1:123" s="1838" customFormat="1" ht="11.25" customHeight="1">
      <c r="A233" s="858"/>
      <c r="B233" s="1481"/>
      <c r="C233" s="1481"/>
      <c r="D233" s="260"/>
      <c r="CY233" s="1023"/>
      <c r="CZ233" s="1481"/>
      <c r="DA233" s="1481"/>
      <c r="DB233" s="1023"/>
      <c r="DC233" s="1023"/>
      <c r="DD233" s="1023"/>
      <c r="DE233" s="1023"/>
      <c r="DF233" s="1481"/>
      <c r="DG233" s="1023"/>
      <c r="DH233" s="1023"/>
      <c r="DI233" s="441"/>
      <c r="DJ233" s="1023"/>
      <c r="DK233" s="1023"/>
      <c r="DL233" s="1023"/>
      <c r="DM233" s="1023"/>
      <c r="DN233" s="1023"/>
      <c r="DO233" s="1477"/>
      <c r="DP233" s="463"/>
      <c r="DQ233" s="463"/>
      <c r="DR233" s="463"/>
      <c r="DS233" s="463"/>
    </row>
    <row r="234" spans="1:123" s="1838" customFormat="1" ht="11.25" customHeight="1">
      <c r="A234" s="858"/>
      <c r="B234" s="1481"/>
      <c r="C234" s="1481"/>
      <c r="D234" s="260"/>
      <c r="CY234" s="1023"/>
      <c r="CZ234" s="1481"/>
      <c r="DA234" s="1481"/>
      <c r="DB234" s="1023"/>
      <c r="DC234" s="1023"/>
      <c r="DD234" s="1023"/>
      <c r="DE234" s="1023"/>
      <c r="DF234" s="1481"/>
      <c r="DG234" s="1023"/>
      <c r="DH234" s="1023"/>
      <c r="DI234" s="441"/>
      <c r="DJ234" s="1023"/>
      <c r="DK234" s="1023"/>
      <c r="DL234" s="1023"/>
      <c r="DM234" s="1023"/>
      <c r="DN234" s="1023"/>
      <c r="DO234" s="1477"/>
      <c r="DP234" s="463"/>
      <c r="DQ234" s="463"/>
      <c r="DR234" s="463"/>
      <c r="DS234" s="463"/>
    </row>
    <row r="235" spans="1:123" s="1838" customFormat="1" ht="11.25" customHeight="1">
      <c r="A235" s="858"/>
      <c r="B235" s="1481"/>
      <c r="C235" s="1481"/>
      <c r="D235" s="260"/>
      <c r="CY235" s="1023"/>
      <c r="CZ235" s="1481"/>
      <c r="DA235" s="1481"/>
      <c r="DB235" s="1023"/>
      <c r="DC235" s="1023"/>
      <c r="DD235" s="1023"/>
      <c r="DE235" s="1023"/>
      <c r="DF235" s="1481"/>
      <c r="DG235" s="1023"/>
      <c r="DH235" s="1023"/>
      <c r="DI235" s="441"/>
      <c r="DJ235" s="1023"/>
      <c r="DK235" s="1023"/>
      <c r="DL235" s="1023"/>
      <c r="DM235" s="1023"/>
      <c r="DN235" s="1023"/>
      <c r="DO235" s="1477"/>
      <c r="DP235" s="463"/>
      <c r="DQ235" s="463"/>
      <c r="DR235" s="463"/>
      <c r="DS235" s="463"/>
    </row>
    <row r="236" spans="1:123" s="1838" customFormat="1" ht="11.25" customHeight="1">
      <c r="A236" s="858"/>
      <c r="B236" s="1481"/>
      <c r="C236" s="1481"/>
      <c r="D236" s="260"/>
      <c r="CY236" s="1023"/>
      <c r="CZ236" s="1481"/>
      <c r="DA236" s="1481"/>
      <c r="DB236" s="1023"/>
      <c r="DC236" s="1023"/>
      <c r="DD236" s="1023"/>
      <c r="DE236" s="1023"/>
      <c r="DF236" s="1481"/>
      <c r="DG236" s="1023"/>
      <c r="DH236" s="1023"/>
      <c r="DI236" s="441"/>
      <c r="DJ236" s="1023"/>
      <c r="DK236" s="1023"/>
      <c r="DL236" s="1023"/>
      <c r="DM236" s="1023"/>
      <c r="DN236" s="1023"/>
      <c r="DO236" s="1477"/>
      <c r="DP236" s="463"/>
      <c r="DQ236" s="463"/>
      <c r="DR236" s="463"/>
      <c r="DS236" s="463"/>
    </row>
    <row r="237" spans="1:123" s="1838" customFormat="1" ht="11.25" customHeight="1">
      <c r="A237" s="858"/>
      <c r="B237" s="1481"/>
      <c r="C237" s="1481"/>
      <c r="D237" s="260"/>
      <c r="CY237" s="1023"/>
      <c r="CZ237" s="1481"/>
      <c r="DA237" s="1481"/>
      <c r="DB237" s="1023"/>
      <c r="DC237" s="1023"/>
      <c r="DD237" s="1023"/>
      <c r="DE237" s="1023"/>
      <c r="DF237" s="1481"/>
      <c r="DG237" s="1023"/>
      <c r="DH237" s="1023"/>
      <c r="DI237" s="441"/>
      <c r="DJ237" s="1023"/>
      <c r="DK237" s="1023"/>
      <c r="DL237" s="1023"/>
      <c r="DM237" s="1023"/>
      <c r="DN237" s="1023"/>
      <c r="DO237" s="1477"/>
      <c r="DP237" s="463"/>
      <c r="DQ237" s="463"/>
      <c r="DR237" s="463"/>
      <c r="DS237" s="463"/>
    </row>
    <row r="238" spans="1:123" s="1838" customFormat="1" ht="11.25" customHeight="1">
      <c r="A238" s="858"/>
      <c r="B238" s="1481"/>
      <c r="C238" s="1481"/>
      <c r="D238" s="260"/>
      <c r="CY238" s="1023"/>
      <c r="CZ238" s="1481"/>
      <c r="DA238" s="1481"/>
      <c r="DB238" s="1023"/>
      <c r="DC238" s="1023"/>
      <c r="DD238" s="1023"/>
      <c r="DE238" s="1023"/>
      <c r="DF238" s="1481"/>
      <c r="DG238" s="1023"/>
      <c r="DH238" s="1023"/>
      <c r="DI238" s="441"/>
      <c r="DJ238" s="1023"/>
      <c r="DK238" s="1023"/>
      <c r="DL238" s="1023"/>
      <c r="DM238" s="1023"/>
      <c r="DN238" s="1023"/>
      <c r="DO238" s="1477"/>
      <c r="DP238" s="463"/>
      <c r="DQ238" s="463"/>
      <c r="DR238" s="463"/>
      <c r="DS238" s="463"/>
    </row>
    <row r="239" spans="1:123" s="1838" customFormat="1" ht="11.25" customHeight="1">
      <c r="A239" s="858"/>
      <c r="B239" s="1481"/>
      <c r="C239" s="1481"/>
      <c r="D239" s="260"/>
      <c r="CY239" s="1023"/>
      <c r="CZ239" s="1481"/>
      <c r="DA239" s="1481"/>
      <c r="DB239" s="1023"/>
      <c r="DC239" s="1023"/>
      <c r="DD239" s="1023"/>
      <c r="DE239" s="1023"/>
      <c r="DF239" s="1481"/>
      <c r="DG239" s="1023"/>
      <c r="DH239" s="1023"/>
      <c r="DI239" s="441"/>
      <c r="DJ239" s="1023"/>
      <c r="DK239" s="1023"/>
      <c r="DL239" s="1023"/>
      <c r="DM239" s="1023"/>
      <c r="DN239" s="1023"/>
      <c r="DO239" s="1477"/>
      <c r="DP239" s="463"/>
      <c r="DQ239" s="463"/>
      <c r="DR239" s="463"/>
      <c r="DS239" s="463"/>
    </row>
    <row r="240" spans="1:123" s="1838" customFormat="1" ht="11.25" customHeight="1">
      <c r="A240" s="858"/>
      <c r="B240" s="1481"/>
      <c r="C240" s="1481"/>
      <c r="D240" s="260"/>
      <c r="CY240" s="1023"/>
      <c r="CZ240" s="1481"/>
      <c r="DA240" s="1481"/>
      <c r="DB240" s="1023"/>
      <c r="DC240" s="1023"/>
      <c r="DD240" s="1023"/>
      <c r="DE240" s="1023"/>
      <c r="DF240" s="1481"/>
      <c r="DG240" s="1023"/>
      <c r="DH240" s="1023"/>
      <c r="DI240" s="441"/>
      <c r="DJ240" s="1023"/>
      <c r="DK240" s="1023"/>
      <c r="DL240" s="1023"/>
      <c r="DM240" s="1023"/>
      <c r="DN240" s="1023"/>
      <c r="DO240" s="1477"/>
      <c r="DP240" s="463"/>
      <c r="DQ240" s="463"/>
      <c r="DR240" s="463"/>
      <c r="DS240" s="463"/>
    </row>
    <row r="241" spans="1:123" s="1838" customFormat="1" ht="11.25" customHeight="1">
      <c r="A241" s="858"/>
      <c r="B241" s="1481"/>
      <c r="C241" s="1481"/>
      <c r="D241" s="260"/>
      <c r="CY241" s="1023"/>
      <c r="CZ241" s="1481"/>
      <c r="DA241" s="1481"/>
      <c r="DB241" s="1023"/>
      <c r="DC241" s="1023"/>
      <c r="DD241" s="1023"/>
      <c r="DE241" s="1023"/>
      <c r="DF241" s="1481"/>
      <c r="DG241" s="1023"/>
      <c r="DH241" s="1023"/>
      <c r="DI241" s="441"/>
      <c r="DJ241" s="1023"/>
      <c r="DK241" s="1023"/>
      <c r="DL241" s="1023"/>
      <c r="DM241" s="1023"/>
      <c r="DN241" s="1023"/>
      <c r="DO241" s="1477"/>
      <c r="DP241" s="463"/>
      <c r="DQ241" s="463"/>
      <c r="DR241" s="463"/>
      <c r="DS241" s="463"/>
    </row>
    <row r="242" spans="1:123" s="1838" customFormat="1" ht="11.25" customHeight="1">
      <c r="A242" s="858"/>
      <c r="B242" s="1481"/>
      <c r="C242" s="1481"/>
      <c r="D242" s="260"/>
      <c r="CY242" s="1023"/>
      <c r="CZ242" s="1481"/>
      <c r="DA242" s="1481"/>
      <c r="DB242" s="1023"/>
      <c r="DC242" s="1023"/>
      <c r="DD242" s="1023"/>
      <c r="DE242" s="1023"/>
      <c r="DF242" s="1481"/>
      <c r="DG242" s="1023"/>
      <c r="DH242" s="1023"/>
      <c r="DI242" s="441"/>
      <c r="DJ242" s="1023"/>
      <c r="DK242" s="1023"/>
      <c r="DL242" s="1023"/>
      <c r="DM242" s="1023"/>
      <c r="DN242" s="1023"/>
      <c r="DO242" s="1477"/>
      <c r="DP242" s="463"/>
      <c r="DQ242" s="463"/>
      <c r="DR242" s="463"/>
      <c r="DS242" s="463"/>
    </row>
    <row r="243" spans="1:123" s="1838" customFormat="1" ht="11.25" customHeight="1">
      <c r="A243" s="858"/>
      <c r="B243" s="1481"/>
      <c r="C243" s="1481"/>
      <c r="D243" s="260"/>
      <c r="CY243" s="1023"/>
      <c r="CZ243" s="1481"/>
      <c r="DA243" s="1481"/>
      <c r="DB243" s="1023"/>
      <c r="DC243" s="1023"/>
      <c r="DD243" s="1023"/>
      <c r="DE243" s="1023"/>
      <c r="DF243" s="1481"/>
      <c r="DG243" s="1023"/>
      <c r="DH243" s="1023"/>
      <c r="DI243" s="441"/>
      <c r="DJ243" s="1023"/>
      <c r="DK243" s="1023"/>
      <c r="DL243" s="1023"/>
      <c r="DM243" s="1023"/>
      <c r="DN243" s="1023"/>
      <c r="DO243" s="1477"/>
      <c r="DP243" s="463"/>
      <c r="DQ243" s="463"/>
      <c r="DR243" s="463"/>
      <c r="DS243" s="463"/>
    </row>
    <row r="244" spans="1:123" s="1838" customFormat="1" ht="11.25" customHeight="1">
      <c r="A244" s="858"/>
      <c r="B244" s="1481"/>
      <c r="C244" s="1481"/>
      <c r="D244" s="260"/>
      <c r="CY244" s="1023"/>
      <c r="CZ244" s="1481"/>
      <c r="DA244" s="1481"/>
      <c r="DB244" s="1023"/>
      <c r="DC244" s="1023"/>
      <c r="DD244" s="1023"/>
      <c r="DE244" s="1023"/>
      <c r="DF244" s="1481"/>
      <c r="DG244" s="1023"/>
      <c r="DH244" s="1023"/>
      <c r="DI244" s="441"/>
      <c r="DJ244" s="1023"/>
      <c r="DK244" s="1023"/>
      <c r="DL244" s="1023"/>
      <c r="DM244" s="1023"/>
      <c r="DN244" s="1023"/>
      <c r="DO244" s="1477"/>
      <c r="DP244" s="463"/>
      <c r="DQ244" s="463"/>
      <c r="DR244" s="463"/>
      <c r="DS244" s="463"/>
    </row>
    <row r="245" spans="1:123" s="1838" customFormat="1" ht="11.25" customHeight="1">
      <c r="A245" s="858"/>
      <c r="B245" s="1481"/>
      <c r="C245" s="1481"/>
      <c r="D245" s="260"/>
      <c r="CY245" s="1023"/>
      <c r="CZ245" s="1481"/>
      <c r="DA245" s="1481"/>
      <c r="DB245" s="1023"/>
      <c r="DC245" s="1023"/>
      <c r="DD245" s="1023"/>
      <c r="DE245" s="1023"/>
      <c r="DF245" s="1481"/>
      <c r="DG245" s="1023"/>
      <c r="DH245" s="1023"/>
      <c r="DI245" s="441"/>
      <c r="DJ245" s="1023"/>
      <c r="DK245" s="1023"/>
      <c r="DL245" s="1023"/>
      <c r="DM245" s="1023"/>
      <c r="DN245" s="1023"/>
      <c r="DO245" s="1477"/>
      <c r="DP245" s="463"/>
      <c r="DQ245" s="463"/>
      <c r="DR245" s="463"/>
      <c r="DS245" s="463"/>
    </row>
    <row r="246" spans="1:123" s="1838" customFormat="1" ht="11.25" customHeight="1">
      <c r="A246" s="858"/>
      <c r="B246" s="1481"/>
      <c r="C246" s="1481"/>
      <c r="D246" s="260"/>
      <c r="CY246" s="1023"/>
      <c r="CZ246" s="1481"/>
      <c r="DA246" s="1481"/>
      <c r="DB246" s="1023"/>
      <c r="DC246" s="1023"/>
      <c r="DD246" s="1023"/>
      <c r="DE246" s="1023"/>
      <c r="DF246" s="1481"/>
      <c r="DG246" s="1023"/>
      <c r="DH246" s="1023"/>
      <c r="DI246" s="441"/>
      <c r="DJ246" s="1023"/>
      <c r="DK246" s="1023"/>
      <c r="DL246" s="1023"/>
      <c r="DM246" s="1023"/>
      <c r="DN246" s="1023"/>
      <c r="DO246" s="1477"/>
      <c r="DP246" s="463"/>
      <c r="DQ246" s="463"/>
      <c r="DR246" s="463"/>
      <c r="DS246" s="463"/>
    </row>
    <row r="247" spans="1:123" s="1838" customFormat="1" ht="11.25" customHeight="1">
      <c r="A247" s="858"/>
      <c r="B247" s="1481"/>
      <c r="C247" s="1481"/>
      <c r="D247" s="260"/>
      <c r="CY247" s="1023"/>
      <c r="CZ247" s="1481"/>
      <c r="DA247" s="1481"/>
      <c r="DB247" s="1023"/>
      <c r="DC247" s="1023"/>
      <c r="DD247" s="1023"/>
      <c r="DE247" s="1023"/>
      <c r="DF247" s="1481"/>
      <c r="DG247" s="1023"/>
      <c r="DH247" s="1023"/>
      <c r="DI247" s="441"/>
      <c r="DJ247" s="1023"/>
      <c r="DK247" s="1023"/>
      <c r="DL247" s="1023"/>
      <c r="DM247" s="1023"/>
      <c r="DN247" s="1023"/>
      <c r="DO247" s="1477"/>
      <c r="DP247" s="463"/>
      <c r="DQ247" s="463"/>
      <c r="DR247" s="463"/>
      <c r="DS247" s="463"/>
    </row>
    <row r="248" spans="1:123" s="1838" customFormat="1" ht="11.25" customHeight="1">
      <c r="A248" s="858"/>
      <c r="B248" s="1481"/>
      <c r="C248" s="1481"/>
      <c r="D248" s="260"/>
      <c r="CY248" s="1023"/>
      <c r="CZ248" s="1481"/>
      <c r="DA248" s="1481"/>
      <c r="DB248" s="1023"/>
      <c r="DC248" s="1023"/>
      <c r="DD248" s="1023"/>
      <c r="DE248" s="1023"/>
      <c r="DF248" s="1481"/>
      <c r="DG248" s="1023"/>
      <c r="DH248" s="1023"/>
      <c r="DI248" s="441"/>
      <c r="DJ248" s="1023"/>
      <c r="DK248" s="1023"/>
      <c r="DL248" s="1023"/>
      <c r="DM248" s="1023"/>
      <c r="DN248" s="1023"/>
      <c r="DO248" s="1477"/>
      <c r="DP248" s="463"/>
      <c r="DQ248" s="463"/>
      <c r="DR248" s="463"/>
      <c r="DS248" s="463"/>
    </row>
    <row r="249" spans="1:123" s="1838" customFormat="1" ht="11.25" customHeight="1">
      <c r="A249" s="858"/>
      <c r="B249" s="1481"/>
      <c r="C249" s="1481"/>
      <c r="D249" s="260"/>
      <c r="CY249" s="1023"/>
      <c r="CZ249" s="1481"/>
      <c r="DA249" s="1481"/>
      <c r="DB249" s="1023"/>
      <c r="DC249" s="1023"/>
      <c r="DD249" s="1023"/>
      <c r="DE249" s="1023"/>
      <c r="DF249" s="1481"/>
      <c r="DG249" s="1023"/>
      <c r="DH249" s="1023"/>
      <c r="DI249" s="441"/>
      <c r="DJ249" s="1023"/>
      <c r="DK249" s="1023"/>
      <c r="DL249" s="1023"/>
      <c r="DM249" s="1023"/>
      <c r="DN249" s="1023"/>
      <c r="DO249" s="1477"/>
      <c r="DP249" s="463"/>
      <c r="DQ249" s="463"/>
      <c r="DR249" s="463"/>
      <c r="DS249" s="463"/>
    </row>
    <row r="250" spans="1:123" s="1838" customFormat="1" ht="11.25" customHeight="1">
      <c r="A250" s="858"/>
      <c r="B250" s="1481"/>
      <c r="C250" s="1481"/>
      <c r="D250" s="260"/>
      <c r="CY250" s="1023"/>
      <c r="CZ250" s="1481"/>
      <c r="DA250" s="1481"/>
      <c r="DB250" s="1023"/>
      <c r="DC250" s="1023"/>
      <c r="DD250" s="1023"/>
      <c r="DE250" s="1023"/>
      <c r="DF250" s="1481"/>
      <c r="DG250" s="1023"/>
      <c r="DH250" s="1023"/>
      <c r="DI250" s="441"/>
      <c r="DJ250" s="1023"/>
      <c r="DK250" s="1023"/>
      <c r="DL250" s="1023"/>
      <c r="DM250" s="1023"/>
      <c r="DN250" s="1023"/>
      <c r="DO250" s="1477"/>
      <c r="DP250" s="463"/>
      <c r="DQ250" s="463"/>
      <c r="DR250" s="463"/>
      <c r="DS250" s="463"/>
    </row>
    <row r="251" spans="1:123" s="1838" customFormat="1" ht="11.25" customHeight="1">
      <c r="A251" s="858"/>
      <c r="B251" s="1481"/>
      <c r="C251" s="1481"/>
      <c r="D251" s="260"/>
      <c r="CY251" s="1023"/>
      <c r="CZ251" s="1481"/>
      <c r="DA251" s="1481"/>
      <c r="DB251" s="1023"/>
      <c r="DC251" s="1023"/>
      <c r="DD251" s="1023"/>
      <c r="DE251" s="1023"/>
      <c r="DF251" s="1481"/>
      <c r="DG251" s="1023"/>
      <c r="DH251" s="1023"/>
      <c r="DI251" s="441"/>
      <c r="DJ251" s="1023"/>
      <c r="DK251" s="1023"/>
      <c r="DL251" s="1023"/>
      <c r="DM251" s="1023"/>
      <c r="DN251" s="1023"/>
      <c r="DO251" s="1477"/>
      <c r="DP251" s="463"/>
      <c r="DQ251" s="463"/>
      <c r="DR251" s="463"/>
      <c r="DS251" s="463"/>
    </row>
    <row r="252" spans="1:123" s="1838" customFormat="1" ht="11.25" customHeight="1">
      <c r="A252" s="858"/>
      <c r="B252" s="1481"/>
      <c r="C252" s="1481"/>
      <c r="D252" s="260"/>
      <c r="CY252" s="1023"/>
      <c r="CZ252" s="1481"/>
      <c r="DA252" s="1481"/>
      <c r="DB252" s="1023"/>
      <c r="DC252" s="1023"/>
      <c r="DD252" s="1023"/>
      <c r="DE252" s="1023"/>
      <c r="DF252" s="1481"/>
      <c r="DG252" s="1023"/>
      <c r="DH252" s="1023"/>
      <c r="DI252" s="441"/>
      <c r="DJ252" s="1023"/>
      <c r="DK252" s="1023"/>
      <c r="DL252" s="1023"/>
      <c r="DM252" s="1023"/>
      <c r="DN252" s="1023"/>
      <c r="DO252" s="1477"/>
      <c r="DP252" s="463"/>
      <c r="DQ252" s="463"/>
      <c r="DR252" s="463"/>
      <c r="DS252" s="463"/>
    </row>
    <row r="253" spans="1:123" s="1838" customFormat="1" ht="11.25" customHeight="1">
      <c r="A253" s="858"/>
      <c r="B253" s="1481"/>
      <c r="C253" s="1481"/>
      <c r="D253" s="260"/>
      <c r="CY253" s="1023"/>
      <c r="CZ253" s="1481"/>
      <c r="DA253" s="1481"/>
      <c r="DB253" s="1023"/>
      <c r="DC253" s="1023"/>
      <c r="DD253" s="1023"/>
      <c r="DE253" s="1023"/>
      <c r="DF253" s="1481"/>
      <c r="DG253" s="1023"/>
      <c r="DH253" s="1023"/>
      <c r="DI253" s="441"/>
      <c r="DJ253" s="1023"/>
      <c r="DK253" s="1023"/>
      <c r="DL253" s="1023"/>
      <c r="DM253" s="1023"/>
      <c r="DN253" s="1023"/>
      <c r="DO253" s="1477"/>
      <c r="DP253" s="463"/>
      <c r="DQ253" s="463"/>
      <c r="DR253" s="463"/>
      <c r="DS253" s="463"/>
    </row>
    <row r="254" spans="1:123" s="1838" customFormat="1" ht="11.25" customHeight="1">
      <c r="A254" s="858"/>
      <c r="B254" s="1481"/>
      <c r="C254" s="1481"/>
      <c r="D254" s="260"/>
      <c r="CY254" s="1023"/>
      <c r="CZ254" s="1481"/>
      <c r="DA254" s="1481"/>
      <c r="DB254" s="1023"/>
      <c r="DC254" s="1023"/>
      <c r="DD254" s="1023"/>
      <c r="DE254" s="1023"/>
      <c r="DF254" s="1481"/>
      <c r="DG254" s="1023"/>
      <c r="DH254" s="1023"/>
      <c r="DI254" s="441"/>
      <c r="DJ254" s="1023"/>
      <c r="DK254" s="1023"/>
      <c r="DL254" s="1023"/>
      <c r="DM254" s="1023"/>
      <c r="DN254" s="1023"/>
      <c r="DO254" s="1477"/>
      <c r="DP254" s="463"/>
      <c r="DQ254" s="463"/>
      <c r="DR254" s="463"/>
      <c r="DS254" s="463"/>
    </row>
    <row r="255" spans="1:123" s="1838" customFormat="1" ht="11.25" customHeight="1">
      <c r="A255" s="858"/>
      <c r="B255" s="1481"/>
      <c r="C255" s="1481"/>
      <c r="D255" s="260"/>
      <c r="CY255" s="1023"/>
      <c r="CZ255" s="1481"/>
      <c r="DA255" s="1481"/>
      <c r="DB255" s="1023"/>
      <c r="DC255" s="1023"/>
      <c r="DD255" s="1023"/>
      <c r="DE255" s="1023"/>
      <c r="DF255" s="1481"/>
      <c r="DG255" s="1023"/>
      <c r="DH255" s="1023"/>
      <c r="DI255" s="441"/>
      <c r="DJ255" s="1023"/>
      <c r="DK255" s="1023"/>
      <c r="DL255" s="1023"/>
      <c r="DM255" s="1023"/>
      <c r="DN255" s="1023"/>
      <c r="DO255" s="1477"/>
      <c r="DP255" s="463"/>
      <c r="DQ255" s="463"/>
      <c r="DR255" s="463"/>
      <c r="DS255" s="463"/>
    </row>
    <row r="256" spans="1:123" s="1838" customFormat="1" ht="11.25" customHeight="1">
      <c r="A256" s="858"/>
      <c r="B256" s="1481"/>
      <c r="C256" s="1481"/>
      <c r="D256" s="260"/>
      <c r="CY256" s="1023"/>
      <c r="CZ256" s="1481"/>
      <c r="DA256" s="1481"/>
      <c r="DB256" s="1023"/>
      <c r="DC256" s="1023"/>
      <c r="DD256" s="1023"/>
      <c r="DE256" s="1023"/>
      <c r="DF256" s="1481"/>
      <c r="DG256" s="1023"/>
      <c r="DH256" s="1023"/>
      <c r="DI256" s="441"/>
      <c r="DJ256" s="1023"/>
      <c r="DK256" s="1023"/>
      <c r="DL256" s="1023"/>
      <c r="DM256" s="1023"/>
      <c r="DN256" s="1023"/>
      <c r="DO256" s="1477"/>
      <c r="DP256" s="463"/>
      <c r="DQ256" s="463"/>
      <c r="DR256" s="463"/>
      <c r="DS256" s="463"/>
    </row>
    <row r="257" spans="1:123" s="1838" customFormat="1" ht="11.25" customHeight="1">
      <c r="A257" s="858"/>
      <c r="B257" s="1481"/>
      <c r="C257" s="1481"/>
      <c r="D257" s="260"/>
      <c r="CY257" s="1023"/>
      <c r="CZ257" s="1481"/>
      <c r="DA257" s="1481"/>
      <c r="DB257" s="1023"/>
      <c r="DC257" s="1023"/>
      <c r="DD257" s="1023"/>
      <c r="DE257" s="1023"/>
      <c r="DF257" s="1481"/>
      <c r="DG257" s="1023"/>
      <c r="DH257" s="1023"/>
      <c r="DI257" s="441"/>
      <c r="DJ257" s="1023"/>
      <c r="DK257" s="1023"/>
      <c r="DL257" s="1023"/>
      <c r="DM257" s="1023"/>
      <c r="DN257" s="1023"/>
      <c r="DO257" s="1477"/>
      <c r="DP257" s="463"/>
      <c r="DQ257" s="463"/>
      <c r="DR257" s="463"/>
      <c r="DS257" s="463"/>
    </row>
    <row r="258" spans="1:123" s="1838" customFormat="1" ht="11.25" customHeight="1">
      <c r="A258" s="858"/>
      <c r="B258" s="1481"/>
      <c r="C258" s="1481"/>
      <c r="D258" s="260"/>
      <c r="CY258" s="1023"/>
      <c r="CZ258" s="1481"/>
      <c r="DA258" s="1481"/>
      <c r="DB258" s="1023"/>
      <c r="DC258" s="1023"/>
      <c r="DD258" s="1023"/>
      <c r="DE258" s="1023"/>
      <c r="DF258" s="1481"/>
      <c r="DG258" s="1023"/>
      <c r="DH258" s="1023"/>
      <c r="DI258" s="441"/>
      <c r="DJ258" s="1023"/>
      <c r="DK258" s="1023"/>
      <c r="DL258" s="1023"/>
      <c r="DM258" s="1023"/>
      <c r="DN258" s="1023"/>
      <c r="DO258" s="1477"/>
      <c r="DP258" s="463"/>
      <c r="DQ258" s="463"/>
      <c r="DR258" s="463"/>
      <c r="DS258" s="463"/>
    </row>
    <row r="259" spans="1:123" s="1838" customFormat="1" ht="11.25" customHeight="1">
      <c r="A259" s="858"/>
      <c r="B259" s="1481"/>
      <c r="C259" s="1481"/>
      <c r="D259" s="260"/>
      <c r="CY259" s="1023"/>
      <c r="CZ259" s="1481"/>
      <c r="DA259" s="1481"/>
      <c r="DB259" s="1023"/>
      <c r="DC259" s="1023"/>
      <c r="DD259" s="1023"/>
      <c r="DE259" s="1023"/>
      <c r="DF259" s="1481"/>
      <c r="DG259" s="1023"/>
      <c r="DH259" s="1023"/>
      <c r="DI259" s="441"/>
      <c r="DJ259" s="1023"/>
      <c r="DK259" s="1023"/>
      <c r="DL259" s="1023"/>
      <c r="DM259" s="1023"/>
      <c r="DN259" s="1023"/>
      <c r="DO259" s="1477"/>
      <c r="DP259" s="463"/>
      <c r="DQ259" s="463"/>
      <c r="DR259" s="463"/>
      <c r="DS259" s="463"/>
    </row>
    <row r="260" spans="1:123" s="1838" customFormat="1" ht="11.25" customHeight="1">
      <c r="A260" s="858"/>
      <c r="B260" s="1481"/>
      <c r="C260" s="1481"/>
      <c r="D260" s="260"/>
      <c r="CY260" s="1023"/>
      <c r="CZ260" s="1481"/>
      <c r="DA260" s="1481"/>
      <c r="DB260" s="1023"/>
      <c r="DC260" s="1023"/>
      <c r="DD260" s="1023"/>
      <c r="DE260" s="1023"/>
      <c r="DF260" s="1481"/>
      <c r="DG260" s="1023"/>
      <c r="DH260" s="1023"/>
      <c r="DI260" s="441"/>
      <c r="DJ260" s="1023"/>
      <c r="DK260" s="1023"/>
      <c r="DL260" s="1023"/>
      <c r="DM260" s="1023"/>
      <c r="DN260" s="1023"/>
      <c r="DO260" s="1477"/>
      <c r="DP260" s="463"/>
      <c r="DQ260" s="463"/>
      <c r="DR260" s="463"/>
      <c r="DS260" s="463"/>
    </row>
    <row r="261" spans="1:123" s="1838" customFormat="1" ht="11.25" customHeight="1">
      <c r="A261" s="858"/>
      <c r="B261" s="1481"/>
      <c r="C261" s="1481"/>
      <c r="D261" s="260"/>
      <c r="CY261" s="1023"/>
      <c r="CZ261" s="1481"/>
      <c r="DA261" s="1481"/>
      <c r="DB261" s="1023"/>
      <c r="DC261" s="1023"/>
      <c r="DD261" s="1023"/>
      <c r="DE261" s="1023"/>
      <c r="DF261" s="1481"/>
      <c r="DG261" s="1023"/>
      <c r="DH261" s="1023"/>
      <c r="DI261" s="441"/>
      <c r="DJ261" s="1023"/>
      <c r="DK261" s="1023"/>
      <c r="DL261" s="1023"/>
      <c r="DM261" s="1023"/>
      <c r="DN261" s="1023"/>
      <c r="DO261" s="1477"/>
      <c r="DP261" s="463"/>
      <c r="DQ261" s="463"/>
      <c r="DR261" s="463"/>
      <c r="DS261" s="463"/>
    </row>
    <row r="262" spans="1:123" s="1838" customFormat="1" ht="11.25" customHeight="1">
      <c r="A262" s="858"/>
      <c r="B262" s="1481"/>
      <c r="C262" s="1481"/>
      <c r="D262" s="260"/>
      <c r="CY262" s="1023"/>
      <c r="CZ262" s="1481"/>
      <c r="DA262" s="1481"/>
      <c r="DB262" s="1023"/>
      <c r="DC262" s="1023"/>
      <c r="DD262" s="1023"/>
      <c r="DE262" s="1023"/>
      <c r="DF262" s="1481"/>
      <c r="DG262" s="1023"/>
      <c r="DH262" s="1023"/>
      <c r="DI262" s="441"/>
      <c r="DJ262" s="1023"/>
      <c r="DK262" s="1023"/>
      <c r="DL262" s="1023"/>
      <c r="DM262" s="1023"/>
      <c r="DN262" s="1023"/>
      <c r="DO262" s="1477"/>
      <c r="DP262" s="463"/>
      <c r="DQ262" s="463"/>
      <c r="DR262" s="463"/>
      <c r="DS262" s="463"/>
    </row>
    <row r="263" spans="1:123" s="1838" customFormat="1" ht="11.25" customHeight="1">
      <c r="A263" s="858"/>
      <c r="B263" s="1481"/>
      <c r="C263" s="1481"/>
      <c r="D263" s="260"/>
      <c r="CY263" s="1023"/>
      <c r="CZ263" s="1481"/>
      <c r="DA263" s="1481"/>
      <c r="DB263" s="1023"/>
      <c r="DC263" s="1023"/>
      <c r="DD263" s="1023"/>
      <c r="DE263" s="1023"/>
      <c r="DF263" s="1481"/>
      <c r="DG263" s="1023"/>
      <c r="DH263" s="1023"/>
      <c r="DI263" s="441"/>
      <c r="DJ263" s="1023"/>
      <c r="DK263" s="1023"/>
      <c r="DL263" s="1023"/>
      <c r="DM263" s="1023"/>
      <c r="DN263" s="1023"/>
      <c r="DO263" s="1477"/>
      <c r="DP263" s="463"/>
      <c r="DQ263" s="463"/>
      <c r="DR263" s="463"/>
      <c r="DS263" s="463"/>
    </row>
    <row r="264" spans="1:123" s="1838" customFormat="1" ht="11.25" customHeight="1">
      <c r="A264" s="858"/>
      <c r="B264" s="1481"/>
      <c r="C264" s="1481"/>
      <c r="D264" s="260"/>
      <c r="CY264" s="1023"/>
      <c r="CZ264" s="1481"/>
      <c r="DA264" s="1481"/>
      <c r="DB264" s="1023"/>
      <c r="DC264" s="1023"/>
      <c r="DD264" s="1023"/>
      <c r="DE264" s="1023"/>
      <c r="DF264" s="1481"/>
      <c r="DG264" s="1023"/>
      <c r="DH264" s="1023"/>
      <c r="DI264" s="441"/>
      <c r="DJ264" s="1023"/>
      <c r="DK264" s="1023"/>
      <c r="DL264" s="1023"/>
      <c r="DM264" s="1023"/>
      <c r="DN264" s="1023"/>
      <c r="DO264" s="1477"/>
      <c r="DP264" s="463"/>
      <c r="DQ264" s="463"/>
      <c r="DR264" s="463"/>
      <c r="DS264" s="463"/>
    </row>
    <row r="265" spans="1:123" s="1838" customFormat="1" ht="11.25" customHeight="1">
      <c r="A265" s="858"/>
      <c r="B265" s="1481"/>
      <c r="C265" s="1481"/>
      <c r="D265" s="260"/>
      <c r="CY265" s="1023"/>
      <c r="CZ265" s="1481"/>
      <c r="DA265" s="1481"/>
      <c r="DB265" s="1023"/>
      <c r="DC265" s="1023"/>
      <c r="DD265" s="1023"/>
      <c r="DE265" s="1023"/>
      <c r="DF265" s="1481"/>
      <c r="DG265" s="1023"/>
      <c r="DH265" s="1023"/>
      <c r="DI265" s="441"/>
      <c r="DJ265" s="1023"/>
      <c r="DK265" s="1023"/>
      <c r="DL265" s="1023"/>
      <c r="DM265" s="1023"/>
      <c r="DN265" s="1023"/>
      <c r="DO265" s="1477"/>
      <c r="DP265" s="463"/>
      <c r="DQ265" s="463"/>
      <c r="DR265" s="463"/>
      <c r="DS265" s="463"/>
    </row>
    <row r="266" spans="1:123" s="1838" customFormat="1" ht="11.25" customHeight="1">
      <c r="A266" s="858"/>
      <c r="B266" s="1481"/>
      <c r="C266" s="1481"/>
      <c r="D266" s="260"/>
      <c r="CY266" s="1023"/>
      <c r="CZ266" s="1481"/>
      <c r="DA266" s="1481"/>
      <c r="DB266" s="1023"/>
      <c r="DC266" s="1023"/>
      <c r="DD266" s="1023"/>
      <c r="DE266" s="1023"/>
      <c r="DF266" s="1481"/>
      <c r="DG266" s="1023"/>
      <c r="DH266" s="1023"/>
      <c r="DI266" s="441"/>
      <c r="DJ266" s="1023"/>
      <c r="DK266" s="1023"/>
      <c r="DL266" s="1023"/>
      <c r="DM266" s="1023"/>
      <c r="DN266" s="1023"/>
      <c r="DO266" s="1477"/>
      <c r="DP266" s="463"/>
      <c r="DQ266" s="463"/>
      <c r="DR266" s="463"/>
      <c r="DS266" s="463"/>
    </row>
    <row r="267" spans="1:123" s="1838" customFormat="1" ht="11.25" customHeight="1">
      <c r="A267" s="858"/>
      <c r="B267" s="1481"/>
      <c r="C267" s="1481"/>
      <c r="D267" s="260"/>
      <c r="CY267" s="1023"/>
      <c r="CZ267" s="1481"/>
      <c r="DA267" s="1481"/>
      <c r="DB267" s="1023"/>
      <c r="DC267" s="1023"/>
      <c r="DD267" s="1023"/>
      <c r="DE267" s="1023"/>
      <c r="DF267" s="1481"/>
      <c r="DG267" s="1023"/>
      <c r="DH267" s="1023"/>
      <c r="DI267" s="441"/>
      <c r="DJ267" s="1023"/>
      <c r="DK267" s="1023"/>
      <c r="DL267" s="1023"/>
      <c r="DM267" s="1023"/>
      <c r="DN267" s="1023"/>
      <c r="DO267" s="1477"/>
      <c r="DP267" s="463"/>
      <c r="DQ267" s="463"/>
      <c r="DR267" s="463"/>
      <c r="DS267" s="463"/>
    </row>
    <row r="268" spans="1:123" s="1838" customFormat="1" ht="11.25" customHeight="1">
      <c r="A268" s="858"/>
      <c r="B268" s="1481"/>
      <c r="C268" s="1481"/>
      <c r="D268" s="260"/>
      <c r="CY268" s="1023"/>
      <c r="CZ268" s="1481"/>
      <c r="DA268" s="1481"/>
      <c r="DB268" s="1023"/>
      <c r="DC268" s="1023"/>
      <c r="DD268" s="1023"/>
      <c r="DE268" s="1023"/>
      <c r="DF268" s="1481"/>
      <c r="DG268" s="1023"/>
      <c r="DH268" s="1023"/>
      <c r="DI268" s="441"/>
      <c r="DJ268" s="1023"/>
      <c r="DK268" s="1023"/>
      <c r="DL268" s="1023"/>
      <c r="DM268" s="1023"/>
      <c r="DN268" s="1023"/>
      <c r="DO268" s="1477"/>
      <c r="DP268" s="463"/>
      <c r="DQ268" s="463"/>
      <c r="DR268" s="463"/>
      <c r="DS268" s="463"/>
    </row>
    <row r="269" spans="1:123" s="1838" customFormat="1" ht="11.25" customHeight="1">
      <c r="A269" s="858"/>
      <c r="B269" s="1481"/>
      <c r="C269" s="1481"/>
      <c r="D269" s="260"/>
      <c r="CY269" s="1023"/>
      <c r="CZ269" s="1481"/>
      <c r="DA269" s="1481"/>
      <c r="DB269" s="1023"/>
      <c r="DC269" s="1023"/>
      <c r="DD269" s="1023"/>
      <c r="DE269" s="1023"/>
      <c r="DF269" s="1481"/>
      <c r="DG269" s="1023"/>
      <c r="DH269" s="1023"/>
      <c r="DI269" s="441"/>
      <c r="DJ269" s="1023"/>
      <c r="DK269" s="1023"/>
      <c r="DL269" s="1023"/>
      <c r="DM269" s="1023"/>
      <c r="DN269" s="1023"/>
      <c r="DO269" s="1477"/>
      <c r="DP269" s="463"/>
      <c r="DQ269" s="463"/>
      <c r="DR269" s="463"/>
      <c r="DS269" s="463"/>
    </row>
    <row r="270" spans="1:123" s="1838" customFormat="1" ht="11.25" customHeight="1">
      <c r="A270" s="858"/>
      <c r="B270" s="1481"/>
      <c r="C270" s="1481"/>
      <c r="D270" s="260"/>
      <c r="CY270" s="1023"/>
      <c r="CZ270" s="1481"/>
      <c r="DA270" s="1481"/>
      <c r="DB270" s="1023"/>
      <c r="DC270" s="1023"/>
      <c r="DD270" s="1023"/>
      <c r="DE270" s="1023"/>
      <c r="DF270" s="1481"/>
      <c r="DG270" s="1023"/>
      <c r="DH270" s="1023"/>
      <c r="DI270" s="441"/>
      <c r="DJ270" s="1023"/>
      <c r="DK270" s="1023"/>
      <c r="DL270" s="1023"/>
      <c r="DM270" s="1023"/>
      <c r="DN270" s="1023"/>
      <c r="DO270" s="1477"/>
      <c r="DP270" s="463"/>
      <c r="DQ270" s="463"/>
      <c r="DR270" s="463"/>
      <c r="DS270" s="463"/>
    </row>
    <row r="271" spans="1:123" s="1838" customFormat="1" ht="11.25" customHeight="1">
      <c r="A271" s="858"/>
      <c r="B271" s="1481"/>
      <c r="C271" s="1481"/>
      <c r="D271" s="260"/>
      <c r="CY271" s="1023"/>
      <c r="CZ271" s="1481"/>
      <c r="DA271" s="1481"/>
      <c r="DB271" s="1023"/>
      <c r="DC271" s="1023"/>
      <c r="DD271" s="1023"/>
      <c r="DE271" s="1023"/>
      <c r="DF271" s="1481"/>
      <c r="DG271" s="1023"/>
      <c r="DH271" s="1023"/>
      <c r="DI271" s="441"/>
      <c r="DJ271" s="1023"/>
      <c r="DK271" s="1023"/>
      <c r="DL271" s="1023"/>
      <c r="DM271" s="1023"/>
      <c r="DN271" s="1023"/>
      <c r="DO271" s="1477"/>
      <c r="DP271" s="463"/>
      <c r="DQ271" s="463"/>
      <c r="DR271" s="463"/>
      <c r="DS271" s="463"/>
    </row>
    <row r="272" spans="1:123" s="1838" customFormat="1" ht="11.25" customHeight="1">
      <c r="A272" s="858"/>
      <c r="B272" s="1481"/>
      <c r="C272" s="1481"/>
      <c r="D272" s="260"/>
      <c r="CY272" s="1023"/>
      <c r="CZ272" s="1481"/>
      <c r="DA272" s="1481"/>
      <c r="DB272" s="1023"/>
      <c r="DC272" s="1023"/>
      <c r="DD272" s="1023"/>
      <c r="DE272" s="1023"/>
      <c r="DF272" s="1481"/>
      <c r="DG272" s="1023"/>
      <c r="DH272" s="1023"/>
      <c r="DI272" s="441"/>
      <c r="DJ272" s="1023"/>
      <c r="DK272" s="1023"/>
      <c r="DL272" s="1023"/>
      <c r="DM272" s="1023"/>
      <c r="DN272" s="1023"/>
      <c r="DO272" s="1477"/>
      <c r="DP272" s="463"/>
      <c r="DQ272" s="463"/>
      <c r="DR272" s="463"/>
      <c r="DS272" s="463"/>
    </row>
    <row r="273" spans="1:123" s="1838" customFormat="1" ht="11.25" customHeight="1">
      <c r="A273" s="858"/>
      <c r="B273" s="1481"/>
      <c r="C273" s="1481"/>
      <c r="D273" s="260"/>
      <c r="CY273" s="1023"/>
      <c r="CZ273" s="1481"/>
      <c r="DA273" s="1481"/>
      <c r="DB273" s="1023"/>
      <c r="DC273" s="1023"/>
      <c r="DD273" s="1023"/>
      <c r="DE273" s="1023"/>
      <c r="DF273" s="1481"/>
      <c r="DG273" s="1023"/>
      <c r="DH273" s="1023"/>
      <c r="DI273" s="441"/>
      <c r="DJ273" s="1023"/>
      <c r="DK273" s="1023"/>
      <c r="DL273" s="1023"/>
      <c r="DM273" s="1023"/>
      <c r="DN273" s="1023"/>
      <c r="DO273" s="1477"/>
      <c r="DP273" s="463"/>
      <c r="DQ273" s="463"/>
      <c r="DR273" s="463"/>
      <c r="DS273" s="463"/>
    </row>
    <row r="274" spans="1:123" s="1838" customFormat="1" ht="11.25" customHeight="1">
      <c r="A274" s="858"/>
      <c r="B274" s="1481"/>
      <c r="C274" s="1481"/>
      <c r="D274" s="260"/>
      <c r="CY274" s="1023"/>
      <c r="CZ274" s="1481"/>
      <c r="DA274" s="1481"/>
      <c r="DB274" s="1023"/>
      <c r="DC274" s="1023"/>
      <c r="DD274" s="1023"/>
      <c r="DE274" s="1023"/>
      <c r="DF274" s="1481"/>
      <c r="DG274" s="1023"/>
      <c r="DH274" s="1023"/>
      <c r="DI274" s="441"/>
      <c r="DJ274" s="1023"/>
      <c r="DK274" s="1023"/>
      <c r="DL274" s="1023"/>
      <c r="DM274" s="1023"/>
      <c r="DN274" s="1023"/>
      <c r="DO274" s="1477"/>
      <c r="DP274" s="463"/>
      <c r="DQ274" s="463"/>
      <c r="DR274" s="463"/>
      <c r="DS274" s="463"/>
    </row>
    <row r="275" spans="1:123" s="1838" customFormat="1" ht="11.25" customHeight="1">
      <c r="A275" s="858"/>
      <c r="B275" s="1481"/>
      <c r="C275" s="1481"/>
      <c r="D275" s="260"/>
      <c r="CY275" s="1023"/>
      <c r="CZ275" s="1481"/>
      <c r="DA275" s="1481"/>
      <c r="DB275" s="1023"/>
      <c r="DC275" s="1023"/>
      <c r="DD275" s="1023"/>
      <c r="DE275" s="1023"/>
      <c r="DF275" s="1481"/>
      <c r="DG275" s="1023"/>
      <c r="DH275" s="1023"/>
      <c r="DI275" s="441"/>
      <c r="DJ275" s="1023"/>
      <c r="DK275" s="1023"/>
      <c r="DL275" s="1023"/>
      <c r="DM275" s="1023"/>
      <c r="DN275" s="1023"/>
      <c r="DO275" s="1477"/>
      <c r="DP275" s="463"/>
      <c r="DQ275" s="463"/>
      <c r="DR275" s="463"/>
      <c r="DS275" s="463"/>
    </row>
    <row r="276" spans="1:123" s="1838" customFormat="1" ht="11.25" customHeight="1">
      <c r="A276" s="858"/>
      <c r="B276" s="1481"/>
      <c r="C276" s="1481"/>
      <c r="D276" s="260"/>
      <c r="CY276" s="1023"/>
      <c r="CZ276" s="1481"/>
      <c r="DA276" s="1481"/>
      <c r="DB276" s="1023"/>
      <c r="DC276" s="1023"/>
      <c r="DD276" s="1023"/>
      <c r="DE276" s="1023"/>
      <c r="DF276" s="1481"/>
      <c r="DG276" s="1023"/>
      <c r="DH276" s="1023"/>
      <c r="DI276" s="441"/>
      <c r="DJ276" s="1023"/>
      <c r="DK276" s="1023"/>
      <c r="DL276" s="1023"/>
      <c r="DM276" s="1023"/>
      <c r="DN276" s="1023"/>
      <c r="DO276" s="1477"/>
      <c r="DP276" s="463"/>
      <c r="DQ276" s="463"/>
      <c r="DR276" s="463"/>
      <c r="DS276" s="463"/>
    </row>
    <row r="277" spans="1:123" s="1838" customFormat="1" ht="11.25" customHeight="1">
      <c r="A277" s="858"/>
      <c r="B277" s="1481"/>
      <c r="C277" s="1481"/>
      <c r="D277" s="260"/>
      <c r="CY277" s="1023"/>
      <c r="CZ277" s="1481"/>
      <c r="DA277" s="1481"/>
      <c r="DB277" s="1023"/>
      <c r="DC277" s="1023"/>
      <c r="DD277" s="1023"/>
      <c r="DE277" s="1023"/>
      <c r="DF277" s="1481"/>
      <c r="DG277" s="1023"/>
      <c r="DH277" s="1023"/>
      <c r="DI277" s="441"/>
      <c r="DJ277" s="1023"/>
      <c r="DK277" s="1023"/>
      <c r="DL277" s="1023"/>
      <c r="DM277" s="1023"/>
      <c r="DN277" s="1023"/>
      <c r="DO277" s="1477"/>
      <c r="DP277" s="463"/>
      <c r="DQ277" s="463"/>
      <c r="DR277" s="463"/>
      <c r="DS277" s="463"/>
    </row>
    <row r="278" spans="1:123" s="1838" customFormat="1" ht="11.25" customHeight="1">
      <c r="A278" s="858"/>
      <c r="B278" s="1481"/>
      <c r="C278" s="1481"/>
      <c r="D278" s="260"/>
      <c r="CY278" s="1023"/>
      <c r="CZ278" s="1481"/>
      <c r="DA278" s="1481"/>
      <c r="DB278" s="1023"/>
      <c r="DC278" s="1023"/>
      <c r="DD278" s="1023"/>
      <c r="DE278" s="1023"/>
      <c r="DF278" s="1481"/>
      <c r="DG278" s="1023"/>
      <c r="DH278" s="1023"/>
      <c r="DI278" s="441"/>
      <c r="DJ278" s="1023"/>
      <c r="DK278" s="1023"/>
      <c r="DL278" s="1023"/>
      <c r="DM278" s="1023"/>
      <c r="DN278" s="1023"/>
      <c r="DO278" s="1477"/>
      <c r="DP278" s="463"/>
      <c r="DQ278" s="463"/>
      <c r="DR278" s="463"/>
      <c r="DS278" s="463"/>
    </row>
    <row r="279" spans="1:123" s="1838" customFormat="1" ht="11.25" customHeight="1">
      <c r="A279" s="858"/>
      <c r="B279" s="1481"/>
      <c r="C279" s="1481"/>
      <c r="D279" s="260"/>
      <c r="CY279" s="1023"/>
      <c r="CZ279" s="1481"/>
      <c r="DA279" s="1481"/>
      <c r="DB279" s="1023"/>
      <c r="DC279" s="1023"/>
      <c r="DD279" s="1023"/>
      <c r="DE279" s="1023"/>
      <c r="DF279" s="1481"/>
      <c r="DG279" s="1023"/>
      <c r="DH279" s="1023"/>
      <c r="DI279" s="441"/>
      <c r="DJ279" s="1023"/>
      <c r="DK279" s="1023"/>
      <c r="DL279" s="1023"/>
      <c r="DM279" s="1023"/>
      <c r="DN279" s="1023"/>
      <c r="DO279" s="1477"/>
      <c r="DP279" s="463"/>
      <c r="DQ279" s="463"/>
      <c r="DR279" s="463"/>
      <c r="DS279" s="463"/>
    </row>
    <row r="280" spans="1:123" s="1838" customFormat="1" ht="11.25" customHeight="1">
      <c r="A280" s="858"/>
      <c r="B280" s="1481"/>
      <c r="C280" s="1481"/>
      <c r="D280" s="260"/>
      <c r="CY280" s="1023"/>
      <c r="CZ280" s="1481"/>
      <c r="DA280" s="1481"/>
      <c r="DB280" s="1023"/>
      <c r="DC280" s="1023"/>
      <c r="DD280" s="1023"/>
      <c r="DE280" s="1023"/>
      <c r="DF280" s="1481"/>
      <c r="DG280" s="1023"/>
      <c r="DH280" s="1023"/>
      <c r="DI280" s="441"/>
      <c r="DJ280" s="1023"/>
      <c r="DK280" s="1023"/>
      <c r="DL280" s="1023"/>
      <c r="DM280" s="1023"/>
      <c r="DN280" s="1023"/>
      <c r="DO280" s="1477"/>
      <c r="DP280" s="463"/>
      <c r="DQ280" s="463"/>
      <c r="DR280" s="463"/>
      <c r="DS280" s="463"/>
    </row>
    <row r="281" spans="1:123" s="1838" customFormat="1" ht="11.25" customHeight="1">
      <c r="A281" s="858"/>
      <c r="B281" s="1481"/>
      <c r="C281" s="1481"/>
      <c r="D281" s="260"/>
      <c r="CY281" s="1023"/>
      <c r="CZ281" s="1481"/>
      <c r="DA281" s="1481"/>
      <c r="DB281" s="1023"/>
      <c r="DC281" s="1023"/>
      <c r="DD281" s="1023"/>
      <c r="DE281" s="1023"/>
      <c r="DF281" s="1481"/>
      <c r="DG281" s="1023"/>
      <c r="DH281" s="1023"/>
      <c r="DI281" s="441"/>
      <c r="DJ281" s="1023"/>
      <c r="DK281" s="1023"/>
      <c r="DL281" s="1023"/>
      <c r="DM281" s="1023"/>
      <c r="DN281" s="1023"/>
      <c r="DO281" s="1477"/>
      <c r="DP281" s="463"/>
      <c r="DQ281" s="463"/>
      <c r="DR281" s="463"/>
      <c r="DS281" s="463"/>
    </row>
    <row r="282" spans="1:123" s="1838" customFormat="1" ht="11.25" customHeight="1">
      <c r="A282" s="858"/>
      <c r="B282" s="1481"/>
      <c r="C282" s="1481"/>
      <c r="D282" s="260"/>
      <c r="CY282" s="1023"/>
      <c r="CZ282" s="1481"/>
      <c r="DA282" s="1481"/>
      <c r="DB282" s="1023"/>
      <c r="DC282" s="1023"/>
      <c r="DD282" s="1023"/>
      <c r="DE282" s="1023"/>
      <c r="DF282" s="1481"/>
      <c r="DG282" s="1023"/>
      <c r="DH282" s="1023"/>
      <c r="DI282" s="441"/>
      <c r="DJ282" s="1023"/>
      <c r="DK282" s="1023"/>
      <c r="DL282" s="1023"/>
      <c r="DM282" s="1023"/>
      <c r="DN282" s="1023"/>
      <c r="DO282" s="1477"/>
      <c r="DP282" s="463"/>
      <c r="DQ282" s="463"/>
      <c r="DR282" s="463"/>
      <c r="DS282" s="463"/>
    </row>
    <row r="283" spans="1:123" s="1838" customFormat="1" ht="11.25" customHeight="1">
      <c r="A283" s="858"/>
      <c r="B283" s="1481"/>
      <c r="C283" s="1481"/>
      <c r="D283" s="260"/>
      <c r="CY283" s="1023"/>
      <c r="CZ283" s="1481"/>
      <c r="DA283" s="1481"/>
      <c r="DB283" s="1023"/>
      <c r="DC283" s="1023"/>
      <c r="DD283" s="1023"/>
      <c r="DE283" s="1023"/>
      <c r="DF283" s="1481"/>
      <c r="DG283" s="1023"/>
      <c r="DH283" s="1023"/>
      <c r="DI283" s="441"/>
      <c r="DJ283" s="1023"/>
      <c r="DK283" s="1023"/>
      <c r="DL283" s="1023"/>
      <c r="DM283" s="1023"/>
      <c r="DN283" s="1023"/>
      <c r="DO283" s="1477"/>
      <c r="DP283" s="463"/>
      <c r="DQ283" s="463"/>
      <c r="DR283" s="463"/>
      <c r="DS283" s="463"/>
    </row>
    <row r="284" spans="1:123" s="1838" customFormat="1" ht="11.25" customHeight="1">
      <c r="A284" s="858"/>
      <c r="B284" s="1481"/>
      <c r="C284" s="1481"/>
      <c r="D284" s="260"/>
      <c r="CY284" s="1023"/>
      <c r="CZ284" s="1481"/>
      <c r="DA284" s="1481"/>
      <c r="DB284" s="1023"/>
      <c r="DC284" s="1023"/>
      <c r="DD284" s="1023"/>
      <c r="DE284" s="1023"/>
      <c r="DF284" s="1481"/>
      <c r="DG284" s="1023"/>
      <c r="DH284" s="1023"/>
      <c r="DI284" s="441"/>
      <c r="DJ284" s="1023"/>
      <c r="DK284" s="1023"/>
      <c r="DL284" s="1023"/>
      <c r="DM284" s="1023"/>
      <c r="DN284" s="1023"/>
      <c r="DO284" s="1477"/>
      <c r="DP284" s="463"/>
      <c r="DQ284" s="463"/>
      <c r="DR284" s="463"/>
      <c r="DS284" s="463"/>
    </row>
    <row r="285" spans="1:123" s="1838" customFormat="1" ht="11.25" customHeight="1">
      <c r="A285" s="858"/>
      <c r="B285" s="1481"/>
      <c r="C285" s="1481"/>
      <c r="D285" s="260"/>
      <c r="CY285" s="1023"/>
      <c r="CZ285" s="1481"/>
      <c r="DA285" s="1481"/>
      <c r="DB285" s="1023"/>
      <c r="DC285" s="1023"/>
      <c r="DD285" s="1023"/>
      <c r="DE285" s="1023"/>
      <c r="DF285" s="1481"/>
      <c r="DG285" s="1023"/>
      <c r="DH285" s="1023"/>
      <c r="DI285" s="441"/>
      <c r="DJ285" s="1023"/>
      <c r="DK285" s="1023"/>
      <c r="DL285" s="1023"/>
      <c r="DM285" s="1023"/>
      <c r="DN285" s="1023"/>
      <c r="DO285" s="1477"/>
      <c r="DP285" s="463"/>
      <c r="DQ285" s="463"/>
      <c r="DR285" s="463"/>
      <c r="DS285" s="463"/>
    </row>
    <row r="286" spans="1:123" s="1838" customFormat="1" ht="11.25" customHeight="1">
      <c r="A286" s="858"/>
      <c r="B286" s="1481"/>
      <c r="C286" s="1481"/>
      <c r="D286" s="260"/>
      <c r="CY286" s="1023"/>
      <c r="CZ286" s="1481"/>
      <c r="DA286" s="1481"/>
      <c r="DB286" s="1023"/>
      <c r="DC286" s="1023"/>
      <c r="DD286" s="1023"/>
      <c r="DE286" s="1023"/>
      <c r="DF286" s="1481"/>
      <c r="DG286" s="1023"/>
      <c r="DH286" s="1023"/>
      <c r="DI286" s="441"/>
      <c r="DJ286" s="1023"/>
      <c r="DK286" s="1023"/>
      <c r="DL286" s="1023"/>
      <c r="DM286" s="1023"/>
      <c r="DN286" s="1023"/>
      <c r="DO286" s="1477"/>
      <c r="DP286" s="463"/>
      <c r="DQ286" s="463"/>
      <c r="DR286" s="463"/>
      <c r="DS286" s="463"/>
    </row>
    <row r="287" spans="1:123" s="1838" customFormat="1" ht="11.25" customHeight="1">
      <c r="A287" s="858"/>
      <c r="B287" s="1481"/>
      <c r="C287" s="1481"/>
      <c r="D287" s="260"/>
      <c r="CY287" s="1023"/>
      <c r="CZ287" s="1481"/>
      <c r="DA287" s="1481"/>
      <c r="DB287" s="1023"/>
      <c r="DC287" s="1023"/>
      <c r="DD287" s="1023"/>
      <c r="DE287" s="1023"/>
      <c r="DF287" s="1481"/>
      <c r="DG287" s="1023"/>
      <c r="DH287" s="1023"/>
      <c r="DI287" s="441"/>
      <c r="DJ287" s="1023"/>
      <c r="DK287" s="1023"/>
      <c r="DL287" s="1023"/>
      <c r="DM287" s="1023"/>
      <c r="DN287" s="1023"/>
      <c r="DO287" s="1477"/>
      <c r="DP287" s="463"/>
      <c r="DQ287" s="463"/>
      <c r="DR287" s="463"/>
      <c r="DS287" s="463"/>
    </row>
    <row r="288" spans="1:123" s="1838" customFormat="1" ht="11.25" customHeight="1">
      <c r="A288" s="858"/>
      <c r="B288" s="1481"/>
      <c r="C288" s="1481"/>
      <c r="D288" s="260"/>
      <c r="CY288" s="1023"/>
      <c r="CZ288" s="1481"/>
      <c r="DA288" s="1481"/>
      <c r="DB288" s="1023"/>
      <c r="DC288" s="1023"/>
      <c r="DD288" s="1023"/>
      <c r="DE288" s="1023"/>
      <c r="DF288" s="1481"/>
      <c r="DG288" s="1023"/>
      <c r="DH288" s="1023"/>
      <c r="DI288" s="441"/>
      <c r="DJ288" s="1023"/>
      <c r="DK288" s="1023"/>
      <c r="DL288" s="1023"/>
      <c r="DM288" s="1023"/>
      <c r="DN288" s="1023"/>
      <c r="DO288" s="1477"/>
      <c r="DP288" s="463"/>
      <c r="DQ288" s="463"/>
      <c r="DR288" s="463"/>
      <c r="DS288" s="463"/>
    </row>
    <row r="292" spans="1:123" ht="11.25" customHeight="1">
      <c r="A292" s="861"/>
      <c r="B292" s="1476"/>
      <c r="D292" s="1476"/>
      <c r="CY292" s="1476"/>
      <c r="DB292" s="1476"/>
      <c r="DC292" s="1476"/>
      <c r="DD292" s="1476"/>
      <c r="DE292" s="1476"/>
      <c r="DG292" s="1476"/>
      <c r="DH292" s="1476"/>
      <c r="DI292" s="1476"/>
      <c r="DJ292" s="1476"/>
      <c r="DK292" s="1476"/>
      <c r="DL292" s="1476"/>
      <c r="DM292" s="1476"/>
      <c r="DN292" s="1476"/>
      <c r="DO292" s="1476"/>
      <c r="DP292" s="1476"/>
      <c r="DQ292" s="1476"/>
      <c r="DR292" s="1476"/>
      <c r="DS292" s="1476"/>
    </row>
    <row r="293" spans="1:123" ht="11.25" customHeight="1">
      <c r="A293" s="861"/>
      <c r="B293" s="1476"/>
      <c r="D293" s="1476"/>
      <c r="CY293" s="1476"/>
      <c r="DB293" s="1476"/>
      <c r="DC293" s="1476"/>
      <c r="DD293" s="1476"/>
      <c r="DE293" s="1476"/>
      <c r="DG293" s="1476"/>
      <c r="DH293" s="1476"/>
      <c r="DI293" s="1476"/>
      <c r="DJ293" s="1476"/>
      <c r="DK293" s="1476"/>
      <c r="DL293" s="1476"/>
      <c r="DM293" s="1476"/>
      <c r="DN293" s="1476"/>
      <c r="DO293" s="1476"/>
      <c r="DP293" s="1476"/>
      <c r="DQ293" s="1476"/>
      <c r="DR293" s="1476"/>
      <c r="DS293" s="1476"/>
    </row>
    <row r="294" spans="1:123" ht="11.25" customHeight="1">
      <c r="A294" s="861"/>
      <c r="B294" s="1476"/>
      <c r="D294" s="1476"/>
      <c r="CY294" s="1476"/>
      <c r="DB294" s="1476"/>
      <c r="DC294" s="1476"/>
      <c r="DD294" s="1476"/>
      <c r="DE294" s="1476"/>
      <c r="DG294" s="1476"/>
      <c r="DH294" s="1476"/>
      <c r="DI294" s="1476"/>
      <c r="DJ294" s="1476"/>
      <c r="DK294" s="1476"/>
      <c r="DL294" s="1476"/>
      <c r="DM294" s="1476"/>
      <c r="DN294" s="1476"/>
      <c r="DO294" s="1476"/>
      <c r="DP294" s="1476"/>
      <c r="DQ294" s="1476"/>
      <c r="DR294" s="1476"/>
      <c r="DS294" s="1476"/>
    </row>
    <row r="295" spans="1:123" ht="11.25" customHeight="1">
      <c r="A295" s="861"/>
      <c r="B295" s="1476"/>
      <c r="D295" s="1476"/>
      <c r="CY295" s="1476"/>
      <c r="DB295" s="1476"/>
      <c r="DC295" s="1476"/>
      <c r="DD295" s="1476"/>
      <c r="DE295" s="1476"/>
      <c r="DG295" s="1476"/>
      <c r="DH295" s="1476"/>
      <c r="DI295" s="1476"/>
      <c r="DJ295" s="1476"/>
      <c r="DK295" s="1476"/>
      <c r="DL295" s="1476"/>
      <c r="DM295" s="1476"/>
      <c r="DN295" s="1476"/>
      <c r="DO295" s="1476"/>
      <c r="DP295" s="1476"/>
      <c r="DQ295" s="1476"/>
      <c r="DR295" s="1476"/>
      <c r="DS295" s="1476"/>
    </row>
    <row r="296" spans="1:123" ht="11.25" customHeight="1">
      <c r="A296" s="861"/>
      <c r="B296" s="1476"/>
      <c r="D296" s="1476"/>
      <c r="CY296" s="1476"/>
      <c r="DB296" s="1476"/>
      <c r="DC296" s="1476"/>
      <c r="DD296" s="1476"/>
      <c r="DE296" s="1476"/>
      <c r="DG296" s="1476"/>
      <c r="DH296" s="1476"/>
      <c r="DI296" s="1476"/>
      <c r="DJ296" s="1476"/>
      <c r="DK296" s="1476"/>
      <c r="DL296" s="1476"/>
      <c r="DM296" s="1476"/>
      <c r="DN296" s="1476"/>
      <c r="DO296" s="1476"/>
      <c r="DP296" s="1476"/>
      <c r="DQ296" s="1476"/>
      <c r="DR296" s="1476"/>
      <c r="DS296" s="1476"/>
    </row>
    <row r="297" spans="1:123" ht="11.25" customHeight="1">
      <c r="A297" s="861"/>
      <c r="B297" s="1476"/>
      <c r="D297" s="1476"/>
      <c r="CY297" s="1476"/>
      <c r="DB297" s="1476"/>
      <c r="DC297" s="1476"/>
      <c r="DD297" s="1476"/>
      <c r="DE297" s="1476"/>
      <c r="DG297" s="1476"/>
      <c r="DH297" s="1476"/>
      <c r="DI297" s="1476"/>
      <c r="DJ297" s="1476"/>
      <c r="DK297" s="1476"/>
      <c r="DL297" s="1476"/>
      <c r="DM297" s="1476"/>
      <c r="DN297" s="1476"/>
      <c r="DO297" s="1476"/>
      <c r="DP297" s="1476"/>
      <c r="DQ297" s="1476"/>
      <c r="DR297" s="1476"/>
      <c r="DS297" s="1476"/>
    </row>
    <row r="298" spans="1:123" ht="11.25" customHeight="1">
      <c r="A298" s="861"/>
      <c r="B298" s="1476"/>
      <c r="D298" s="1476"/>
      <c r="CY298" s="1476"/>
      <c r="DB298" s="1476"/>
      <c r="DC298" s="1476"/>
      <c r="DD298" s="1476"/>
      <c r="DE298" s="1476"/>
      <c r="DG298" s="1476"/>
      <c r="DH298" s="1476"/>
      <c r="DI298" s="1476"/>
      <c r="DJ298" s="1476"/>
      <c r="DK298" s="1476"/>
      <c r="DL298" s="1476"/>
      <c r="DM298" s="1476"/>
      <c r="DN298" s="1476"/>
      <c r="DO298" s="1476"/>
      <c r="DP298" s="1476"/>
      <c r="DQ298" s="1476"/>
      <c r="DR298" s="1476"/>
      <c r="DS298" s="1476"/>
    </row>
    <row r="299" spans="1:123" ht="11.25" customHeight="1">
      <c r="A299" s="861"/>
      <c r="B299" s="1476"/>
      <c r="D299" s="1476"/>
      <c r="CY299" s="1476"/>
      <c r="DB299" s="1476"/>
      <c r="DC299" s="1476"/>
      <c r="DD299" s="1476"/>
      <c r="DE299" s="1476"/>
      <c r="DG299" s="1476"/>
      <c r="DH299" s="1476"/>
      <c r="DI299" s="1476"/>
      <c r="DJ299" s="1476"/>
      <c r="DK299" s="1476"/>
      <c r="DL299" s="1476"/>
      <c r="DM299" s="1476"/>
      <c r="DN299" s="1476"/>
      <c r="DO299" s="1476"/>
      <c r="DP299" s="1476"/>
      <c r="DQ299" s="1476"/>
      <c r="DR299" s="1476"/>
      <c r="DS299" s="1476"/>
    </row>
    <row r="300" spans="1:123" ht="11.25" customHeight="1">
      <c r="A300" s="861"/>
      <c r="B300" s="1476"/>
      <c r="D300" s="1476"/>
      <c r="CY300" s="1476"/>
      <c r="DB300" s="1476"/>
      <c r="DC300" s="1476"/>
      <c r="DD300" s="1476"/>
      <c r="DE300" s="1476"/>
      <c r="DG300" s="1476"/>
      <c r="DH300" s="1476"/>
      <c r="DI300" s="1476"/>
      <c r="DJ300" s="1476"/>
      <c r="DK300" s="1476"/>
      <c r="DL300" s="1476"/>
      <c r="DM300" s="1476"/>
      <c r="DN300" s="1476"/>
      <c r="DO300" s="1476"/>
      <c r="DP300" s="1476"/>
      <c r="DQ300" s="1476"/>
      <c r="DR300" s="1476"/>
      <c r="DS300" s="1476"/>
    </row>
    <row r="301" spans="1:123" ht="11.25" customHeight="1">
      <c r="A301" s="861"/>
      <c r="B301" s="1476"/>
      <c r="D301" s="1476"/>
      <c r="CY301" s="1476"/>
      <c r="DB301" s="1476"/>
      <c r="DC301" s="1476"/>
      <c r="DD301" s="1476"/>
      <c r="DE301" s="1476"/>
      <c r="DG301" s="1476"/>
      <c r="DH301" s="1476"/>
      <c r="DI301" s="1476"/>
      <c r="DJ301" s="1476"/>
      <c r="DK301" s="1476"/>
      <c r="DL301" s="1476"/>
      <c r="DM301" s="1476"/>
      <c r="DN301" s="1476"/>
      <c r="DO301" s="1476"/>
      <c r="DP301" s="1476"/>
      <c r="DQ301" s="1476"/>
      <c r="DR301" s="1476"/>
      <c r="DS301" s="1476"/>
    </row>
    <row r="302" spans="1:123" ht="11.25" customHeight="1">
      <c r="A302" s="861"/>
      <c r="B302" s="1476"/>
      <c r="D302" s="1476"/>
      <c r="CY302" s="1476"/>
      <c r="DB302" s="1476"/>
      <c r="DC302" s="1476"/>
      <c r="DD302" s="1476"/>
      <c r="DE302" s="1476"/>
      <c r="DG302" s="1476"/>
      <c r="DH302" s="1476"/>
      <c r="DI302" s="1476"/>
      <c r="DJ302" s="1476"/>
      <c r="DK302" s="1476"/>
      <c r="DL302" s="1476"/>
      <c r="DM302" s="1476"/>
      <c r="DN302" s="1476"/>
      <c r="DO302" s="1476"/>
      <c r="DP302" s="1476"/>
      <c r="DQ302" s="1476"/>
      <c r="DR302" s="1476"/>
      <c r="DS302" s="1476"/>
    </row>
  </sheetData>
  <sheetProtection formatColumns="0" formatRows="0" insertRows="0" deleteColumns="0" deleteRows="0" sort="0" autoFilter="0"/>
  <mergeCells count="18">
    <mergeCell ref="B2:B7"/>
    <mergeCell ref="CX25:CX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CW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CW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CW34 H39:CW39" xr:uid="{00000000-0002-0000-2000-000002000000}">
      <formula1>900</formula1>
    </dataValidation>
    <dataValidation type="decimal" allowBlank="1" showErrorMessage="1" errorTitle="Ошибка" error="Допускается ввод только неотрицательных чисел!" sqref="H67:CW67 H69:CW69 H91:CW94 H127:CW127 H30:CW30 H32:CW33 H35:CW38 H40:CW65 H82:CW86 H17:CW17 H9:CW13 H15:CW15 H96:CW119 H74:CW74 H88:CW89 H4:CW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CW81 H128:CW130" xr:uid="{00000000-0002-0000-2000-000007000000}">
      <formula1>900</formula1>
    </dataValidation>
    <dataValidation type="decimal" allowBlank="1" showErrorMessage="1" errorTitle="Ошибка" error="Допускается ввод только действительных чисел!" sqref="H72:CW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CW123 H120:CW120 H126:CW126 H75:CW80" xr:uid="{00000000-0002-0000-2000-000009000000}">
      <formula1>-9.99999999999999E+37</formula1>
      <formula2>9.99999999999999E+37</formula2>
    </dataValidation>
    <dataValidation type="decimal" allowBlank="1" showErrorMessage="1" errorTitle="Ошибка" error="Введите значение от 0 до 100%" sqref="H90:CW90 H95:CW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CW68 H66:CW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F195A-CF96-3B63-24AB-E899284A17CF}">
  <sheetPr>
    <tabColor theme="9" tint="-0.249977111117893"/>
  </sheetPr>
  <dimension ref="A1:CE856"/>
  <sheetViews>
    <sheetView showGridLines="0" topLeftCell="C4" zoomScale="90" workbookViewId="0">
      <selection activeCell="A842" sqref="A842:XFD850"/>
    </sheetView>
  </sheetViews>
  <sheetFormatPr defaultColWidth="9.140625" defaultRowHeight="11.25" customHeight="1"/>
  <cols>
    <col min="1" max="1" width="14.7109375" style="1895" hidden="1" customWidth="1"/>
    <col min="2" max="2" width="17" style="1926" hidden="1" customWidth="1"/>
    <col min="3" max="3" width="3.7109375" style="1910" customWidth="1"/>
    <col min="4" max="4" width="1.85546875" style="1910" hidden="1" customWidth="1"/>
    <col min="5" max="6" width="7.7109375" style="1910" customWidth="1"/>
    <col min="7" max="7" width="29.7109375" style="1910" customWidth="1"/>
    <col min="8" max="8" width="3.7109375" style="1910" customWidth="1"/>
    <col min="9" max="9" width="5.42578125" style="1910" customWidth="1"/>
    <col min="10" max="10" width="24.5703125" style="1910" customWidth="1"/>
    <col min="11" max="11" width="24.42578125" style="1910" customWidth="1"/>
    <col min="12" max="12" width="3.7109375" style="1910" customWidth="1"/>
    <col min="13" max="13" width="6.28515625" style="1910" customWidth="1"/>
    <col min="14" max="14" width="25.85546875" style="1910" customWidth="1"/>
    <col min="15" max="18" width="18.7109375" style="1910" customWidth="1"/>
    <col min="19" max="19" width="93.42578125" style="1910" customWidth="1"/>
    <col min="20" max="20" width="10.5703125" style="1910" customWidth="1"/>
    <col min="21" max="21" width="10.5703125" style="1866" customWidth="1"/>
    <col min="22" max="22" width="11.7109375" style="1866" customWidth="1"/>
    <col min="23" max="27" width="10.5703125" style="1926" customWidth="1"/>
    <col min="28" max="83" width="9.140625" style="1910"/>
  </cols>
  <sheetData>
    <row r="1" spans="1:83" ht="11.25" hidden="1" customHeight="1"/>
    <row r="2" spans="1:83" ht="11.25" hidden="1" customHeight="1"/>
    <row r="3" spans="1:83" ht="11.25" hidden="1" customHeight="1"/>
    <row r="4" spans="1:83" ht="3" customHeight="1">
      <c r="C4" s="407"/>
      <c r="D4" s="407"/>
      <c r="E4" s="407"/>
      <c r="F4" s="407"/>
      <c r="G4" s="407"/>
      <c r="H4" s="407"/>
      <c r="I4" s="407"/>
      <c r="J4" s="407"/>
      <c r="K4" s="83"/>
      <c r="L4" s="83"/>
      <c r="M4" s="83"/>
    </row>
    <row r="5" spans="1:83" ht="28.5" customHeight="1">
      <c r="C5" s="407"/>
      <c r="D5" s="927"/>
      <c r="E5" s="3509" t="str">
        <f>FHD20_NAME_FORM</f>
        <v>Форма 11. Информация о расходах на капитальный и текущий ремонт основных средств</v>
      </c>
      <c r="F5" s="3509"/>
      <c r="G5" s="3509"/>
      <c r="H5" s="3509"/>
      <c r="I5" s="3509"/>
      <c r="J5" s="3509"/>
      <c r="K5" s="3509"/>
      <c r="L5" s="506"/>
      <c r="M5" s="506"/>
    </row>
    <row r="6" spans="1:83" s="1910" customFormat="1" ht="16.5" customHeight="1">
      <c r="A6" s="503"/>
      <c r="B6" s="645"/>
      <c r="C6" s="407"/>
      <c r="D6" s="928"/>
      <c r="E6" s="3480" t="str">
        <f>IF(org=0,"Не определено",org)</f>
        <v>АО "Орелгортеплоэнерго"</v>
      </c>
      <c r="F6" s="3480"/>
      <c r="G6" s="3480"/>
      <c r="H6" s="3480"/>
      <c r="I6" s="3480"/>
      <c r="J6" s="3480"/>
      <c r="K6" s="3480"/>
      <c r="L6" s="506"/>
      <c r="M6" s="506"/>
      <c r="U6" s="504"/>
      <c r="V6" s="504"/>
      <c r="W6" s="505"/>
      <c r="X6" s="645"/>
      <c r="Y6" s="645"/>
      <c r="Z6" s="645"/>
      <c r="AA6" s="645"/>
    </row>
    <row r="7" spans="1:83" ht="11.25" customHeight="1">
      <c r="C7" s="407"/>
      <c r="D7" s="407"/>
      <c r="E7" s="407"/>
      <c r="F7" s="407"/>
      <c r="G7" s="420"/>
      <c r="H7" s="420"/>
      <c r="I7" s="420"/>
      <c r="J7" s="420"/>
      <c r="K7" s="507"/>
      <c r="L7" s="507"/>
      <c r="M7" s="507"/>
      <c r="R7" s="640"/>
    </row>
    <row r="8" spans="1:83" s="1838" customFormat="1" ht="5.25" customHeight="1">
      <c r="A8" s="514"/>
      <c r="B8" s="463"/>
      <c r="C8" s="260"/>
      <c r="D8" s="260"/>
      <c r="E8" s="260"/>
      <c r="F8" s="260"/>
      <c r="G8" s="847"/>
      <c r="H8" s="847"/>
      <c r="I8" s="847"/>
      <c r="J8" s="847"/>
      <c r="K8" s="888"/>
      <c r="L8" s="888"/>
      <c r="M8" s="888"/>
      <c r="R8" s="889"/>
      <c r="U8" s="504"/>
      <c r="V8" s="504"/>
      <c r="W8" s="515"/>
      <c r="X8" s="463"/>
      <c r="Y8" s="463"/>
      <c r="Z8" s="463"/>
      <c r="AA8" s="463"/>
    </row>
    <row r="9" spans="1:83" ht="18.75" customHeight="1">
      <c r="D9" s="201"/>
      <c r="E9" s="3383" t="s">
        <v>560</v>
      </c>
      <c r="F9" s="3388"/>
      <c r="G9" s="3388"/>
      <c r="H9" s="3388"/>
      <c r="I9" s="3388"/>
      <c r="J9" s="3388"/>
      <c r="K9" s="3388"/>
      <c r="L9" s="3388"/>
      <c r="M9" s="3388"/>
      <c r="N9" s="3388"/>
      <c r="O9" s="3388"/>
      <c r="P9" s="3388"/>
      <c r="Q9" s="3388"/>
      <c r="R9" s="3382"/>
      <c r="S9" s="3401" t="s">
        <v>561</v>
      </c>
      <c r="T9" s="245"/>
    </row>
    <row r="10" spans="1:83" ht="33.75" customHeight="1">
      <c r="D10" s="448" t="s">
        <v>85</v>
      </c>
      <c r="E10" s="3401" t="s">
        <v>85</v>
      </c>
      <c r="F10" s="3401"/>
      <c r="G10" s="419" t="s">
        <v>562</v>
      </c>
      <c r="H10" s="3401" t="s">
        <v>85</v>
      </c>
      <c r="I10" s="3401"/>
      <c r="J10" s="419" t="s">
        <v>867</v>
      </c>
      <c r="K10" s="419" t="s">
        <v>868</v>
      </c>
      <c r="L10" s="3401" t="s">
        <v>85</v>
      </c>
      <c r="M10" s="3401"/>
      <c r="N10" s="419" t="s">
        <v>869</v>
      </c>
      <c r="O10" s="419" t="s">
        <v>870</v>
      </c>
      <c r="P10" s="419" t="s">
        <v>871</v>
      </c>
      <c r="Q10" s="419" t="s">
        <v>872</v>
      </c>
      <c r="R10" s="419" t="s">
        <v>873</v>
      </c>
      <c r="S10" s="3401"/>
      <c r="T10" s="245"/>
    </row>
    <row r="11" spans="1:83" s="1866" customFormat="1" ht="15" hidden="1" customHeight="1">
      <c r="A11" s="922"/>
      <c r="D11" s="895" t="s">
        <v>106</v>
      </c>
      <c r="E11" s="895"/>
      <c r="F11" s="895" t="s">
        <v>107</v>
      </c>
      <c r="G11" s="895" t="s">
        <v>87</v>
      </c>
      <c r="H11" s="895"/>
      <c r="I11" s="895" t="s">
        <v>88</v>
      </c>
      <c r="J11" s="895" t="s">
        <v>108</v>
      </c>
      <c r="K11" s="895" t="s">
        <v>89</v>
      </c>
      <c r="L11" s="895"/>
      <c r="M11" s="895" t="s">
        <v>90</v>
      </c>
      <c r="N11" s="895" t="s">
        <v>109</v>
      </c>
      <c r="O11" s="895" t="s">
        <v>133</v>
      </c>
      <c r="P11" s="895" t="s">
        <v>136</v>
      </c>
      <c r="Q11" s="895" t="s">
        <v>139</v>
      </c>
      <c r="R11" s="895" t="s">
        <v>142</v>
      </c>
      <c r="S11" s="895" t="s">
        <v>145</v>
      </c>
      <c r="U11" s="504"/>
      <c r="V11" s="504"/>
      <c r="W11" s="504"/>
    </row>
    <row r="12" spans="1:83" s="1910" customFormat="1" ht="0.75" customHeight="1">
      <c r="A12" s="508"/>
      <c r="B12" s="271"/>
      <c r="D12" s="445"/>
      <c r="E12" s="256"/>
      <c r="F12" s="256"/>
      <c r="Q12" s="509"/>
      <c r="R12" s="510"/>
      <c r="T12" s="511"/>
      <c r="U12" s="512"/>
      <c r="V12" s="512"/>
      <c r="W12" s="513"/>
      <c r="X12" s="271"/>
      <c r="Y12" s="271"/>
      <c r="Z12" s="271"/>
      <c r="AA12" s="271"/>
    </row>
    <row r="13" spans="1:83" s="1838" customFormat="1" ht="0.75" customHeight="1">
      <c r="A13" s="514"/>
      <c r="B13" s="463"/>
      <c r="D13" s="445" t="s">
        <v>638</v>
      </c>
      <c r="E13" s="457"/>
      <c r="F13" s="457"/>
      <c r="G13" s="457"/>
      <c r="H13" s="457"/>
      <c r="I13" s="457"/>
      <c r="J13" s="457"/>
      <c r="K13" s="457"/>
      <c r="L13" s="457"/>
      <c r="M13" s="457"/>
      <c r="N13" s="457"/>
      <c r="O13" s="457"/>
      <c r="P13" s="457"/>
      <c r="Q13" s="457"/>
      <c r="R13" s="457"/>
      <c r="T13" s="245"/>
      <c r="U13" s="504"/>
      <c r="V13" s="504"/>
      <c r="W13" s="515"/>
      <c r="X13" s="463"/>
      <c r="Y13" s="463"/>
      <c r="Z13" s="463"/>
      <c r="AA13" s="463"/>
    </row>
    <row r="14" spans="1:83" s="1962" customFormat="1" ht="15" hidden="1" customHeight="1">
      <c r="A14" s="516" t="s">
        <v>115</v>
      </c>
      <c r="B14"/>
      <c r="C14"/>
      <c r="D14" s="3611" t="s">
        <v>106</v>
      </c>
      <c r="E14" s="3618" t="s">
        <v>102</v>
      </c>
      <c r="F14" s="3619"/>
      <c r="G14" s="3620"/>
      <c r="H14" s="3614" t="str">
        <f>IF(A14="","",INDEX(DIFFERENTIATION_UNMERGE_VD,MATCH(A14,DIFFERENTIATION_ID_DIFF,0)))</f>
        <v>Производство тепловой энергии. Некомбинированная выработка</v>
      </c>
      <c r="I14" s="3614"/>
      <c r="J14" s="3614"/>
      <c r="K14" s="3614"/>
      <c r="L14" s="3614"/>
      <c r="M14" s="3614"/>
      <c r="N14" s="3614"/>
      <c r="O14" s="3614"/>
      <c r="P14" s="3614"/>
      <c r="Q14" s="3614"/>
      <c r="R14" s="3614"/>
      <c r="S14" s="609"/>
      <c r="T14" s="606"/>
      <c r="U14" s="517"/>
      <c r="V14" s="517"/>
      <c r="W14" s="518"/>
      <c r="X14" s="518"/>
      <c r="Y14" s="518"/>
      <c r="Z14" s="518"/>
      <c r="AA14" s="519"/>
      <c r="AB14" s="520"/>
      <c r="AC14" s="3617"/>
      <c r="AD14" s="521"/>
      <c r="AE14" s="522" t="s">
        <v>18</v>
      </c>
      <c r="AF14" s="522"/>
      <c r="AG14" s="523" t="s">
        <v>874</v>
      </c>
      <c r="AH14" s="524">
        <v>3</v>
      </c>
      <c r="AI14" s="517"/>
      <c r="AJ14" s="517"/>
      <c r="AK14" s="517"/>
      <c r="AL14" s="517"/>
      <c r="AM14" s="517"/>
      <c r="AN14" s="517"/>
      <c r="AO14" s="517"/>
      <c r="AP14" s="517"/>
      <c r="AQ14" s="517"/>
      <c r="AR14" s="517"/>
      <c r="AS14" s="517"/>
      <c r="AT14" s="517"/>
      <c r="AU14" s="517"/>
      <c r="AV14" s="517"/>
      <c r="AW14" s="517"/>
      <c r="AX14" s="517"/>
      <c r="AY14" s="517"/>
      <c r="AZ14" s="517"/>
      <c r="BA14" s="517"/>
      <c r="BB14" s="517"/>
      <c r="BC14" s="517"/>
      <c r="BD14" s="517"/>
      <c r="BE14" s="517"/>
      <c r="BF14" s="517"/>
      <c r="BG14" s="517"/>
      <c r="BH14" s="517"/>
      <c r="BI14" s="517"/>
      <c r="BJ14" s="517"/>
      <c r="BK14" s="517"/>
      <c r="BL14" s="517"/>
      <c r="BM14" s="517"/>
      <c r="BN14" s="517"/>
      <c r="BO14" s="517"/>
      <c r="BP14" s="517"/>
      <c r="BQ14" s="517"/>
      <c r="BR14" s="517"/>
      <c r="BS14" s="517"/>
      <c r="BT14" s="517"/>
      <c r="BU14" s="517"/>
      <c r="BV14" s="518"/>
      <c r="BW14" s="518"/>
      <c r="BX14" s="518"/>
      <c r="BY14" s="518"/>
      <c r="BZ14" s="518"/>
      <c r="CA14" s="518"/>
      <c r="CB14" s="518"/>
      <c r="CC14" s="518"/>
      <c r="CD14" s="518"/>
      <c r="CE14" s="518"/>
    </row>
    <row r="15" spans="1:83" s="1962" customFormat="1" ht="15" hidden="1" customHeight="1">
      <c r="A15" s="516"/>
      <c r="B15"/>
      <c r="C15"/>
      <c r="D15" s="3612"/>
      <c r="E15" s="3618" t="s">
        <v>829</v>
      </c>
      <c r="F15" s="3619"/>
      <c r="G15" s="3620"/>
      <c r="H15" s="3614" t="str">
        <f>IF(A14="","",INDEX(DIFFERENTIATION_UNMERGE_AREA,MATCH(A14,DIFFERENTIATION_ID_DIFF,0)))</f>
        <v>Территория 1</v>
      </c>
      <c r="I15" s="3614"/>
      <c r="J15" s="3614"/>
      <c r="K15" s="3614"/>
      <c r="L15" s="3614"/>
      <c r="M15" s="3614"/>
      <c r="N15" s="3614"/>
      <c r="O15" s="3614"/>
      <c r="P15" s="3614"/>
      <c r="Q15" s="3614"/>
      <c r="R15" s="3614"/>
      <c r="S15" s="609"/>
      <c r="T15" s="606"/>
      <c r="U15" s="517"/>
      <c r="V15" s="517"/>
      <c r="W15" s="518"/>
      <c r="X15" s="518"/>
      <c r="Y15" s="518"/>
      <c r="Z15" s="518"/>
      <c r="AA15" s="519"/>
      <c r="AB15" s="520"/>
      <c r="AC15" s="3617"/>
      <c r="AD15" s="521"/>
      <c r="AE15" s="522"/>
      <c r="AF15" s="522"/>
      <c r="AG15" s="523"/>
      <c r="AH15" s="524"/>
      <c r="AI15" s="517"/>
      <c r="AJ15" s="517"/>
      <c r="AK15" s="517"/>
      <c r="AL15" s="517"/>
      <c r="AM15" s="517"/>
      <c r="AN15" s="517"/>
      <c r="AO15" s="517"/>
      <c r="AP15" s="517"/>
      <c r="AQ15" s="517"/>
      <c r="AR15" s="517"/>
      <c r="AS15" s="517"/>
      <c r="AT15" s="517"/>
      <c r="AU15" s="517"/>
      <c r="AV15" s="517"/>
      <c r="AW15" s="517"/>
      <c r="AX15" s="517"/>
      <c r="AY15" s="517"/>
      <c r="AZ15" s="517"/>
      <c r="BA15" s="517"/>
      <c r="BB15" s="517"/>
      <c r="BC15" s="517"/>
      <c r="BD15" s="517"/>
      <c r="BE15" s="517"/>
      <c r="BF15" s="517"/>
      <c r="BG15" s="517"/>
      <c r="BH15" s="517"/>
      <c r="BI15" s="517"/>
      <c r="BJ15" s="517"/>
      <c r="BK15" s="517"/>
      <c r="BL15" s="517"/>
      <c r="BM15" s="517"/>
      <c r="BN15" s="517"/>
      <c r="BO15" s="517"/>
      <c r="BP15" s="517"/>
      <c r="BQ15" s="517"/>
      <c r="BR15" s="517"/>
      <c r="BS15" s="517"/>
      <c r="BT15" s="517"/>
      <c r="BU15" s="517"/>
      <c r="BV15" s="518"/>
      <c r="BW15" s="518"/>
      <c r="BX15" s="518"/>
      <c r="BY15" s="518"/>
      <c r="BZ15" s="518"/>
      <c r="CA15" s="518"/>
      <c r="CB15" s="518"/>
      <c r="CC15" s="518"/>
      <c r="CD15" s="518"/>
      <c r="CE15" s="518"/>
    </row>
    <row r="16" spans="1:83" s="1962" customFormat="1" ht="15" hidden="1" customHeight="1">
      <c r="A16" s="516"/>
      <c r="B16"/>
      <c r="C16"/>
      <c r="D16" s="3612"/>
      <c r="E16" s="3618" t="s">
        <v>830</v>
      </c>
      <c r="F16" s="3619"/>
      <c r="G16" s="3620"/>
      <c r="H16" s="3614" t="str">
        <f>IF(A14="","",INDEX(DIFFERENTIATION_UNMERGE_SYSTEM,MATCH(A14,DIFFERENTIATION_ID_DIFF,0)))</f>
        <v>Авиационная, 1</v>
      </c>
      <c r="I16" s="3614"/>
      <c r="J16" s="3614"/>
      <c r="K16" s="3614"/>
      <c r="L16" s="3614"/>
      <c r="M16" s="3614"/>
      <c r="N16" s="3614"/>
      <c r="O16" s="3614"/>
      <c r="P16" s="3614"/>
      <c r="Q16" s="3614"/>
      <c r="R16" s="3614"/>
      <c r="S16" s="609"/>
      <c r="T16" s="606"/>
      <c r="U16" s="517"/>
      <c r="V16" s="517"/>
      <c r="W16" s="518"/>
      <c r="X16" s="518"/>
      <c r="Y16" s="518"/>
      <c r="Z16" s="518"/>
      <c r="AA16" s="519"/>
      <c r="AB16" s="520"/>
      <c r="AC16" s="3617"/>
      <c r="AD16" s="521"/>
      <c r="AE16" s="522"/>
      <c r="AF16" s="522"/>
      <c r="AG16" s="523"/>
      <c r="AH16" s="524"/>
      <c r="AI16" s="517"/>
      <c r="AJ16" s="517"/>
      <c r="AK16" s="517"/>
      <c r="AL16" s="517"/>
      <c r="AM16" s="517"/>
      <c r="AN16" s="517"/>
      <c r="AO16" s="517"/>
      <c r="AP16" s="517"/>
      <c r="AQ16" s="517"/>
      <c r="AR16" s="517"/>
      <c r="AS16" s="517"/>
      <c r="AT16" s="517"/>
      <c r="AU16" s="517"/>
      <c r="AV16" s="517"/>
      <c r="AW16" s="517"/>
      <c r="AX16" s="517"/>
      <c r="AY16" s="517"/>
      <c r="AZ16" s="517"/>
      <c r="BA16" s="517"/>
      <c r="BB16" s="517"/>
      <c r="BC16" s="517"/>
      <c r="BD16" s="517"/>
      <c r="BE16" s="517"/>
      <c r="BF16" s="517"/>
      <c r="BG16" s="517"/>
      <c r="BH16" s="517"/>
      <c r="BI16" s="517"/>
      <c r="BJ16" s="517"/>
      <c r="BK16" s="517"/>
      <c r="BL16" s="517"/>
      <c r="BM16" s="517"/>
      <c r="BN16" s="517"/>
      <c r="BO16" s="517"/>
      <c r="BP16" s="517"/>
      <c r="BQ16" s="517"/>
      <c r="BR16" s="517"/>
      <c r="BS16" s="517"/>
      <c r="BT16" s="517"/>
      <c r="BU16" s="517"/>
      <c r="BV16" s="518"/>
      <c r="BW16" s="518"/>
      <c r="BX16" s="518"/>
      <c r="BY16" s="518"/>
      <c r="BZ16" s="518"/>
      <c r="CA16" s="518"/>
      <c r="CB16" s="518"/>
      <c r="CC16" s="518"/>
      <c r="CD16" s="518"/>
      <c r="CE16" s="518"/>
    </row>
    <row r="17" spans="1:83" s="1962" customFormat="1" ht="22.5" hidden="1" customHeight="1">
      <c r="A17" s="525"/>
      <c r="B17" s="324"/>
      <c r="C17" s="319"/>
      <c r="D17" s="3612"/>
      <c r="E17" s="3616" t="s">
        <v>875</v>
      </c>
      <c r="F17" s="3616"/>
      <c r="G17" s="3616"/>
      <c r="H17" s="3616"/>
      <c r="I17" s="3616"/>
      <c r="J17" s="3616"/>
      <c r="K17" s="3616"/>
      <c r="L17" s="3616"/>
      <c r="M17" s="3616"/>
      <c r="N17" s="3616"/>
      <c r="O17" s="3616"/>
      <c r="P17" s="3616"/>
      <c r="Q17" s="455">
        <f>SUMIF(T18:T19,"i",Q18:Q19)</f>
        <v>0</v>
      </c>
      <c r="R17" s="887"/>
      <c r="S17" s="773" t="s">
        <v>876</v>
      </c>
      <c r="T17" s="607" t="s">
        <v>877</v>
      </c>
      <c r="U17" s="3532">
        <v>1</v>
      </c>
      <c r="V17" s="3532" t="str">
        <f>INDEX(B_FHD_FLAG_INDEX_1,1,MATCH(A14,B_FHD_FLAG_DIFFERENTIATION,0))</f>
        <v>отсутствует</v>
      </c>
      <c r="W17" s="324"/>
      <c r="X17" s="324"/>
      <c r="Y17" s="324"/>
      <c r="Z17" s="324"/>
      <c r="AA17" s="409"/>
      <c r="AB17" s="324"/>
      <c r="AC17" s="3617"/>
      <c r="AD17" s="521"/>
      <c r="AE17" s="324"/>
      <c r="AF17" s="324"/>
      <c r="AG17" s="409"/>
      <c r="AH17" s="409"/>
      <c r="AI17" s="409"/>
      <c r="AJ17" s="409"/>
      <c r="AK17" s="409"/>
      <c r="AL17" s="409"/>
      <c r="AM17" s="409"/>
      <c r="AN17" s="409"/>
      <c r="AO17" s="409"/>
      <c r="AP17" s="409"/>
      <c r="AQ17" s="409"/>
      <c r="AR17" s="409"/>
      <c r="AS17" s="409"/>
      <c r="AT17" s="409"/>
      <c r="AU17" s="409"/>
      <c r="AV17" s="409"/>
      <c r="AW17" s="409"/>
      <c r="AX17" s="409"/>
      <c r="AY17" s="409"/>
      <c r="AZ17" s="409"/>
      <c r="BA17" s="409"/>
      <c r="BB17" s="409"/>
      <c r="BC17" s="409"/>
      <c r="BD17" s="409"/>
      <c r="BE17" s="409"/>
      <c r="BF17" s="409"/>
      <c r="BG17" s="409"/>
      <c r="BH17" s="409"/>
      <c r="BI17" s="409"/>
      <c r="BJ17" s="409"/>
      <c r="BK17" s="409"/>
      <c r="BL17" s="409"/>
      <c r="BM17" s="409"/>
      <c r="BN17" s="409"/>
      <c r="BO17" s="409"/>
      <c r="BP17" s="409"/>
      <c r="BQ17" s="409"/>
      <c r="BR17" s="409"/>
      <c r="BS17" s="409"/>
      <c r="BT17" s="409"/>
      <c r="BU17" s="409"/>
      <c r="BV17" s="324"/>
      <c r="BW17" s="324"/>
      <c r="BX17" s="324"/>
      <c r="BY17" s="324"/>
      <c r="BZ17" s="324"/>
      <c r="CA17" s="324"/>
      <c r="CB17" s="324"/>
      <c r="CC17" s="324"/>
      <c r="CD17" s="324"/>
      <c r="CE17" s="324"/>
    </row>
    <row r="18" spans="1:83" s="1962" customFormat="1" ht="11.25" hidden="1" customHeight="1">
      <c r="A18" s="526"/>
      <c r="B18" s="409"/>
      <c r="C18" s="409"/>
      <c r="D18" s="3612"/>
      <c r="E18" s="527"/>
      <c r="F18" s="527">
        <v>0</v>
      </c>
      <c r="G18" s="527"/>
      <c r="H18" s="527"/>
      <c r="I18" s="527"/>
      <c r="J18" s="527"/>
      <c r="K18" s="527"/>
      <c r="L18" s="527"/>
      <c r="M18" s="527"/>
      <c r="N18" s="527"/>
      <c r="O18" s="527"/>
      <c r="P18" s="527"/>
      <c r="Q18" s="527"/>
      <c r="R18" s="527"/>
      <c r="S18" s="528"/>
      <c r="T18" s="608"/>
      <c r="U18" s="3532"/>
      <c r="V18" s="3532"/>
      <c r="W18" s="409"/>
      <c r="X18" s="409"/>
      <c r="Y18" s="409"/>
      <c r="Z18" s="409"/>
      <c r="AA18" s="409"/>
      <c r="AB18" s="324"/>
      <c r="AC18" s="3617"/>
      <c r="AD18" s="521"/>
      <c r="AE18" s="324"/>
      <c r="AF18" s="324"/>
      <c r="AG18" s="409"/>
      <c r="AH18" s="409"/>
      <c r="AI18" s="409"/>
      <c r="AJ18" s="409"/>
      <c r="AK18" s="409"/>
      <c r="AL18" s="409"/>
      <c r="AM18" s="409"/>
      <c r="AN18" s="409"/>
      <c r="AO18" s="409"/>
      <c r="AP18" s="409"/>
      <c r="AQ18" s="409"/>
      <c r="AR18" s="409"/>
      <c r="AS18" s="409"/>
      <c r="AT18" s="409"/>
      <c r="AU18" s="409"/>
      <c r="AV18" s="409"/>
      <c r="AW18" s="409"/>
      <c r="AX18" s="409"/>
      <c r="AY18" s="409"/>
      <c r="AZ18" s="409"/>
      <c r="BA18" s="409"/>
      <c r="BB18" s="409"/>
      <c r="BC18" s="409"/>
      <c r="BD18" s="409"/>
      <c r="BE18" s="409"/>
      <c r="BF18" s="409"/>
      <c r="BG18" s="409"/>
      <c r="BH18" s="409"/>
      <c r="BI18" s="409"/>
      <c r="BJ18" s="409"/>
      <c r="BK18" s="409"/>
      <c r="BL18" s="409"/>
      <c r="BM18" s="409"/>
      <c r="BN18" s="409"/>
      <c r="BO18" s="409"/>
      <c r="BP18" s="409"/>
      <c r="BQ18" s="409"/>
      <c r="BR18" s="409"/>
      <c r="BS18" s="409"/>
      <c r="BT18" s="409"/>
      <c r="BU18" s="409"/>
      <c r="BV18" s="409"/>
      <c r="BW18" s="409"/>
      <c r="BX18" s="409"/>
      <c r="BY18" s="409"/>
      <c r="BZ18" s="409"/>
      <c r="CA18" s="409"/>
      <c r="CB18" s="409"/>
      <c r="CC18" s="409"/>
      <c r="CD18" s="409"/>
      <c r="CE18" s="409"/>
    </row>
    <row r="19" spans="1:83" s="1962" customFormat="1" ht="11.25" hidden="1" customHeight="1">
      <c r="A19" s="525"/>
      <c r="B19" s="324"/>
      <c r="C19" s="319"/>
      <c r="D19" s="3612"/>
      <c r="E19" s="541" t="s">
        <v>18</v>
      </c>
      <c r="F19" s="542" t="s">
        <v>18</v>
      </c>
      <c r="G19" s="542" t="s">
        <v>18</v>
      </c>
      <c r="H19" s="543" t="s">
        <v>18</v>
      </c>
      <c r="I19" s="543"/>
      <c r="J19" s="543"/>
      <c r="K19" s="543"/>
      <c r="L19" s="543"/>
      <c r="M19" s="543"/>
      <c r="N19" s="543"/>
      <c r="O19" s="543"/>
      <c r="P19" s="543"/>
      <c r="Q19" s="543"/>
      <c r="R19" s="544"/>
      <c r="S19" s="890"/>
      <c r="T19" s="608"/>
      <c r="U19" s="3532"/>
      <c r="V19" s="3532"/>
      <c r="W19" s="324"/>
      <c r="X19" s="324"/>
      <c r="Y19" s="324"/>
      <c r="Z19" s="324"/>
      <c r="AA19" s="409"/>
      <c r="AB19" s="324"/>
      <c r="AC19" s="3617"/>
      <c r="AD19" s="521"/>
      <c r="AE19" s="324"/>
      <c r="AF19" s="324"/>
      <c r="AG19" s="409"/>
      <c r="AH19" s="409"/>
      <c r="AI19" s="409"/>
      <c r="AJ19" s="409"/>
      <c r="AK19" s="409"/>
      <c r="AL19" s="409"/>
      <c r="AM19" s="409"/>
      <c r="AN19" s="409"/>
      <c r="AO19" s="409"/>
      <c r="AP19" s="409"/>
      <c r="AQ19" s="409"/>
      <c r="AR19" s="409"/>
      <c r="AS19" s="409"/>
      <c r="AT19" s="409"/>
      <c r="AU19" s="409"/>
      <c r="AV19" s="409"/>
      <c r="AW19" s="409"/>
      <c r="AX19" s="409"/>
      <c r="AY19" s="409"/>
      <c r="AZ19" s="409"/>
      <c r="BA19" s="409"/>
      <c r="BB19" s="409"/>
      <c r="BC19" s="409"/>
      <c r="BD19" s="409"/>
      <c r="BE19" s="409"/>
      <c r="BF19" s="409"/>
      <c r="BG19" s="409"/>
      <c r="BH19" s="409"/>
      <c r="BI19" s="409"/>
      <c r="BJ19" s="409"/>
      <c r="BK19" s="409"/>
      <c r="BL19" s="409"/>
      <c r="BM19" s="409"/>
      <c r="BN19" s="409"/>
      <c r="BO19" s="409"/>
      <c r="BP19" s="409"/>
      <c r="BQ19" s="409"/>
      <c r="BR19" s="409"/>
      <c r="BS19" s="409"/>
      <c r="BT19" s="409"/>
      <c r="BU19" s="409"/>
      <c r="BV19" s="324"/>
      <c r="BW19" s="324"/>
      <c r="BX19" s="324"/>
      <c r="BY19" s="324"/>
      <c r="BZ19" s="324"/>
      <c r="CA19" s="324"/>
      <c r="CB19" s="324"/>
      <c r="CC19" s="324"/>
      <c r="CD19" s="324"/>
      <c r="CE19" s="324"/>
    </row>
    <row r="20" spans="1:83" s="1962" customFormat="1" ht="22.5" hidden="1" customHeight="1">
      <c r="A20" s="525"/>
      <c r="B20" s="324"/>
      <c r="C20" s="319"/>
      <c r="D20" s="3612"/>
      <c r="E20" s="3616" t="s">
        <v>878</v>
      </c>
      <c r="F20" s="3616"/>
      <c r="G20" s="3616"/>
      <c r="H20" s="3616"/>
      <c r="I20" s="3616"/>
      <c r="J20" s="3616"/>
      <c r="K20" s="3616"/>
      <c r="L20" s="3616"/>
      <c r="M20" s="3616"/>
      <c r="N20" s="3616"/>
      <c r="O20" s="3616"/>
      <c r="P20" s="3616"/>
      <c r="Q20" s="455">
        <f>SUMIF(T21:T22,"i",Q21:Q22)</f>
        <v>0</v>
      </c>
      <c r="R20" s="887"/>
      <c r="S20" s="599" t="s">
        <v>879</v>
      </c>
      <c r="T20" s="607" t="s">
        <v>877</v>
      </c>
      <c r="U20" s="3532">
        <v>2</v>
      </c>
      <c r="V20" s="3532" t="str">
        <f>INDEX(B_FHD_FLAG_INDEX_2,1,MATCH(A14,B_FHD_FLAG_DIFFERENTIATION,0))</f>
        <v>отсутствует</v>
      </c>
      <c r="W20" s="324"/>
      <c r="X20" s="324"/>
      <c r="Y20" s="324"/>
      <c r="Z20" s="324"/>
      <c r="AA20" s="409"/>
      <c r="AB20" s="324"/>
      <c r="AC20" s="596"/>
      <c r="AD20" s="521"/>
      <c r="AE20" s="324"/>
      <c r="AF20" s="324"/>
      <c r="AG20" s="409"/>
      <c r="AH20" s="409"/>
      <c r="AI20" s="409"/>
      <c r="AJ20" s="409"/>
      <c r="AK20" s="409"/>
      <c r="AL20" s="409"/>
      <c r="AM20" s="409"/>
      <c r="AN20" s="409"/>
      <c r="AO20" s="409"/>
      <c r="AP20" s="409"/>
      <c r="AQ20" s="409"/>
      <c r="AR20" s="409"/>
      <c r="AS20" s="409"/>
      <c r="AT20" s="409"/>
      <c r="AU20" s="409"/>
      <c r="AV20" s="409"/>
      <c r="AW20" s="409"/>
      <c r="AX20" s="409"/>
      <c r="AY20" s="409"/>
      <c r="AZ20" s="409"/>
      <c r="BA20" s="409"/>
      <c r="BB20" s="409"/>
      <c r="BC20" s="409"/>
      <c r="BD20" s="409"/>
      <c r="BE20" s="409"/>
      <c r="BF20" s="409"/>
      <c r="BG20" s="409"/>
      <c r="BH20" s="409"/>
      <c r="BI20" s="409"/>
      <c r="BJ20" s="409"/>
      <c r="BK20" s="409"/>
      <c r="BL20" s="409"/>
      <c r="BM20" s="409"/>
      <c r="BN20" s="409"/>
      <c r="BO20" s="409"/>
      <c r="BP20" s="409"/>
      <c r="BQ20" s="409"/>
      <c r="BR20" s="409"/>
      <c r="BS20" s="409"/>
      <c r="BT20" s="409"/>
      <c r="BU20" s="409"/>
      <c r="BV20" s="324"/>
      <c r="BW20" s="324"/>
      <c r="BX20" s="324"/>
      <c r="BY20" s="324"/>
      <c r="BZ20" s="324"/>
      <c r="CA20" s="324"/>
      <c r="CB20" s="324"/>
      <c r="CC20" s="324"/>
      <c r="CD20" s="324"/>
      <c r="CE20" s="324"/>
    </row>
    <row r="21" spans="1:83" s="1962" customFormat="1" ht="11.25" hidden="1" customHeight="1">
      <c r="A21" s="598"/>
      <c r="B21" s="409"/>
      <c r="C21" s="409"/>
      <c r="D21" s="3612"/>
      <c r="E21" s="527"/>
      <c r="F21" s="527">
        <v>0</v>
      </c>
      <c r="G21" s="527"/>
      <c r="H21" s="527"/>
      <c r="I21" s="527"/>
      <c r="J21" s="527"/>
      <c r="K21" s="527"/>
      <c r="L21" s="527"/>
      <c r="M21" s="527"/>
      <c r="N21" s="527"/>
      <c r="O21" s="527"/>
      <c r="P21" s="527"/>
      <c r="Q21" s="527"/>
      <c r="R21" s="527"/>
      <c r="S21" s="528"/>
      <c r="T21" s="608"/>
      <c r="U21" s="3532"/>
      <c r="V21" s="3532"/>
      <c r="W21" s="409"/>
      <c r="X21" s="409"/>
      <c r="Y21" s="409"/>
      <c r="Z21" s="409"/>
      <c r="AA21" s="409"/>
      <c r="AB21" s="324"/>
      <c r="AC21" s="596"/>
      <c r="AD21" s="521"/>
      <c r="AE21" s="324"/>
      <c r="AF21" s="324"/>
      <c r="AG21" s="409"/>
      <c r="AH21" s="409"/>
      <c r="AI21" s="409"/>
      <c r="AJ21" s="409"/>
      <c r="AK21" s="409"/>
      <c r="AL21" s="409"/>
      <c r="AM21" s="409"/>
      <c r="AN21" s="409"/>
      <c r="AO21" s="409"/>
      <c r="AP21" s="409"/>
      <c r="AQ21" s="409"/>
      <c r="AR21" s="409"/>
      <c r="AS21" s="409"/>
      <c r="AT21" s="409"/>
      <c r="AU21" s="409"/>
      <c r="AV21" s="409"/>
      <c r="AW21" s="409"/>
      <c r="AX21" s="409"/>
      <c r="AY21" s="409"/>
      <c r="AZ21" s="409"/>
      <c r="BA21" s="409"/>
      <c r="BB21" s="409"/>
      <c r="BC21" s="409"/>
      <c r="BD21" s="409"/>
      <c r="BE21" s="409"/>
      <c r="BF21" s="409"/>
      <c r="BG21" s="409"/>
      <c r="BH21" s="409"/>
      <c r="BI21" s="409"/>
      <c r="BJ21" s="409"/>
      <c r="BK21" s="409"/>
      <c r="BL21" s="409"/>
      <c r="BM21" s="409"/>
      <c r="BN21" s="409"/>
      <c r="BO21" s="409"/>
      <c r="BP21" s="409"/>
      <c r="BQ21" s="409"/>
      <c r="BR21" s="409"/>
      <c r="BS21" s="409"/>
      <c r="BT21" s="409"/>
      <c r="BU21" s="409"/>
      <c r="BV21" s="409"/>
      <c r="BW21" s="409"/>
      <c r="BX21" s="409"/>
      <c r="BY21" s="409"/>
      <c r="BZ21" s="409"/>
      <c r="CA21" s="409"/>
      <c r="CB21" s="409"/>
      <c r="CC21" s="409"/>
      <c r="CD21" s="409"/>
      <c r="CE21" s="409"/>
    </row>
    <row r="22" spans="1:83" s="1962" customFormat="1" ht="11.25" hidden="1" customHeight="1">
      <c r="A22" s="525"/>
      <c r="B22" s="324"/>
      <c r="C22" s="319"/>
      <c r="D22" s="3613"/>
      <c r="E22" s="541" t="s">
        <v>18</v>
      </c>
      <c r="F22" s="542" t="s">
        <v>18</v>
      </c>
      <c r="G22" s="542" t="s">
        <v>18</v>
      </c>
      <c r="H22" s="543" t="s">
        <v>18</v>
      </c>
      <c r="I22" s="543"/>
      <c r="J22" s="543"/>
      <c r="K22" s="543"/>
      <c r="L22" s="543"/>
      <c r="M22" s="543"/>
      <c r="N22" s="543"/>
      <c r="O22" s="543"/>
      <c r="P22" s="543"/>
      <c r="Q22" s="543"/>
      <c r="R22" s="544"/>
      <c r="S22" s="890"/>
      <c r="T22" s="608"/>
      <c r="U22" s="3532"/>
      <c r="V22" s="3532"/>
      <c r="W22" s="324"/>
      <c r="X22" s="324"/>
      <c r="Y22" s="324"/>
      <c r="Z22" s="324"/>
      <c r="AA22" s="409"/>
      <c r="AB22" s="324"/>
      <c r="AC22" s="596"/>
      <c r="AD22" s="521"/>
      <c r="AE22" s="324"/>
      <c r="AF22" s="324"/>
      <c r="AG22" s="409"/>
      <c r="AH22" s="409"/>
      <c r="AI22" s="409"/>
      <c r="AJ22" s="409"/>
      <c r="AK22" s="409"/>
      <c r="AL22" s="409"/>
      <c r="AM22" s="409"/>
      <c r="AN22" s="409"/>
      <c r="AO22" s="409"/>
      <c r="AP22" s="409"/>
      <c r="AQ22" s="409"/>
      <c r="AR22" s="409"/>
      <c r="AS22" s="409"/>
      <c r="AT22" s="409"/>
      <c r="AU22" s="409"/>
      <c r="AV22" s="409"/>
      <c r="AW22" s="409"/>
      <c r="AX22" s="409"/>
      <c r="AY22" s="409"/>
      <c r="AZ22" s="409"/>
      <c r="BA22" s="409"/>
      <c r="BB22" s="409"/>
      <c r="BC22" s="409"/>
      <c r="BD22" s="409"/>
      <c r="BE22" s="409"/>
      <c r="BF22" s="409"/>
      <c r="BG22" s="409"/>
      <c r="BH22" s="409"/>
      <c r="BI22" s="409"/>
      <c r="BJ22" s="409"/>
      <c r="BK22" s="409"/>
      <c r="BL22" s="409"/>
      <c r="BM22" s="409"/>
      <c r="BN22" s="409"/>
      <c r="BO22" s="409"/>
      <c r="BP22" s="409"/>
      <c r="BQ22" s="409"/>
      <c r="BR22" s="409"/>
      <c r="BS22" s="409"/>
      <c r="BT22" s="409"/>
      <c r="BU22" s="409"/>
      <c r="BV22" s="324"/>
      <c r="BW22" s="324"/>
      <c r="BX22" s="324"/>
      <c r="BY22" s="324"/>
      <c r="BZ22" s="324"/>
      <c r="CA22" s="324"/>
      <c r="CB22" s="324"/>
      <c r="CC22" s="324"/>
      <c r="CD22" s="324"/>
      <c r="CE22" s="324"/>
    </row>
    <row r="23" spans="1:83" ht="15" hidden="1" customHeight="1">
      <c r="A23" s="516" t="s">
        <v>120</v>
      </c>
      <c r="B23"/>
      <c r="C23" t="s">
        <v>18</v>
      </c>
      <c r="D23" s="3621" t="s">
        <v>139</v>
      </c>
      <c r="E23" s="3618" t="s">
        <v>102</v>
      </c>
      <c r="F23" s="3619"/>
      <c r="G23" s="3620"/>
      <c r="H23" s="3614" t="str">
        <f>IF(A23="","",INDEX(DIFFERENTIATION_UNMERGE_VD,MATCH(A23,DIFFERENTIATION_ID_DIFF,0)))</f>
        <v>Производство тепловой энергии. Некомбинированная выработка</v>
      </c>
      <c r="I23" s="3614"/>
      <c r="J23" s="3614"/>
      <c r="K23" s="3614"/>
      <c r="L23" s="3614"/>
      <c r="M23" s="3614"/>
      <c r="N23" s="3614"/>
      <c r="O23" s="3614"/>
      <c r="P23" s="3614"/>
      <c r="Q23" s="3614"/>
      <c r="R23" s="3614"/>
      <c r="S23" s="609"/>
      <c r="T23" s="606"/>
      <c r="U23" s="517"/>
      <c r="V23" s="517"/>
      <c r="W23" s="518"/>
      <c r="X23" s="518"/>
      <c r="Y23" s="518"/>
      <c r="Z23" s="518"/>
      <c r="AA23" s="519"/>
      <c r="AB23" s="520"/>
      <c r="AC23" s="3617"/>
      <c r="AD23" s="521"/>
      <c r="AE23" s="522" t="s">
        <v>18</v>
      </c>
      <c r="AF23" s="522"/>
      <c r="AG23" s="523" t="s">
        <v>874</v>
      </c>
      <c r="AH23" s="524">
        <v>3</v>
      </c>
      <c r="AI23" s="517"/>
      <c r="AJ23" s="517"/>
      <c r="AK23" s="517"/>
      <c r="AL23" s="517"/>
      <c r="AM23" s="517"/>
      <c r="AN23" s="517"/>
      <c r="AO23" s="517"/>
      <c r="AP23" s="517"/>
      <c r="AQ23" s="517"/>
      <c r="AR23" s="517"/>
      <c r="AS23" s="517"/>
      <c r="AT23" s="517"/>
      <c r="AU23" s="517"/>
      <c r="AV23" s="517"/>
      <c r="AW23" s="517"/>
      <c r="AX23" s="517"/>
      <c r="AY23" s="517"/>
      <c r="AZ23" s="517"/>
      <c r="BA23" s="517"/>
      <c r="BB23" s="517"/>
      <c r="BC23" s="517"/>
      <c r="BD23" s="517"/>
      <c r="BE23" s="517"/>
      <c r="BF23" s="517"/>
      <c r="BG23" s="517"/>
      <c r="BH23" s="517"/>
      <c r="BI23" s="517"/>
      <c r="BJ23" s="517"/>
      <c r="BK23" s="517"/>
      <c r="BL23" s="517"/>
      <c r="BM23" s="517"/>
      <c r="BN23" s="517"/>
      <c r="BO23" s="517"/>
      <c r="BP23" s="517"/>
      <c r="BQ23" s="517"/>
      <c r="BR23" s="517"/>
      <c r="BS23" s="517"/>
      <c r="BT23" s="517"/>
      <c r="BU23" s="517"/>
      <c r="BV23" s="518"/>
      <c r="BW23" s="518"/>
      <c r="BX23" s="518"/>
      <c r="BY23" s="518"/>
      <c r="BZ23" s="518"/>
      <c r="CA23" s="518"/>
      <c r="CB23" s="518"/>
      <c r="CC23" s="518"/>
      <c r="CD23" s="518"/>
      <c r="CE23" s="518"/>
    </row>
    <row r="24" spans="1:83" ht="15" hidden="1" customHeight="1">
      <c r="A24" s="516"/>
      <c r="B24"/>
      <c r="C24"/>
      <c r="D24" s="3622"/>
      <c r="E24" s="3618" t="s">
        <v>829</v>
      </c>
      <c r="F24" s="3619"/>
      <c r="G24" s="3620"/>
      <c r="H24" s="3614" t="str">
        <f>IF(A23="","",INDEX(DIFFERENTIATION_UNMERGE_AREA,MATCH(A23,DIFFERENTIATION_ID_DIFF,0)))</f>
        <v>Территория 1</v>
      </c>
      <c r="I24" s="3614"/>
      <c r="J24" s="3614"/>
      <c r="K24" s="3614"/>
      <c r="L24" s="3614"/>
      <c r="M24" s="3614"/>
      <c r="N24" s="3614"/>
      <c r="O24" s="3614"/>
      <c r="P24" s="3614"/>
      <c r="Q24" s="3614"/>
      <c r="R24" s="3614"/>
      <c r="S24" s="609"/>
      <c r="T24" s="606"/>
      <c r="U24" s="517"/>
      <c r="V24" s="517"/>
      <c r="W24" s="518"/>
      <c r="X24" s="518"/>
      <c r="Y24" s="518"/>
      <c r="Z24" s="518"/>
      <c r="AA24" s="519"/>
      <c r="AB24" s="520"/>
      <c r="AC24" s="3617"/>
      <c r="AD24" s="521"/>
      <c r="AE24" s="522"/>
      <c r="AF24" s="522"/>
      <c r="AG24" s="523"/>
      <c r="AH24" s="524"/>
      <c r="AI24" s="517"/>
      <c r="AJ24" s="517"/>
      <c r="AK24" s="517"/>
      <c r="AL24" s="517"/>
      <c r="AM24" s="517"/>
      <c r="AN24" s="517"/>
      <c r="AO24" s="517"/>
      <c r="AP24" s="517"/>
      <c r="AQ24" s="517"/>
      <c r="AR24" s="517"/>
      <c r="AS24" s="517"/>
      <c r="AT24" s="517"/>
      <c r="AU24" s="517"/>
      <c r="AV24" s="517"/>
      <c r="AW24" s="517"/>
      <c r="AX24" s="517"/>
      <c r="AY24" s="517"/>
      <c r="AZ24" s="517"/>
      <c r="BA24" s="517"/>
      <c r="BB24" s="517"/>
      <c r="BC24" s="517"/>
      <c r="BD24" s="517"/>
      <c r="BE24" s="517"/>
      <c r="BF24" s="517"/>
      <c r="BG24" s="517"/>
      <c r="BH24" s="517"/>
      <c r="BI24" s="517"/>
      <c r="BJ24" s="517"/>
      <c r="BK24" s="517"/>
      <c r="BL24" s="517"/>
      <c r="BM24" s="517"/>
      <c r="BN24" s="517"/>
      <c r="BO24" s="517"/>
      <c r="BP24" s="517"/>
      <c r="BQ24" s="517"/>
      <c r="BR24" s="517"/>
      <c r="BS24" s="517"/>
      <c r="BT24" s="517"/>
      <c r="BU24" s="517"/>
      <c r="BV24" s="518"/>
      <c r="BW24" s="518"/>
      <c r="BX24" s="518"/>
      <c r="BY24" s="518"/>
      <c r="BZ24" s="518"/>
      <c r="CA24" s="518"/>
      <c r="CB24" s="518"/>
      <c r="CC24" s="518"/>
      <c r="CD24" s="518"/>
      <c r="CE24" s="518"/>
    </row>
    <row r="25" spans="1:83" ht="15" hidden="1" customHeight="1">
      <c r="A25" s="516"/>
      <c r="B25"/>
      <c r="C25"/>
      <c r="D25" s="3622"/>
      <c r="E25" s="3618" t="s">
        <v>830</v>
      </c>
      <c r="F25" s="3619"/>
      <c r="G25" s="3620"/>
      <c r="H25" s="3614" t="str">
        <f>IF(A23="","",INDEX(DIFFERENTIATION_UNMERGE_SYSTEM,MATCH(A23,DIFFERENTIATION_ID_DIFF,0)))</f>
        <v>Автовокзальная, 77</v>
      </c>
      <c r="I25" s="3614"/>
      <c r="J25" s="3614"/>
      <c r="K25" s="3614"/>
      <c r="L25" s="3614"/>
      <c r="M25" s="3614"/>
      <c r="N25" s="3614"/>
      <c r="O25" s="3614"/>
      <c r="P25" s="3614"/>
      <c r="Q25" s="3614"/>
      <c r="R25" s="3614"/>
      <c r="S25" s="609"/>
      <c r="T25" s="606"/>
      <c r="U25" s="517"/>
      <c r="V25" s="517"/>
      <c r="W25" s="518"/>
      <c r="X25" s="518"/>
      <c r="Y25" s="518"/>
      <c r="Z25" s="518"/>
      <c r="AA25" s="519"/>
      <c r="AB25" s="520"/>
      <c r="AC25" s="3617"/>
      <c r="AD25" s="521"/>
      <c r="AE25" s="522"/>
      <c r="AF25" s="522"/>
      <c r="AG25" s="523"/>
      <c r="AH25" s="524"/>
      <c r="AI25" s="517"/>
      <c r="AJ25" s="517"/>
      <c r="AK25" s="517"/>
      <c r="AL25" s="517"/>
      <c r="AM25" s="517"/>
      <c r="AN25" s="517"/>
      <c r="AO25" s="517"/>
      <c r="AP25" s="517"/>
      <c r="AQ25" s="517"/>
      <c r="AR25" s="517"/>
      <c r="AS25" s="517"/>
      <c r="AT25" s="517"/>
      <c r="AU25" s="517"/>
      <c r="AV25" s="517"/>
      <c r="AW25" s="517"/>
      <c r="AX25" s="517"/>
      <c r="AY25" s="517"/>
      <c r="AZ25" s="517"/>
      <c r="BA25" s="517"/>
      <c r="BB25" s="517"/>
      <c r="BC25" s="517"/>
      <c r="BD25" s="517"/>
      <c r="BE25" s="517"/>
      <c r="BF25" s="517"/>
      <c r="BG25" s="517"/>
      <c r="BH25" s="517"/>
      <c r="BI25" s="517"/>
      <c r="BJ25" s="517"/>
      <c r="BK25" s="517"/>
      <c r="BL25" s="517"/>
      <c r="BM25" s="517"/>
      <c r="BN25" s="517"/>
      <c r="BO25" s="517"/>
      <c r="BP25" s="517"/>
      <c r="BQ25" s="517"/>
      <c r="BR25" s="517"/>
      <c r="BS25" s="517"/>
      <c r="BT25" s="517"/>
      <c r="BU25" s="517"/>
      <c r="BV25" s="518"/>
      <c r="BW25" s="518"/>
      <c r="BX25" s="518"/>
      <c r="BY25" s="518"/>
      <c r="BZ25" s="518"/>
      <c r="CA25" s="518"/>
      <c r="CB25" s="518"/>
      <c r="CC25" s="518"/>
      <c r="CD25" s="518"/>
      <c r="CE25" s="518"/>
    </row>
    <row r="26" spans="1:83" ht="24.75" hidden="1" customHeight="1">
      <c r="A26" s="1649"/>
      <c r="B26" s="1023"/>
      <c r="C26" s="319"/>
      <c r="D26" s="3622"/>
      <c r="E26" s="3616" t="s">
        <v>875</v>
      </c>
      <c r="F26" s="3616"/>
      <c r="G26" s="3616"/>
      <c r="H26" s="3616"/>
      <c r="I26" s="3616"/>
      <c r="J26" s="3616"/>
      <c r="K26" s="3616"/>
      <c r="L26" s="3616"/>
      <c r="M26" s="3616"/>
      <c r="N26" s="3616"/>
      <c r="O26" s="3616"/>
      <c r="P26" s="3616"/>
      <c r="Q26" s="455">
        <f>SUMIF(T27:T28,"i",Q27:Q28)</f>
        <v>0</v>
      </c>
      <c r="R26" s="887"/>
      <c r="S26" s="1641" t="s">
        <v>876</v>
      </c>
      <c r="T26" s="607" t="s">
        <v>877</v>
      </c>
      <c r="U26" s="3532">
        <v>1</v>
      </c>
      <c r="V26" s="3532" t="s">
        <v>840</v>
      </c>
      <c r="W26" s="1023"/>
      <c r="X26" s="1023"/>
      <c r="Y26" s="1023"/>
      <c r="Z26" s="1023"/>
      <c r="AA26" s="1481"/>
      <c r="AB26" s="1023"/>
      <c r="AC26" s="3617"/>
      <c r="AD26" s="521"/>
      <c r="AE26" s="1023"/>
      <c r="AF26" s="1023"/>
      <c r="AG26" s="1481"/>
      <c r="AH26" s="1481"/>
      <c r="AI26" s="1481"/>
      <c r="AJ26" s="1481"/>
      <c r="AK26" s="1481"/>
      <c r="AL26" s="1481"/>
      <c r="AM26" s="1481"/>
      <c r="AN26" s="1481"/>
      <c r="AO26" s="1481"/>
      <c r="AP26" s="1481"/>
      <c r="AQ26" s="1481"/>
      <c r="AR26" s="1481"/>
      <c r="AS26" s="1481"/>
      <c r="AT26" s="1481"/>
      <c r="AU26" s="1481"/>
      <c r="AV26" s="1481"/>
      <c r="AW26" s="1481"/>
      <c r="AX26" s="1481"/>
      <c r="AY26" s="1481"/>
      <c r="AZ26" s="1481"/>
      <c r="BA26" s="1481"/>
      <c r="BB26" s="1481"/>
      <c r="BC26" s="1481"/>
      <c r="BD26" s="1481"/>
      <c r="BE26" s="1481"/>
      <c r="BF26" s="1481"/>
      <c r="BG26" s="1481"/>
      <c r="BH26" s="1481"/>
      <c r="BI26" s="1481"/>
      <c r="BJ26" s="1481"/>
      <c r="BK26" s="1481"/>
      <c r="BL26" s="1481"/>
      <c r="BM26" s="1481"/>
      <c r="BN26" s="1481"/>
      <c r="BO26" s="1481"/>
      <c r="BP26" s="1481"/>
      <c r="BQ26" s="1481"/>
      <c r="BR26" s="1481"/>
      <c r="BS26" s="1481"/>
      <c r="BT26" s="1481"/>
      <c r="BU26" s="1481"/>
      <c r="BV26" s="1023"/>
      <c r="BW26" s="1023"/>
      <c r="BX26" s="1023"/>
      <c r="BY26" s="1023"/>
      <c r="BZ26" s="1023"/>
      <c r="CA26" s="1023"/>
      <c r="CB26" s="1023"/>
      <c r="CC26" s="1023"/>
      <c r="CD26" s="1023"/>
      <c r="CE26" s="1023"/>
    </row>
    <row r="27" spans="1:83" ht="11.25" hidden="1" customHeight="1">
      <c r="A27" s="1636"/>
      <c r="B27" s="1481"/>
      <c r="C27" s="1481"/>
      <c r="D27" s="3622"/>
      <c r="E27" s="527"/>
      <c r="F27" s="527">
        <v>0</v>
      </c>
      <c r="G27" s="527"/>
      <c r="H27" s="527"/>
      <c r="I27" s="527"/>
      <c r="J27" s="527"/>
      <c r="K27" s="527"/>
      <c r="L27" s="527"/>
      <c r="M27" s="527"/>
      <c r="N27" s="527"/>
      <c r="O27" s="527"/>
      <c r="P27" s="527"/>
      <c r="Q27" s="527"/>
      <c r="R27" s="527"/>
      <c r="S27" s="528"/>
      <c r="T27" s="608"/>
      <c r="U27" s="3532"/>
      <c r="V27" s="3532"/>
      <c r="W27" s="1481"/>
      <c r="X27" s="1481"/>
      <c r="Y27" s="1481"/>
      <c r="Z27" s="1481"/>
      <c r="AA27" s="1481"/>
      <c r="AB27" s="1023"/>
      <c r="AC27" s="3617"/>
      <c r="AD27" s="521"/>
      <c r="AE27" s="1023"/>
      <c r="AF27" s="1023"/>
      <c r="AG27" s="1481"/>
      <c r="AH27" s="1481"/>
      <c r="AI27" s="1481"/>
      <c r="AJ27" s="1481"/>
      <c r="AK27" s="1481"/>
      <c r="AL27" s="1481"/>
      <c r="AM27" s="1481"/>
      <c r="AN27" s="1481"/>
      <c r="AO27" s="1481"/>
      <c r="AP27" s="1481"/>
      <c r="AQ27" s="1481"/>
      <c r="AR27" s="1481"/>
      <c r="AS27" s="1481"/>
      <c r="AT27" s="1481"/>
      <c r="AU27" s="1481"/>
      <c r="AV27" s="1481"/>
      <c r="AW27" s="1481"/>
      <c r="AX27" s="1481"/>
      <c r="AY27" s="1481"/>
      <c r="AZ27" s="1481"/>
      <c r="BA27" s="1481"/>
      <c r="BB27" s="1481"/>
      <c r="BC27" s="1481"/>
      <c r="BD27" s="1481"/>
      <c r="BE27" s="1481"/>
      <c r="BF27" s="1481"/>
      <c r="BG27" s="1481"/>
      <c r="BH27" s="1481"/>
      <c r="BI27" s="1481"/>
      <c r="BJ27" s="1481"/>
      <c r="BK27" s="1481"/>
      <c r="BL27" s="1481"/>
      <c r="BM27" s="1481"/>
      <c r="BN27" s="1481"/>
      <c r="BO27" s="1481"/>
      <c r="BP27" s="1481"/>
      <c r="BQ27" s="1481"/>
      <c r="BR27" s="1481"/>
      <c r="BS27" s="1481"/>
      <c r="BT27" s="1481"/>
      <c r="BU27" s="1481"/>
      <c r="BV27" s="1481"/>
      <c r="BW27" s="1481"/>
      <c r="BX27" s="1481"/>
      <c r="BY27" s="1481"/>
      <c r="BZ27" s="1481"/>
      <c r="CA27" s="1481"/>
      <c r="CB27" s="1481"/>
      <c r="CC27" s="1481"/>
      <c r="CD27" s="1481"/>
      <c r="CE27" s="1481"/>
    </row>
    <row r="28" spans="1:83" ht="11.25" hidden="1" customHeight="1">
      <c r="A28" s="1649"/>
      <c r="B28" s="1023"/>
      <c r="C28" s="319"/>
      <c r="D28" s="3622"/>
      <c r="E28" s="541" t="s">
        <v>18</v>
      </c>
      <c r="F28" s="1031" t="s">
        <v>18</v>
      </c>
      <c r="G28" s="1031" t="s">
        <v>880</v>
      </c>
      <c r="H28" s="543" t="s">
        <v>18</v>
      </c>
      <c r="I28" s="543"/>
      <c r="J28" s="543"/>
      <c r="K28" s="543"/>
      <c r="L28" s="543"/>
      <c r="M28" s="543"/>
      <c r="N28" s="543"/>
      <c r="O28" s="543"/>
      <c r="P28" s="543"/>
      <c r="Q28" s="543"/>
      <c r="R28" s="544"/>
      <c r="S28" s="545"/>
      <c r="T28" s="608"/>
      <c r="U28" s="3532"/>
      <c r="V28" s="3532"/>
      <c r="W28" s="1023"/>
      <c r="X28" s="1023"/>
      <c r="Y28" s="1023"/>
      <c r="Z28" s="1023"/>
      <c r="AA28" s="1481"/>
      <c r="AB28" s="1023"/>
      <c r="AC28" s="3617"/>
      <c r="AD28" s="521"/>
      <c r="AE28" s="1023"/>
      <c r="AF28" s="1023"/>
      <c r="AG28" s="1481"/>
      <c r="AH28" s="1481"/>
      <c r="AI28" s="1481"/>
      <c r="AJ28" s="1481"/>
      <c r="AK28" s="1481"/>
      <c r="AL28" s="1481"/>
      <c r="AM28" s="1481"/>
      <c r="AN28" s="1481"/>
      <c r="AO28" s="1481"/>
      <c r="AP28" s="1481"/>
      <c r="AQ28" s="1481"/>
      <c r="AR28" s="1481"/>
      <c r="AS28" s="1481"/>
      <c r="AT28" s="1481"/>
      <c r="AU28" s="1481"/>
      <c r="AV28" s="1481"/>
      <c r="AW28" s="1481"/>
      <c r="AX28" s="1481"/>
      <c r="AY28" s="1481"/>
      <c r="AZ28" s="1481"/>
      <c r="BA28" s="1481"/>
      <c r="BB28" s="1481"/>
      <c r="BC28" s="1481"/>
      <c r="BD28" s="1481"/>
      <c r="BE28" s="1481"/>
      <c r="BF28" s="1481"/>
      <c r="BG28" s="1481"/>
      <c r="BH28" s="1481"/>
      <c r="BI28" s="1481"/>
      <c r="BJ28" s="1481"/>
      <c r="BK28" s="1481"/>
      <c r="BL28" s="1481"/>
      <c r="BM28" s="1481"/>
      <c r="BN28" s="1481"/>
      <c r="BO28" s="1481"/>
      <c r="BP28" s="1481"/>
      <c r="BQ28" s="1481"/>
      <c r="BR28" s="1481"/>
      <c r="BS28" s="1481"/>
      <c r="BT28" s="1481"/>
      <c r="BU28" s="1481"/>
      <c r="BV28" s="1023"/>
      <c r="BW28" s="1023"/>
      <c r="BX28" s="1023"/>
      <c r="BY28" s="1023"/>
      <c r="BZ28" s="1023"/>
      <c r="CA28" s="1023"/>
      <c r="CB28" s="1023"/>
      <c r="CC28" s="1023"/>
      <c r="CD28" s="1023"/>
      <c r="CE28" s="1023"/>
    </row>
    <row r="29" spans="1:83" ht="5.25" hidden="1" customHeight="1">
      <c r="A29" s="1636"/>
      <c r="B29" s="1481"/>
      <c r="C29" s="1481"/>
      <c r="D29" s="3622"/>
      <c r="E29" s="909"/>
      <c r="F29" s="909"/>
      <c r="G29" s="909"/>
      <c r="H29" s="909"/>
      <c r="I29" s="909"/>
      <c r="J29" s="909"/>
      <c r="K29" s="909"/>
      <c r="L29" s="909"/>
      <c r="M29" s="909"/>
      <c r="N29" s="909"/>
      <c r="O29" s="909"/>
      <c r="P29" s="909"/>
      <c r="Q29" s="910"/>
      <c r="R29" s="911"/>
      <c r="S29" s="912"/>
      <c r="T29" s="607" t="s">
        <v>877</v>
      </c>
      <c r="U29" s="3532">
        <v>1</v>
      </c>
      <c r="V29" s="3532" t="s">
        <v>840</v>
      </c>
      <c r="W29" s="1481"/>
      <c r="X29" s="1481"/>
      <c r="Y29" s="1481"/>
      <c r="Z29" s="1481"/>
      <c r="AA29" s="1481"/>
      <c r="AB29" s="1481"/>
      <c r="AC29" s="907"/>
      <c r="AD29" s="908"/>
      <c r="AE29" s="1481"/>
      <c r="AF29" s="1481"/>
      <c r="AG29" s="1481"/>
      <c r="AH29" s="1481"/>
      <c r="AI29" s="1481"/>
      <c r="AJ29" s="1481"/>
      <c r="AK29" s="1481"/>
      <c r="AL29" s="1481"/>
      <c r="AM29" s="1481"/>
      <c r="AN29" s="1481"/>
      <c r="AO29" s="1481"/>
      <c r="AP29" s="1481"/>
      <c r="AQ29" s="1481"/>
      <c r="AR29" s="1481"/>
      <c r="AS29" s="1481"/>
      <c r="AT29" s="1481"/>
      <c r="AU29" s="1481"/>
      <c r="AV29" s="1481"/>
      <c r="AW29" s="1481"/>
      <c r="AX29" s="1481"/>
      <c r="AY29" s="1481"/>
      <c r="AZ29" s="1481"/>
      <c r="BA29" s="1481"/>
      <c r="BB29" s="1481"/>
      <c r="BC29" s="1481"/>
      <c r="BD29" s="1481"/>
      <c r="BE29" s="1481"/>
      <c r="BF29" s="1481"/>
      <c r="BG29" s="1481"/>
      <c r="BH29" s="1481"/>
      <c r="BI29" s="1481"/>
      <c r="BJ29" s="1481"/>
      <c r="BK29" s="1481"/>
      <c r="BL29" s="1481"/>
      <c r="BM29" s="1481"/>
      <c r="BN29" s="1481"/>
      <c r="BO29" s="1481"/>
      <c r="BP29" s="1481"/>
      <c r="BQ29" s="1481"/>
      <c r="BR29" s="1481"/>
      <c r="BS29" s="1481"/>
      <c r="BT29" s="1481"/>
      <c r="BU29" s="1481"/>
      <c r="BV29" s="1481"/>
      <c r="BW29" s="1481"/>
      <c r="BX29" s="1481"/>
      <c r="BY29" s="1481"/>
      <c r="BZ29" s="1481"/>
      <c r="CA29" s="1481"/>
      <c r="CB29" s="1481"/>
      <c r="CC29" s="1481"/>
      <c r="CD29" s="1481"/>
      <c r="CE29" s="1481"/>
    </row>
    <row r="30" spans="1:83" ht="5.25" hidden="1" customHeight="1">
      <c r="A30" s="1636"/>
      <c r="B30" s="1481"/>
      <c r="C30" s="1481"/>
      <c r="D30" s="3622"/>
      <c r="E30" s="527"/>
      <c r="F30" s="527"/>
      <c r="G30" s="527"/>
      <c r="H30" s="527"/>
      <c r="I30" s="527"/>
      <c r="J30" s="527"/>
      <c r="K30" s="527"/>
      <c r="L30" s="527"/>
      <c r="M30" s="527"/>
      <c r="N30" s="527"/>
      <c r="O30" s="527"/>
      <c r="P30" s="527"/>
      <c r="Q30" s="527"/>
      <c r="R30" s="527"/>
      <c r="S30" s="528"/>
      <c r="T30" s="608"/>
      <c r="U30" s="3532"/>
      <c r="V30" s="3532"/>
      <c r="W30" s="1481"/>
      <c r="X30" s="1481"/>
      <c r="Y30" s="1481"/>
      <c r="Z30" s="1481"/>
      <c r="AA30" s="1481"/>
      <c r="AB30" s="1481"/>
      <c r="AC30" s="907"/>
      <c r="AD30" s="908"/>
      <c r="AE30" s="1481"/>
      <c r="AF30" s="1481"/>
      <c r="AG30" s="1481"/>
      <c r="AH30" s="1481"/>
      <c r="AI30" s="1481"/>
      <c r="AJ30" s="1481"/>
      <c r="AK30" s="1481"/>
      <c r="AL30" s="1481"/>
      <c r="AM30" s="1481"/>
      <c r="AN30" s="1481"/>
      <c r="AO30" s="1481"/>
      <c r="AP30" s="1481"/>
      <c r="AQ30" s="1481"/>
      <c r="AR30" s="1481"/>
      <c r="AS30" s="1481"/>
      <c r="AT30" s="1481"/>
      <c r="AU30" s="1481"/>
      <c r="AV30" s="1481"/>
      <c r="AW30" s="1481"/>
      <c r="AX30" s="1481"/>
      <c r="AY30" s="1481"/>
      <c r="AZ30" s="1481"/>
      <c r="BA30" s="1481"/>
      <c r="BB30" s="1481"/>
      <c r="BC30" s="1481"/>
      <c r="BD30" s="1481"/>
      <c r="BE30" s="1481"/>
      <c r="BF30" s="1481"/>
      <c r="BG30" s="1481"/>
      <c r="BH30" s="1481"/>
      <c r="BI30" s="1481"/>
      <c r="BJ30" s="1481"/>
      <c r="BK30" s="1481"/>
      <c r="BL30" s="1481"/>
      <c r="BM30" s="1481"/>
      <c r="BN30" s="1481"/>
      <c r="BO30" s="1481"/>
      <c r="BP30" s="1481"/>
      <c r="BQ30" s="1481"/>
      <c r="BR30" s="1481"/>
      <c r="BS30" s="1481"/>
      <c r="BT30" s="1481"/>
      <c r="BU30" s="1481"/>
      <c r="BV30" s="1481"/>
      <c r="BW30" s="1481"/>
      <c r="BX30" s="1481"/>
      <c r="BY30" s="1481"/>
      <c r="BZ30" s="1481"/>
      <c r="CA30" s="1481"/>
      <c r="CB30" s="1481"/>
      <c r="CC30" s="1481"/>
      <c r="CD30" s="1481"/>
      <c r="CE30" s="1481"/>
    </row>
    <row r="31" spans="1:83" ht="5.25" hidden="1" customHeight="1">
      <c r="A31" s="1636"/>
      <c r="B31" s="1481"/>
      <c r="C31" s="1481"/>
      <c r="D31" s="3623"/>
      <c r="E31" s="913"/>
      <c r="F31" s="914"/>
      <c r="G31" s="914"/>
      <c r="H31" s="915"/>
      <c r="I31" s="915"/>
      <c r="J31" s="915"/>
      <c r="K31" s="915"/>
      <c r="L31" s="915"/>
      <c r="M31" s="915"/>
      <c r="N31" s="915"/>
      <c r="O31" s="915"/>
      <c r="P31" s="915"/>
      <c r="Q31" s="915"/>
      <c r="R31" s="818"/>
      <c r="S31" s="916"/>
      <c r="T31" s="608"/>
      <c r="U31" s="3532"/>
      <c r="V31" s="3532"/>
      <c r="W31" s="1481"/>
      <c r="X31" s="1481"/>
      <c r="Y31" s="1481"/>
      <c r="Z31" s="1481"/>
      <c r="AA31" s="1481"/>
      <c r="AB31" s="1481"/>
      <c r="AC31" s="907"/>
      <c r="AD31" s="908"/>
      <c r="AE31" s="1481"/>
      <c r="AF31" s="1481"/>
      <c r="AG31" s="1481"/>
      <c r="AH31" s="1481"/>
      <c r="AI31" s="1481"/>
      <c r="AJ31" s="1481"/>
      <c r="AK31" s="1481"/>
      <c r="AL31" s="1481"/>
      <c r="AM31" s="1481"/>
      <c r="AN31" s="1481"/>
      <c r="AO31" s="1481"/>
      <c r="AP31" s="1481"/>
      <c r="AQ31" s="1481"/>
      <c r="AR31" s="1481"/>
      <c r="AS31" s="1481"/>
      <c r="AT31" s="1481"/>
      <c r="AU31" s="1481"/>
      <c r="AV31" s="1481"/>
      <c r="AW31" s="1481"/>
      <c r="AX31" s="1481"/>
      <c r="AY31" s="1481"/>
      <c r="AZ31" s="1481"/>
      <c r="BA31" s="1481"/>
      <c r="BB31" s="1481"/>
      <c r="BC31" s="1481"/>
      <c r="BD31" s="1481"/>
      <c r="BE31" s="1481"/>
      <c r="BF31" s="1481"/>
      <c r="BG31" s="1481"/>
      <c r="BH31" s="1481"/>
      <c r="BI31" s="1481"/>
      <c r="BJ31" s="1481"/>
      <c r="BK31" s="1481"/>
      <c r="BL31" s="1481"/>
      <c r="BM31" s="1481"/>
      <c r="BN31" s="1481"/>
      <c r="BO31" s="1481"/>
      <c r="BP31" s="1481"/>
      <c r="BQ31" s="1481"/>
      <c r="BR31" s="1481"/>
      <c r="BS31" s="1481"/>
      <c r="BT31" s="1481"/>
      <c r="BU31" s="1481"/>
      <c r="BV31" s="1481"/>
      <c r="BW31" s="1481"/>
      <c r="BX31" s="1481"/>
      <c r="BY31" s="1481"/>
      <c r="BZ31" s="1481"/>
      <c r="CA31" s="1481"/>
      <c r="CB31" s="1481"/>
      <c r="CC31" s="1481"/>
      <c r="CD31" s="1481"/>
      <c r="CE31" s="1481"/>
    </row>
    <row r="32" spans="1:83" ht="15" hidden="1" customHeight="1">
      <c r="A32" s="516" t="s">
        <v>122</v>
      </c>
      <c r="B32"/>
      <c r="C32" t="s">
        <v>18</v>
      </c>
      <c r="D32" s="3621" t="s">
        <v>881</v>
      </c>
      <c r="E32" s="3618" t="s">
        <v>102</v>
      </c>
      <c r="F32" s="3619"/>
      <c r="G32" s="3620"/>
      <c r="H32" s="3614" t="str">
        <f>IF(A32="","",INDEX(DIFFERENTIATION_UNMERGE_VD,MATCH(A32,DIFFERENTIATION_ID_DIFF,0)))</f>
        <v>Производство тепловой энергии. Некомбинированная выработка</v>
      </c>
      <c r="I32" s="3614"/>
      <c r="J32" s="3614"/>
      <c r="K32" s="3614"/>
      <c r="L32" s="3614"/>
      <c r="M32" s="3614"/>
      <c r="N32" s="3614"/>
      <c r="O32" s="3614"/>
      <c r="P32" s="3614"/>
      <c r="Q32" s="3614"/>
      <c r="R32" s="3614"/>
      <c r="S32" s="609"/>
      <c r="T32" s="606"/>
      <c r="U32" s="517"/>
      <c r="V32" s="517"/>
      <c r="W32" s="518"/>
      <c r="X32" s="518"/>
      <c r="Y32" s="518"/>
      <c r="Z32" s="518"/>
      <c r="AA32" s="519"/>
      <c r="AB32" s="520"/>
      <c r="AC32" s="3617"/>
      <c r="AD32" s="521"/>
      <c r="AE32" s="522" t="s">
        <v>18</v>
      </c>
      <c r="AF32" s="522"/>
      <c r="AG32" s="523" t="s">
        <v>874</v>
      </c>
      <c r="AH32" s="524">
        <v>3</v>
      </c>
      <c r="AI32" s="517"/>
      <c r="AJ32" s="517"/>
      <c r="AK32" s="517"/>
      <c r="AL32" s="517"/>
      <c r="AM32" s="517"/>
      <c r="AN32" s="517"/>
      <c r="AO32" s="517"/>
      <c r="AP32" s="517"/>
      <c r="AQ32" s="517"/>
      <c r="AR32" s="517"/>
      <c r="AS32" s="517"/>
      <c r="AT32" s="517"/>
      <c r="AU32" s="517"/>
      <c r="AV32" s="517"/>
      <c r="AW32" s="517"/>
      <c r="AX32" s="517"/>
      <c r="AY32" s="517"/>
      <c r="AZ32" s="517"/>
      <c r="BA32" s="517"/>
      <c r="BB32" s="517"/>
      <c r="BC32" s="517"/>
      <c r="BD32" s="517"/>
      <c r="BE32" s="517"/>
      <c r="BF32" s="517"/>
      <c r="BG32" s="517"/>
      <c r="BH32" s="517"/>
      <c r="BI32" s="517"/>
      <c r="BJ32" s="517"/>
      <c r="BK32" s="517"/>
      <c r="BL32" s="517"/>
      <c r="BM32" s="517"/>
      <c r="BN32" s="517"/>
      <c r="BO32" s="517"/>
      <c r="BP32" s="517"/>
      <c r="BQ32" s="517"/>
      <c r="BR32" s="517"/>
      <c r="BS32" s="517"/>
      <c r="BT32" s="517"/>
      <c r="BU32" s="517"/>
      <c r="BV32" s="518"/>
      <c r="BW32" s="518"/>
      <c r="BX32" s="518"/>
      <c r="BY32" s="518"/>
      <c r="BZ32" s="518"/>
      <c r="CA32" s="518"/>
      <c r="CB32" s="518"/>
      <c r="CC32" s="518"/>
      <c r="CD32" s="518"/>
      <c r="CE32" s="518"/>
    </row>
    <row r="33" spans="1:83" ht="15" hidden="1" customHeight="1">
      <c r="A33" s="516"/>
      <c r="B33"/>
      <c r="C33"/>
      <c r="D33" s="3622"/>
      <c r="E33" s="3618" t="s">
        <v>829</v>
      </c>
      <c r="F33" s="3619"/>
      <c r="G33" s="3620"/>
      <c r="H33" s="3614" t="str">
        <f>IF(A32="","",INDEX(DIFFERENTIATION_UNMERGE_AREA,MATCH(A32,DIFFERENTIATION_ID_DIFF,0)))</f>
        <v>Территория 1</v>
      </c>
      <c r="I33" s="3614"/>
      <c r="J33" s="3614"/>
      <c r="K33" s="3614"/>
      <c r="L33" s="3614"/>
      <c r="M33" s="3614"/>
      <c r="N33" s="3614"/>
      <c r="O33" s="3614"/>
      <c r="P33" s="3614"/>
      <c r="Q33" s="3614"/>
      <c r="R33" s="3614"/>
      <c r="S33" s="609"/>
      <c r="T33" s="606"/>
      <c r="U33" s="517"/>
      <c r="V33" s="517"/>
      <c r="W33" s="518"/>
      <c r="X33" s="518"/>
      <c r="Y33" s="518"/>
      <c r="Z33" s="518"/>
      <c r="AA33" s="519"/>
      <c r="AB33" s="520"/>
      <c r="AC33" s="3617"/>
      <c r="AD33" s="521"/>
      <c r="AE33" s="522"/>
      <c r="AF33" s="522"/>
      <c r="AG33" s="523"/>
      <c r="AH33" s="524"/>
      <c r="AI33" s="517"/>
      <c r="AJ33" s="517"/>
      <c r="AK33" s="517"/>
      <c r="AL33" s="517"/>
      <c r="AM33" s="517"/>
      <c r="AN33" s="517"/>
      <c r="AO33" s="517"/>
      <c r="AP33" s="517"/>
      <c r="AQ33" s="517"/>
      <c r="AR33" s="517"/>
      <c r="AS33" s="517"/>
      <c r="AT33" s="517"/>
      <c r="AU33" s="517"/>
      <c r="AV33" s="517"/>
      <c r="AW33" s="517"/>
      <c r="AX33" s="517"/>
      <c r="AY33" s="517"/>
      <c r="AZ33" s="517"/>
      <c r="BA33" s="517"/>
      <c r="BB33" s="517"/>
      <c r="BC33" s="517"/>
      <c r="BD33" s="517"/>
      <c r="BE33" s="517"/>
      <c r="BF33" s="517"/>
      <c r="BG33" s="517"/>
      <c r="BH33" s="517"/>
      <c r="BI33" s="517"/>
      <c r="BJ33" s="517"/>
      <c r="BK33" s="517"/>
      <c r="BL33" s="517"/>
      <c r="BM33" s="517"/>
      <c r="BN33" s="517"/>
      <c r="BO33" s="517"/>
      <c r="BP33" s="517"/>
      <c r="BQ33" s="517"/>
      <c r="BR33" s="517"/>
      <c r="BS33" s="517"/>
      <c r="BT33" s="517"/>
      <c r="BU33" s="517"/>
      <c r="BV33" s="518"/>
      <c r="BW33" s="518"/>
      <c r="BX33" s="518"/>
      <c r="BY33" s="518"/>
      <c r="BZ33" s="518"/>
      <c r="CA33" s="518"/>
      <c r="CB33" s="518"/>
      <c r="CC33" s="518"/>
      <c r="CD33" s="518"/>
      <c r="CE33" s="518"/>
    </row>
    <row r="34" spans="1:83" ht="15" hidden="1" customHeight="1">
      <c r="A34" s="516"/>
      <c r="B34"/>
      <c r="C34"/>
      <c r="D34" s="3622"/>
      <c r="E34" s="3618" t="s">
        <v>830</v>
      </c>
      <c r="F34" s="3619"/>
      <c r="G34" s="3620"/>
      <c r="H34" s="3614" t="str">
        <f>IF(A32="","",INDEX(DIFFERENTIATION_UNMERGE_SYSTEM,MATCH(A32,DIFFERENTIATION_ID_DIFF,0)))</f>
        <v>Бетонный, 4а</v>
      </c>
      <c r="I34" s="3614"/>
      <c r="J34" s="3614"/>
      <c r="K34" s="3614"/>
      <c r="L34" s="3614"/>
      <c r="M34" s="3614"/>
      <c r="N34" s="3614"/>
      <c r="O34" s="3614"/>
      <c r="P34" s="3614"/>
      <c r="Q34" s="3614"/>
      <c r="R34" s="3614"/>
      <c r="S34" s="609"/>
      <c r="T34" s="606"/>
      <c r="U34" s="517"/>
      <c r="V34" s="517"/>
      <c r="W34" s="518"/>
      <c r="X34" s="518"/>
      <c r="Y34" s="518"/>
      <c r="Z34" s="518"/>
      <c r="AA34" s="519"/>
      <c r="AB34" s="520"/>
      <c r="AC34" s="3617"/>
      <c r="AD34" s="521"/>
      <c r="AE34" s="522"/>
      <c r="AF34" s="522"/>
      <c r="AG34" s="523"/>
      <c r="AH34" s="524"/>
      <c r="AI34" s="517"/>
      <c r="AJ34" s="517"/>
      <c r="AK34" s="517"/>
      <c r="AL34" s="517"/>
      <c r="AM34" s="517"/>
      <c r="AN34" s="517"/>
      <c r="AO34" s="517"/>
      <c r="AP34" s="517"/>
      <c r="AQ34" s="517"/>
      <c r="AR34" s="517"/>
      <c r="AS34" s="517"/>
      <c r="AT34" s="517"/>
      <c r="AU34" s="517"/>
      <c r="AV34" s="517"/>
      <c r="AW34" s="517"/>
      <c r="AX34" s="517"/>
      <c r="AY34" s="517"/>
      <c r="AZ34" s="517"/>
      <c r="BA34" s="517"/>
      <c r="BB34" s="517"/>
      <c r="BC34" s="517"/>
      <c r="BD34" s="517"/>
      <c r="BE34" s="517"/>
      <c r="BF34" s="517"/>
      <c r="BG34" s="517"/>
      <c r="BH34" s="517"/>
      <c r="BI34" s="517"/>
      <c r="BJ34" s="517"/>
      <c r="BK34" s="517"/>
      <c r="BL34" s="517"/>
      <c r="BM34" s="517"/>
      <c r="BN34" s="517"/>
      <c r="BO34" s="517"/>
      <c r="BP34" s="517"/>
      <c r="BQ34" s="517"/>
      <c r="BR34" s="517"/>
      <c r="BS34" s="517"/>
      <c r="BT34" s="517"/>
      <c r="BU34" s="517"/>
      <c r="BV34" s="518"/>
      <c r="BW34" s="518"/>
      <c r="BX34" s="518"/>
      <c r="BY34" s="518"/>
      <c r="BZ34" s="518"/>
      <c r="CA34" s="518"/>
      <c r="CB34" s="518"/>
      <c r="CC34" s="518"/>
      <c r="CD34" s="518"/>
      <c r="CE34" s="518"/>
    </row>
    <row r="35" spans="1:83" ht="24.75" hidden="1" customHeight="1">
      <c r="A35" s="1649"/>
      <c r="B35" s="1023"/>
      <c r="C35" s="319"/>
      <c r="D35" s="3622"/>
      <c r="E35" s="3616" t="s">
        <v>875</v>
      </c>
      <c r="F35" s="3616"/>
      <c r="G35" s="3616"/>
      <c r="H35" s="3616"/>
      <c r="I35" s="3616"/>
      <c r="J35" s="3616"/>
      <c r="K35" s="3616"/>
      <c r="L35" s="3616"/>
      <c r="M35" s="3616"/>
      <c r="N35" s="3616"/>
      <c r="O35" s="3616"/>
      <c r="P35" s="3616"/>
      <c r="Q35" s="455">
        <f>SUMIF(T36:T37,"i",Q36:Q37)</f>
        <v>0</v>
      </c>
      <c r="R35" s="887"/>
      <c r="S35" s="1641" t="s">
        <v>876</v>
      </c>
      <c r="T35" s="607" t="s">
        <v>877</v>
      </c>
      <c r="U35" s="3532">
        <v>1</v>
      </c>
      <c r="V35" s="3532" t="s">
        <v>840</v>
      </c>
      <c r="W35" s="1023"/>
      <c r="X35" s="1023"/>
      <c r="Y35" s="1023"/>
      <c r="Z35" s="1023"/>
      <c r="AA35" s="1481"/>
      <c r="AB35" s="1023"/>
      <c r="AC35" s="3617"/>
      <c r="AD35" s="521"/>
      <c r="AE35" s="1023"/>
      <c r="AF35" s="1023"/>
      <c r="AG35" s="1481"/>
      <c r="AH35" s="1481"/>
      <c r="AI35" s="1481"/>
      <c r="AJ35" s="1481"/>
      <c r="AK35" s="1481"/>
      <c r="AL35" s="1481"/>
      <c r="AM35" s="1481"/>
      <c r="AN35" s="1481"/>
      <c r="AO35" s="1481"/>
      <c r="AP35" s="1481"/>
      <c r="AQ35" s="1481"/>
      <c r="AR35" s="1481"/>
      <c r="AS35" s="1481"/>
      <c r="AT35" s="1481"/>
      <c r="AU35" s="1481"/>
      <c r="AV35" s="1481"/>
      <c r="AW35" s="1481"/>
      <c r="AX35" s="1481"/>
      <c r="AY35" s="1481"/>
      <c r="AZ35" s="1481"/>
      <c r="BA35" s="1481"/>
      <c r="BB35" s="1481"/>
      <c r="BC35" s="1481"/>
      <c r="BD35" s="1481"/>
      <c r="BE35" s="1481"/>
      <c r="BF35" s="1481"/>
      <c r="BG35" s="1481"/>
      <c r="BH35" s="1481"/>
      <c r="BI35" s="1481"/>
      <c r="BJ35" s="1481"/>
      <c r="BK35" s="1481"/>
      <c r="BL35" s="1481"/>
      <c r="BM35" s="1481"/>
      <c r="BN35" s="1481"/>
      <c r="BO35" s="1481"/>
      <c r="BP35" s="1481"/>
      <c r="BQ35" s="1481"/>
      <c r="BR35" s="1481"/>
      <c r="BS35" s="1481"/>
      <c r="BT35" s="1481"/>
      <c r="BU35" s="1481"/>
      <c r="BV35" s="1023"/>
      <c r="BW35" s="1023"/>
      <c r="BX35" s="1023"/>
      <c r="BY35" s="1023"/>
      <c r="BZ35" s="1023"/>
      <c r="CA35" s="1023"/>
      <c r="CB35" s="1023"/>
      <c r="CC35" s="1023"/>
      <c r="CD35" s="1023"/>
      <c r="CE35" s="1023"/>
    </row>
    <row r="36" spans="1:83" ht="11.25" hidden="1" customHeight="1">
      <c r="A36" s="1636"/>
      <c r="B36" s="1481"/>
      <c r="C36" s="1481"/>
      <c r="D36" s="3622"/>
      <c r="E36" s="527"/>
      <c r="F36" s="527">
        <v>0</v>
      </c>
      <c r="G36" s="527"/>
      <c r="H36" s="527"/>
      <c r="I36" s="527"/>
      <c r="J36" s="527"/>
      <c r="K36" s="527"/>
      <c r="L36" s="527"/>
      <c r="M36" s="527"/>
      <c r="N36" s="527"/>
      <c r="O36" s="527"/>
      <c r="P36" s="527"/>
      <c r="Q36" s="527"/>
      <c r="R36" s="527"/>
      <c r="S36" s="528"/>
      <c r="T36" s="608"/>
      <c r="U36" s="3532"/>
      <c r="V36" s="3532"/>
      <c r="W36" s="1481"/>
      <c r="X36" s="1481"/>
      <c r="Y36" s="1481"/>
      <c r="Z36" s="1481"/>
      <c r="AA36" s="1481"/>
      <c r="AB36" s="1023"/>
      <c r="AC36" s="3617"/>
      <c r="AD36" s="521"/>
      <c r="AE36" s="1023"/>
      <c r="AF36" s="1023"/>
      <c r="AG36" s="1481"/>
      <c r="AH36" s="1481"/>
      <c r="AI36" s="1481"/>
      <c r="AJ36" s="1481"/>
      <c r="AK36" s="1481"/>
      <c r="AL36" s="1481"/>
      <c r="AM36" s="1481"/>
      <c r="AN36" s="1481"/>
      <c r="AO36" s="1481"/>
      <c r="AP36" s="1481"/>
      <c r="AQ36" s="1481"/>
      <c r="AR36" s="1481"/>
      <c r="AS36" s="1481"/>
      <c r="AT36" s="1481"/>
      <c r="AU36" s="1481"/>
      <c r="AV36" s="1481"/>
      <c r="AW36" s="1481"/>
      <c r="AX36" s="1481"/>
      <c r="AY36" s="1481"/>
      <c r="AZ36" s="1481"/>
      <c r="BA36" s="1481"/>
      <c r="BB36" s="1481"/>
      <c r="BC36" s="1481"/>
      <c r="BD36" s="1481"/>
      <c r="BE36" s="1481"/>
      <c r="BF36" s="1481"/>
      <c r="BG36" s="1481"/>
      <c r="BH36" s="1481"/>
      <c r="BI36" s="1481"/>
      <c r="BJ36" s="1481"/>
      <c r="BK36" s="1481"/>
      <c r="BL36" s="1481"/>
      <c r="BM36" s="1481"/>
      <c r="BN36" s="1481"/>
      <c r="BO36" s="1481"/>
      <c r="BP36" s="1481"/>
      <c r="BQ36" s="1481"/>
      <c r="BR36" s="1481"/>
      <c r="BS36" s="1481"/>
      <c r="BT36" s="1481"/>
      <c r="BU36" s="1481"/>
      <c r="BV36" s="1481"/>
      <c r="BW36" s="1481"/>
      <c r="BX36" s="1481"/>
      <c r="BY36" s="1481"/>
      <c r="BZ36" s="1481"/>
      <c r="CA36" s="1481"/>
      <c r="CB36" s="1481"/>
      <c r="CC36" s="1481"/>
      <c r="CD36" s="1481"/>
      <c r="CE36" s="1481"/>
    </row>
    <row r="37" spans="1:83" ht="11.25" hidden="1" customHeight="1">
      <c r="A37" s="1649"/>
      <c r="B37" s="1023"/>
      <c r="C37" s="319"/>
      <c r="D37" s="3622"/>
      <c r="E37" s="541" t="s">
        <v>18</v>
      </c>
      <c r="F37" s="1031" t="s">
        <v>18</v>
      </c>
      <c r="G37" s="1031" t="s">
        <v>880</v>
      </c>
      <c r="H37" s="543" t="s">
        <v>18</v>
      </c>
      <c r="I37" s="543"/>
      <c r="J37" s="543"/>
      <c r="K37" s="543"/>
      <c r="L37" s="543"/>
      <c r="M37" s="543"/>
      <c r="N37" s="543"/>
      <c r="O37" s="543"/>
      <c r="P37" s="543"/>
      <c r="Q37" s="543"/>
      <c r="R37" s="544"/>
      <c r="S37" s="545"/>
      <c r="T37" s="608"/>
      <c r="U37" s="3532"/>
      <c r="V37" s="3532"/>
      <c r="W37" s="1023"/>
      <c r="X37" s="1023"/>
      <c r="Y37" s="1023"/>
      <c r="Z37" s="1023"/>
      <c r="AA37" s="1481"/>
      <c r="AB37" s="1023"/>
      <c r="AC37" s="3617"/>
      <c r="AD37" s="521"/>
      <c r="AE37" s="1023"/>
      <c r="AF37" s="1023"/>
      <c r="AG37" s="1481"/>
      <c r="AH37" s="1481"/>
      <c r="AI37" s="1481"/>
      <c r="AJ37" s="1481"/>
      <c r="AK37" s="1481"/>
      <c r="AL37" s="1481"/>
      <c r="AM37" s="1481"/>
      <c r="AN37" s="1481"/>
      <c r="AO37" s="1481"/>
      <c r="AP37" s="1481"/>
      <c r="AQ37" s="1481"/>
      <c r="AR37" s="1481"/>
      <c r="AS37" s="1481"/>
      <c r="AT37" s="1481"/>
      <c r="AU37" s="1481"/>
      <c r="AV37" s="1481"/>
      <c r="AW37" s="1481"/>
      <c r="AX37" s="1481"/>
      <c r="AY37" s="1481"/>
      <c r="AZ37" s="1481"/>
      <c r="BA37" s="1481"/>
      <c r="BB37" s="1481"/>
      <c r="BC37" s="1481"/>
      <c r="BD37" s="1481"/>
      <c r="BE37" s="1481"/>
      <c r="BF37" s="1481"/>
      <c r="BG37" s="1481"/>
      <c r="BH37" s="1481"/>
      <c r="BI37" s="1481"/>
      <c r="BJ37" s="1481"/>
      <c r="BK37" s="1481"/>
      <c r="BL37" s="1481"/>
      <c r="BM37" s="1481"/>
      <c r="BN37" s="1481"/>
      <c r="BO37" s="1481"/>
      <c r="BP37" s="1481"/>
      <c r="BQ37" s="1481"/>
      <c r="BR37" s="1481"/>
      <c r="BS37" s="1481"/>
      <c r="BT37" s="1481"/>
      <c r="BU37" s="1481"/>
      <c r="BV37" s="1023"/>
      <c r="BW37" s="1023"/>
      <c r="BX37" s="1023"/>
      <c r="BY37" s="1023"/>
      <c r="BZ37" s="1023"/>
      <c r="CA37" s="1023"/>
      <c r="CB37" s="1023"/>
      <c r="CC37" s="1023"/>
      <c r="CD37" s="1023"/>
      <c r="CE37" s="1023"/>
    </row>
    <row r="38" spans="1:83" ht="5.25" hidden="1" customHeight="1">
      <c r="A38" s="1636"/>
      <c r="B38" s="1481"/>
      <c r="C38" s="1481"/>
      <c r="D38" s="3622"/>
      <c r="E38" s="909"/>
      <c r="F38" s="909"/>
      <c r="G38" s="909"/>
      <c r="H38" s="909"/>
      <c r="I38" s="909"/>
      <c r="J38" s="909"/>
      <c r="K38" s="909"/>
      <c r="L38" s="909"/>
      <c r="M38" s="909"/>
      <c r="N38" s="909"/>
      <c r="O38" s="909"/>
      <c r="P38" s="909"/>
      <c r="Q38" s="910"/>
      <c r="R38" s="911"/>
      <c r="S38" s="912"/>
      <c r="T38" s="607" t="s">
        <v>877</v>
      </c>
      <c r="U38" s="3532">
        <v>1</v>
      </c>
      <c r="V38" s="3532" t="s">
        <v>840</v>
      </c>
      <c r="W38" s="1481"/>
      <c r="X38" s="1481"/>
      <c r="Y38" s="1481"/>
      <c r="Z38" s="1481"/>
      <c r="AA38" s="1481"/>
      <c r="AB38" s="1481"/>
      <c r="AC38" s="907"/>
      <c r="AD38" s="908"/>
      <c r="AE38" s="1481"/>
      <c r="AF38" s="1481"/>
      <c r="AG38" s="1481"/>
      <c r="AH38" s="1481"/>
      <c r="AI38" s="1481"/>
      <c r="AJ38" s="1481"/>
      <c r="AK38" s="1481"/>
      <c r="AL38" s="1481"/>
      <c r="AM38" s="1481"/>
      <c r="AN38" s="1481"/>
      <c r="AO38" s="1481"/>
      <c r="AP38" s="1481"/>
      <c r="AQ38" s="1481"/>
      <c r="AR38" s="1481"/>
      <c r="AS38" s="1481"/>
      <c r="AT38" s="1481"/>
      <c r="AU38" s="1481"/>
      <c r="AV38" s="1481"/>
      <c r="AW38" s="1481"/>
      <c r="AX38" s="1481"/>
      <c r="AY38" s="1481"/>
      <c r="AZ38" s="1481"/>
      <c r="BA38" s="1481"/>
      <c r="BB38" s="1481"/>
      <c r="BC38" s="1481"/>
      <c r="BD38" s="1481"/>
      <c r="BE38" s="1481"/>
      <c r="BF38" s="1481"/>
      <c r="BG38" s="1481"/>
      <c r="BH38" s="1481"/>
      <c r="BI38" s="1481"/>
      <c r="BJ38" s="1481"/>
      <c r="BK38" s="1481"/>
      <c r="BL38" s="1481"/>
      <c r="BM38" s="1481"/>
      <c r="BN38" s="1481"/>
      <c r="BO38" s="1481"/>
      <c r="BP38" s="1481"/>
      <c r="BQ38" s="1481"/>
      <c r="BR38" s="1481"/>
      <c r="BS38" s="1481"/>
      <c r="BT38" s="1481"/>
      <c r="BU38" s="1481"/>
      <c r="BV38" s="1481"/>
      <c r="BW38" s="1481"/>
      <c r="BX38" s="1481"/>
      <c r="BY38" s="1481"/>
      <c r="BZ38" s="1481"/>
      <c r="CA38" s="1481"/>
      <c r="CB38" s="1481"/>
      <c r="CC38" s="1481"/>
      <c r="CD38" s="1481"/>
      <c r="CE38" s="1481"/>
    </row>
    <row r="39" spans="1:83" ht="5.25" hidden="1" customHeight="1">
      <c r="A39" s="1636"/>
      <c r="B39" s="1481"/>
      <c r="C39" s="1481"/>
      <c r="D39" s="3622"/>
      <c r="E39" s="527"/>
      <c r="F39" s="527"/>
      <c r="G39" s="527"/>
      <c r="H39" s="527"/>
      <c r="I39" s="527"/>
      <c r="J39" s="527"/>
      <c r="K39" s="527"/>
      <c r="L39" s="527"/>
      <c r="M39" s="527"/>
      <c r="N39" s="527"/>
      <c r="O39" s="527"/>
      <c r="P39" s="527"/>
      <c r="Q39" s="527"/>
      <c r="R39" s="527"/>
      <c r="S39" s="528"/>
      <c r="T39" s="608"/>
      <c r="U39" s="3532"/>
      <c r="V39" s="3532"/>
      <c r="W39" s="1481"/>
      <c r="X39" s="1481"/>
      <c r="Y39" s="1481"/>
      <c r="Z39" s="1481"/>
      <c r="AA39" s="1481"/>
      <c r="AB39" s="1481"/>
      <c r="AC39" s="907"/>
      <c r="AD39" s="908"/>
      <c r="AE39" s="1481"/>
      <c r="AF39" s="1481"/>
      <c r="AG39" s="1481"/>
      <c r="AH39" s="1481"/>
      <c r="AI39" s="1481"/>
      <c r="AJ39" s="1481"/>
      <c r="AK39" s="1481"/>
      <c r="AL39" s="1481"/>
      <c r="AM39" s="1481"/>
      <c r="AN39" s="1481"/>
      <c r="AO39" s="1481"/>
      <c r="AP39" s="1481"/>
      <c r="AQ39" s="1481"/>
      <c r="AR39" s="1481"/>
      <c r="AS39" s="1481"/>
      <c r="AT39" s="1481"/>
      <c r="AU39" s="1481"/>
      <c r="AV39" s="1481"/>
      <c r="AW39" s="1481"/>
      <c r="AX39" s="1481"/>
      <c r="AY39" s="1481"/>
      <c r="AZ39" s="1481"/>
      <c r="BA39" s="1481"/>
      <c r="BB39" s="1481"/>
      <c r="BC39" s="1481"/>
      <c r="BD39" s="1481"/>
      <c r="BE39" s="1481"/>
      <c r="BF39" s="1481"/>
      <c r="BG39" s="1481"/>
      <c r="BH39" s="1481"/>
      <c r="BI39" s="1481"/>
      <c r="BJ39" s="1481"/>
      <c r="BK39" s="1481"/>
      <c r="BL39" s="1481"/>
      <c r="BM39" s="1481"/>
      <c r="BN39" s="1481"/>
      <c r="BO39" s="1481"/>
      <c r="BP39" s="1481"/>
      <c r="BQ39" s="1481"/>
      <c r="BR39" s="1481"/>
      <c r="BS39" s="1481"/>
      <c r="BT39" s="1481"/>
      <c r="BU39" s="1481"/>
      <c r="BV39" s="1481"/>
      <c r="BW39" s="1481"/>
      <c r="BX39" s="1481"/>
      <c r="BY39" s="1481"/>
      <c r="BZ39" s="1481"/>
      <c r="CA39" s="1481"/>
      <c r="CB39" s="1481"/>
      <c r="CC39" s="1481"/>
      <c r="CD39" s="1481"/>
      <c r="CE39" s="1481"/>
    </row>
    <row r="40" spans="1:83" ht="5.25" hidden="1" customHeight="1">
      <c r="A40" s="1636"/>
      <c r="B40" s="1481"/>
      <c r="C40" s="1481"/>
      <c r="D40" s="3623"/>
      <c r="E40" s="913"/>
      <c r="F40" s="914"/>
      <c r="G40" s="914"/>
      <c r="H40" s="915"/>
      <c r="I40" s="915"/>
      <c r="J40" s="915"/>
      <c r="K40" s="915"/>
      <c r="L40" s="915"/>
      <c r="M40" s="915"/>
      <c r="N40" s="915"/>
      <c r="O40" s="915"/>
      <c r="P40" s="915"/>
      <c r="Q40" s="915"/>
      <c r="R40" s="818"/>
      <c r="S40" s="916"/>
      <c r="T40" s="608"/>
      <c r="U40" s="3532"/>
      <c r="V40" s="3532"/>
      <c r="W40" s="1481"/>
      <c r="X40" s="1481"/>
      <c r="Y40" s="1481"/>
      <c r="Z40" s="1481"/>
      <c r="AA40" s="1481"/>
      <c r="AB40" s="1481"/>
      <c r="AC40" s="907"/>
      <c r="AD40" s="908"/>
      <c r="AE40" s="1481"/>
      <c r="AF40" s="1481"/>
      <c r="AG40" s="1481"/>
      <c r="AH40" s="1481"/>
      <c r="AI40" s="1481"/>
      <c r="AJ40" s="1481"/>
      <c r="AK40" s="1481"/>
      <c r="AL40" s="1481"/>
      <c r="AM40" s="1481"/>
      <c r="AN40" s="1481"/>
      <c r="AO40" s="1481"/>
      <c r="AP40" s="1481"/>
      <c r="AQ40" s="1481"/>
      <c r="AR40" s="1481"/>
      <c r="AS40" s="1481"/>
      <c r="AT40" s="1481"/>
      <c r="AU40" s="1481"/>
      <c r="AV40" s="1481"/>
      <c r="AW40" s="1481"/>
      <c r="AX40" s="1481"/>
      <c r="AY40" s="1481"/>
      <c r="AZ40" s="1481"/>
      <c r="BA40" s="1481"/>
      <c r="BB40" s="1481"/>
      <c r="BC40" s="1481"/>
      <c r="BD40" s="1481"/>
      <c r="BE40" s="1481"/>
      <c r="BF40" s="1481"/>
      <c r="BG40" s="1481"/>
      <c r="BH40" s="1481"/>
      <c r="BI40" s="1481"/>
      <c r="BJ40" s="1481"/>
      <c r="BK40" s="1481"/>
      <c r="BL40" s="1481"/>
      <c r="BM40" s="1481"/>
      <c r="BN40" s="1481"/>
      <c r="BO40" s="1481"/>
      <c r="BP40" s="1481"/>
      <c r="BQ40" s="1481"/>
      <c r="BR40" s="1481"/>
      <c r="BS40" s="1481"/>
      <c r="BT40" s="1481"/>
      <c r="BU40" s="1481"/>
      <c r="BV40" s="1481"/>
      <c r="BW40" s="1481"/>
      <c r="BX40" s="1481"/>
      <c r="BY40" s="1481"/>
      <c r="BZ40" s="1481"/>
      <c r="CA40" s="1481"/>
      <c r="CB40" s="1481"/>
      <c r="CC40" s="1481"/>
      <c r="CD40" s="1481"/>
      <c r="CE40" s="1481"/>
    </row>
    <row r="41" spans="1:83" ht="15" hidden="1" customHeight="1">
      <c r="A41" s="516" t="s">
        <v>124</v>
      </c>
      <c r="B41"/>
      <c r="C41" t="s">
        <v>18</v>
      </c>
      <c r="D41" s="3621" t="s">
        <v>882</v>
      </c>
      <c r="E41" s="3618" t="s">
        <v>102</v>
      </c>
      <c r="F41" s="3619"/>
      <c r="G41" s="3620"/>
      <c r="H41" s="3614" t="str">
        <f>IF(A41="","",INDEX(DIFFERENTIATION_UNMERGE_VD,MATCH(A41,DIFFERENTIATION_ID_DIFF,0)))</f>
        <v>Производство тепловой энергии. Некомбинированная выработка</v>
      </c>
      <c r="I41" s="3614"/>
      <c r="J41" s="3614"/>
      <c r="K41" s="3614"/>
      <c r="L41" s="3614"/>
      <c r="M41" s="3614"/>
      <c r="N41" s="3614"/>
      <c r="O41" s="3614"/>
      <c r="P41" s="3614"/>
      <c r="Q41" s="3614"/>
      <c r="R41" s="3614"/>
      <c r="S41" s="609"/>
      <c r="T41" s="606"/>
      <c r="U41" s="517"/>
      <c r="V41" s="517"/>
      <c r="W41" s="518"/>
      <c r="X41" s="518"/>
      <c r="Y41" s="518"/>
      <c r="Z41" s="518"/>
      <c r="AA41" s="519"/>
      <c r="AB41" s="520"/>
      <c r="AC41" s="3617"/>
      <c r="AD41" s="521"/>
      <c r="AE41" s="522" t="s">
        <v>18</v>
      </c>
      <c r="AF41" s="522"/>
      <c r="AG41" s="523" t="s">
        <v>874</v>
      </c>
      <c r="AH41" s="524">
        <v>3</v>
      </c>
      <c r="AI41" s="517"/>
      <c r="AJ41" s="517"/>
      <c r="AK41" s="517"/>
      <c r="AL41" s="517"/>
      <c r="AM41" s="517"/>
      <c r="AN41" s="517"/>
      <c r="AO41" s="517"/>
      <c r="AP41" s="517"/>
      <c r="AQ41" s="517"/>
      <c r="AR41" s="517"/>
      <c r="AS41" s="517"/>
      <c r="AT41" s="517"/>
      <c r="AU41" s="517"/>
      <c r="AV41" s="517"/>
      <c r="AW41" s="517"/>
      <c r="AX41" s="517"/>
      <c r="AY41" s="517"/>
      <c r="AZ41" s="517"/>
      <c r="BA41" s="517"/>
      <c r="BB41" s="517"/>
      <c r="BC41" s="517"/>
      <c r="BD41" s="517"/>
      <c r="BE41" s="517"/>
      <c r="BF41" s="517"/>
      <c r="BG41" s="517"/>
      <c r="BH41" s="517"/>
      <c r="BI41" s="517"/>
      <c r="BJ41" s="517"/>
      <c r="BK41" s="517"/>
      <c r="BL41" s="517"/>
      <c r="BM41" s="517"/>
      <c r="BN41" s="517"/>
      <c r="BO41" s="517"/>
      <c r="BP41" s="517"/>
      <c r="BQ41" s="517"/>
      <c r="BR41" s="517"/>
      <c r="BS41" s="517"/>
      <c r="BT41" s="517"/>
      <c r="BU41" s="517"/>
      <c r="BV41" s="518"/>
      <c r="BW41" s="518"/>
      <c r="BX41" s="518"/>
      <c r="BY41" s="518"/>
      <c r="BZ41" s="518"/>
      <c r="CA41" s="518"/>
      <c r="CB41" s="518"/>
      <c r="CC41" s="518"/>
      <c r="CD41" s="518"/>
      <c r="CE41" s="518"/>
    </row>
    <row r="42" spans="1:83" ht="15" hidden="1" customHeight="1">
      <c r="A42" s="516"/>
      <c r="B42"/>
      <c r="C42"/>
      <c r="D42" s="3622"/>
      <c r="E42" s="3618" t="s">
        <v>829</v>
      </c>
      <c r="F42" s="3619"/>
      <c r="G42" s="3620"/>
      <c r="H42" s="3614" t="str">
        <f>IF(A41="","",INDEX(DIFFERENTIATION_UNMERGE_AREA,MATCH(A41,DIFFERENTIATION_ID_DIFF,0)))</f>
        <v>Территория 1</v>
      </c>
      <c r="I42" s="3614"/>
      <c r="J42" s="3614"/>
      <c r="K42" s="3614"/>
      <c r="L42" s="3614"/>
      <c r="M42" s="3614"/>
      <c r="N42" s="3614"/>
      <c r="O42" s="3614"/>
      <c r="P42" s="3614"/>
      <c r="Q42" s="3614"/>
      <c r="R42" s="3614"/>
      <c r="S42" s="609"/>
      <c r="T42" s="606"/>
      <c r="U42" s="517"/>
      <c r="V42" s="517"/>
      <c r="W42" s="518"/>
      <c r="X42" s="518"/>
      <c r="Y42" s="518"/>
      <c r="Z42" s="518"/>
      <c r="AA42" s="519"/>
      <c r="AB42" s="520"/>
      <c r="AC42" s="3617"/>
      <c r="AD42" s="521"/>
      <c r="AE42" s="522"/>
      <c r="AF42" s="522"/>
      <c r="AG42" s="523"/>
      <c r="AH42" s="524"/>
      <c r="AI42" s="517"/>
      <c r="AJ42" s="517"/>
      <c r="AK42" s="517"/>
      <c r="AL42" s="517"/>
      <c r="AM42" s="517"/>
      <c r="AN42" s="517"/>
      <c r="AO42" s="517"/>
      <c r="AP42" s="517"/>
      <c r="AQ42" s="517"/>
      <c r="AR42" s="517"/>
      <c r="AS42" s="517"/>
      <c r="AT42" s="517"/>
      <c r="AU42" s="517"/>
      <c r="AV42" s="517"/>
      <c r="AW42" s="517"/>
      <c r="AX42" s="517"/>
      <c r="AY42" s="517"/>
      <c r="AZ42" s="517"/>
      <c r="BA42" s="517"/>
      <c r="BB42" s="517"/>
      <c r="BC42" s="517"/>
      <c r="BD42" s="517"/>
      <c r="BE42" s="517"/>
      <c r="BF42" s="517"/>
      <c r="BG42" s="517"/>
      <c r="BH42" s="517"/>
      <c r="BI42" s="517"/>
      <c r="BJ42" s="517"/>
      <c r="BK42" s="517"/>
      <c r="BL42" s="517"/>
      <c r="BM42" s="517"/>
      <c r="BN42" s="517"/>
      <c r="BO42" s="517"/>
      <c r="BP42" s="517"/>
      <c r="BQ42" s="517"/>
      <c r="BR42" s="517"/>
      <c r="BS42" s="517"/>
      <c r="BT42" s="517"/>
      <c r="BU42" s="517"/>
      <c r="BV42" s="518"/>
      <c r="BW42" s="518"/>
      <c r="BX42" s="518"/>
      <c r="BY42" s="518"/>
      <c r="BZ42" s="518"/>
      <c r="CA42" s="518"/>
      <c r="CB42" s="518"/>
      <c r="CC42" s="518"/>
      <c r="CD42" s="518"/>
      <c r="CE42" s="518"/>
    </row>
    <row r="43" spans="1:83" ht="15" hidden="1" customHeight="1">
      <c r="A43" s="516"/>
      <c r="B43"/>
      <c r="C43"/>
      <c r="D43" s="3622"/>
      <c r="E43" s="3618" t="s">
        <v>830</v>
      </c>
      <c r="F43" s="3619"/>
      <c r="G43" s="3620"/>
      <c r="H43" s="3614" t="str">
        <f>IF(A41="","",INDEX(DIFFERENTIATION_UNMERGE_SYSTEM,MATCH(A41,DIFFERENTIATION_ID_DIFF,0)))</f>
        <v>Ботанический, 2а</v>
      </c>
      <c r="I43" s="3614"/>
      <c r="J43" s="3614"/>
      <c r="K43" s="3614"/>
      <c r="L43" s="3614"/>
      <c r="M43" s="3614"/>
      <c r="N43" s="3614"/>
      <c r="O43" s="3614"/>
      <c r="P43" s="3614"/>
      <c r="Q43" s="3614"/>
      <c r="R43" s="3614"/>
      <c r="S43" s="609"/>
      <c r="T43" s="606"/>
      <c r="U43" s="517"/>
      <c r="V43" s="517"/>
      <c r="W43" s="518"/>
      <c r="X43" s="518"/>
      <c r="Y43" s="518"/>
      <c r="Z43" s="518"/>
      <c r="AA43" s="519"/>
      <c r="AB43" s="520"/>
      <c r="AC43" s="3617"/>
      <c r="AD43" s="521"/>
      <c r="AE43" s="522"/>
      <c r="AF43" s="522"/>
      <c r="AG43" s="523"/>
      <c r="AH43" s="524"/>
      <c r="AI43" s="517"/>
      <c r="AJ43" s="517"/>
      <c r="AK43" s="517"/>
      <c r="AL43" s="517"/>
      <c r="AM43" s="517"/>
      <c r="AN43" s="517"/>
      <c r="AO43" s="517"/>
      <c r="AP43" s="517"/>
      <c r="AQ43" s="517"/>
      <c r="AR43" s="517"/>
      <c r="AS43" s="517"/>
      <c r="AT43" s="517"/>
      <c r="AU43" s="517"/>
      <c r="AV43" s="517"/>
      <c r="AW43" s="517"/>
      <c r="AX43" s="517"/>
      <c r="AY43" s="517"/>
      <c r="AZ43" s="517"/>
      <c r="BA43" s="517"/>
      <c r="BB43" s="517"/>
      <c r="BC43" s="517"/>
      <c r="BD43" s="517"/>
      <c r="BE43" s="517"/>
      <c r="BF43" s="517"/>
      <c r="BG43" s="517"/>
      <c r="BH43" s="517"/>
      <c r="BI43" s="517"/>
      <c r="BJ43" s="517"/>
      <c r="BK43" s="517"/>
      <c r="BL43" s="517"/>
      <c r="BM43" s="517"/>
      <c r="BN43" s="517"/>
      <c r="BO43" s="517"/>
      <c r="BP43" s="517"/>
      <c r="BQ43" s="517"/>
      <c r="BR43" s="517"/>
      <c r="BS43" s="517"/>
      <c r="BT43" s="517"/>
      <c r="BU43" s="517"/>
      <c r="BV43" s="518"/>
      <c r="BW43" s="518"/>
      <c r="BX43" s="518"/>
      <c r="BY43" s="518"/>
      <c r="BZ43" s="518"/>
      <c r="CA43" s="518"/>
      <c r="CB43" s="518"/>
      <c r="CC43" s="518"/>
      <c r="CD43" s="518"/>
      <c r="CE43" s="518"/>
    </row>
    <row r="44" spans="1:83" ht="24.75" hidden="1" customHeight="1">
      <c r="A44" s="1649"/>
      <c r="B44" s="1023"/>
      <c r="C44" s="319"/>
      <c r="D44" s="3622"/>
      <c r="E44" s="3616" t="s">
        <v>875</v>
      </c>
      <c r="F44" s="3616"/>
      <c r="G44" s="3616"/>
      <c r="H44" s="3616"/>
      <c r="I44" s="3616"/>
      <c r="J44" s="3616"/>
      <c r="K44" s="3616"/>
      <c r="L44" s="3616"/>
      <c r="M44" s="3616"/>
      <c r="N44" s="3616"/>
      <c r="O44" s="3616"/>
      <c r="P44" s="3616"/>
      <c r="Q44" s="455">
        <f>SUMIF(T45:T46,"i",Q45:Q46)</f>
        <v>0</v>
      </c>
      <c r="R44" s="887"/>
      <c r="S44" s="1641" t="s">
        <v>876</v>
      </c>
      <c r="T44" s="607" t="s">
        <v>877</v>
      </c>
      <c r="U44" s="3532">
        <v>1</v>
      </c>
      <c r="V44" s="3532" t="s">
        <v>840</v>
      </c>
      <c r="W44" s="1023"/>
      <c r="X44" s="1023"/>
      <c r="Y44" s="1023"/>
      <c r="Z44" s="1023"/>
      <c r="AA44" s="1481"/>
      <c r="AB44" s="1023"/>
      <c r="AC44" s="3617"/>
      <c r="AD44" s="521"/>
      <c r="AE44" s="1023"/>
      <c r="AF44" s="1023"/>
      <c r="AG44" s="1481"/>
      <c r="AH44" s="1481"/>
      <c r="AI44" s="1481"/>
      <c r="AJ44" s="1481"/>
      <c r="AK44" s="1481"/>
      <c r="AL44" s="1481"/>
      <c r="AM44" s="1481"/>
      <c r="AN44" s="1481"/>
      <c r="AO44" s="1481"/>
      <c r="AP44" s="1481"/>
      <c r="AQ44" s="1481"/>
      <c r="AR44" s="1481"/>
      <c r="AS44" s="1481"/>
      <c r="AT44" s="1481"/>
      <c r="AU44" s="1481"/>
      <c r="AV44" s="1481"/>
      <c r="AW44" s="1481"/>
      <c r="AX44" s="1481"/>
      <c r="AY44" s="1481"/>
      <c r="AZ44" s="1481"/>
      <c r="BA44" s="1481"/>
      <c r="BB44" s="1481"/>
      <c r="BC44" s="1481"/>
      <c r="BD44" s="1481"/>
      <c r="BE44" s="1481"/>
      <c r="BF44" s="1481"/>
      <c r="BG44" s="1481"/>
      <c r="BH44" s="1481"/>
      <c r="BI44" s="1481"/>
      <c r="BJ44" s="1481"/>
      <c r="BK44" s="1481"/>
      <c r="BL44" s="1481"/>
      <c r="BM44" s="1481"/>
      <c r="BN44" s="1481"/>
      <c r="BO44" s="1481"/>
      <c r="BP44" s="1481"/>
      <c r="BQ44" s="1481"/>
      <c r="BR44" s="1481"/>
      <c r="BS44" s="1481"/>
      <c r="BT44" s="1481"/>
      <c r="BU44" s="1481"/>
      <c r="BV44" s="1023"/>
      <c r="BW44" s="1023"/>
      <c r="BX44" s="1023"/>
      <c r="BY44" s="1023"/>
      <c r="BZ44" s="1023"/>
      <c r="CA44" s="1023"/>
      <c r="CB44" s="1023"/>
      <c r="CC44" s="1023"/>
      <c r="CD44" s="1023"/>
      <c r="CE44" s="1023"/>
    </row>
    <row r="45" spans="1:83" ht="11.25" hidden="1" customHeight="1">
      <c r="A45" s="1636"/>
      <c r="B45" s="1481"/>
      <c r="C45" s="1481"/>
      <c r="D45" s="3622"/>
      <c r="E45" s="527"/>
      <c r="F45" s="527">
        <v>0</v>
      </c>
      <c r="G45" s="527"/>
      <c r="H45" s="527"/>
      <c r="I45" s="527"/>
      <c r="J45" s="527"/>
      <c r="K45" s="527"/>
      <c r="L45" s="527"/>
      <c r="M45" s="527"/>
      <c r="N45" s="527"/>
      <c r="O45" s="527"/>
      <c r="P45" s="527"/>
      <c r="Q45" s="527"/>
      <c r="R45" s="527"/>
      <c r="S45" s="528"/>
      <c r="T45" s="608"/>
      <c r="U45" s="3532"/>
      <c r="V45" s="3532"/>
      <c r="W45" s="1481"/>
      <c r="X45" s="1481"/>
      <c r="Y45" s="1481"/>
      <c r="Z45" s="1481"/>
      <c r="AA45" s="1481"/>
      <c r="AB45" s="1023"/>
      <c r="AC45" s="3617"/>
      <c r="AD45" s="521"/>
      <c r="AE45" s="1023"/>
      <c r="AF45" s="1023"/>
      <c r="AG45" s="1481"/>
      <c r="AH45" s="1481"/>
      <c r="AI45" s="1481"/>
      <c r="AJ45" s="1481"/>
      <c r="AK45" s="1481"/>
      <c r="AL45" s="1481"/>
      <c r="AM45" s="1481"/>
      <c r="AN45" s="1481"/>
      <c r="AO45" s="1481"/>
      <c r="AP45" s="1481"/>
      <c r="AQ45" s="1481"/>
      <c r="AR45" s="1481"/>
      <c r="AS45" s="1481"/>
      <c r="AT45" s="1481"/>
      <c r="AU45" s="1481"/>
      <c r="AV45" s="1481"/>
      <c r="AW45" s="1481"/>
      <c r="AX45" s="1481"/>
      <c r="AY45" s="1481"/>
      <c r="AZ45" s="1481"/>
      <c r="BA45" s="1481"/>
      <c r="BB45" s="1481"/>
      <c r="BC45" s="1481"/>
      <c r="BD45" s="1481"/>
      <c r="BE45" s="1481"/>
      <c r="BF45" s="1481"/>
      <c r="BG45" s="1481"/>
      <c r="BH45" s="1481"/>
      <c r="BI45" s="1481"/>
      <c r="BJ45" s="1481"/>
      <c r="BK45" s="1481"/>
      <c r="BL45" s="1481"/>
      <c r="BM45" s="1481"/>
      <c r="BN45" s="1481"/>
      <c r="BO45" s="1481"/>
      <c r="BP45" s="1481"/>
      <c r="BQ45" s="1481"/>
      <c r="BR45" s="1481"/>
      <c r="BS45" s="1481"/>
      <c r="BT45" s="1481"/>
      <c r="BU45" s="1481"/>
      <c r="BV45" s="1481"/>
      <c r="BW45" s="1481"/>
      <c r="BX45" s="1481"/>
      <c r="BY45" s="1481"/>
      <c r="BZ45" s="1481"/>
      <c r="CA45" s="1481"/>
      <c r="CB45" s="1481"/>
      <c r="CC45" s="1481"/>
      <c r="CD45" s="1481"/>
      <c r="CE45" s="1481"/>
    </row>
    <row r="46" spans="1:83" ht="11.25" hidden="1" customHeight="1">
      <c r="A46" s="1649"/>
      <c r="B46" s="1023"/>
      <c r="C46" s="319"/>
      <c r="D46" s="3622"/>
      <c r="E46" s="541" t="s">
        <v>18</v>
      </c>
      <c r="F46" s="1031" t="s">
        <v>18</v>
      </c>
      <c r="G46" s="1031" t="s">
        <v>880</v>
      </c>
      <c r="H46" s="543" t="s">
        <v>18</v>
      </c>
      <c r="I46" s="543"/>
      <c r="J46" s="543"/>
      <c r="K46" s="543"/>
      <c r="L46" s="543"/>
      <c r="M46" s="543"/>
      <c r="N46" s="543"/>
      <c r="O46" s="543"/>
      <c r="P46" s="543"/>
      <c r="Q46" s="543"/>
      <c r="R46" s="544"/>
      <c r="S46" s="545"/>
      <c r="T46" s="608"/>
      <c r="U46" s="3532"/>
      <c r="V46" s="3532"/>
      <c r="W46" s="1023"/>
      <c r="X46" s="1023"/>
      <c r="Y46" s="1023"/>
      <c r="Z46" s="1023"/>
      <c r="AA46" s="1481"/>
      <c r="AB46" s="1023"/>
      <c r="AC46" s="3617"/>
      <c r="AD46" s="521"/>
      <c r="AE46" s="1023"/>
      <c r="AF46" s="1023"/>
      <c r="AG46" s="1481"/>
      <c r="AH46" s="1481"/>
      <c r="AI46" s="1481"/>
      <c r="AJ46" s="1481"/>
      <c r="AK46" s="1481"/>
      <c r="AL46" s="1481"/>
      <c r="AM46" s="1481"/>
      <c r="AN46" s="1481"/>
      <c r="AO46" s="1481"/>
      <c r="AP46" s="1481"/>
      <c r="AQ46" s="1481"/>
      <c r="AR46" s="1481"/>
      <c r="AS46" s="1481"/>
      <c r="AT46" s="1481"/>
      <c r="AU46" s="1481"/>
      <c r="AV46" s="1481"/>
      <c r="AW46" s="1481"/>
      <c r="AX46" s="1481"/>
      <c r="AY46" s="1481"/>
      <c r="AZ46" s="1481"/>
      <c r="BA46" s="1481"/>
      <c r="BB46" s="1481"/>
      <c r="BC46" s="1481"/>
      <c r="BD46" s="1481"/>
      <c r="BE46" s="1481"/>
      <c r="BF46" s="1481"/>
      <c r="BG46" s="1481"/>
      <c r="BH46" s="1481"/>
      <c r="BI46" s="1481"/>
      <c r="BJ46" s="1481"/>
      <c r="BK46" s="1481"/>
      <c r="BL46" s="1481"/>
      <c r="BM46" s="1481"/>
      <c r="BN46" s="1481"/>
      <c r="BO46" s="1481"/>
      <c r="BP46" s="1481"/>
      <c r="BQ46" s="1481"/>
      <c r="BR46" s="1481"/>
      <c r="BS46" s="1481"/>
      <c r="BT46" s="1481"/>
      <c r="BU46" s="1481"/>
      <c r="BV46" s="1023"/>
      <c r="BW46" s="1023"/>
      <c r="BX46" s="1023"/>
      <c r="BY46" s="1023"/>
      <c r="BZ46" s="1023"/>
      <c r="CA46" s="1023"/>
      <c r="CB46" s="1023"/>
      <c r="CC46" s="1023"/>
      <c r="CD46" s="1023"/>
      <c r="CE46" s="1023"/>
    </row>
    <row r="47" spans="1:83" ht="5.25" hidden="1" customHeight="1">
      <c r="A47" s="1636"/>
      <c r="B47" s="1481"/>
      <c r="C47" s="1481"/>
      <c r="D47" s="3622"/>
      <c r="E47" s="909"/>
      <c r="F47" s="909"/>
      <c r="G47" s="909"/>
      <c r="H47" s="909"/>
      <c r="I47" s="909"/>
      <c r="J47" s="909"/>
      <c r="K47" s="909"/>
      <c r="L47" s="909"/>
      <c r="M47" s="909"/>
      <c r="N47" s="909"/>
      <c r="O47" s="909"/>
      <c r="P47" s="909"/>
      <c r="Q47" s="910"/>
      <c r="R47" s="911"/>
      <c r="S47" s="912"/>
      <c r="T47" s="607" t="s">
        <v>877</v>
      </c>
      <c r="U47" s="3532">
        <v>1</v>
      </c>
      <c r="V47" s="3532" t="s">
        <v>840</v>
      </c>
      <c r="W47" s="1481"/>
      <c r="X47" s="1481"/>
      <c r="Y47" s="1481"/>
      <c r="Z47" s="1481"/>
      <c r="AA47" s="1481"/>
      <c r="AB47" s="1481"/>
      <c r="AC47" s="907"/>
      <c r="AD47" s="908"/>
      <c r="AE47" s="1481"/>
      <c r="AF47" s="1481"/>
      <c r="AG47" s="1481"/>
      <c r="AH47" s="1481"/>
      <c r="AI47" s="1481"/>
      <c r="AJ47" s="1481"/>
      <c r="AK47" s="1481"/>
      <c r="AL47" s="1481"/>
      <c r="AM47" s="1481"/>
      <c r="AN47" s="1481"/>
      <c r="AO47" s="1481"/>
      <c r="AP47" s="1481"/>
      <c r="AQ47" s="1481"/>
      <c r="AR47" s="1481"/>
      <c r="AS47" s="1481"/>
      <c r="AT47" s="1481"/>
      <c r="AU47" s="1481"/>
      <c r="AV47" s="1481"/>
      <c r="AW47" s="1481"/>
      <c r="AX47" s="1481"/>
      <c r="AY47" s="1481"/>
      <c r="AZ47" s="1481"/>
      <c r="BA47" s="1481"/>
      <c r="BB47" s="1481"/>
      <c r="BC47" s="1481"/>
      <c r="BD47" s="1481"/>
      <c r="BE47" s="1481"/>
      <c r="BF47" s="1481"/>
      <c r="BG47" s="1481"/>
      <c r="BH47" s="1481"/>
      <c r="BI47" s="1481"/>
      <c r="BJ47" s="1481"/>
      <c r="BK47" s="1481"/>
      <c r="BL47" s="1481"/>
      <c r="BM47" s="1481"/>
      <c r="BN47" s="1481"/>
      <c r="BO47" s="1481"/>
      <c r="BP47" s="1481"/>
      <c r="BQ47" s="1481"/>
      <c r="BR47" s="1481"/>
      <c r="BS47" s="1481"/>
      <c r="BT47" s="1481"/>
      <c r="BU47" s="1481"/>
      <c r="BV47" s="1481"/>
      <c r="BW47" s="1481"/>
      <c r="BX47" s="1481"/>
      <c r="BY47" s="1481"/>
      <c r="BZ47" s="1481"/>
      <c r="CA47" s="1481"/>
      <c r="CB47" s="1481"/>
      <c r="CC47" s="1481"/>
      <c r="CD47" s="1481"/>
      <c r="CE47" s="1481"/>
    </row>
    <row r="48" spans="1:83" ht="5.25" hidden="1" customHeight="1">
      <c r="A48" s="1636"/>
      <c r="B48" s="1481"/>
      <c r="C48" s="1481"/>
      <c r="D48" s="3622"/>
      <c r="E48" s="527"/>
      <c r="F48" s="527"/>
      <c r="G48" s="527"/>
      <c r="H48" s="527"/>
      <c r="I48" s="527"/>
      <c r="J48" s="527"/>
      <c r="K48" s="527"/>
      <c r="L48" s="527"/>
      <c r="M48" s="527"/>
      <c r="N48" s="527"/>
      <c r="O48" s="527"/>
      <c r="P48" s="527"/>
      <c r="Q48" s="527"/>
      <c r="R48" s="527"/>
      <c r="S48" s="528"/>
      <c r="T48" s="608"/>
      <c r="U48" s="3532"/>
      <c r="V48" s="3532"/>
      <c r="W48" s="1481"/>
      <c r="X48" s="1481"/>
      <c r="Y48" s="1481"/>
      <c r="Z48" s="1481"/>
      <c r="AA48" s="1481"/>
      <c r="AB48" s="1481"/>
      <c r="AC48" s="907"/>
      <c r="AD48" s="908"/>
      <c r="AE48" s="1481"/>
      <c r="AF48" s="1481"/>
      <c r="AG48" s="1481"/>
      <c r="AH48" s="1481"/>
      <c r="AI48" s="1481"/>
      <c r="AJ48" s="1481"/>
      <c r="AK48" s="1481"/>
      <c r="AL48" s="1481"/>
      <c r="AM48" s="1481"/>
      <c r="AN48" s="1481"/>
      <c r="AO48" s="1481"/>
      <c r="AP48" s="1481"/>
      <c r="AQ48" s="1481"/>
      <c r="AR48" s="1481"/>
      <c r="AS48" s="1481"/>
      <c r="AT48" s="1481"/>
      <c r="AU48" s="1481"/>
      <c r="AV48" s="1481"/>
      <c r="AW48" s="1481"/>
      <c r="AX48" s="1481"/>
      <c r="AY48" s="1481"/>
      <c r="AZ48" s="1481"/>
      <c r="BA48" s="1481"/>
      <c r="BB48" s="1481"/>
      <c r="BC48" s="1481"/>
      <c r="BD48" s="1481"/>
      <c r="BE48" s="1481"/>
      <c r="BF48" s="1481"/>
      <c r="BG48" s="1481"/>
      <c r="BH48" s="1481"/>
      <c r="BI48" s="1481"/>
      <c r="BJ48" s="1481"/>
      <c r="BK48" s="1481"/>
      <c r="BL48" s="1481"/>
      <c r="BM48" s="1481"/>
      <c r="BN48" s="1481"/>
      <c r="BO48" s="1481"/>
      <c r="BP48" s="1481"/>
      <c r="BQ48" s="1481"/>
      <c r="BR48" s="1481"/>
      <c r="BS48" s="1481"/>
      <c r="BT48" s="1481"/>
      <c r="BU48" s="1481"/>
      <c r="BV48" s="1481"/>
      <c r="BW48" s="1481"/>
      <c r="BX48" s="1481"/>
      <c r="BY48" s="1481"/>
      <c r="BZ48" s="1481"/>
      <c r="CA48" s="1481"/>
      <c r="CB48" s="1481"/>
      <c r="CC48" s="1481"/>
      <c r="CD48" s="1481"/>
      <c r="CE48" s="1481"/>
    </row>
    <row r="49" spans="1:83" ht="5.25" hidden="1" customHeight="1">
      <c r="A49" s="1636"/>
      <c r="B49" s="1481"/>
      <c r="C49" s="1481"/>
      <c r="D49" s="3623"/>
      <c r="E49" s="913"/>
      <c r="F49" s="914"/>
      <c r="G49" s="914"/>
      <c r="H49" s="915"/>
      <c r="I49" s="915"/>
      <c r="J49" s="915"/>
      <c r="K49" s="915"/>
      <c r="L49" s="915"/>
      <c r="M49" s="915"/>
      <c r="N49" s="915"/>
      <c r="O49" s="915"/>
      <c r="P49" s="915"/>
      <c r="Q49" s="915"/>
      <c r="R49" s="818"/>
      <c r="S49" s="916"/>
      <c r="T49" s="608"/>
      <c r="U49" s="3532"/>
      <c r="V49" s="3532"/>
      <c r="W49" s="1481"/>
      <c r="X49" s="1481"/>
      <c r="Y49" s="1481"/>
      <c r="Z49" s="1481"/>
      <c r="AA49" s="1481"/>
      <c r="AB49" s="1481"/>
      <c r="AC49" s="907"/>
      <c r="AD49" s="908"/>
      <c r="AE49" s="1481"/>
      <c r="AF49" s="1481"/>
      <c r="AG49" s="1481"/>
      <c r="AH49" s="1481"/>
      <c r="AI49" s="1481"/>
      <c r="AJ49" s="1481"/>
      <c r="AK49" s="1481"/>
      <c r="AL49" s="1481"/>
      <c r="AM49" s="1481"/>
      <c r="AN49" s="1481"/>
      <c r="AO49" s="1481"/>
      <c r="AP49" s="1481"/>
      <c r="AQ49" s="1481"/>
      <c r="AR49" s="1481"/>
      <c r="AS49" s="1481"/>
      <c r="AT49" s="1481"/>
      <c r="AU49" s="1481"/>
      <c r="AV49" s="1481"/>
      <c r="AW49" s="1481"/>
      <c r="AX49" s="1481"/>
      <c r="AY49" s="1481"/>
      <c r="AZ49" s="1481"/>
      <c r="BA49" s="1481"/>
      <c r="BB49" s="1481"/>
      <c r="BC49" s="1481"/>
      <c r="BD49" s="1481"/>
      <c r="BE49" s="1481"/>
      <c r="BF49" s="1481"/>
      <c r="BG49" s="1481"/>
      <c r="BH49" s="1481"/>
      <c r="BI49" s="1481"/>
      <c r="BJ49" s="1481"/>
      <c r="BK49" s="1481"/>
      <c r="BL49" s="1481"/>
      <c r="BM49" s="1481"/>
      <c r="BN49" s="1481"/>
      <c r="BO49" s="1481"/>
      <c r="BP49" s="1481"/>
      <c r="BQ49" s="1481"/>
      <c r="BR49" s="1481"/>
      <c r="BS49" s="1481"/>
      <c r="BT49" s="1481"/>
      <c r="BU49" s="1481"/>
      <c r="BV49" s="1481"/>
      <c r="BW49" s="1481"/>
      <c r="BX49" s="1481"/>
      <c r="BY49" s="1481"/>
      <c r="BZ49" s="1481"/>
      <c r="CA49" s="1481"/>
      <c r="CB49" s="1481"/>
      <c r="CC49" s="1481"/>
      <c r="CD49" s="1481"/>
      <c r="CE49" s="1481"/>
    </row>
    <row r="50" spans="1:83" ht="15" hidden="1" customHeight="1">
      <c r="A50" s="516" t="s">
        <v>126</v>
      </c>
      <c r="B50"/>
      <c r="C50" t="s">
        <v>18</v>
      </c>
      <c r="D50" s="3621" t="s">
        <v>883</v>
      </c>
      <c r="E50" s="3618" t="s">
        <v>102</v>
      </c>
      <c r="F50" s="3619"/>
      <c r="G50" s="3620"/>
      <c r="H50" s="3614" t="str">
        <f>IF(A50="","",INDEX(DIFFERENTIATION_UNMERGE_VD,MATCH(A50,DIFFERENTIATION_ID_DIFF,0)))</f>
        <v>Производство тепловой энергии. Некомбинированная выработка</v>
      </c>
      <c r="I50" s="3614"/>
      <c r="J50" s="3614"/>
      <c r="K50" s="3614"/>
      <c r="L50" s="3614"/>
      <c r="M50" s="3614"/>
      <c r="N50" s="3614"/>
      <c r="O50" s="3614"/>
      <c r="P50" s="3614"/>
      <c r="Q50" s="3614"/>
      <c r="R50" s="3614"/>
      <c r="S50" s="609"/>
      <c r="T50" s="606"/>
      <c r="U50" s="517"/>
      <c r="V50" s="517"/>
      <c r="W50" s="518"/>
      <c r="X50" s="518"/>
      <c r="Y50" s="518"/>
      <c r="Z50" s="518"/>
      <c r="AA50" s="519"/>
      <c r="AB50" s="520"/>
      <c r="AC50" s="3617"/>
      <c r="AD50" s="521"/>
      <c r="AE50" s="522" t="s">
        <v>18</v>
      </c>
      <c r="AF50" s="522"/>
      <c r="AG50" s="523" t="s">
        <v>874</v>
      </c>
      <c r="AH50" s="524">
        <v>3</v>
      </c>
      <c r="AI50" s="517"/>
      <c r="AJ50" s="517"/>
      <c r="AK50" s="517"/>
      <c r="AL50" s="517"/>
      <c r="AM50" s="517"/>
      <c r="AN50" s="517"/>
      <c r="AO50" s="517"/>
      <c r="AP50" s="517"/>
      <c r="AQ50" s="517"/>
      <c r="AR50" s="517"/>
      <c r="AS50" s="517"/>
      <c r="AT50" s="517"/>
      <c r="AU50" s="517"/>
      <c r="AV50" s="517"/>
      <c r="AW50" s="517"/>
      <c r="AX50" s="517"/>
      <c r="AY50" s="517"/>
      <c r="AZ50" s="517"/>
      <c r="BA50" s="517"/>
      <c r="BB50" s="517"/>
      <c r="BC50" s="517"/>
      <c r="BD50" s="517"/>
      <c r="BE50" s="517"/>
      <c r="BF50" s="517"/>
      <c r="BG50" s="517"/>
      <c r="BH50" s="517"/>
      <c r="BI50" s="517"/>
      <c r="BJ50" s="517"/>
      <c r="BK50" s="517"/>
      <c r="BL50" s="517"/>
      <c r="BM50" s="517"/>
      <c r="BN50" s="517"/>
      <c r="BO50" s="517"/>
      <c r="BP50" s="517"/>
      <c r="BQ50" s="517"/>
      <c r="BR50" s="517"/>
      <c r="BS50" s="517"/>
      <c r="BT50" s="517"/>
      <c r="BU50" s="517"/>
      <c r="BV50" s="518"/>
      <c r="BW50" s="518"/>
      <c r="BX50" s="518"/>
      <c r="BY50" s="518"/>
      <c r="BZ50" s="518"/>
      <c r="CA50" s="518"/>
      <c r="CB50" s="518"/>
      <c r="CC50" s="518"/>
      <c r="CD50" s="518"/>
      <c r="CE50" s="518"/>
    </row>
    <row r="51" spans="1:83" ht="15" hidden="1" customHeight="1">
      <c r="A51" s="516"/>
      <c r="B51"/>
      <c r="C51"/>
      <c r="D51" s="3622"/>
      <c r="E51" s="3618" t="s">
        <v>829</v>
      </c>
      <c r="F51" s="3619"/>
      <c r="G51" s="3620"/>
      <c r="H51" s="3614" t="str">
        <f>IF(A50="","",INDEX(DIFFERENTIATION_UNMERGE_AREA,MATCH(A50,DIFFERENTIATION_ID_DIFF,0)))</f>
        <v>Территория 1</v>
      </c>
      <c r="I51" s="3614"/>
      <c r="J51" s="3614"/>
      <c r="K51" s="3614"/>
      <c r="L51" s="3614"/>
      <c r="M51" s="3614"/>
      <c r="N51" s="3614"/>
      <c r="O51" s="3614"/>
      <c r="P51" s="3614"/>
      <c r="Q51" s="3614"/>
      <c r="R51" s="3614"/>
      <c r="S51" s="609"/>
      <c r="T51" s="606"/>
      <c r="U51" s="517"/>
      <c r="V51" s="517"/>
      <c r="W51" s="518"/>
      <c r="X51" s="518"/>
      <c r="Y51" s="518"/>
      <c r="Z51" s="518"/>
      <c r="AA51" s="519"/>
      <c r="AB51" s="520"/>
      <c r="AC51" s="3617"/>
      <c r="AD51" s="521"/>
      <c r="AE51" s="522"/>
      <c r="AF51" s="522"/>
      <c r="AG51" s="523"/>
      <c r="AH51" s="524"/>
      <c r="AI51" s="517"/>
      <c r="AJ51" s="517"/>
      <c r="AK51" s="517"/>
      <c r="AL51" s="517"/>
      <c r="AM51" s="517"/>
      <c r="AN51" s="517"/>
      <c r="AO51" s="517"/>
      <c r="AP51" s="517"/>
      <c r="AQ51" s="517"/>
      <c r="AR51" s="517"/>
      <c r="AS51" s="517"/>
      <c r="AT51" s="517"/>
      <c r="AU51" s="517"/>
      <c r="AV51" s="517"/>
      <c r="AW51" s="517"/>
      <c r="AX51" s="517"/>
      <c r="AY51" s="517"/>
      <c r="AZ51" s="517"/>
      <c r="BA51" s="517"/>
      <c r="BB51" s="517"/>
      <c r="BC51" s="517"/>
      <c r="BD51" s="517"/>
      <c r="BE51" s="517"/>
      <c r="BF51" s="517"/>
      <c r="BG51" s="517"/>
      <c r="BH51" s="517"/>
      <c r="BI51" s="517"/>
      <c r="BJ51" s="517"/>
      <c r="BK51" s="517"/>
      <c r="BL51" s="517"/>
      <c r="BM51" s="517"/>
      <c r="BN51" s="517"/>
      <c r="BO51" s="517"/>
      <c r="BP51" s="517"/>
      <c r="BQ51" s="517"/>
      <c r="BR51" s="517"/>
      <c r="BS51" s="517"/>
      <c r="BT51" s="517"/>
      <c r="BU51" s="517"/>
      <c r="BV51" s="518"/>
      <c r="BW51" s="518"/>
      <c r="BX51" s="518"/>
      <c r="BY51" s="518"/>
      <c r="BZ51" s="518"/>
      <c r="CA51" s="518"/>
      <c r="CB51" s="518"/>
      <c r="CC51" s="518"/>
      <c r="CD51" s="518"/>
      <c r="CE51" s="518"/>
    </row>
    <row r="52" spans="1:83" ht="15" hidden="1" customHeight="1">
      <c r="A52" s="516"/>
      <c r="B52"/>
      <c r="C52"/>
      <c r="D52" s="3622"/>
      <c r="E52" s="3618" t="s">
        <v>830</v>
      </c>
      <c r="F52" s="3619"/>
      <c r="G52" s="3620"/>
      <c r="H52" s="3614" t="str">
        <f>IF(A50="","",INDEX(DIFFERENTIATION_UNMERGE_SYSTEM,MATCH(A50,DIFFERENTIATION_ID_DIFF,0)))</f>
        <v>Васильевская, 84б</v>
      </c>
      <c r="I52" s="3614"/>
      <c r="J52" s="3614"/>
      <c r="K52" s="3614"/>
      <c r="L52" s="3614"/>
      <c r="M52" s="3614"/>
      <c r="N52" s="3614"/>
      <c r="O52" s="3614"/>
      <c r="P52" s="3614"/>
      <c r="Q52" s="3614"/>
      <c r="R52" s="3614"/>
      <c r="S52" s="609"/>
      <c r="T52" s="606"/>
      <c r="U52" s="517"/>
      <c r="V52" s="517"/>
      <c r="W52" s="518"/>
      <c r="X52" s="518"/>
      <c r="Y52" s="518"/>
      <c r="Z52" s="518"/>
      <c r="AA52" s="519"/>
      <c r="AB52" s="520"/>
      <c r="AC52" s="3617"/>
      <c r="AD52" s="521"/>
      <c r="AE52" s="522"/>
      <c r="AF52" s="522"/>
      <c r="AG52" s="523"/>
      <c r="AH52" s="524"/>
      <c r="AI52" s="517"/>
      <c r="AJ52" s="517"/>
      <c r="AK52" s="517"/>
      <c r="AL52" s="517"/>
      <c r="AM52" s="517"/>
      <c r="AN52" s="517"/>
      <c r="AO52" s="517"/>
      <c r="AP52" s="517"/>
      <c r="AQ52" s="517"/>
      <c r="AR52" s="517"/>
      <c r="AS52" s="517"/>
      <c r="AT52" s="517"/>
      <c r="AU52" s="517"/>
      <c r="AV52" s="517"/>
      <c r="AW52" s="517"/>
      <c r="AX52" s="517"/>
      <c r="AY52" s="517"/>
      <c r="AZ52" s="517"/>
      <c r="BA52" s="517"/>
      <c r="BB52" s="517"/>
      <c r="BC52" s="517"/>
      <c r="BD52" s="517"/>
      <c r="BE52" s="517"/>
      <c r="BF52" s="517"/>
      <c r="BG52" s="517"/>
      <c r="BH52" s="517"/>
      <c r="BI52" s="517"/>
      <c r="BJ52" s="517"/>
      <c r="BK52" s="517"/>
      <c r="BL52" s="517"/>
      <c r="BM52" s="517"/>
      <c r="BN52" s="517"/>
      <c r="BO52" s="517"/>
      <c r="BP52" s="517"/>
      <c r="BQ52" s="517"/>
      <c r="BR52" s="517"/>
      <c r="BS52" s="517"/>
      <c r="BT52" s="517"/>
      <c r="BU52" s="517"/>
      <c r="BV52" s="518"/>
      <c r="BW52" s="518"/>
      <c r="BX52" s="518"/>
      <c r="BY52" s="518"/>
      <c r="BZ52" s="518"/>
      <c r="CA52" s="518"/>
      <c r="CB52" s="518"/>
      <c r="CC52" s="518"/>
      <c r="CD52" s="518"/>
      <c r="CE52" s="518"/>
    </row>
    <row r="53" spans="1:83" ht="24.75" hidden="1" customHeight="1">
      <c r="A53" s="1649"/>
      <c r="B53" s="1023"/>
      <c r="C53" s="319"/>
      <c r="D53" s="3622"/>
      <c r="E53" s="3616" t="s">
        <v>875</v>
      </c>
      <c r="F53" s="3616"/>
      <c r="G53" s="3616"/>
      <c r="H53" s="3616"/>
      <c r="I53" s="3616"/>
      <c r="J53" s="3616"/>
      <c r="K53" s="3616"/>
      <c r="L53" s="3616"/>
      <c r="M53" s="3616"/>
      <c r="N53" s="3616"/>
      <c r="O53" s="3616"/>
      <c r="P53" s="3616"/>
      <c r="Q53" s="455">
        <f>SUMIF(T54:T55,"i",Q54:Q55)</f>
        <v>0</v>
      </c>
      <c r="R53" s="887"/>
      <c r="S53" s="1641" t="s">
        <v>876</v>
      </c>
      <c r="T53" s="607" t="s">
        <v>877</v>
      </c>
      <c r="U53" s="3532">
        <v>1</v>
      </c>
      <c r="V53" s="3532" t="s">
        <v>840</v>
      </c>
      <c r="W53" s="1023"/>
      <c r="X53" s="1023"/>
      <c r="Y53" s="1023"/>
      <c r="Z53" s="1023"/>
      <c r="AA53" s="1481"/>
      <c r="AB53" s="1023"/>
      <c r="AC53" s="3617"/>
      <c r="AD53" s="521"/>
      <c r="AE53" s="1023"/>
      <c r="AF53" s="1023"/>
      <c r="AG53" s="1481"/>
      <c r="AH53" s="1481"/>
      <c r="AI53" s="1481"/>
      <c r="AJ53" s="1481"/>
      <c r="AK53" s="1481"/>
      <c r="AL53" s="1481"/>
      <c r="AM53" s="1481"/>
      <c r="AN53" s="1481"/>
      <c r="AO53" s="1481"/>
      <c r="AP53" s="1481"/>
      <c r="AQ53" s="1481"/>
      <c r="AR53" s="1481"/>
      <c r="AS53" s="1481"/>
      <c r="AT53" s="1481"/>
      <c r="AU53" s="1481"/>
      <c r="AV53" s="1481"/>
      <c r="AW53" s="1481"/>
      <c r="AX53" s="1481"/>
      <c r="AY53" s="1481"/>
      <c r="AZ53" s="1481"/>
      <c r="BA53" s="1481"/>
      <c r="BB53" s="1481"/>
      <c r="BC53" s="1481"/>
      <c r="BD53" s="1481"/>
      <c r="BE53" s="1481"/>
      <c r="BF53" s="1481"/>
      <c r="BG53" s="1481"/>
      <c r="BH53" s="1481"/>
      <c r="BI53" s="1481"/>
      <c r="BJ53" s="1481"/>
      <c r="BK53" s="1481"/>
      <c r="BL53" s="1481"/>
      <c r="BM53" s="1481"/>
      <c r="BN53" s="1481"/>
      <c r="BO53" s="1481"/>
      <c r="BP53" s="1481"/>
      <c r="BQ53" s="1481"/>
      <c r="BR53" s="1481"/>
      <c r="BS53" s="1481"/>
      <c r="BT53" s="1481"/>
      <c r="BU53" s="1481"/>
      <c r="BV53" s="1023"/>
      <c r="BW53" s="1023"/>
      <c r="BX53" s="1023"/>
      <c r="BY53" s="1023"/>
      <c r="BZ53" s="1023"/>
      <c r="CA53" s="1023"/>
      <c r="CB53" s="1023"/>
      <c r="CC53" s="1023"/>
      <c r="CD53" s="1023"/>
      <c r="CE53" s="1023"/>
    </row>
    <row r="54" spans="1:83" ht="11.25" hidden="1" customHeight="1">
      <c r="A54" s="1636"/>
      <c r="B54" s="1481"/>
      <c r="C54" s="1481"/>
      <c r="D54" s="3622"/>
      <c r="E54" s="527"/>
      <c r="F54" s="527">
        <v>0</v>
      </c>
      <c r="G54" s="527"/>
      <c r="H54" s="527"/>
      <c r="I54" s="527"/>
      <c r="J54" s="527"/>
      <c r="K54" s="527"/>
      <c r="L54" s="527"/>
      <c r="M54" s="527"/>
      <c r="N54" s="527"/>
      <c r="O54" s="527"/>
      <c r="P54" s="527"/>
      <c r="Q54" s="527"/>
      <c r="R54" s="527"/>
      <c r="S54" s="528"/>
      <c r="T54" s="608"/>
      <c r="U54" s="3532"/>
      <c r="V54" s="3532"/>
      <c r="W54" s="1481"/>
      <c r="X54" s="1481"/>
      <c r="Y54" s="1481"/>
      <c r="Z54" s="1481"/>
      <c r="AA54" s="1481"/>
      <c r="AB54" s="1023"/>
      <c r="AC54" s="3617"/>
      <c r="AD54" s="521"/>
      <c r="AE54" s="1023"/>
      <c r="AF54" s="1023"/>
      <c r="AG54" s="1481"/>
      <c r="AH54" s="1481"/>
      <c r="AI54" s="1481"/>
      <c r="AJ54" s="1481"/>
      <c r="AK54" s="1481"/>
      <c r="AL54" s="1481"/>
      <c r="AM54" s="1481"/>
      <c r="AN54" s="1481"/>
      <c r="AO54" s="1481"/>
      <c r="AP54" s="1481"/>
      <c r="AQ54" s="1481"/>
      <c r="AR54" s="1481"/>
      <c r="AS54" s="1481"/>
      <c r="AT54" s="1481"/>
      <c r="AU54" s="1481"/>
      <c r="AV54" s="1481"/>
      <c r="AW54" s="1481"/>
      <c r="AX54" s="1481"/>
      <c r="AY54" s="1481"/>
      <c r="AZ54" s="1481"/>
      <c r="BA54" s="1481"/>
      <c r="BB54" s="1481"/>
      <c r="BC54" s="1481"/>
      <c r="BD54" s="1481"/>
      <c r="BE54" s="1481"/>
      <c r="BF54" s="1481"/>
      <c r="BG54" s="1481"/>
      <c r="BH54" s="1481"/>
      <c r="BI54" s="1481"/>
      <c r="BJ54" s="1481"/>
      <c r="BK54" s="1481"/>
      <c r="BL54" s="1481"/>
      <c r="BM54" s="1481"/>
      <c r="BN54" s="1481"/>
      <c r="BO54" s="1481"/>
      <c r="BP54" s="1481"/>
      <c r="BQ54" s="1481"/>
      <c r="BR54" s="1481"/>
      <c r="BS54" s="1481"/>
      <c r="BT54" s="1481"/>
      <c r="BU54" s="1481"/>
      <c r="BV54" s="1481"/>
      <c r="BW54" s="1481"/>
      <c r="BX54" s="1481"/>
      <c r="BY54" s="1481"/>
      <c r="BZ54" s="1481"/>
      <c r="CA54" s="1481"/>
      <c r="CB54" s="1481"/>
      <c r="CC54" s="1481"/>
      <c r="CD54" s="1481"/>
      <c r="CE54" s="1481"/>
    </row>
    <row r="55" spans="1:83" ht="11.25" hidden="1" customHeight="1">
      <c r="A55" s="1649"/>
      <c r="B55" s="1023"/>
      <c r="C55" s="319"/>
      <c r="D55" s="3622"/>
      <c r="E55" s="541" t="s">
        <v>18</v>
      </c>
      <c r="F55" s="1031" t="s">
        <v>18</v>
      </c>
      <c r="G55" s="1031" t="s">
        <v>880</v>
      </c>
      <c r="H55" s="543" t="s">
        <v>18</v>
      </c>
      <c r="I55" s="543"/>
      <c r="J55" s="543"/>
      <c r="K55" s="543"/>
      <c r="L55" s="543"/>
      <c r="M55" s="543"/>
      <c r="N55" s="543"/>
      <c r="O55" s="543"/>
      <c r="P55" s="543"/>
      <c r="Q55" s="543"/>
      <c r="R55" s="544"/>
      <c r="S55" s="545"/>
      <c r="T55" s="608"/>
      <c r="U55" s="3532"/>
      <c r="V55" s="3532"/>
      <c r="W55" s="1023"/>
      <c r="X55" s="1023"/>
      <c r="Y55" s="1023"/>
      <c r="Z55" s="1023"/>
      <c r="AA55" s="1481"/>
      <c r="AB55" s="1023"/>
      <c r="AC55" s="3617"/>
      <c r="AD55" s="521"/>
      <c r="AE55" s="1023"/>
      <c r="AF55" s="1023"/>
      <c r="AG55" s="1481"/>
      <c r="AH55" s="1481"/>
      <c r="AI55" s="1481"/>
      <c r="AJ55" s="1481"/>
      <c r="AK55" s="1481"/>
      <c r="AL55" s="1481"/>
      <c r="AM55" s="1481"/>
      <c r="AN55" s="1481"/>
      <c r="AO55" s="1481"/>
      <c r="AP55" s="1481"/>
      <c r="AQ55" s="1481"/>
      <c r="AR55" s="1481"/>
      <c r="AS55" s="1481"/>
      <c r="AT55" s="1481"/>
      <c r="AU55" s="1481"/>
      <c r="AV55" s="1481"/>
      <c r="AW55" s="1481"/>
      <c r="AX55" s="1481"/>
      <c r="AY55" s="1481"/>
      <c r="AZ55" s="1481"/>
      <c r="BA55" s="1481"/>
      <c r="BB55" s="1481"/>
      <c r="BC55" s="1481"/>
      <c r="BD55" s="1481"/>
      <c r="BE55" s="1481"/>
      <c r="BF55" s="1481"/>
      <c r="BG55" s="1481"/>
      <c r="BH55" s="1481"/>
      <c r="BI55" s="1481"/>
      <c r="BJ55" s="1481"/>
      <c r="BK55" s="1481"/>
      <c r="BL55" s="1481"/>
      <c r="BM55" s="1481"/>
      <c r="BN55" s="1481"/>
      <c r="BO55" s="1481"/>
      <c r="BP55" s="1481"/>
      <c r="BQ55" s="1481"/>
      <c r="BR55" s="1481"/>
      <c r="BS55" s="1481"/>
      <c r="BT55" s="1481"/>
      <c r="BU55" s="1481"/>
      <c r="BV55" s="1023"/>
      <c r="BW55" s="1023"/>
      <c r="BX55" s="1023"/>
      <c r="BY55" s="1023"/>
      <c r="BZ55" s="1023"/>
      <c r="CA55" s="1023"/>
      <c r="CB55" s="1023"/>
      <c r="CC55" s="1023"/>
      <c r="CD55" s="1023"/>
      <c r="CE55" s="1023"/>
    </row>
    <row r="56" spans="1:83" ht="5.25" hidden="1" customHeight="1">
      <c r="A56" s="1636"/>
      <c r="B56" s="1481"/>
      <c r="C56" s="1481"/>
      <c r="D56" s="3622"/>
      <c r="E56" s="909"/>
      <c r="F56" s="909"/>
      <c r="G56" s="909"/>
      <c r="H56" s="909"/>
      <c r="I56" s="909"/>
      <c r="J56" s="909"/>
      <c r="K56" s="909"/>
      <c r="L56" s="909"/>
      <c r="M56" s="909"/>
      <c r="N56" s="909"/>
      <c r="O56" s="909"/>
      <c r="P56" s="909"/>
      <c r="Q56" s="910"/>
      <c r="R56" s="911"/>
      <c r="S56" s="912"/>
      <c r="T56" s="607" t="s">
        <v>877</v>
      </c>
      <c r="U56" s="3532">
        <v>1</v>
      </c>
      <c r="V56" s="3532" t="s">
        <v>840</v>
      </c>
      <c r="W56" s="1481"/>
      <c r="X56" s="1481"/>
      <c r="Y56" s="1481"/>
      <c r="Z56" s="1481"/>
      <c r="AA56" s="1481"/>
      <c r="AB56" s="1481"/>
      <c r="AC56" s="907"/>
      <c r="AD56" s="908"/>
      <c r="AE56" s="1481"/>
      <c r="AF56" s="1481"/>
      <c r="AG56" s="1481"/>
      <c r="AH56" s="1481"/>
      <c r="AI56" s="1481"/>
      <c r="AJ56" s="1481"/>
      <c r="AK56" s="1481"/>
      <c r="AL56" s="1481"/>
      <c r="AM56" s="1481"/>
      <c r="AN56" s="1481"/>
      <c r="AO56" s="1481"/>
      <c r="AP56" s="1481"/>
      <c r="AQ56" s="1481"/>
      <c r="AR56" s="1481"/>
      <c r="AS56" s="1481"/>
      <c r="AT56" s="1481"/>
      <c r="AU56" s="1481"/>
      <c r="AV56" s="1481"/>
      <c r="AW56" s="1481"/>
      <c r="AX56" s="1481"/>
      <c r="AY56" s="1481"/>
      <c r="AZ56" s="1481"/>
      <c r="BA56" s="1481"/>
      <c r="BB56" s="1481"/>
      <c r="BC56" s="1481"/>
      <c r="BD56" s="1481"/>
      <c r="BE56" s="1481"/>
      <c r="BF56" s="1481"/>
      <c r="BG56" s="1481"/>
      <c r="BH56" s="1481"/>
      <c r="BI56" s="1481"/>
      <c r="BJ56" s="1481"/>
      <c r="BK56" s="1481"/>
      <c r="BL56" s="1481"/>
      <c r="BM56" s="1481"/>
      <c r="BN56" s="1481"/>
      <c r="BO56" s="1481"/>
      <c r="BP56" s="1481"/>
      <c r="BQ56" s="1481"/>
      <c r="BR56" s="1481"/>
      <c r="BS56" s="1481"/>
      <c r="BT56" s="1481"/>
      <c r="BU56" s="1481"/>
      <c r="BV56" s="1481"/>
      <c r="BW56" s="1481"/>
      <c r="BX56" s="1481"/>
      <c r="BY56" s="1481"/>
      <c r="BZ56" s="1481"/>
      <c r="CA56" s="1481"/>
      <c r="CB56" s="1481"/>
      <c r="CC56" s="1481"/>
      <c r="CD56" s="1481"/>
      <c r="CE56" s="1481"/>
    </row>
    <row r="57" spans="1:83" ht="5.25" hidden="1" customHeight="1">
      <c r="A57" s="1636"/>
      <c r="B57" s="1481"/>
      <c r="C57" s="1481"/>
      <c r="D57" s="3622"/>
      <c r="E57" s="527"/>
      <c r="F57" s="527"/>
      <c r="G57" s="527"/>
      <c r="H57" s="527"/>
      <c r="I57" s="527"/>
      <c r="J57" s="527"/>
      <c r="K57" s="527"/>
      <c r="L57" s="527"/>
      <c r="M57" s="527"/>
      <c r="N57" s="527"/>
      <c r="O57" s="527"/>
      <c r="P57" s="527"/>
      <c r="Q57" s="527"/>
      <c r="R57" s="527"/>
      <c r="S57" s="528"/>
      <c r="T57" s="608"/>
      <c r="U57" s="3532"/>
      <c r="V57" s="3532"/>
      <c r="W57" s="1481"/>
      <c r="X57" s="1481"/>
      <c r="Y57" s="1481"/>
      <c r="Z57" s="1481"/>
      <c r="AA57" s="1481"/>
      <c r="AB57" s="1481"/>
      <c r="AC57" s="907"/>
      <c r="AD57" s="908"/>
      <c r="AE57" s="1481"/>
      <c r="AF57" s="1481"/>
      <c r="AG57" s="1481"/>
      <c r="AH57" s="1481"/>
      <c r="AI57" s="1481"/>
      <c r="AJ57" s="1481"/>
      <c r="AK57" s="1481"/>
      <c r="AL57" s="1481"/>
      <c r="AM57" s="1481"/>
      <c r="AN57" s="1481"/>
      <c r="AO57" s="1481"/>
      <c r="AP57" s="1481"/>
      <c r="AQ57" s="1481"/>
      <c r="AR57" s="1481"/>
      <c r="AS57" s="1481"/>
      <c r="AT57" s="1481"/>
      <c r="AU57" s="1481"/>
      <c r="AV57" s="1481"/>
      <c r="AW57" s="1481"/>
      <c r="AX57" s="1481"/>
      <c r="AY57" s="1481"/>
      <c r="AZ57" s="1481"/>
      <c r="BA57" s="1481"/>
      <c r="BB57" s="1481"/>
      <c r="BC57" s="1481"/>
      <c r="BD57" s="1481"/>
      <c r="BE57" s="1481"/>
      <c r="BF57" s="1481"/>
      <c r="BG57" s="1481"/>
      <c r="BH57" s="1481"/>
      <c r="BI57" s="1481"/>
      <c r="BJ57" s="1481"/>
      <c r="BK57" s="1481"/>
      <c r="BL57" s="1481"/>
      <c r="BM57" s="1481"/>
      <c r="BN57" s="1481"/>
      <c r="BO57" s="1481"/>
      <c r="BP57" s="1481"/>
      <c r="BQ57" s="1481"/>
      <c r="BR57" s="1481"/>
      <c r="BS57" s="1481"/>
      <c r="BT57" s="1481"/>
      <c r="BU57" s="1481"/>
      <c r="BV57" s="1481"/>
      <c r="BW57" s="1481"/>
      <c r="BX57" s="1481"/>
      <c r="BY57" s="1481"/>
      <c r="BZ57" s="1481"/>
      <c r="CA57" s="1481"/>
      <c r="CB57" s="1481"/>
      <c r="CC57" s="1481"/>
      <c r="CD57" s="1481"/>
      <c r="CE57" s="1481"/>
    </row>
    <row r="58" spans="1:83" ht="5.25" hidden="1" customHeight="1">
      <c r="A58" s="1636"/>
      <c r="B58" s="1481"/>
      <c r="C58" s="1481"/>
      <c r="D58" s="3623"/>
      <c r="E58" s="913"/>
      <c r="F58" s="914"/>
      <c r="G58" s="914"/>
      <c r="H58" s="915"/>
      <c r="I58" s="915"/>
      <c r="J58" s="915"/>
      <c r="K58" s="915"/>
      <c r="L58" s="915"/>
      <c r="M58" s="915"/>
      <c r="N58" s="915"/>
      <c r="O58" s="915"/>
      <c r="P58" s="915"/>
      <c r="Q58" s="915"/>
      <c r="R58" s="818"/>
      <c r="S58" s="916"/>
      <c r="T58" s="608"/>
      <c r="U58" s="3532"/>
      <c r="V58" s="3532"/>
      <c r="W58" s="1481"/>
      <c r="X58" s="1481"/>
      <c r="Y58" s="1481"/>
      <c r="Z58" s="1481"/>
      <c r="AA58" s="1481"/>
      <c r="AB58" s="1481"/>
      <c r="AC58" s="907"/>
      <c r="AD58" s="908"/>
      <c r="AE58" s="1481"/>
      <c r="AF58" s="1481"/>
      <c r="AG58" s="1481"/>
      <c r="AH58" s="1481"/>
      <c r="AI58" s="1481"/>
      <c r="AJ58" s="1481"/>
      <c r="AK58" s="1481"/>
      <c r="AL58" s="1481"/>
      <c r="AM58" s="1481"/>
      <c r="AN58" s="1481"/>
      <c r="AO58" s="1481"/>
      <c r="AP58" s="1481"/>
      <c r="AQ58" s="1481"/>
      <c r="AR58" s="1481"/>
      <c r="AS58" s="1481"/>
      <c r="AT58" s="1481"/>
      <c r="AU58" s="1481"/>
      <c r="AV58" s="1481"/>
      <c r="AW58" s="1481"/>
      <c r="AX58" s="1481"/>
      <c r="AY58" s="1481"/>
      <c r="AZ58" s="1481"/>
      <c r="BA58" s="1481"/>
      <c r="BB58" s="1481"/>
      <c r="BC58" s="1481"/>
      <c r="BD58" s="1481"/>
      <c r="BE58" s="1481"/>
      <c r="BF58" s="1481"/>
      <c r="BG58" s="1481"/>
      <c r="BH58" s="1481"/>
      <c r="BI58" s="1481"/>
      <c r="BJ58" s="1481"/>
      <c r="BK58" s="1481"/>
      <c r="BL58" s="1481"/>
      <c r="BM58" s="1481"/>
      <c r="BN58" s="1481"/>
      <c r="BO58" s="1481"/>
      <c r="BP58" s="1481"/>
      <c r="BQ58" s="1481"/>
      <c r="BR58" s="1481"/>
      <c r="BS58" s="1481"/>
      <c r="BT58" s="1481"/>
      <c r="BU58" s="1481"/>
      <c r="BV58" s="1481"/>
      <c r="BW58" s="1481"/>
      <c r="BX58" s="1481"/>
      <c r="BY58" s="1481"/>
      <c r="BZ58" s="1481"/>
      <c r="CA58" s="1481"/>
      <c r="CB58" s="1481"/>
      <c r="CC58" s="1481"/>
      <c r="CD58" s="1481"/>
      <c r="CE58" s="1481"/>
    </row>
    <row r="59" spans="1:83" ht="15" hidden="1" customHeight="1">
      <c r="A59" s="516" t="s">
        <v>128</v>
      </c>
      <c r="B59"/>
      <c r="C59" t="s">
        <v>18</v>
      </c>
      <c r="D59" s="3621" t="s">
        <v>884</v>
      </c>
      <c r="E59" s="3618" t="s">
        <v>102</v>
      </c>
      <c r="F59" s="3619"/>
      <c r="G59" s="3620"/>
      <c r="H59" s="3614" t="str">
        <f>IF(A59="","",INDEX(DIFFERENTIATION_UNMERGE_VD,MATCH(A59,DIFFERENTIATION_ID_DIFF,0)))</f>
        <v>Производство тепловой энергии. Некомбинированная выработка</v>
      </c>
      <c r="I59" s="3614"/>
      <c r="J59" s="3614"/>
      <c r="K59" s="3614"/>
      <c r="L59" s="3614"/>
      <c r="M59" s="3614"/>
      <c r="N59" s="3614"/>
      <c r="O59" s="3614"/>
      <c r="P59" s="3614"/>
      <c r="Q59" s="3614"/>
      <c r="R59" s="3614"/>
      <c r="S59" s="609"/>
      <c r="T59" s="606"/>
      <c r="U59" s="517"/>
      <c r="V59" s="517"/>
      <c r="W59" s="518"/>
      <c r="X59" s="518"/>
      <c r="Y59" s="518"/>
      <c r="Z59" s="518"/>
      <c r="AA59" s="519"/>
      <c r="AB59" s="520"/>
      <c r="AC59" s="3617"/>
      <c r="AD59" s="521"/>
      <c r="AE59" s="522" t="s">
        <v>18</v>
      </c>
      <c r="AF59" s="522"/>
      <c r="AG59" s="523" t="s">
        <v>874</v>
      </c>
      <c r="AH59" s="524">
        <v>3</v>
      </c>
      <c r="AI59" s="517"/>
      <c r="AJ59" s="517"/>
      <c r="AK59" s="517"/>
      <c r="AL59" s="517"/>
      <c r="AM59" s="517"/>
      <c r="AN59" s="517"/>
      <c r="AO59" s="517"/>
      <c r="AP59" s="517"/>
      <c r="AQ59" s="517"/>
      <c r="AR59" s="517"/>
      <c r="AS59" s="517"/>
      <c r="AT59" s="517"/>
      <c r="AU59" s="517"/>
      <c r="AV59" s="517"/>
      <c r="AW59" s="517"/>
      <c r="AX59" s="517"/>
      <c r="AY59" s="517"/>
      <c r="AZ59" s="517"/>
      <c r="BA59" s="517"/>
      <c r="BB59" s="517"/>
      <c r="BC59" s="517"/>
      <c r="BD59" s="517"/>
      <c r="BE59" s="517"/>
      <c r="BF59" s="517"/>
      <c r="BG59" s="517"/>
      <c r="BH59" s="517"/>
      <c r="BI59" s="517"/>
      <c r="BJ59" s="517"/>
      <c r="BK59" s="517"/>
      <c r="BL59" s="517"/>
      <c r="BM59" s="517"/>
      <c r="BN59" s="517"/>
      <c r="BO59" s="517"/>
      <c r="BP59" s="517"/>
      <c r="BQ59" s="517"/>
      <c r="BR59" s="517"/>
      <c r="BS59" s="517"/>
      <c r="BT59" s="517"/>
      <c r="BU59" s="517"/>
      <c r="BV59" s="518"/>
      <c r="BW59" s="518"/>
      <c r="BX59" s="518"/>
      <c r="BY59" s="518"/>
      <c r="BZ59" s="518"/>
      <c r="CA59" s="518"/>
      <c r="CB59" s="518"/>
      <c r="CC59" s="518"/>
      <c r="CD59" s="518"/>
      <c r="CE59" s="518"/>
    </row>
    <row r="60" spans="1:83" ht="15" hidden="1" customHeight="1">
      <c r="A60" s="516"/>
      <c r="B60"/>
      <c r="C60"/>
      <c r="D60" s="3622"/>
      <c r="E60" s="3618" t="s">
        <v>829</v>
      </c>
      <c r="F60" s="3619"/>
      <c r="G60" s="3620"/>
      <c r="H60" s="3614" t="str">
        <f>IF(A59="","",INDEX(DIFFERENTIATION_UNMERGE_AREA,MATCH(A59,DIFFERENTIATION_ID_DIFF,0)))</f>
        <v>Территория 1</v>
      </c>
      <c r="I60" s="3614"/>
      <c r="J60" s="3614"/>
      <c r="K60" s="3614"/>
      <c r="L60" s="3614"/>
      <c r="M60" s="3614"/>
      <c r="N60" s="3614"/>
      <c r="O60" s="3614"/>
      <c r="P60" s="3614"/>
      <c r="Q60" s="3614"/>
      <c r="R60" s="3614"/>
      <c r="S60" s="609"/>
      <c r="T60" s="606"/>
      <c r="U60" s="517"/>
      <c r="V60" s="517"/>
      <c r="W60" s="518"/>
      <c r="X60" s="518"/>
      <c r="Y60" s="518"/>
      <c r="Z60" s="518"/>
      <c r="AA60" s="519"/>
      <c r="AB60" s="520"/>
      <c r="AC60" s="3617"/>
      <c r="AD60" s="521"/>
      <c r="AE60" s="522"/>
      <c r="AF60" s="522"/>
      <c r="AG60" s="523"/>
      <c r="AH60" s="524"/>
      <c r="AI60" s="517"/>
      <c r="AJ60" s="517"/>
      <c r="AK60" s="517"/>
      <c r="AL60" s="517"/>
      <c r="AM60" s="517"/>
      <c r="AN60" s="517"/>
      <c r="AO60" s="517"/>
      <c r="AP60" s="517"/>
      <c r="AQ60" s="517"/>
      <c r="AR60" s="517"/>
      <c r="AS60" s="517"/>
      <c r="AT60" s="517"/>
      <c r="AU60" s="517"/>
      <c r="AV60" s="517"/>
      <c r="AW60" s="517"/>
      <c r="AX60" s="517"/>
      <c r="AY60" s="517"/>
      <c r="AZ60" s="517"/>
      <c r="BA60" s="517"/>
      <c r="BB60" s="517"/>
      <c r="BC60" s="517"/>
      <c r="BD60" s="517"/>
      <c r="BE60" s="517"/>
      <c r="BF60" s="517"/>
      <c r="BG60" s="517"/>
      <c r="BH60" s="517"/>
      <c r="BI60" s="517"/>
      <c r="BJ60" s="517"/>
      <c r="BK60" s="517"/>
      <c r="BL60" s="517"/>
      <c r="BM60" s="517"/>
      <c r="BN60" s="517"/>
      <c r="BO60" s="517"/>
      <c r="BP60" s="517"/>
      <c r="BQ60" s="517"/>
      <c r="BR60" s="517"/>
      <c r="BS60" s="517"/>
      <c r="BT60" s="517"/>
      <c r="BU60" s="517"/>
      <c r="BV60" s="518"/>
      <c r="BW60" s="518"/>
      <c r="BX60" s="518"/>
      <c r="BY60" s="518"/>
      <c r="BZ60" s="518"/>
      <c r="CA60" s="518"/>
      <c r="CB60" s="518"/>
      <c r="CC60" s="518"/>
      <c r="CD60" s="518"/>
      <c r="CE60" s="518"/>
    </row>
    <row r="61" spans="1:83" ht="15" hidden="1" customHeight="1">
      <c r="A61" s="516"/>
      <c r="B61"/>
      <c r="C61"/>
      <c r="D61" s="3622"/>
      <c r="E61" s="3618" t="s">
        <v>830</v>
      </c>
      <c r="F61" s="3619"/>
      <c r="G61" s="3620"/>
      <c r="H61" s="3614" t="str">
        <f>IF(A59="","",INDEX(DIFFERENTIATION_UNMERGE_SYSTEM,MATCH(A59,DIFFERENTIATION_ID_DIFF,0)))</f>
        <v>Васильевская, 138а</v>
      </c>
      <c r="I61" s="3614"/>
      <c r="J61" s="3614"/>
      <c r="K61" s="3614"/>
      <c r="L61" s="3614"/>
      <c r="M61" s="3614"/>
      <c r="N61" s="3614"/>
      <c r="O61" s="3614"/>
      <c r="P61" s="3614"/>
      <c r="Q61" s="3614"/>
      <c r="R61" s="3614"/>
      <c r="S61" s="609"/>
      <c r="T61" s="606"/>
      <c r="U61" s="517"/>
      <c r="V61" s="517"/>
      <c r="W61" s="518"/>
      <c r="X61" s="518"/>
      <c r="Y61" s="518"/>
      <c r="Z61" s="518"/>
      <c r="AA61" s="519"/>
      <c r="AB61" s="520"/>
      <c r="AC61" s="3617"/>
      <c r="AD61" s="521"/>
      <c r="AE61" s="522"/>
      <c r="AF61" s="522"/>
      <c r="AG61" s="523"/>
      <c r="AH61" s="524"/>
      <c r="AI61" s="517"/>
      <c r="AJ61" s="517"/>
      <c r="AK61" s="517"/>
      <c r="AL61" s="517"/>
      <c r="AM61" s="517"/>
      <c r="AN61" s="517"/>
      <c r="AO61" s="517"/>
      <c r="AP61" s="517"/>
      <c r="AQ61" s="517"/>
      <c r="AR61" s="517"/>
      <c r="AS61" s="517"/>
      <c r="AT61" s="517"/>
      <c r="AU61" s="517"/>
      <c r="AV61" s="517"/>
      <c r="AW61" s="517"/>
      <c r="AX61" s="517"/>
      <c r="AY61" s="517"/>
      <c r="AZ61" s="517"/>
      <c r="BA61" s="517"/>
      <c r="BB61" s="517"/>
      <c r="BC61" s="517"/>
      <c r="BD61" s="517"/>
      <c r="BE61" s="517"/>
      <c r="BF61" s="517"/>
      <c r="BG61" s="517"/>
      <c r="BH61" s="517"/>
      <c r="BI61" s="517"/>
      <c r="BJ61" s="517"/>
      <c r="BK61" s="517"/>
      <c r="BL61" s="517"/>
      <c r="BM61" s="517"/>
      <c r="BN61" s="517"/>
      <c r="BO61" s="517"/>
      <c r="BP61" s="517"/>
      <c r="BQ61" s="517"/>
      <c r="BR61" s="517"/>
      <c r="BS61" s="517"/>
      <c r="BT61" s="517"/>
      <c r="BU61" s="517"/>
      <c r="BV61" s="518"/>
      <c r="BW61" s="518"/>
      <c r="BX61" s="518"/>
      <c r="BY61" s="518"/>
      <c r="BZ61" s="518"/>
      <c r="CA61" s="518"/>
      <c r="CB61" s="518"/>
      <c r="CC61" s="518"/>
      <c r="CD61" s="518"/>
      <c r="CE61" s="518"/>
    </row>
    <row r="62" spans="1:83" ht="24.75" hidden="1" customHeight="1">
      <c r="A62" s="1649"/>
      <c r="B62" s="1023"/>
      <c r="C62" s="319"/>
      <c r="D62" s="3622"/>
      <c r="E62" s="3616" t="s">
        <v>875</v>
      </c>
      <c r="F62" s="3616"/>
      <c r="G62" s="3616"/>
      <c r="H62" s="3616"/>
      <c r="I62" s="3616"/>
      <c r="J62" s="3616"/>
      <c r="K62" s="3616"/>
      <c r="L62" s="3616"/>
      <c r="M62" s="3616"/>
      <c r="N62" s="3616"/>
      <c r="O62" s="3616"/>
      <c r="P62" s="3616"/>
      <c r="Q62" s="455">
        <f>SUMIF(T63:T64,"i",Q63:Q64)</f>
        <v>0</v>
      </c>
      <c r="R62" s="887"/>
      <c r="S62" s="1641" t="s">
        <v>876</v>
      </c>
      <c r="T62" s="607" t="s">
        <v>877</v>
      </c>
      <c r="U62" s="3532">
        <v>1</v>
      </c>
      <c r="V62" s="3532" t="s">
        <v>840</v>
      </c>
      <c r="W62" s="1023"/>
      <c r="X62" s="1023"/>
      <c r="Y62" s="1023"/>
      <c r="Z62" s="1023"/>
      <c r="AA62" s="1481"/>
      <c r="AB62" s="1023"/>
      <c r="AC62" s="3617"/>
      <c r="AD62" s="521"/>
      <c r="AE62" s="1023"/>
      <c r="AF62" s="1023"/>
      <c r="AG62" s="1481"/>
      <c r="AH62" s="1481"/>
      <c r="AI62" s="1481"/>
      <c r="AJ62" s="1481"/>
      <c r="AK62" s="1481"/>
      <c r="AL62" s="1481"/>
      <c r="AM62" s="1481"/>
      <c r="AN62" s="1481"/>
      <c r="AO62" s="1481"/>
      <c r="AP62" s="1481"/>
      <c r="AQ62" s="1481"/>
      <c r="AR62" s="1481"/>
      <c r="AS62" s="1481"/>
      <c r="AT62" s="1481"/>
      <c r="AU62" s="1481"/>
      <c r="AV62" s="1481"/>
      <c r="AW62" s="1481"/>
      <c r="AX62" s="1481"/>
      <c r="AY62" s="1481"/>
      <c r="AZ62" s="1481"/>
      <c r="BA62" s="1481"/>
      <c r="BB62" s="1481"/>
      <c r="BC62" s="1481"/>
      <c r="BD62" s="1481"/>
      <c r="BE62" s="1481"/>
      <c r="BF62" s="1481"/>
      <c r="BG62" s="1481"/>
      <c r="BH62" s="1481"/>
      <c r="BI62" s="1481"/>
      <c r="BJ62" s="1481"/>
      <c r="BK62" s="1481"/>
      <c r="BL62" s="1481"/>
      <c r="BM62" s="1481"/>
      <c r="BN62" s="1481"/>
      <c r="BO62" s="1481"/>
      <c r="BP62" s="1481"/>
      <c r="BQ62" s="1481"/>
      <c r="BR62" s="1481"/>
      <c r="BS62" s="1481"/>
      <c r="BT62" s="1481"/>
      <c r="BU62" s="1481"/>
      <c r="BV62" s="1023"/>
      <c r="BW62" s="1023"/>
      <c r="BX62" s="1023"/>
      <c r="BY62" s="1023"/>
      <c r="BZ62" s="1023"/>
      <c r="CA62" s="1023"/>
      <c r="CB62" s="1023"/>
      <c r="CC62" s="1023"/>
      <c r="CD62" s="1023"/>
      <c r="CE62" s="1023"/>
    </row>
    <row r="63" spans="1:83" ht="11.25" hidden="1" customHeight="1">
      <c r="A63" s="1636"/>
      <c r="B63" s="1481"/>
      <c r="C63" s="1481"/>
      <c r="D63" s="3622"/>
      <c r="E63" s="527"/>
      <c r="F63" s="527">
        <v>0</v>
      </c>
      <c r="G63" s="527"/>
      <c r="H63" s="527"/>
      <c r="I63" s="527"/>
      <c r="J63" s="527"/>
      <c r="K63" s="527"/>
      <c r="L63" s="527"/>
      <c r="M63" s="527"/>
      <c r="N63" s="527"/>
      <c r="O63" s="527"/>
      <c r="P63" s="527"/>
      <c r="Q63" s="527"/>
      <c r="R63" s="527"/>
      <c r="S63" s="528"/>
      <c r="T63" s="608"/>
      <c r="U63" s="3532"/>
      <c r="V63" s="3532"/>
      <c r="W63" s="1481"/>
      <c r="X63" s="1481"/>
      <c r="Y63" s="1481"/>
      <c r="Z63" s="1481"/>
      <c r="AA63" s="1481"/>
      <c r="AB63" s="1023"/>
      <c r="AC63" s="3617"/>
      <c r="AD63" s="521"/>
      <c r="AE63" s="1023"/>
      <c r="AF63" s="1023"/>
      <c r="AG63" s="1481"/>
      <c r="AH63" s="1481"/>
      <c r="AI63" s="1481"/>
      <c r="AJ63" s="1481"/>
      <c r="AK63" s="1481"/>
      <c r="AL63" s="1481"/>
      <c r="AM63" s="1481"/>
      <c r="AN63" s="1481"/>
      <c r="AO63" s="1481"/>
      <c r="AP63" s="1481"/>
      <c r="AQ63" s="1481"/>
      <c r="AR63" s="1481"/>
      <c r="AS63" s="1481"/>
      <c r="AT63" s="1481"/>
      <c r="AU63" s="1481"/>
      <c r="AV63" s="1481"/>
      <c r="AW63" s="1481"/>
      <c r="AX63" s="1481"/>
      <c r="AY63" s="1481"/>
      <c r="AZ63" s="1481"/>
      <c r="BA63" s="1481"/>
      <c r="BB63" s="1481"/>
      <c r="BC63" s="1481"/>
      <c r="BD63" s="1481"/>
      <c r="BE63" s="1481"/>
      <c r="BF63" s="1481"/>
      <c r="BG63" s="1481"/>
      <c r="BH63" s="1481"/>
      <c r="BI63" s="1481"/>
      <c r="BJ63" s="1481"/>
      <c r="BK63" s="1481"/>
      <c r="BL63" s="1481"/>
      <c r="BM63" s="1481"/>
      <c r="BN63" s="1481"/>
      <c r="BO63" s="1481"/>
      <c r="BP63" s="1481"/>
      <c r="BQ63" s="1481"/>
      <c r="BR63" s="1481"/>
      <c r="BS63" s="1481"/>
      <c r="BT63" s="1481"/>
      <c r="BU63" s="1481"/>
      <c r="BV63" s="1481"/>
      <c r="BW63" s="1481"/>
      <c r="BX63" s="1481"/>
      <c r="BY63" s="1481"/>
      <c r="BZ63" s="1481"/>
      <c r="CA63" s="1481"/>
      <c r="CB63" s="1481"/>
      <c r="CC63" s="1481"/>
      <c r="CD63" s="1481"/>
      <c r="CE63" s="1481"/>
    </row>
    <row r="64" spans="1:83" ht="11.25" hidden="1" customHeight="1">
      <c r="A64" s="1649"/>
      <c r="B64" s="1023"/>
      <c r="C64" s="319"/>
      <c r="D64" s="3622"/>
      <c r="E64" s="541" t="s">
        <v>18</v>
      </c>
      <c r="F64" s="1031" t="s">
        <v>18</v>
      </c>
      <c r="G64" s="1031" t="s">
        <v>880</v>
      </c>
      <c r="H64" s="543" t="s">
        <v>18</v>
      </c>
      <c r="I64" s="543"/>
      <c r="J64" s="543"/>
      <c r="K64" s="543"/>
      <c r="L64" s="543"/>
      <c r="M64" s="543"/>
      <c r="N64" s="543"/>
      <c r="O64" s="543"/>
      <c r="P64" s="543"/>
      <c r="Q64" s="543"/>
      <c r="R64" s="544"/>
      <c r="S64" s="545"/>
      <c r="T64" s="608"/>
      <c r="U64" s="3532"/>
      <c r="V64" s="3532"/>
      <c r="W64" s="1023"/>
      <c r="X64" s="1023"/>
      <c r="Y64" s="1023"/>
      <c r="Z64" s="1023"/>
      <c r="AA64" s="1481"/>
      <c r="AB64" s="1023"/>
      <c r="AC64" s="3617"/>
      <c r="AD64" s="521"/>
      <c r="AE64" s="1023"/>
      <c r="AF64" s="1023"/>
      <c r="AG64" s="1481"/>
      <c r="AH64" s="1481"/>
      <c r="AI64" s="1481"/>
      <c r="AJ64" s="1481"/>
      <c r="AK64" s="1481"/>
      <c r="AL64" s="1481"/>
      <c r="AM64" s="1481"/>
      <c r="AN64" s="1481"/>
      <c r="AO64" s="1481"/>
      <c r="AP64" s="1481"/>
      <c r="AQ64" s="1481"/>
      <c r="AR64" s="1481"/>
      <c r="AS64" s="1481"/>
      <c r="AT64" s="1481"/>
      <c r="AU64" s="1481"/>
      <c r="AV64" s="1481"/>
      <c r="AW64" s="1481"/>
      <c r="AX64" s="1481"/>
      <c r="AY64" s="1481"/>
      <c r="AZ64" s="1481"/>
      <c r="BA64" s="1481"/>
      <c r="BB64" s="1481"/>
      <c r="BC64" s="1481"/>
      <c r="BD64" s="1481"/>
      <c r="BE64" s="1481"/>
      <c r="BF64" s="1481"/>
      <c r="BG64" s="1481"/>
      <c r="BH64" s="1481"/>
      <c r="BI64" s="1481"/>
      <c r="BJ64" s="1481"/>
      <c r="BK64" s="1481"/>
      <c r="BL64" s="1481"/>
      <c r="BM64" s="1481"/>
      <c r="BN64" s="1481"/>
      <c r="BO64" s="1481"/>
      <c r="BP64" s="1481"/>
      <c r="BQ64" s="1481"/>
      <c r="BR64" s="1481"/>
      <c r="BS64" s="1481"/>
      <c r="BT64" s="1481"/>
      <c r="BU64" s="1481"/>
      <c r="BV64" s="1023"/>
      <c r="BW64" s="1023"/>
      <c r="BX64" s="1023"/>
      <c r="BY64" s="1023"/>
      <c r="BZ64" s="1023"/>
      <c r="CA64" s="1023"/>
      <c r="CB64" s="1023"/>
      <c r="CC64" s="1023"/>
      <c r="CD64" s="1023"/>
      <c r="CE64" s="1023"/>
    </row>
    <row r="65" spans="1:83" ht="5.25" hidden="1" customHeight="1">
      <c r="A65" s="1636"/>
      <c r="B65" s="1481"/>
      <c r="C65" s="1481"/>
      <c r="D65" s="3622"/>
      <c r="E65" s="909"/>
      <c r="F65" s="909"/>
      <c r="G65" s="909"/>
      <c r="H65" s="909"/>
      <c r="I65" s="909"/>
      <c r="J65" s="909"/>
      <c r="K65" s="909"/>
      <c r="L65" s="909"/>
      <c r="M65" s="909"/>
      <c r="N65" s="909"/>
      <c r="O65" s="909"/>
      <c r="P65" s="909"/>
      <c r="Q65" s="910"/>
      <c r="R65" s="911"/>
      <c r="S65" s="912"/>
      <c r="T65" s="607" t="s">
        <v>877</v>
      </c>
      <c r="U65" s="3532">
        <v>1</v>
      </c>
      <c r="V65" s="3532" t="s">
        <v>840</v>
      </c>
      <c r="W65" s="1481"/>
      <c r="X65" s="1481"/>
      <c r="Y65" s="1481"/>
      <c r="Z65" s="1481"/>
      <c r="AA65" s="1481"/>
      <c r="AB65" s="1481"/>
      <c r="AC65" s="907"/>
      <c r="AD65" s="908"/>
      <c r="AE65" s="1481"/>
      <c r="AF65" s="1481"/>
      <c r="AG65" s="1481"/>
      <c r="AH65" s="1481"/>
      <c r="AI65" s="1481"/>
      <c r="AJ65" s="1481"/>
      <c r="AK65" s="1481"/>
      <c r="AL65" s="1481"/>
      <c r="AM65" s="1481"/>
      <c r="AN65" s="1481"/>
      <c r="AO65" s="1481"/>
      <c r="AP65" s="1481"/>
      <c r="AQ65" s="1481"/>
      <c r="AR65" s="1481"/>
      <c r="AS65" s="1481"/>
      <c r="AT65" s="1481"/>
      <c r="AU65" s="1481"/>
      <c r="AV65" s="1481"/>
      <c r="AW65" s="1481"/>
      <c r="AX65" s="1481"/>
      <c r="AY65" s="1481"/>
      <c r="AZ65" s="1481"/>
      <c r="BA65" s="1481"/>
      <c r="BB65" s="1481"/>
      <c r="BC65" s="1481"/>
      <c r="BD65" s="1481"/>
      <c r="BE65" s="1481"/>
      <c r="BF65" s="1481"/>
      <c r="BG65" s="1481"/>
      <c r="BH65" s="1481"/>
      <c r="BI65" s="1481"/>
      <c r="BJ65" s="1481"/>
      <c r="BK65" s="1481"/>
      <c r="BL65" s="1481"/>
      <c r="BM65" s="1481"/>
      <c r="BN65" s="1481"/>
      <c r="BO65" s="1481"/>
      <c r="BP65" s="1481"/>
      <c r="BQ65" s="1481"/>
      <c r="BR65" s="1481"/>
      <c r="BS65" s="1481"/>
      <c r="BT65" s="1481"/>
      <c r="BU65" s="1481"/>
      <c r="BV65" s="1481"/>
      <c r="BW65" s="1481"/>
      <c r="BX65" s="1481"/>
      <c r="BY65" s="1481"/>
      <c r="BZ65" s="1481"/>
      <c r="CA65" s="1481"/>
      <c r="CB65" s="1481"/>
      <c r="CC65" s="1481"/>
      <c r="CD65" s="1481"/>
      <c r="CE65" s="1481"/>
    </row>
    <row r="66" spans="1:83" ht="5.25" hidden="1" customHeight="1">
      <c r="A66" s="1636"/>
      <c r="B66" s="1481"/>
      <c r="C66" s="1481"/>
      <c r="D66" s="3622"/>
      <c r="E66" s="527"/>
      <c r="F66" s="527"/>
      <c r="G66" s="527"/>
      <c r="H66" s="527"/>
      <c r="I66" s="527"/>
      <c r="J66" s="527"/>
      <c r="K66" s="527"/>
      <c r="L66" s="527"/>
      <c r="M66" s="527"/>
      <c r="N66" s="527"/>
      <c r="O66" s="527"/>
      <c r="P66" s="527"/>
      <c r="Q66" s="527"/>
      <c r="R66" s="527"/>
      <c r="S66" s="528"/>
      <c r="T66" s="608"/>
      <c r="U66" s="3532"/>
      <c r="V66" s="3532"/>
      <c r="W66" s="1481"/>
      <c r="X66" s="1481"/>
      <c r="Y66" s="1481"/>
      <c r="Z66" s="1481"/>
      <c r="AA66" s="1481"/>
      <c r="AB66" s="1481"/>
      <c r="AC66" s="907"/>
      <c r="AD66" s="908"/>
      <c r="AE66" s="1481"/>
      <c r="AF66" s="1481"/>
      <c r="AG66" s="1481"/>
      <c r="AH66" s="1481"/>
      <c r="AI66" s="1481"/>
      <c r="AJ66" s="1481"/>
      <c r="AK66" s="1481"/>
      <c r="AL66" s="1481"/>
      <c r="AM66" s="1481"/>
      <c r="AN66" s="1481"/>
      <c r="AO66" s="1481"/>
      <c r="AP66" s="1481"/>
      <c r="AQ66" s="1481"/>
      <c r="AR66" s="1481"/>
      <c r="AS66" s="1481"/>
      <c r="AT66" s="1481"/>
      <c r="AU66" s="1481"/>
      <c r="AV66" s="1481"/>
      <c r="AW66" s="1481"/>
      <c r="AX66" s="1481"/>
      <c r="AY66" s="1481"/>
      <c r="AZ66" s="1481"/>
      <c r="BA66" s="1481"/>
      <c r="BB66" s="1481"/>
      <c r="BC66" s="1481"/>
      <c r="BD66" s="1481"/>
      <c r="BE66" s="1481"/>
      <c r="BF66" s="1481"/>
      <c r="BG66" s="1481"/>
      <c r="BH66" s="1481"/>
      <c r="BI66" s="1481"/>
      <c r="BJ66" s="1481"/>
      <c r="BK66" s="1481"/>
      <c r="BL66" s="1481"/>
      <c r="BM66" s="1481"/>
      <c r="BN66" s="1481"/>
      <c r="BO66" s="1481"/>
      <c r="BP66" s="1481"/>
      <c r="BQ66" s="1481"/>
      <c r="BR66" s="1481"/>
      <c r="BS66" s="1481"/>
      <c r="BT66" s="1481"/>
      <c r="BU66" s="1481"/>
      <c r="BV66" s="1481"/>
      <c r="BW66" s="1481"/>
      <c r="BX66" s="1481"/>
      <c r="BY66" s="1481"/>
      <c r="BZ66" s="1481"/>
      <c r="CA66" s="1481"/>
      <c r="CB66" s="1481"/>
      <c r="CC66" s="1481"/>
      <c r="CD66" s="1481"/>
      <c r="CE66" s="1481"/>
    </row>
    <row r="67" spans="1:83" ht="5.25" hidden="1" customHeight="1">
      <c r="A67" s="1636"/>
      <c r="B67" s="1481"/>
      <c r="C67" s="1481"/>
      <c r="D67" s="3623"/>
      <c r="E67" s="913"/>
      <c r="F67" s="914"/>
      <c r="G67" s="914"/>
      <c r="H67" s="915"/>
      <c r="I67" s="915"/>
      <c r="J67" s="915"/>
      <c r="K67" s="915"/>
      <c r="L67" s="915"/>
      <c r="M67" s="915"/>
      <c r="N67" s="915"/>
      <c r="O67" s="915"/>
      <c r="P67" s="915"/>
      <c r="Q67" s="915"/>
      <c r="R67" s="818"/>
      <c r="S67" s="916"/>
      <c r="T67" s="608"/>
      <c r="U67" s="3532"/>
      <c r="V67" s="3532"/>
      <c r="W67" s="1481"/>
      <c r="X67" s="1481"/>
      <c r="Y67" s="1481"/>
      <c r="Z67" s="1481"/>
      <c r="AA67" s="1481"/>
      <c r="AB67" s="1481"/>
      <c r="AC67" s="907"/>
      <c r="AD67" s="908"/>
      <c r="AE67" s="1481"/>
      <c r="AF67" s="1481"/>
      <c r="AG67" s="1481"/>
      <c r="AH67" s="1481"/>
      <c r="AI67" s="1481"/>
      <c r="AJ67" s="1481"/>
      <c r="AK67" s="1481"/>
      <c r="AL67" s="1481"/>
      <c r="AM67" s="1481"/>
      <c r="AN67" s="1481"/>
      <c r="AO67" s="1481"/>
      <c r="AP67" s="1481"/>
      <c r="AQ67" s="1481"/>
      <c r="AR67" s="1481"/>
      <c r="AS67" s="1481"/>
      <c r="AT67" s="1481"/>
      <c r="AU67" s="1481"/>
      <c r="AV67" s="1481"/>
      <c r="AW67" s="1481"/>
      <c r="AX67" s="1481"/>
      <c r="AY67" s="1481"/>
      <c r="AZ67" s="1481"/>
      <c r="BA67" s="1481"/>
      <c r="BB67" s="1481"/>
      <c r="BC67" s="1481"/>
      <c r="BD67" s="1481"/>
      <c r="BE67" s="1481"/>
      <c r="BF67" s="1481"/>
      <c r="BG67" s="1481"/>
      <c r="BH67" s="1481"/>
      <c r="BI67" s="1481"/>
      <c r="BJ67" s="1481"/>
      <c r="BK67" s="1481"/>
      <c r="BL67" s="1481"/>
      <c r="BM67" s="1481"/>
      <c r="BN67" s="1481"/>
      <c r="BO67" s="1481"/>
      <c r="BP67" s="1481"/>
      <c r="BQ67" s="1481"/>
      <c r="BR67" s="1481"/>
      <c r="BS67" s="1481"/>
      <c r="BT67" s="1481"/>
      <c r="BU67" s="1481"/>
      <c r="BV67" s="1481"/>
      <c r="BW67" s="1481"/>
      <c r="BX67" s="1481"/>
      <c r="BY67" s="1481"/>
      <c r="BZ67" s="1481"/>
      <c r="CA67" s="1481"/>
      <c r="CB67" s="1481"/>
      <c r="CC67" s="1481"/>
      <c r="CD67" s="1481"/>
      <c r="CE67" s="1481"/>
    </row>
    <row r="68" spans="1:83" ht="15" hidden="1" customHeight="1">
      <c r="A68" s="516" t="s">
        <v>130</v>
      </c>
      <c r="B68"/>
      <c r="C68" t="s">
        <v>18</v>
      </c>
      <c r="D68" s="3621" t="s">
        <v>885</v>
      </c>
      <c r="E68" s="3618" t="s">
        <v>102</v>
      </c>
      <c r="F68" s="3619"/>
      <c r="G68" s="3620"/>
      <c r="H68" s="3614" t="str">
        <f>IF(A68="","",INDEX(DIFFERENTIATION_UNMERGE_VD,MATCH(A68,DIFFERENTIATION_ID_DIFF,0)))</f>
        <v>Производство тепловой энергии. Некомбинированная выработка</v>
      </c>
      <c r="I68" s="3614"/>
      <c r="J68" s="3614"/>
      <c r="K68" s="3614"/>
      <c r="L68" s="3614"/>
      <c r="M68" s="3614"/>
      <c r="N68" s="3614"/>
      <c r="O68" s="3614"/>
      <c r="P68" s="3614"/>
      <c r="Q68" s="3614"/>
      <c r="R68" s="3614"/>
      <c r="S68" s="609"/>
      <c r="T68" s="606"/>
      <c r="U68" s="517"/>
      <c r="V68" s="517"/>
      <c r="W68" s="518"/>
      <c r="X68" s="518"/>
      <c r="Y68" s="518"/>
      <c r="Z68" s="518"/>
      <c r="AA68" s="519"/>
      <c r="AB68" s="520"/>
      <c r="AC68" s="3617"/>
      <c r="AD68" s="521"/>
      <c r="AE68" s="522" t="s">
        <v>18</v>
      </c>
      <c r="AF68" s="522"/>
      <c r="AG68" s="523" t="s">
        <v>874</v>
      </c>
      <c r="AH68" s="524">
        <v>3</v>
      </c>
      <c r="AI68" s="517"/>
      <c r="AJ68" s="517"/>
      <c r="AK68" s="517"/>
      <c r="AL68" s="517"/>
      <c r="AM68" s="517"/>
      <c r="AN68" s="517"/>
      <c r="AO68" s="517"/>
      <c r="AP68" s="517"/>
      <c r="AQ68" s="517"/>
      <c r="AR68" s="517"/>
      <c r="AS68" s="517"/>
      <c r="AT68" s="517"/>
      <c r="AU68" s="517"/>
      <c r="AV68" s="517"/>
      <c r="AW68" s="517"/>
      <c r="AX68" s="517"/>
      <c r="AY68" s="517"/>
      <c r="AZ68" s="517"/>
      <c r="BA68" s="517"/>
      <c r="BB68" s="517"/>
      <c r="BC68" s="517"/>
      <c r="BD68" s="517"/>
      <c r="BE68" s="517"/>
      <c r="BF68" s="517"/>
      <c r="BG68" s="517"/>
      <c r="BH68" s="517"/>
      <c r="BI68" s="517"/>
      <c r="BJ68" s="517"/>
      <c r="BK68" s="517"/>
      <c r="BL68" s="517"/>
      <c r="BM68" s="517"/>
      <c r="BN68" s="517"/>
      <c r="BO68" s="517"/>
      <c r="BP68" s="517"/>
      <c r="BQ68" s="517"/>
      <c r="BR68" s="517"/>
      <c r="BS68" s="517"/>
      <c r="BT68" s="517"/>
      <c r="BU68" s="517"/>
      <c r="BV68" s="518"/>
      <c r="BW68" s="518"/>
      <c r="BX68" s="518"/>
      <c r="BY68" s="518"/>
      <c r="BZ68" s="518"/>
      <c r="CA68" s="518"/>
      <c r="CB68" s="518"/>
      <c r="CC68" s="518"/>
      <c r="CD68" s="518"/>
      <c r="CE68" s="518"/>
    </row>
    <row r="69" spans="1:83" ht="15" hidden="1" customHeight="1">
      <c r="A69" s="516"/>
      <c r="B69"/>
      <c r="C69"/>
      <c r="D69" s="3622"/>
      <c r="E69" s="3618" t="s">
        <v>829</v>
      </c>
      <c r="F69" s="3619"/>
      <c r="G69" s="3620"/>
      <c r="H69" s="3614" t="str">
        <f>IF(A68="","",INDEX(DIFFERENTIATION_UNMERGE_AREA,MATCH(A68,DIFFERENTIATION_ID_DIFF,0)))</f>
        <v>Территория 1</v>
      </c>
      <c r="I69" s="3614"/>
      <c r="J69" s="3614"/>
      <c r="K69" s="3614"/>
      <c r="L69" s="3614"/>
      <c r="M69" s="3614"/>
      <c r="N69" s="3614"/>
      <c r="O69" s="3614"/>
      <c r="P69" s="3614"/>
      <c r="Q69" s="3614"/>
      <c r="R69" s="3614"/>
      <c r="S69" s="609"/>
      <c r="T69" s="606"/>
      <c r="U69" s="517"/>
      <c r="V69" s="517"/>
      <c r="W69" s="518"/>
      <c r="X69" s="518"/>
      <c r="Y69" s="518"/>
      <c r="Z69" s="518"/>
      <c r="AA69" s="519"/>
      <c r="AB69" s="520"/>
      <c r="AC69" s="3617"/>
      <c r="AD69" s="521"/>
      <c r="AE69" s="522"/>
      <c r="AF69" s="522"/>
      <c r="AG69" s="523"/>
      <c r="AH69" s="524"/>
      <c r="AI69" s="517"/>
      <c r="AJ69" s="517"/>
      <c r="AK69" s="517"/>
      <c r="AL69" s="517"/>
      <c r="AM69" s="517"/>
      <c r="AN69" s="517"/>
      <c r="AO69" s="517"/>
      <c r="AP69" s="517"/>
      <c r="AQ69" s="517"/>
      <c r="AR69" s="517"/>
      <c r="AS69" s="517"/>
      <c r="AT69" s="517"/>
      <c r="AU69" s="517"/>
      <c r="AV69" s="517"/>
      <c r="AW69" s="517"/>
      <c r="AX69" s="517"/>
      <c r="AY69" s="517"/>
      <c r="AZ69" s="517"/>
      <c r="BA69" s="517"/>
      <c r="BB69" s="517"/>
      <c r="BC69" s="517"/>
      <c r="BD69" s="517"/>
      <c r="BE69" s="517"/>
      <c r="BF69" s="517"/>
      <c r="BG69" s="517"/>
      <c r="BH69" s="517"/>
      <c r="BI69" s="517"/>
      <c r="BJ69" s="517"/>
      <c r="BK69" s="517"/>
      <c r="BL69" s="517"/>
      <c r="BM69" s="517"/>
      <c r="BN69" s="517"/>
      <c r="BO69" s="517"/>
      <c r="BP69" s="517"/>
      <c r="BQ69" s="517"/>
      <c r="BR69" s="517"/>
      <c r="BS69" s="517"/>
      <c r="BT69" s="517"/>
      <c r="BU69" s="517"/>
      <c r="BV69" s="518"/>
      <c r="BW69" s="518"/>
      <c r="BX69" s="518"/>
      <c r="BY69" s="518"/>
      <c r="BZ69" s="518"/>
      <c r="CA69" s="518"/>
      <c r="CB69" s="518"/>
      <c r="CC69" s="518"/>
      <c r="CD69" s="518"/>
      <c r="CE69" s="518"/>
    </row>
    <row r="70" spans="1:83" ht="15" hidden="1" customHeight="1">
      <c r="A70" s="516"/>
      <c r="B70"/>
      <c r="C70"/>
      <c r="D70" s="3622"/>
      <c r="E70" s="3618" t="s">
        <v>830</v>
      </c>
      <c r="F70" s="3619"/>
      <c r="G70" s="3620"/>
      <c r="H70" s="3614" t="str">
        <f>IF(A68="","",INDEX(DIFFERENTIATION_UNMERGE_SYSTEM,MATCH(A68,DIFFERENTIATION_ID_DIFF,0)))</f>
        <v>Гагарина, 48а</v>
      </c>
      <c r="I70" s="3614"/>
      <c r="J70" s="3614"/>
      <c r="K70" s="3614"/>
      <c r="L70" s="3614"/>
      <c r="M70" s="3614"/>
      <c r="N70" s="3614"/>
      <c r="O70" s="3614"/>
      <c r="P70" s="3614"/>
      <c r="Q70" s="3614"/>
      <c r="R70" s="3614"/>
      <c r="S70" s="609"/>
      <c r="T70" s="606"/>
      <c r="U70" s="517"/>
      <c r="V70" s="517"/>
      <c r="W70" s="518"/>
      <c r="X70" s="518"/>
      <c r="Y70" s="518"/>
      <c r="Z70" s="518"/>
      <c r="AA70" s="519"/>
      <c r="AB70" s="520"/>
      <c r="AC70" s="3617"/>
      <c r="AD70" s="521"/>
      <c r="AE70" s="522"/>
      <c r="AF70" s="522"/>
      <c r="AG70" s="523"/>
      <c r="AH70" s="524"/>
      <c r="AI70" s="517"/>
      <c r="AJ70" s="517"/>
      <c r="AK70" s="517"/>
      <c r="AL70" s="517"/>
      <c r="AM70" s="517"/>
      <c r="AN70" s="517"/>
      <c r="AO70" s="517"/>
      <c r="AP70" s="517"/>
      <c r="AQ70" s="517"/>
      <c r="AR70" s="517"/>
      <c r="AS70" s="517"/>
      <c r="AT70" s="517"/>
      <c r="AU70" s="517"/>
      <c r="AV70" s="517"/>
      <c r="AW70" s="517"/>
      <c r="AX70" s="517"/>
      <c r="AY70" s="517"/>
      <c r="AZ70" s="517"/>
      <c r="BA70" s="517"/>
      <c r="BB70" s="517"/>
      <c r="BC70" s="517"/>
      <c r="BD70" s="517"/>
      <c r="BE70" s="517"/>
      <c r="BF70" s="517"/>
      <c r="BG70" s="517"/>
      <c r="BH70" s="517"/>
      <c r="BI70" s="517"/>
      <c r="BJ70" s="517"/>
      <c r="BK70" s="517"/>
      <c r="BL70" s="517"/>
      <c r="BM70" s="517"/>
      <c r="BN70" s="517"/>
      <c r="BO70" s="517"/>
      <c r="BP70" s="517"/>
      <c r="BQ70" s="517"/>
      <c r="BR70" s="517"/>
      <c r="BS70" s="517"/>
      <c r="BT70" s="517"/>
      <c r="BU70" s="517"/>
      <c r="BV70" s="518"/>
      <c r="BW70" s="518"/>
      <c r="BX70" s="518"/>
      <c r="BY70" s="518"/>
      <c r="BZ70" s="518"/>
      <c r="CA70" s="518"/>
      <c r="CB70" s="518"/>
      <c r="CC70" s="518"/>
      <c r="CD70" s="518"/>
      <c r="CE70" s="518"/>
    </row>
    <row r="71" spans="1:83" ht="24.75" hidden="1" customHeight="1">
      <c r="A71" s="1649"/>
      <c r="B71" s="1023"/>
      <c r="C71" s="319"/>
      <c r="D71" s="3622"/>
      <c r="E71" s="3616" t="s">
        <v>875</v>
      </c>
      <c r="F71" s="3616"/>
      <c r="G71" s="3616"/>
      <c r="H71" s="3616"/>
      <c r="I71" s="3616"/>
      <c r="J71" s="3616"/>
      <c r="K71" s="3616"/>
      <c r="L71" s="3616"/>
      <c r="M71" s="3616"/>
      <c r="N71" s="3616"/>
      <c r="O71" s="3616"/>
      <c r="P71" s="3616"/>
      <c r="Q71" s="455">
        <f>SUMIF(T72:T73,"i",Q72:Q73)</f>
        <v>0</v>
      </c>
      <c r="R71" s="887"/>
      <c r="S71" s="1641" t="s">
        <v>876</v>
      </c>
      <c r="T71" s="607" t="s">
        <v>877</v>
      </c>
      <c r="U71" s="3532">
        <v>1</v>
      </c>
      <c r="V71" s="3532" t="s">
        <v>840</v>
      </c>
      <c r="W71" s="1023"/>
      <c r="X71" s="1023"/>
      <c r="Y71" s="1023"/>
      <c r="Z71" s="1023"/>
      <c r="AA71" s="1481"/>
      <c r="AB71" s="1023"/>
      <c r="AC71" s="3617"/>
      <c r="AD71" s="521"/>
      <c r="AE71" s="1023"/>
      <c r="AF71" s="1023"/>
      <c r="AG71" s="1481"/>
      <c r="AH71" s="1481"/>
      <c r="AI71" s="1481"/>
      <c r="AJ71" s="1481"/>
      <c r="AK71" s="1481"/>
      <c r="AL71" s="1481"/>
      <c r="AM71" s="1481"/>
      <c r="AN71" s="1481"/>
      <c r="AO71" s="1481"/>
      <c r="AP71" s="1481"/>
      <c r="AQ71" s="1481"/>
      <c r="AR71" s="1481"/>
      <c r="AS71" s="1481"/>
      <c r="AT71" s="1481"/>
      <c r="AU71" s="1481"/>
      <c r="AV71" s="1481"/>
      <c r="AW71" s="1481"/>
      <c r="AX71" s="1481"/>
      <c r="AY71" s="1481"/>
      <c r="AZ71" s="1481"/>
      <c r="BA71" s="1481"/>
      <c r="BB71" s="1481"/>
      <c r="BC71" s="1481"/>
      <c r="BD71" s="1481"/>
      <c r="BE71" s="1481"/>
      <c r="BF71" s="1481"/>
      <c r="BG71" s="1481"/>
      <c r="BH71" s="1481"/>
      <c r="BI71" s="1481"/>
      <c r="BJ71" s="1481"/>
      <c r="BK71" s="1481"/>
      <c r="BL71" s="1481"/>
      <c r="BM71" s="1481"/>
      <c r="BN71" s="1481"/>
      <c r="BO71" s="1481"/>
      <c r="BP71" s="1481"/>
      <c r="BQ71" s="1481"/>
      <c r="BR71" s="1481"/>
      <c r="BS71" s="1481"/>
      <c r="BT71" s="1481"/>
      <c r="BU71" s="1481"/>
      <c r="BV71" s="1023"/>
      <c r="BW71" s="1023"/>
      <c r="BX71" s="1023"/>
      <c r="BY71" s="1023"/>
      <c r="BZ71" s="1023"/>
      <c r="CA71" s="1023"/>
      <c r="CB71" s="1023"/>
      <c r="CC71" s="1023"/>
      <c r="CD71" s="1023"/>
      <c r="CE71" s="1023"/>
    </row>
    <row r="72" spans="1:83" ht="11.25" hidden="1" customHeight="1">
      <c r="A72" s="1636"/>
      <c r="B72" s="1481"/>
      <c r="C72" s="1481"/>
      <c r="D72" s="3622"/>
      <c r="E72" s="527"/>
      <c r="F72" s="527">
        <v>0</v>
      </c>
      <c r="G72" s="527"/>
      <c r="H72" s="527"/>
      <c r="I72" s="527"/>
      <c r="J72" s="527"/>
      <c r="K72" s="527"/>
      <c r="L72" s="527"/>
      <c r="M72" s="527"/>
      <c r="N72" s="527"/>
      <c r="O72" s="527"/>
      <c r="P72" s="527"/>
      <c r="Q72" s="527"/>
      <c r="R72" s="527"/>
      <c r="S72" s="528"/>
      <c r="T72" s="608"/>
      <c r="U72" s="3532"/>
      <c r="V72" s="3532"/>
      <c r="W72" s="1481"/>
      <c r="X72" s="1481"/>
      <c r="Y72" s="1481"/>
      <c r="Z72" s="1481"/>
      <c r="AA72" s="1481"/>
      <c r="AB72" s="1023"/>
      <c r="AC72" s="3617"/>
      <c r="AD72" s="521"/>
      <c r="AE72" s="1023"/>
      <c r="AF72" s="1023"/>
      <c r="AG72" s="1481"/>
      <c r="AH72" s="1481"/>
      <c r="AI72" s="1481"/>
      <c r="AJ72" s="1481"/>
      <c r="AK72" s="1481"/>
      <c r="AL72" s="1481"/>
      <c r="AM72" s="1481"/>
      <c r="AN72" s="1481"/>
      <c r="AO72" s="1481"/>
      <c r="AP72" s="1481"/>
      <c r="AQ72" s="1481"/>
      <c r="AR72" s="1481"/>
      <c r="AS72" s="1481"/>
      <c r="AT72" s="1481"/>
      <c r="AU72" s="1481"/>
      <c r="AV72" s="1481"/>
      <c r="AW72" s="1481"/>
      <c r="AX72" s="1481"/>
      <c r="AY72" s="1481"/>
      <c r="AZ72" s="1481"/>
      <c r="BA72" s="1481"/>
      <c r="BB72" s="1481"/>
      <c r="BC72" s="1481"/>
      <c r="BD72" s="1481"/>
      <c r="BE72" s="1481"/>
      <c r="BF72" s="1481"/>
      <c r="BG72" s="1481"/>
      <c r="BH72" s="1481"/>
      <c r="BI72" s="1481"/>
      <c r="BJ72" s="1481"/>
      <c r="BK72" s="1481"/>
      <c r="BL72" s="1481"/>
      <c r="BM72" s="1481"/>
      <c r="BN72" s="1481"/>
      <c r="BO72" s="1481"/>
      <c r="BP72" s="1481"/>
      <c r="BQ72" s="1481"/>
      <c r="BR72" s="1481"/>
      <c r="BS72" s="1481"/>
      <c r="BT72" s="1481"/>
      <c r="BU72" s="1481"/>
      <c r="BV72" s="1481"/>
      <c r="BW72" s="1481"/>
      <c r="BX72" s="1481"/>
      <c r="BY72" s="1481"/>
      <c r="BZ72" s="1481"/>
      <c r="CA72" s="1481"/>
      <c r="CB72" s="1481"/>
      <c r="CC72" s="1481"/>
      <c r="CD72" s="1481"/>
      <c r="CE72" s="1481"/>
    </row>
    <row r="73" spans="1:83" ht="11.25" hidden="1" customHeight="1">
      <c r="A73" s="1649"/>
      <c r="B73" s="1023"/>
      <c r="C73" s="319"/>
      <c r="D73" s="3622"/>
      <c r="E73" s="541" t="s">
        <v>18</v>
      </c>
      <c r="F73" s="1031" t="s">
        <v>18</v>
      </c>
      <c r="G73" s="1031" t="s">
        <v>880</v>
      </c>
      <c r="H73" s="543" t="s">
        <v>18</v>
      </c>
      <c r="I73" s="543"/>
      <c r="J73" s="543"/>
      <c r="K73" s="543"/>
      <c r="L73" s="543"/>
      <c r="M73" s="543"/>
      <c r="N73" s="543"/>
      <c r="O73" s="543"/>
      <c r="P73" s="543"/>
      <c r="Q73" s="543"/>
      <c r="R73" s="544"/>
      <c r="S73" s="545"/>
      <c r="T73" s="608"/>
      <c r="U73" s="3532"/>
      <c r="V73" s="3532"/>
      <c r="W73" s="1023"/>
      <c r="X73" s="1023"/>
      <c r="Y73" s="1023"/>
      <c r="Z73" s="1023"/>
      <c r="AA73" s="1481"/>
      <c r="AB73" s="1023"/>
      <c r="AC73" s="3617"/>
      <c r="AD73" s="521"/>
      <c r="AE73" s="1023"/>
      <c r="AF73" s="1023"/>
      <c r="AG73" s="1481"/>
      <c r="AH73" s="1481"/>
      <c r="AI73" s="1481"/>
      <c r="AJ73" s="1481"/>
      <c r="AK73" s="1481"/>
      <c r="AL73" s="1481"/>
      <c r="AM73" s="1481"/>
      <c r="AN73" s="1481"/>
      <c r="AO73" s="1481"/>
      <c r="AP73" s="1481"/>
      <c r="AQ73" s="1481"/>
      <c r="AR73" s="1481"/>
      <c r="AS73" s="1481"/>
      <c r="AT73" s="1481"/>
      <c r="AU73" s="1481"/>
      <c r="AV73" s="1481"/>
      <c r="AW73" s="1481"/>
      <c r="AX73" s="1481"/>
      <c r="AY73" s="1481"/>
      <c r="AZ73" s="1481"/>
      <c r="BA73" s="1481"/>
      <c r="BB73" s="1481"/>
      <c r="BC73" s="1481"/>
      <c r="BD73" s="1481"/>
      <c r="BE73" s="1481"/>
      <c r="BF73" s="1481"/>
      <c r="BG73" s="1481"/>
      <c r="BH73" s="1481"/>
      <c r="BI73" s="1481"/>
      <c r="BJ73" s="1481"/>
      <c r="BK73" s="1481"/>
      <c r="BL73" s="1481"/>
      <c r="BM73" s="1481"/>
      <c r="BN73" s="1481"/>
      <c r="BO73" s="1481"/>
      <c r="BP73" s="1481"/>
      <c r="BQ73" s="1481"/>
      <c r="BR73" s="1481"/>
      <c r="BS73" s="1481"/>
      <c r="BT73" s="1481"/>
      <c r="BU73" s="1481"/>
      <c r="BV73" s="1023"/>
      <c r="BW73" s="1023"/>
      <c r="BX73" s="1023"/>
      <c r="BY73" s="1023"/>
      <c r="BZ73" s="1023"/>
      <c r="CA73" s="1023"/>
      <c r="CB73" s="1023"/>
      <c r="CC73" s="1023"/>
      <c r="CD73" s="1023"/>
      <c r="CE73" s="1023"/>
    </row>
    <row r="74" spans="1:83" ht="5.25" hidden="1" customHeight="1">
      <c r="A74" s="1636"/>
      <c r="B74" s="1481"/>
      <c r="C74" s="1481"/>
      <c r="D74" s="3622"/>
      <c r="E74" s="909"/>
      <c r="F74" s="909"/>
      <c r="G74" s="909"/>
      <c r="H74" s="909"/>
      <c r="I74" s="909"/>
      <c r="J74" s="909"/>
      <c r="K74" s="909"/>
      <c r="L74" s="909"/>
      <c r="M74" s="909"/>
      <c r="N74" s="909"/>
      <c r="O74" s="909"/>
      <c r="P74" s="909"/>
      <c r="Q74" s="910"/>
      <c r="R74" s="911"/>
      <c r="S74" s="912"/>
      <c r="T74" s="607" t="s">
        <v>877</v>
      </c>
      <c r="U74" s="3532">
        <v>1</v>
      </c>
      <c r="V74" s="3532" t="s">
        <v>840</v>
      </c>
      <c r="W74" s="1481"/>
      <c r="X74" s="1481"/>
      <c r="Y74" s="1481"/>
      <c r="Z74" s="1481"/>
      <c r="AA74" s="1481"/>
      <c r="AB74" s="1481"/>
      <c r="AC74" s="907"/>
      <c r="AD74" s="908"/>
      <c r="AE74" s="1481"/>
      <c r="AF74" s="1481"/>
      <c r="AG74" s="1481"/>
      <c r="AH74" s="1481"/>
      <c r="AI74" s="1481"/>
      <c r="AJ74" s="1481"/>
      <c r="AK74" s="1481"/>
      <c r="AL74" s="1481"/>
      <c r="AM74" s="1481"/>
      <c r="AN74" s="1481"/>
      <c r="AO74" s="1481"/>
      <c r="AP74" s="1481"/>
      <c r="AQ74" s="1481"/>
      <c r="AR74" s="1481"/>
      <c r="AS74" s="1481"/>
      <c r="AT74" s="1481"/>
      <c r="AU74" s="1481"/>
      <c r="AV74" s="1481"/>
      <c r="AW74" s="1481"/>
      <c r="AX74" s="1481"/>
      <c r="AY74" s="1481"/>
      <c r="AZ74" s="1481"/>
      <c r="BA74" s="1481"/>
      <c r="BB74" s="1481"/>
      <c r="BC74" s="1481"/>
      <c r="BD74" s="1481"/>
      <c r="BE74" s="1481"/>
      <c r="BF74" s="1481"/>
      <c r="BG74" s="1481"/>
      <c r="BH74" s="1481"/>
      <c r="BI74" s="1481"/>
      <c r="BJ74" s="1481"/>
      <c r="BK74" s="1481"/>
      <c r="BL74" s="1481"/>
      <c r="BM74" s="1481"/>
      <c r="BN74" s="1481"/>
      <c r="BO74" s="1481"/>
      <c r="BP74" s="1481"/>
      <c r="BQ74" s="1481"/>
      <c r="BR74" s="1481"/>
      <c r="BS74" s="1481"/>
      <c r="BT74" s="1481"/>
      <c r="BU74" s="1481"/>
      <c r="BV74" s="1481"/>
      <c r="BW74" s="1481"/>
      <c r="BX74" s="1481"/>
      <c r="BY74" s="1481"/>
      <c r="BZ74" s="1481"/>
      <c r="CA74" s="1481"/>
      <c r="CB74" s="1481"/>
      <c r="CC74" s="1481"/>
      <c r="CD74" s="1481"/>
      <c r="CE74" s="1481"/>
    </row>
    <row r="75" spans="1:83" ht="5.25" hidden="1" customHeight="1">
      <c r="A75" s="1636"/>
      <c r="B75" s="1481"/>
      <c r="C75" s="1481"/>
      <c r="D75" s="3622"/>
      <c r="E75" s="527"/>
      <c r="F75" s="527"/>
      <c r="G75" s="527"/>
      <c r="H75" s="527"/>
      <c r="I75" s="527"/>
      <c r="J75" s="527"/>
      <c r="K75" s="527"/>
      <c r="L75" s="527"/>
      <c r="M75" s="527"/>
      <c r="N75" s="527"/>
      <c r="O75" s="527"/>
      <c r="P75" s="527"/>
      <c r="Q75" s="527"/>
      <c r="R75" s="527"/>
      <c r="S75" s="528"/>
      <c r="T75" s="608"/>
      <c r="U75" s="3532"/>
      <c r="V75" s="3532"/>
      <c r="W75" s="1481"/>
      <c r="X75" s="1481"/>
      <c r="Y75" s="1481"/>
      <c r="Z75" s="1481"/>
      <c r="AA75" s="1481"/>
      <c r="AB75" s="1481"/>
      <c r="AC75" s="907"/>
      <c r="AD75" s="908"/>
      <c r="AE75" s="1481"/>
      <c r="AF75" s="1481"/>
      <c r="AG75" s="1481"/>
      <c r="AH75" s="1481"/>
      <c r="AI75" s="1481"/>
      <c r="AJ75" s="1481"/>
      <c r="AK75" s="1481"/>
      <c r="AL75" s="1481"/>
      <c r="AM75" s="1481"/>
      <c r="AN75" s="1481"/>
      <c r="AO75" s="1481"/>
      <c r="AP75" s="1481"/>
      <c r="AQ75" s="1481"/>
      <c r="AR75" s="1481"/>
      <c r="AS75" s="1481"/>
      <c r="AT75" s="1481"/>
      <c r="AU75" s="1481"/>
      <c r="AV75" s="1481"/>
      <c r="AW75" s="1481"/>
      <c r="AX75" s="1481"/>
      <c r="AY75" s="1481"/>
      <c r="AZ75" s="1481"/>
      <c r="BA75" s="1481"/>
      <c r="BB75" s="1481"/>
      <c r="BC75" s="1481"/>
      <c r="BD75" s="1481"/>
      <c r="BE75" s="1481"/>
      <c r="BF75" s="1481"/>
      <c r="BG75" s="1481"/>
      <c r="BH75" s="1481"/>
      <c r="BI75" s="1481"/>
      <c r="BJ75" s="1481"/>
      <c r="BK75" s="1481"/>
      <c r="BL75" s="1481"/>
      <c r="BM75" s="1481"/>
      <c r="BN75" s="1481"/>
      <c r="BO75" s="1481"/>
      <c r="BP75" s="1481"/>
      <c r="BQ75" s="1481"/>
      <c r="BR75" s="1481"/>
      <c r="BS75" s="1481"/>
      <c r="BT75" s="1481"/>
      <c r="BU75" s="1481"/>
      <c r="BV75" s="1481"/>
      <c r="BW75" s="1481"/>
      <c r="BX75" s="1481"/>
      <c r="BY75" s="1481"/>
      <c r="BZ75" s="1481"/>
      <c r="CA75" s="1481"/>
      <c r="CB75" s="1481"/>
      <c r="CC75" s="1481"/>
      <c r="CD75" s="1481"/>
      <c r="CE75" s="1481"/>
    </row>
    <row r="76" spans="1:83" ht="5.25" hidden="1" customHeight="1">
      <c r="A76" s="1636"/>
      <c r="B76" s="1481"/>
      <c r="C76" s="1481"/>
      <c r="D76" s="3623"/>
      <c r="E76" s="913"/>
      <c r="F76" s="914"/>
      <c r="G76" s="914"/>
      <c r="H76" s="915"/>
      <c r="I76" s="915"/>
      <c r="J76" s="915"/>
      <c r="K76" s="915"/>
      <c r="L76" s="915"/>
      <c r="M76" s="915"/>
      <c r="N76" s="915"/>
      <c r="O76" s="915"/>
      <c r="P76" s="915"/>
      <c r="Q76" s="915"/>
      <c r="R76" s="818"/>
      <c r="S76" s="916"/>
      <c r="T76" s="608"/>
      <c r="U76" s="3532"/>
      <c r="V76" s="3532"/>
      <c r="W76" s="1481"/>
      <c r="X76" s="1481"/>
      <c r="Y76" s="1481"/>
      <c r="Z76" s="1481"/>
      <c r="AA76" s="1481"/>
      <c r="AB76" s="1481"/>
      <c r="AC76" s="907"/>
      <c r="AD76" s="908"/>
      <c r="AE76" s="1481"/>
      <c r="AF76" s="1481"/>
      <c r="AG76" s="1481"/>
      <c r="AH76" s="1481"/>
      <c r="AI76" s="1481"/>
      <c r="AJ76" s="1481"/>
      <c r="AK76" s="1481"/>
      <c r="AL76" s="1481"/>
      <c r="AM76" s="1481"/>
      <c r="AN76" s="1481"/>
      <c r="AO76" s="1481"/>
      <c r="AP76" s="1481"/>
      <c r="AQ76" s="1481"/>
      <c r="AR76" s="1481"/>
      <c r="AS76" s="1481"/>
      <c r="AT76" s="1481"/>
      <c r="AU76" s="1481"/>
      <c r="AV76" s="1481"/>
      <c r="AW76" s="1481"/>
      <c r="AX76" s="1481"/>
      <c r="AY76" s="1481"/>
      <c r="AZ76" s="1481"/>
      <c r="BA76" s="1481"/>
      <c r="BB76" s="1481"/>
      <c r="BC76" s="1481"/>
      <c r="BD76" s="1481"/>
      <c r="BE76" s="1481"/>
      <c r="BF76" s="1481"/>
      <c r="BG76" s="1481"/>
      <c r="BH76" s="1481"/>
      <c r="BI76" s="1481"/>
      <c r="BJ76" s="1481"/>
      <c r="BK76" s="1481"/>
      <c r="BL76" s="1481"/>
      <c r="BM76" s="1481"/>
      <c r="BN76" s="1481"/>
      <c r="BO76" s="1481"/>
      <c r="BP76" s="1481"/>
      <c r="BQ76" s="1481"/>
      <c r="BR76" s="1481"/>
      <c r="BS76" s="1481"/>
      <c r="BT76" s="1481"/>
      <c r="BU76" s="1481"/>
      <c r="BV76" s="1481"/>
      <c r="BW76" s="1481"/>
      <c r="BX76" s="1481"/>
      <c r="BY76" s="1481"/>
      <c r="BZ76" s="1481"/>
      <c r="CA76" s="1481"/>
      <c r="CB76" s="1481"/>
      <c r="CC76" s="1481"/>
      <c r="CD76" s="1481"/>
      <c r="CE76" s="1481"/>
    </row>
    <row r="77" spans="1:83" ht="15" hidden="1" customHeight="1">
      <c r="A77" s="516" t="s">
        <v>132</v>
      </c>
      <c r="B77"/>
      <c r="C77" t="s">
        <v>18</v>
      </c>
      <c r="D77" s="3621" t="s">
        <v>886</v>
      </c>
      <c r="E77" s="3618" t="s">
        <v>102</v>
      </c>
      <c r="F77" s="3619"/>
      <c r="G77" s="3620"/>
      <c r="H77" s="3614" t="str">
        <f>IF(A77="","",INDEX(DIFFERENTIATION_UNMERGE_VD,MATCH(A77,DIFFERENTIATION_ID_DIFF,0)))</f>
        <v>Производство тепловой энергии. Некомбинированная выработка</v>
      </c>
      <c r="I77" s="3614"/>
      <c r="J77" s="3614"/>
      <c r="K77" s="3614"/>
      <c r="L77" s="3614"/>
      <c r="M77" s="3614"/>
      <c r="N77" s="3614"/>
      <c r="O77" s="3614"/>
      <c r="P77" s="3614"/>
      <c r="Q77" s="3614"/>
      <c r="R77" s="3614"/>
      <c r="S77" s="609"/>
      <c r="T77" s="606"/>
      <c r="U77" s="517"/>
      <c r="V77" s="517"/>
      <c r="W77" s="518"/>
      <c r="X77" s="518"/>
      <c r="Y77" s="518"/>
      <c r="Z77" s="518"/>
      <c r="AA77" s="519"/>
      <c r="AB77" s="520"/>
      <c r="AC77" s="3617"/>
      <c r="AD77" s="521"/>
      <c r="AE77" s="522" t="s">
        <v>18</v>
      </c>
      <c r="AF77" s="522"/>
      <c r="AG77" s="523" t="s">
        <v>874</v>
      </c>
      <c r="AH77" s="524">
        <v>3</v>
      </c>
      <c r="AI77" s="517"/>
      <c r="AJ77" s="517"/>
      <c r="AK77" s="517"/>
      <c r="AL77" s="517"/>
      <c r="AM77" s="517"/>
      <c r="AN77" s="517"/>
      <c r="AO77" s="517"/>
      <c r="AP77" s="517"/>
      <c r="AQ77" s="517"/>
      <c r="AR77" s="517"/>
      <c r="AS77" s="517"/>
      <c r="AT77" s="517"/>
      <c r="AU77" s="517"/>
      <c r="AV77" s="517"/>
      <c r="AW77" s="517"/>
      <c r="AX77" s="517"/>
      <c r="AY77" s="517"/>
      <c r="AZ77" s="517"/>
      <c r="BA77" s="517"/>
      <c r="BB77" s="517"/>
      <c r="BC77" s="517"/>
      <c r="BD77" s="517"/>
      <c r="BE77" s="517"/>
      <c r="BF77" s="517"/>
      <c r="BG77" s="517"/>
      <c r="BH77" s="517"/>
      <c r="BI77" s="517"/>
      <c r="BJ77" s="517"/>
      <c r="BK77" s="517"/>
      <c r="BL77" s="517"/>
      <c r="BM77" s="517"/>
      <c r="BN77" s="517"/>
      <c r="BO77" s="517"/>
      <c r="BP77" s="517"/>
      <c r="BQ77" s="517"/>
      <c r="BR77" s="517"/>
      <c r="BS77" s="517"/>
      <c r="BT77" s="517"/>
      <c r="BU77" s="517"/>
      <c r="BV77" s="518"/>
      <c r="BW77" s="518"/>
      <c r="BX77" s="518"/>
      <c r="BY77" s="518"/>
      <c r="BZ77" s="518"/>
      <c r="CA77" s="518"/>
      <c r="CB77" s="518"/>
      <c r="CC77" s="518"/>
      <c r="CD77" s="518"/>
      <c r="CE77" s="518"/>
    </row>
    <row r="78" spans="1:83" ht="15" hidden="1" customHeight="1">
      <c r="A78" s="516"/>
      <c r="B78"/>
      <c r="C78"/>
      <c r="D78" s="3622"/>
      <c r="E78" s="3618" t="s">
        <v>829</v>
      </c>
      <c r="F78" s="3619"/>
      <c r="G78" s="3620"/>
      <c r="H78" s="3614" t="str">
        <f>IF(A77="","",INDEX(DIFFERENTIATION_UNMERGE_AREA,MATCH(A77,DIFFERENTIATION_ID_DIFF,0)))</f>
        <v>Территория 1</v>
      </c>
      <c r="I78" s="3614"/>
      <c r="J78" s="3614"/>
      <c r="K78" s="3614"/>
      <c r="L78" s="3614"/>
      <c r="M78" s="3614"/>
      <c r="N78" s="3614"/>
      <c r="O78" s="3614"/>
      <c r="P78" s="3614"/>
      <c r="Q78" s="3614"/>
      <c r="R78" s="3614"/>
      <c r="S78" s="609"/>
      <c r="T78" s="606"/>
      <c r="U78" s="517"/>
      <c r="V78" s="517"/>
      <c r="W78" s="518"/>
      <c r="X78" s="518"/>
      <c r="Y78" s="518"/>
      <c r="Z78" s="518"/>
      <c r="AA78" s="519"/>
      <c r="AB78" s="520"/>
      <c r="AC78" s="3617"/>
      <c r="AD78" s="521"/>
      <c r="AE78" s="522"/>
      <c r="AF78" s="522"/>
      <c r="AG78" s="523"/>
      <c r="AH78" s="524"/>
      <c r="AI78" s="517"/>
      <c r="AJ78" s="517"/>
      <c r="AK78" s="517"/>
      <c r="AL78" s="517"/>
      <c r="AM78" s="517"/>
      <c r="AN78" s="517"/>
      <c r="AO78" s="517"/>
      <c r="AP78" s="517"/>
      <c r="AQ78" s="517"/>
      <c r="AR78" s="517"/>
      <c r="AS78" s="517"/>
      <c r="AT78" s="517"/>
      <c r="AU78" s="517"/>
      <c r="AV78" s="517"/>
      <c r="AW78" s="517"/>
      <c r="AX78" s="517"/>
      <c r="AY78" s="517"/>
      <c r="AZ78" s="517"/>
      <c r="BA78" s="517"/>
      <c r="BB78" s="517"/>
      <c r="BC78" s="517"/>
      <c r="BD78" s="517"/>
      <c r="BE78" s="517"/>
      <c r="BF78" s="517"/>
      <c r="BG78" s="517"/>
      <c r="BH78" s="517"/>
      <c r="BI78" s="517"/>
      <c r="BJ78" s="517"/>
      <c r="BK78" s="517"/>
      <c r="BL78" s="517"/>
      <c r="BM78" s="517"/>
      <c r="BN78" s="517"/>
      <c r="BO78" s="517"/>
      <c r="BP78" s="517"/>
      <c r="BQ78" s="517"/>
      <c r="BR78" s="517"/>
      <c r="BS78" s="517"/>
      <c r="BT78" s="517"/>
      <c r="BU78" s="517"/>
      <c r="BV78" s="518"/>
      <c r="BW78" s="518"/>
      <c r="BX78" s="518"/>
      <c r="BY78" s="518"/>
      <c r="BZ78" s="518"/>
      <c r="CA78" s="518"/>
      <c r="CB78" s="518"/>
      <c r="CC78" s="518"/>
      <c r="CD78" s="518"/>
      <c r="CE78" s="518"/>
    </row>
    <row r="79" spans="1:83" ht="15" hidden="1" customHeight="1">
      <c r="A79" s="516"/>
      <c r="B79"/>
      <c r="C79"/>
      <c r="D79" s="3622"/>
      <c r="E79" s="3618" t="s">
        <v>830</v>
      </c>
      <c r="F79" s="3619"/>
      <c r="G79" s="3620"/>
      <c r="H79" s="3614" t="str">
        <f>IF(A77="","",INDEX(DIFFERENTIATION_UNMERGE_SYSTEM,MATCH(A77,DIFFERENTIATION_ID_DIFF,0)))</f>
        <v>Городская, 98к</v>
      </c>
      <c r="I79" s="3614"/>
      <c r="J79" s="3614"/>
      <c r="K79" s="3614"/>
      <c r="L79" s="3614"/>
      <c r="M79" s="3614"/>
      <c r="N79" s="3614"/>
      <c r="O79" s="3614"/>
      <c r="P79" s="3614"/>
      <c r="Q79" s="3614"/>
      <c r="R79" s="3614"/>
      <c r="S79" s="609"/>
      <c r="T79" s="606"/>
      <c r="U79" s="517"/>
      <c r="V79" s="517"/>
      <c r="W79" s="518"/>
      <c r="X79" s="518"/>
      <c r="Y79" s="518"/>
      <c r="Z79" s="518"/>
      <c r="AA79" s="519"/>
      <c r="AB79" s="520"/>
      <c r="AC79" s="3617"/>
      <c r="AD79" s="521"/>
      <c r="AE79" s="522"/>
      <c r="AF79" s="522"/>
      <c r="AG79" s="523"/>
      <c r="AH79" s="524"/>
      <c r="AI79" s="517"/>
      <c r="AJ79" s="517"/>
      <c r="AK79" s="517"/>
      <c r="AL79" s="517"/>
      <c r="AM79" s="517"/>
      <c r="AN79" s="517"/>
      <c r="AO79" s="517"/>
      <c r="AP79" s="517"/>
      <c r="AQ79" s="517"/>
      <c r="AR79" s="517"/>
      <c r="AS79" s="517"/>
      <c r="AT79" s="517"/>
      <c r="AU79" s="517"/>
      <c r="AV79" s="517"/>
      <c r="AW79" s="517"/>
      <c r="AX79" s="517"/>
      <c r="AY79" s="517"/>
      <c r="AZ79" s="517"/>
      <c r="BA79" s="517"/>
      <c r="BB79" s="517"/>
      <c r="BC79" s="517"/>
      <c r="BD79" s="517"/>
      <c r="BE79" s="517"/>
      <c r="BF79" s="517"/>
      <c r="BG79" s="517"/>
      <c r="BH79" s="517"/>
      <c r="BI79" s="517"/>
      <c r="BJ79" s="517"/>
      <c r="BK79" s="517"/>
      <c r="BL79" s="517"/>
      <c r="BM79" s="517"/>
      <c r="BN79" s="517"/>
      <c r="BO79" s="517"/>
      <c r="BP79" s="517"/>
      <c r="BQ79" s="517"/>
      <c r="BR79" s="517"/>
      <c r="BS79" s="517"/>
      <c r="BT79" s="517"/>
      <c r="BU79" s="517"/>
      <c r="BV79" s="518"/>
      <c r="BW79" s="518"/>
      <c r="BX79" s="518"/>
      <c r="BY79" s="518"/>
      <c r="BZ79" s="518"/>
      <c r="CA79" s="518"/>
      <c r="CB79" s="518"/>
      <c r="CC79" s="518"/>
      <c r="CD79" s="518"/>
      <c r="CE79" s="518"/>
    </row>
    <row r="80" spans="1:83" ht="24.75" hidden="1" customHeight="1">
      <c r="A80" s="1649"/>
      <c r="B80" s="1023"/>
      <c r="C80" s="319"/>
      <c r="D80" s="3622"/>
      <c r="E80" s="3616" t="s">
        <v>875</v>
      </c>
      <c r="F80" s="3616"/>
      <c r="G80" s="3616"/>
      <c r="H80" s="3616"/>
      <c r="I80" s="3616"/>
      <c r="J80" s="3616"/>
      <c r="K80" s="3616"/>
      <c r="L80" s="3616"/>
      <c r="M80" s="3616"/>
      <c r="N80" s="3616"/>
      <c r="O80" s="3616"/>
      <c r="P80" s="3616"/>
      <c r="Q80" s="455">
        <f>SUMIF(T81:T82,"i",Q81:Q82)</f>
        <v>0</v>
      </c>
      <c r="R80" s="887"/>
      <c r="S80" s="1641" t="s">
        <v>876</v>
      </c>
      <c r="T80" s="607" t="s">
        <v>877</v>
      </c>
      <c r="U80" s="3532">
        <v>1</v>
      </c>
      <c r="V80" s="3532" t="s">
        <v>840</v>
      </c>
      <c r="W80" s="1023"/>
      <c r="X80" s="1023"/>
      <c r="Y80" s="1023"/>
      <c r="Z80" s="1023"/>
      <c r="AA80" s="1481"/>
      <c r="AB80" s="1023"/>
      <c r="AC80" s="3617"/>
      <c r="AD80" s="521"/>
      <c r="AE80" s="1023"/>
      <c r="AF80" s="1023"/>
      <c r="AG80" s="1481"/>
      <c r="AH80" s="1481"/>
      <c r="AI80" s="1481"/>
      <c r="AJ80" s="1481"/>
      <c r="AK80" s="1481"/>
      <c r="AL80" s="1481"/>
      <c r="AM80" s="1481"/>
      <c r="AN80" s="1481"/>
      <c r="AO80" s="1481"/>
      <c r="AP80" s="1481"/>
      <c r="AQ80" s="1481"/>
      <c r="AR80" s="1481"/>
      <c r="AS80" s="1481"/>
      <c r="AT80" s="1481"/>
      <c r="AU80" s="1481"/>
      <c r="AV80" s="1481"/>
      <c r="AW80" s="1481"/>
      <c r="AX80" s="1481"/>
      <c r="AY80" s="1481"/>
      <c r="AZ80" s="1481"/>
      <c r="BA80" s="1481"/>
      <c r="BB80" s="1481"/>
      <c r="BC80" s="1481"/>
      <c r="BD80" s="1481"/>
      <c r="BE80" s="1481"/>
      <c r="BF80" s="1481"/>
      <c r="BG80" s="1481"/>
      <c r="BH80" s="1481"/>
      <c r="BI80" s="1481"/>
      <c r="BJ80" s="1481"/>
      <c r="BK80" s="1481"/>
      <c r="BL80" s="1481"/>
      <c r="BM80" s="1481"/>
      <c r="BN80" s="1481"/>
      <c r="BO80" s="1481"/>
      <c r="BP80" s="1481"/>
      <c r="BQ80" s="1481"/>
      <c r="BR80" s="1481"/>
      <c r="BS80" s="1481"/>
      <c r="BT80" s="1481"/>
      <c r="BU80" s="1481"/>
      <c r="BV80" s="1023"/>
      <c r="BW80" s="1023"/>
      <c r="BX80" s="1023"/>
      <c r="BY80" s="1023"/>
      <c r="BZ80" s="1023"/>
      <c r="CA80" s="1023"/>
      <c r="CB80" s="1023"/>
      <c r="CC80" s="1023"/>
      <c r="CD80" s="1023"/>
      <c r="CE80" s="1023"/>
    </row>
    <row r="81" spans="1:83" ht="11.25" hidden="1" customHeight="1">
      <c r="A81" s="1636"/>
      <c r="B81" s="1481"/>
      <c r="C81" s="1481"/>
      <c r="D81" s="3622"/>
      <c r="E81" s="527"/>
      <c r="F81" s="527">
        <v>0</v>
      </c>
      <c r="G81" s="527"/>
      <c r="H81" s="527"/>
      <c r="I81" s="527"/>
      <c r="J81" s="527"/>
      <c r="K81" s="527"/>
      <c r="L81" s="527"/>
      <c r="M81" s="527"/>
      <c r="N81" s="527"/>
      <c r="O81" s="527"/>
      <c r="P81" s="527"/>
      <c r="Q81" s="527"/>
      <c r="R81" s="527"/>
      <c r="S81" s="528"/>
      <c r="T81" s="608"/>
      <c r="U81" s="3532"/>
      <c r="V81" s="3532"/>
      <c r="W81" s="1481"/>
      <c r="X81" s="1481"/>
      <c r="Y81" s="1481"/>
      <c r="Z81" s="1481"/>
      <c r="AA81" s="1481"/>
      <c r="AB81" s="1023"/>
      <c r="AC81" s="3617"/>
      <c r="AD81" s="521"/>
      <c r="AE81" s="1023"/>
      <c r="AF81" s="1023"/>
      <c r="AG81" s="1481"/>
      <c r="AH81" s="1481"/>
      <c r="AI81" s="1481"/>
      <c r="AJ81" s="1481"/>
      <c r="AK81" s="1481"/>
      <c r="AL81" s="1481"/>
      <c r="AM81" s="1481"/>
      <c r="AN81" s="1481"/>
      <c r="AO81" s="1481"/>
      <c r="AP81" s="1481"/>
      <c r="AQ81" s="1481"/>
      <c r="AR81" s="1481"/>
      <c r="AS81" s="1481"/>
      <c r="AT81" s="1481"/>
      <c r="AU81" s="1481"/>
      <c r="AV81" s="1481"/>
      <c r="AW81" s="1481"/>
      <c r="AX81" s="1481"/>
      <c r="AY81" s="1481"/>
      <c r="AZ81" s="1481"/>
      <c r="BA81" s="1481"/>
      <c r="BB81" s="1481"/>
      <c r="BC81" s="1481"/>
      <c r="BD81" s="1481"/>
      <c r="BE81" s="1481"/>
      <c r="BF81" s="1481"/>
      <c r="BG81" s="1481"/>
      <c r="BH81" s="1481"/>
      <c r="BI81" s="1481"/>
      <c r="BJ81" s="1481"/>
      <c r="BK81" s="1481"/>
      <c r="BL81" s="1481"/>
      <c r="BM81" s="1481"/>
      <c r="BN81" s="1481"/>
      <c r="BO81" s="1481"/>
      <c r="BP81" s="1481"/>
      <c r="BQ81" s="1481"/>
      <c r="BR81" s="1481"/>
      <c r="BS81" s="1481"/>
      <c r="BT81" s="1481"/>
      <c r="BU81" s="1481"/>
      <c r="BV81" s="1481"/>
      <c r="BW81" s="1481"/>
      <c r="BX81" s="1481"/>
      <c r="BY81" s="1481"/>
      <c r="BZ81" s="1481"/>
      <c r="CA81" s="1481"/>
      <c r="CB81" s="1481"/>
      <c r="CC81" s="1481"/>
      <c r="CD81" s="1481"/>
      <c r="CE81" s="1481"/>
    </row>
    <row r="82" spans="1:83" ht="11.25" hidden="1" customHeight="1">
      <c r="A82" s="1649"/>
      <c r="B82" s="1023"/>
      <c r="C82" s="319"/>
      <c r="D82" s="3622"/>
      <c r="E82" s="541" t="s">
        <v>18</v>
      </c>
      <c r="F82" s="1031" t="s">
        <v>18</v>
      </c>
      <c r="G82" s="1031" t="s">
        <v>880</v>
      </c>
      <c r="H82" s="543" t="s">
        <v>18</v>
      </c>
      <c r="I82" s="543"/>
      <c r="J82" s="543"/>
      <c r="K82" s="543"/>
      <c r="L82" s="543"/>
      <c r="M82" s="543"/>
      <c r="N82" s="543"/>
      <c r="O82" s="543"/>
      <c r="P82" s="543"/>
      <c r="Q82" s="543"/>
      <c r="R82" s="544"/>
      <c r="S82" s="545"/>
      <c r="T82" s="608"/>
      <c r="U82" s="3532"/>
      <c r="V82" s="3532"/>
      <c r="W82" s="1023"/>
      <c r="X82" s="1023"/>
      <c r="Y82" s="1023"/>
      <c r="Z82" s="1023"/>
      <c r="AA82" s="1481"/>
      <c r="AB82" s="1023"/>
      <c r="AC82" s="3617"/>
      <c r="AD82" s="521"/>
      <c r="AE82" s="1023"/>
      <c r="AF82" s="1023"/>
      <c r="AG82" s="1481"/>
      <c r="AH82" s="1481"/>
      <c r="AI82" s="1481"/>
      <c r="AJ82" s="1481"/>
      <c r="AK82" s="1481"/>
      <c r="AL82" s="1481"/>
      <c r="AM82" s="1481"/>
      <c r="AN82" s="1481"/>
      <c r="AO82" s="1481"/>
      <c r="AP82" s="1481"/>
      <c r="AQ82" s="1481"/>
      <c r="AR82" s="1481"/>
      <c r="AS82" s="1481"/>
      <c r="AT82" s="1481"/>
      <c r="AU82" s="1481"/>
      <c r="AV82" s="1481"/>
      <c r="AW82" s="1481"/>
      <c r="AX82" s="1481"/>
      <c r="AY82" s="1481"/>
      <c r="AZ82" s="1481"/>
      <c r="BA82" s="1481"/>
      <c r="BB82" s="1481"/>
      <c r="BC82" s="1481"/>
      <c r="BD82" s="1481"/>
      <c r="BE82" s="1481"/>
      <c r="BF82" s="1481"/>
      <c r="BG82" s="1481"/>
      <c r="BH82" s="1481"/>
      <c r="BI82" s="1481"/>
      <c r="BJ82" s="1481"/>
      <c r="BK82" s="1481"/>
      <c r="BL82" s="1481"/>
      <c r="BM82" s="1481"/>
      <c r="BN82" s="1481"/>
      <c r="BO82" s="1481"/>
      <c r="BP82" s="1481"/>
      <c r="BQ82" s="1481"/>
      <c r="BR82" s="1481"/>
      <c r="BS82" s="1481"/>
      <c r="BT82" s="1481"/>
      <c r="BU82" s="1481"/>
      <c r="BV82" s="1023"/>
      <c r="BW82" s="1023"/>
      <c r="BX82" s="1023"/>
      <c r="BY82" s="1023"/>
      <c r="BZ82" s="1023"/>
      <c r="CA82" s="1023"/>
      <c r="CB82" s="1023"/>
      <c r="CC82" s="1023"/>
      <c r="CD82" s="1023"/>
      <c r="CE82" s="1023"/>
    </row>
    <row r="83" spans="1:83" ht="5.25" hidden="1" customHeight="1">
      <c r="A83" s="1636"/>
      <c r="B83" s="1481"/>
      <c r="C83" s="1481"/>
      <c r="D83" s="3622"/>
      <c r="E83" s="909"/>
      <c r="F83" s="909"/>
      <c r="G83" s="909"/>
      <c r="H83" s="909"/>
      <c r="I83" s="909"/>
      <c r="J83" s="909"/>
      <c r="K83" s="909"/>
      <c r="L83" s="909"/>
      <c r="M83" s="909"/>
      <c r="N83" s="909"/>
      <c r="O83" s="909"/>
      <c r="P83" s="909"/>
      <c r="Q83" s="910"/>
      <c r="R83" s="911"/>
      <c r="S83" s="912"/>
      <c r="T83" s="607" t="s">
        <v>877</v>
      </c>
      <c r="U83" s="3532">
        <v>1</v>
      </c>
      <c r="V83" s="3532" t="s">
        <v>840</v>
      </c>
      <c r="W83" s="1481"/>
      <c r="X83" s="1481"/>
      <c r="Y83" s="1481"/>
      <c r="Z83" s="1481"/>
      <c r="AA83" s="1481"/>
      <c r="AB83" s="1481"/>
      <c r="AC83" s="907"/>
      <c r="AD83" s="908"/>
      <c r="AE83" s="1481"/>
      <c r="AF83" s="1481"/>
      <c r="AG83" s="1481"/>
      <c r="AH83" s="1481"/>
      <c r="AI83" s="1481"/>
      <c r="AJ83" s="1481"/>
      <c r="AK83" s="1481"/>
      <c r="AL83" s="1481"/>
      <c r="AM83" s="1481"/>
      <c r="AN83" s="1481"/>
      <c r="AO83" s="1481"/>
      <c r="AP83" s="1481"/>
      <c r="AQ83" s="1481"/>
      <c r="AR83" s="1481"/>
      <c r="AS83" s="1481"/>
      <c r="AT83" s="1481"/>
      <c r="AU83" s="1481"/>
      <c r="AV83" s="1481"/>
      <c r="AW83" s="1481"/>
      <c r="AX83" s="1481"/>
      <c r="AY83" s="1481"/>
      <c r="AZ83" s="1481"/>
      <c r="BA83" s="1481"/>
      <c r="BB83" s="1481"/>
      <c r="BC83" s="1481"/>
      <c r="BD83" s="1481"/>
      <c r="BE83" s="1481"/>
      <c r="BF83" s="1481"/>
      <c r="BG83" s="1481"/>
      <c r="BH83" s="1481"/>
      <c r="BI83" s="1481"/>
      <c r="BJ83" s="1481"/>
      <c r="BK83" s="1481"/>
      <c r="BL83" s="1481"/>
      <c r="BM83" s="1481"/>
      <c r="BN83" s="1481"/>
      <c r="BO83" s="1481"/>
      <c r="BP83" s="1481"/>
      <c r="BQ83" s="1481"/>
      <c r="BR83" s="1481"/>
      <c r="BS83" s="1481"/>
      <c r="BT83" s="1481"/>
      <c r="BU83" s="1481"/>
      <c r="BV83" s="1481"/>
      <c r="BW83" s="1481"/>
      <c r="BX83" s="1481"/>
      <c r="BY83" s="1481"/>
      <c r="BZ83" s="1481"/>
      <c r="CA83" s="1481"/>
      <c r="CB83" s="1481"/>
      <c r="CC83" s="1481"/>
      <c r="CD83" s="1481"/>
      <c r="CE83" s="1481"/>
    </row>
    <row r="84" spans="1:83" ht="5.25" hidden="1" customHeight="1">
      <c r="A84" s="1636"/>
      <c r="B84" s="1481"/>
      <c r="C84" s="1481"/>
      <c r="D84" s="3622"/>
      <c r="E84" s="527"/>
      <c r="F84" s="527"/>
      <c r="G84" s="527"/>
      <c r="H84" s="527"/>
      <c r="I84" s="527"/>
      <c r="J84" s="527"/>
      <c r="K84" s="527"/>
      <c r="L84" s="527"/>
      <c r="M84" s="527"/>
      <c r="N84" s="527"/>
      <c r="O84" s="527"/>
      <c r="P84" s="527"/>
      <c r="Q84" s="527"/>
      <c r="R84" s="527"/>
      <c r="S84" s="528"/>
      <c r="T84" s="608"/>
      <c r="U84" s="3532"/>
      <c r="V84" s="3532"/>
      <c r="W84" s="1481"/>
      <c r="X84" s="1481"/>
      <c r="Y84" s="1481"/>
      <c r="Z84" s="1481"/>
      <c r="AA84" s="1481"/>
      <c r="AB84" s="1481"/>
      <c r="AC84" s="907"/>
      <c r="AD84" s="908"/>
      <c r="AE84" s="1481"/>
      <c r="AF84" s="1481"/>
      <c r="AG84" s="1481"/>
      <c r="AH84" s="1481"/>
      <c r="AI84" s="1481"/>
      <c r="AJ84" s="1481"/>
      <c r="AK84" s="1481"/>
      <c r="AL84" s="1481"/>
      <c r="AM84" s="1481"/>
      <c r="AN84" s="1481"/>
      <c r="AO84" s="1481"/>
      <c r="AP84" s="1481"/>
      <c r="AQ84" s="1481"/>
      <c r="AR84" s="1481"/>
      <c r="AS84" s="1481"/>
      <c r="AT84" s="1481"/>
      <c r="AU84" s="1481"/>
      <c r="AV84" s="1481"/>
      <c r="AW84" s="1481"/>
      <c r="AX84" s="1481"/>
      <c r="AY84" s="1481"/>
      <c r="AZ84" s="1481"/>
      <c r="BA84" s="1481"/>
      <c r="BB84" s="1481"/>
      <c r="BC84" s="1481"/>
      <c r="BD84" s="1481"/>
      <c r="BE84" s="1481"/>
      <c r="BF84" s="1481"/>
      <c r="BG84" s="1481"/>
      <c r="BH84" s="1481"/>
      <c r="BI84" s="1481"/>
      <c r="BJ84" s="1481"/>
      <c r="BK84" s="1481"/>
      <c r="BL84" s="1481"/>
      <c r="BM84" s="1481"/>
      <c r="BN84" s="1481"/>
      <c r="BO84" s="1481"/>
      <c r="BP84" s="1481"/>
      <c r="BQ84" s="1481"/>
      <c r="BR84" s="1481"/>
      <c r="BS84" s="1481"/>
      <c r="BT84" s="1481"/>
      <c r="BU84" s="1481"/>
      <c r="BV84" s="1481"/>
      <c r="BW84" s="1481"/>
      <c r="BX84" s="1481"/>
      <c r="BY84" s="1481"/>
      <c r="BZ84" s="1481"/>
      <c r="CA84" s="1481"/>
      <c r="CB84" s="1481"/>
      <c r="CC84" s="1481"/>
      <c r="CD84" s="1481"/>
      <c r="CE84" s="1481"/>
    </row>
    <row r="85" spans="1:83" ht="5.25" hidden="1" customHeight="1">
      <c r="A85" s="1636"/>
      <c r="B85" s="1481"/>
      <c r="C85" s="1481"/>
      <c r="D85" s="3623"/>
      <c r="E85" s="913"/>
      <c r="F85" s="914"/>
      <c r="G85" s="914"/>
      <c r="H85" s="915"/>
      <c r="I85" s="915"/>
      <c r="J85" s="915"/>
      <c r="K85" s="915"/>
      <c r="L85" s="915"/>
      <c r="M85" s="915"/>
      <c r="N85" s="915"/>
      <c r="O85" s="915"/>
      <c r="P85" s="915"/>
      <c r="Q85" s="915"/>
      <c r="R85" s="818"/>
      <c r="S85" s="916"/>
      <c r="T85" s="608"/>
      <c r="U85" s="3532"/>
      <c r="V85" s="3532"/>
      <c r="W85" s="1481"/>
      <c r="X85" s="1481"/>
      <c r="Y85" s="1481"/>
      <c r="Z85" s="1481"/>
      <c r="AA85" s="1481"/>
      <c r="AB85" s="1481"/>
      <c r="AC85" s="907"/>
      <c r="AD85" s="908"/>
      <c r="AE85" s="1481"/>
      <c r="AF85" s="1481"/>
      <c r="AG85" s="1481"/>
      <c r="AH85" s="1481"/>
      <c r="AI85" s="1481"/>
      <c r="AJ85" s="1481"/>
      <c r="AK85" s="1481"/>
      <c r="AL85" s="1481"/>
      <c r="AM85" s="1481"/>
      <c r="AN85" s="1481"/>
      <c r="AO85" s="1481"/>
      <c r="AP85" s="1481"/>
      <c r="AQ85" s="1481"/>
      <c r="AR85" s="1481"/>
      <c r="AS85" s="1481"/>
      <c r="AT85" s="1481"/>
      <c r="AU85" s="1481"/>
      <c r="AV85" s="1481"/>
      <c r="AW85" s="1481"/>
      <c r="AX85" s="1481"/>
      <c r="AY85" s="1481"/>
      <c r="AZ85" s="1481"/>
      <c r="BA85" s="1481"/>
      <c r="BB85" s="1481"/>
      <c r="BC85" s="1481"/>
      <c r="BD85" s="1481"/>
      <c r="BE85" s="1481"/>
      <c r="BF85" s="1481"/>
      <c r="BG85" s="1481"/>
      <c r="BH85" s="1481"/>
      <c r="BI85" s="1481"/>
      <c r="BJ85" s="1481"/>
      <c r="BK85" s="1481"/>
      <c r="BL85" s="1481"/>
      <c r="BM85" s="1481"/>
      <c r="BN85" s="1481"/>
      <c r="BO85" s="1481"/>
      <c r="BP85" s="1481"/>
      <c r="BQ85" s="1481"/>
      <c r="BR85" s="1481"/>
      <c r="BS85" s="1481"/>
      <c r="BT85" s="1481"/>
      <c r="BU85" s="1481"/>
      <c r="BV85" s="1481"/>
      <c r="BW85" s="1481"/>
      <c r="BX85" s="1481"/>
      <c r="BY85" s="1481"/>
      <c r="BZ85" s="1481"/>
      <c r="CA85" s="1481"/>
      <c r="CB85" s="1481"/>
      <c r="CC85" s="1481"/>
      <c r="CD85" s="1481"/>
      <c r="CE85" s="1481"/>
    </row>
    <row r="86" spans="1:83" ht="15" hidden="1" customHeight="1">
      <c r="A86" s="516" t="s">
        <v>135</v>
      </c>
      <c r="B86"/>
      <c r="C86" t="s">
        <v>18</v>
      </c>
      <c r="D86" s="3621" t="s">
        <v>887</v>
      </c>
      <c r="E86" s="3618" t="s">
        <v>102</v>
      </c>
      <c r="F86" s="3619"/>
      <c r="G86" s="3620"/>
      <c r="H86" s="3614" t="str">
        <f>IF(A86="","",INDEX(DIFFERENTIATION_UNMERGE_VD,MATCH(A86,DIFFERENTIATION_ID_DIFF,0)))</f>
        <v>Производство тепловой энергии. Некомбинированная выработка</v>
      </c>
      <c r="I86" s="3614"/>
      <c r="J86" s="3614"/>
      <c r="K86" s="3614"/>
      <c r="L86" s="3614"/>
      <c r="M86" s="3614"/>
      <c r="N86" s="3614"/>
      <c r="O86" s="3614"/>
      <c r="P86" s="3614"/>
      <c r="Q86" s="3614"/>
      <c r="R86" s="3614"/>
      <c r="S86" s="609"/>
      <c r="T86" s="606"/>
      <c r="U86" s="517"/>
      <c r="V86" s="517"/>
      <c r="W86" s="518"/>
      <c r="X86" s="518"/>
      <c r="Y86" s="518"/>
      <c r="Z86" s="518"/>
      <c r="AA86" s="519"/>
      <c r="AB86" s="520"/>
      <c r="AC86" s="3617"/>
      <c r="AD86" s="521"/>
      <c r="AE86" s="522" t="s">
        <v>18</v>
      </c>
      <c r="AF86" s="522"/>
      <c r="AG86" s="523" t="s">
        <v>874</v>
      </c>
      <c r="AH86" s="524">
        <v>3</v>
      </c>
      <c r="AI86" s="517"/>
      <c r="AJ86" s="517"/>
      <c r="AK86" s="517"/>
      <c r="AL86" s="517"/>
      <c r="AM86" s="517"/>
      <c r="AN86" s="517"/>
      <c r="AO86" s="517"/>
      <c r="AP86" s="517"/>
      <c r="AQ86" s="517"/>
      <c r="AR86" s="517"/>
      <c r="AS86" s="517"/>
      <c r="AT86" s="517"/>
      <c r="AU86" s="517"/>
      <c r="AV86" s="517"/>
      <c r="AW86" s="517"/>
      <c r="AX86" s="517"/>
      <c r="AY86" s="517"/>
      <c r="AZ86" s="517"/>
      <c r="BA86" s="517"/>
      <c r="BB86" s="517"/>
      <c r="BC86" s="517"/>
      <c r="BD86" s="517"/>
      <c r="BE86" s="517"/>
      <c r="BF86" s="517"/>
      <c r="BG86" s="517"/>
      <c r="BH86" s="517"/>
      <c r="BI86" s="517"/>
      <c r="BJ86" s="517"/>
      <c r="BK86" s="517"/>
      <c r="BL86" s="517"/>
      <c r="BM86" s="517"/>
      <c r="BN86" s="517"/>
      <c r="BO86" s="517"/>
      <c r="BP86" s="517"/>
      <c r="BQ86" s="517"/>
      <c r="BR86" s="517"/>
      <c r="BS86" s="517"/>
      <c r="BT86" s="517"/>
      <c r="BU86" s="517"/>
      <c r="BV86" s="518"/>
      <c r="BW86" s="518"/>
      <c r="BX86" s="518"/>
      <c r="BY86" s="518"/>
      <c r="BZ86" s="518"/>
      <c r="CA86" s="518"/>
      <c r="CB86" s="518"/>
      <c r="CC86" s="518"/>
      <c r="CD86" s="518"/>
      <c r="CE86" s="518"/>
    </row>
    <row r="87" spans="1:83" ht="15" hidden="1" customHeight="1">
      <c r="A87" s="516"/>
      <c r="B87"/>
      <c r="C87"/>
      <c r="D87" s="3622"/>
      <c r="E87" s="3618" t="s">
        <v>829</v>
      </c>
      <c r="F87" s="3619"/>
      <c r="G87" s="3620"/>
      <c r="H87" s="3614" t="str">
        <f>IF(A86="","",INDEX(DIFFERENTIATION_UNMERGE_AREA,MATCH(A86,DIFFERENTIATION_ID_DIFF,0)))</f>
        <v>Территория 1</v>
      </c>
      <c r="I87" s="3614"/>
      <c r="J87" s="3614"/>
      <c r="K87" s="3614"/>
      <c r="L87" s="3614"/>
      <c r="M87" s="3614"/>
      <c r="N87" s="3614"/>
      <c r="O87" s="3614"/>
      <c r="P87" s="3614"/>
      <c r="Q87" s="3614"/>
      <c r="R87" s="3614"/>
      <c r="S87" s="609"/>
      <c r="T87" s="606"/>
      <c r="U87" s="517"/>
      <c r="V87" s="517"/>
      <c r="W87" s="518"/>
      <c r="X87" s="518"/>
      <c r="Y87" s="518"/>
      <c r="Z87" s="518"/>
      <c r="AA87" s="519"/>
      <c r="AB87" s="520"/>
      <c r="AC87" s="3617"/>
      <c r="AD87" s="521"/>
      <c r="AE87" s="522"/>
      <c r="AF87" s="522"/>
      <c r="AG87" s="523"/>
      <c r="AH87" s="524"/>
      <c r="AI87" s="517"/>
      <c r="AJ87" s="517"/>
      <c r="AK87" s="517"/>
      <c r="AL87" s="517"/>
      <c r="AM87" s="517"/>
      <c r="AN87" s="517"/>
      <c r="AO87" s="517"/>
      <c r="AP87" s="517"/>
      <c r="AQ87" s="517"/>
      <c r="AR87" s="517"/>
      <c r="AS87" s="517"/>
      <c r="AT87" s="517"/>
      <c r="AU87" s="517"/>
      <c r="AV87" s="517"/>
      <c r="AW87" s="517"/>
      <c r="AX87" s="517"/>
      <c r="AY87" s="517"/>
      <c r="AZ87" s="517"/>
      <c r="BA87" s="517"/>
      <c r="BB87" s="517"/>
      <c r="BC87" s="517"/>
      <c r="BD87" s="517"/>
      <c r="BE87" s="517"/>
      <c r="BF87" s="517"/>
      <c r="BG87" s="517"/>
      <c r="BH87" s="517"/>
      <c r="BI87" s="517"/>
      <c r="BJ87" s="517"/>
      <c r="BK87" s="517"/>
      <c r="BL87" s="517"/>
      <c r="BM87" s="517"/>
      <c r="BN87" s="517"/>
      <c r="BO87" s="517"/>
      <c r="BP87" s="517"/>
      <c r="BQ87" s="517"/>
      <c r="BR87" s="517"/>
      <c r="BS87" s="517"/>
      <c r="BT87" s="517"/>
      <c r="BU87" s="517"/>
      <c r="BV87" s="518"/>
      <c r="BW87" s="518"/>
      <c r="BX87" s="518"/>
      <c r="BY87" s="518"/>
      <c r="BZ87" s="518"/>
      <c r="CA87" s="518"/>
      <c r="CB87" s="518"/>
      <c r="CC87" s="518"/>
      <c r="CD87" s="518"/>
      <c r="CE87" s="518"/>
    </row>
    <row r="88" spans="1:83" ht="15" hidden="1" customHeight="1">
      <c r="A88" s="516"/>
      <c r="B88"/>
      <c r="C88"/>
      <c r="D88" s="3622"/>
      <c r="E88" s="3618" t="s">
        <v>830</v>
      </c>
      <c r="F88" s="3619"/>
      <c r="G88" s="3620"/>
      <c r="H88" s="3614" t="str">
        <f>IF(A86="","",INDEX(DIFFERENTIATION_UNMERGE_SYSTEM,MATCH(A86,DIFFERENTIATION_ID_DIFF,0)))</f>
        <v>Калинина, 6б</v>
      </c>
      <c r="I88" s="3614"/>
      <c r="J88" s="3614"/>
      <c r="K88" s="3614"/>
      <c r="L88" s="3614"/>
      <c r="M88" s="3614"/>
      <c r="N88" s="3614"/>
      <c r="O88" s="3614"/>
      <c r="P88" s="3614"/>
      <c r="Q88" s="3614"/>
      <c r="R88" s="3614"/>
      <c r="S88" s="609"/>
      <c r="T88" s="606"/>
      <c r="U88" s="517"/>
      <c r="V88" s="517"/>
      <c r="W88" s="518"/>
      <c r="X88" s="518"/>
      <c r="Y88" s="518"/>
      <c r="Z88" s="518"/>
      <c r="AA88" s="519"/>
      <c r="AB88" s="520"/>
      <c r="AC88" s="3617"/>
      <c r="AD88" s="521"/>
      <c r="AE88" s="522"/>
      <c r="AF88" s="522"/>
      <c r="AG88" s="523"/>
      <c r="AH88" s="524"/>
      <c r="AI88" s="517"/>
      <c r="AJ88" s="517"/>
      <c r="AK88" s="517"/>
      <c r="AL88" s="517"/>
      <c r="AM88" s="517"/>
      <c r="AN88" s="517"/>
      <c r="AO88" s="517"/>
      <c r="AP88" s="517"/>
      <c r="AQ88" s="517"/>
      <c r="AR88" s="517"/>
      <c r="AS88" s="517"/>
      <c r="AT88" s="517"/>
      <c r="AU88" s="517"/>
      <c r="AV88" s="517"/>
      <c r="AW88" s="517"/>
      <c r="AX88" s="517"/>
      <c r="AY88" s="517"/>
      <c r="AZ88" s="517"/>
      <c r="BA88" s="517"/>
      <c r="BB88" s="517"/>
      <c r="BC88" s="517"/>
      <c r="BD88" s="517"/>
      <c r="BE88" s="517"/>
      <c r="BF88" s="517"/>
      <c r="BG88" s="517"/>
      <c r="BH88" s="517"/>
      <c r="BI88" s="517"/>
      <c r="BJ88" s="517"/>
      <c r="BK88" s="517"/>
      <c r="BL88" s="517"/>
      <c r="BM88" s="517"/>
      <c r="BN88" s="517"/>
      <c r="BO88" s="517"/>
      <c r="BP88" s="517"/>
      <c r="BQ88" s="517"/>
      <c r="BR88" s="517"/>
      <c r="BS88" s="517"/>
      <c r="BT88" s="517"/>
      <c r="BU88" s="517"/>
      <c r="BV88" s="518"/>
      <c r="BW88" s="518"/>
      <c r="BX88" s="518"/>
      <c r="BY88" s="518"/>
      <c r="BZ88" s="518"/>
      <c r="CA88" s="518"/>
      <c r="CB88" s="518"/>
      <c r="CC88" s="518"/>
      <c r="CD88" s="518"/>
      <c r="CE88" s="518"/>
    </row>
    <row r="89" spans="1:83" ht="24.75" hidden="1" customHeight="1">
      <c r="A89" s="1649"/>
      <c r="B89" s="1023"/>
      <c r="C89" s="319"/>
      <c r="D89" s="3622"/>
      <c r="E89" s="3616" t="s">
        <v>875</v>
      </c>
      <c r="F89" s="3616"/>
      <c r="G89" s="3616"/>
      <c r="H89" s="3616"/>
      <c r="I89" s="3616"/>
      <c r="J89" s="3616"/>
      <c r="K89" s="3616"/>
      <c r="L89" s="3616"/>
      <c r="M89" s="3616"/>
      <c r="N89" s="3616"/>
      <c r="O89" s="3616"/>
      <c r="P89" s="3616"/>
      <c r="Q89" s="455">
        <f>SUMIF(T90:T91,"i",Q90:Q91)</f>
        <v>0</v>
      </c>
      <c r="R89" s="887"/>
      <c r="S89" s="1641" t="s">
        <v>876</v>
      </c>
      <c r="T89" s="607" t="s">
        <v>877</v>
      </c>
      <c r="U89" s="3532">
        <v>1</v>
      </c>
      <c r="V89" s="3532" t="s">
        <v>840</v>
      </c>
      <c r="W89" s="1023"/>
      <c r="X89" s="1023"/>
      <c r="Y89" s="1023"/>
      <c r="Z89" s="1023"/>
      <c r="AA89" s="1481"/>
      <c r="AB89" s="1023"/>
      <c r="AC89" s="3617"/>
      <c r="AD89" s="521"/>
      <c r="AE89" s="1023"/>
      <c r="AF89" s="1023"/>
      <c r="AG89" s="1481"/>
      <c r="AH89" s="1481"/>
      <c r="AI89" s="1481"/>
      <c r="AJ89" s="1481"/>
      <c r="AK89" s="1481"/>
      <c r="AL89" s="1481"/>
      <c r="AM89" s="1481"/>
      <c r="AN89" s="1481"/>
      <c r="AO89" s="1481"/>
      <c r="AP89" s="1481"/>
      <c r="AQ89" s="1481"/>
      <c r="AR89" s="1481"/>
      <c r="AS89" s="1481"/>
      <c r="AT89" s="1481"/>
      <c r="AU89" s="1481"/>
      <c r="AV89" s="1481"/>
      <c r="AW89" s="1481"/>
      <c r="AX89" s="1481"/>
      <c r="AY89" s="1481"/>
      <c r="AZ89" s="1481"/>
      <c r="BA89" s="1481"/>
      <c r="BB89" s="1481"/>
      <c r="BC89" s="1481"/>
      <c r="BD89" s="1481"/>
      <c r="BE89" s="1481"/>
      <c r="BF89" s="1481"/>
      <c r="BG89" s="1481"/>
      <c r="BH89" s="1481"/>
      <c r="BI89" s="1481"/>
      <c r="BJ89" s="1481"/>
      <c r="BK89" s="1481"/>
      <c r="BL89" s="1481"/>
      <c r="BM89" s="1481"/>
      <c r="BN89" s="1481"/>
      <c r="BO89" s="1481"/>
      <c r="BP89" s="1481"/>
      <c r="BQ89" s="1481"/>
      <c r="BR89" s="1481"/>
      <c r="BS89" s="1481"/>
      <c r="BT89" s="1481"/>
      <c r="BU89" s="1481"/>
      <c r="BV89" s="1023"/>
      <c r="BW89" s="1023"/>
      <c r="BX89" s="1023"/>
      <c r="BY89" s="1023"/>
      <c r="BZ89" s="1023"/>
      <c r="CA89" s="1023"/>
      <c r="CB89" s="1023"/>
      <c r="CC89" s="1023"/>
      <c r="CD89" s="1023"/>
      <c r="CE89" s="1023"/>
    </row>
    <row r="90" spans="1:83" ht="11.25" hidden="1" customHeight="1">
      <c r="A90" s="1636"/>
      <c r="B90" s="1481"/>
      <c r="C90" s="1481"/>
      <c r="D90" s="3622"/>
      <c r="E90" s="527"/>
      <c r="F90" s="527">
        <v>0</v>
      </c>
      <c r="G90" s="527"/>
      <c r="H90" s="527"/>
      <c r="I90" s="527"/>
      <c r="J90" s="527"/>
      <c r="K90" s="527"/>
      <c r="L90" s="527"/>
      <c r="M90" s="527"/>
      <c r="N90" s="527"/>
      <c r="O90" s="527"/>
      <c r="P90" s="527"/>
      <c r="Q90" s="527"/>
      <c r="R90" s="527"/>
      <c r="S90" s="528"/>
      <c r="T90" s="608"/>
      <c r="U90" s="3532"/>
      <c r="V90" s="3532"/>
      <c r="W90" s="1481"/>
      <c r="X90" s="1481"/>
      <c r="Y90" s="1481"/>
      <c r="Z90" s="1481"/>
      <c r="AA90" s="1481"/>
      <c r="AB90" s="1023"/>
      <c r="AC90" s="3617"/>
      <c r="AD90" s="521"/>
      <c r="AE90" s="1023"/>
      <c r="AF90" s="1023"/>
      <c r="AG90" s="1481"/>
      <c r="AH90" s="1481"/>
      <c r="AI90" s="1481"/>
      <c r="AJ90" s="1481"/>
      <c r="AK90" s="1481"/>
      <c r="AL90" s="1481"/>
      <c r="AM90" s="1481"/>
      <c r="AN90" s="1481"/>
      <c r="AO90" s="1481"/>
      <c r="AP90" s="1481"/>
      <c r="AQ90" s="1481"/>
      <c r="AR90" s="1481"/>
      <c r="AS90" s="1481"/>
      <c r="AT90" s="1481"/>
      <c r="AU90" s="1481"/>
      <c r="AV90" s="1481"/>
      <c r="AW90" s="1481"/>
      <c r="AX90" s="1481"/>
      <c r="AY90" s="1481"/>
      <c r="AZ90" s="1481"/>
      <c r="BA90" s="1481"/>
      <c r="BB90" s="1481"/>
      <c r="BC90" s="1481"/>
      <c r="BD90" s="1481"/>
      <c r="BE90" s="1481"/>
      <c r="BF90" s="1481"/>
      <c r="BG90" s="1481"/>
      <c r="BH90" s="1481"/>
      <c r="BI90" s="1481"/>
      <c r="BJ90" s="1481"/>
      <c r="BK90" s="1481"/>
      <c r="BL90" s="1481"/>
      <c r="BM90" s="1481"/>
      <c r="BN90" s="1481"/>
      <c r="BO90" s="1481"/>
      <c r="BP90" s="1481"/>
      <c r="BQ90" s="1481"/>
      <c r="BR90" s="1481"/>
      <c r="BS90" s="1481"/>
      <c r="BT90" s="1481"/>
      <c r="BU90" s="1481"/>
      <c r="BV90" s="1481"/>
      <c r="BW90" s="1481"/>
      <c r="BX90" s="1481"/>
      <c r="BY90" s="1481"/>
      <c r="BZ90" s="1481"/>
      <c r="CA90" s="1481"/>
      <c r="CB90" s="1481"/>
      <c r="CC90" s="1481"/>
      <c r="CD90" s="1481"/>
      <c r="CE90" s="1481"/>
    </row>
    <row r="91" spans="1:83" ht="11.25" hidden="1" customHeight="1">
      <c r="A91" s="1649"/>
      <c r="B91" s="1023"/>
      <c r="C91" s="319"/>
      <c r="D91" s="3622"/>
      <c r="E91" s="541" t="s">
        <v>18</v>
      </c>
      <c r="F91" s="1031" t="s">
        <v>18</v>
      </c>
      <c r="G91" s="1031" t="s">
        <v>880</v>
      </c>
      <c r="H91" s="543" t="s">
        <v>18</v>
      </c>
      <c r="I91" s="543"/>
      <c r="J91" s="543"/>
      <c r="K91" s="543"/>
      <c r="L91" s="543"/>
      <c r="M91" s="543"/>
      <c r="N91" s="543"/>
      <c r="O91" s="543"/>
      <c r="P91" s="543"/>
      <c r="Q91" s="543"/>
      <c r="R91" s="544"/>
      <c r="S91" s="545"/>
      <c r="T91" s="608"/>
      <c r="U91" s="3532"/>
      <c r="V91" s="3532"/>
      <c r="W91" s="1023"/>
      <c r="X91" s="1023"/>
      <c r="Y91" s="1023"/>
      <c r="Z91" s="1023"/>
      <c r="AA91" s="1481"/>
      <c r="AB91" s="1023"/>
      <c r="AC91" s="3617"/>
      <c r="AD91" s="521"/>
      <c r="AE91" s="1023"/>
      <c r="AF91" s="1023"/>
      <c r="AG91" s="1481"/>
      <c r="AH91" s="1481"/>
      <c r="AI91" s="1481"/>
      <c r="AJ91" s="1481"/>
      <c r="AK91" s="1481"/>
      <c r="AL91" s="1481"/>
      <c r="AM91" s="1481"/>
      <c r="AN91" s="1481"/>
      <c r="AO91" s="1481"/>
      <c r="AP91" s="1481"/>
      <c r="AQ91" s="1481"/>
      <c r="AR91" s="1481"/>
      <c r="AS91" s="1481"/>
      <c r="AT91" s="1481"/>
      <c r="AU91" s="1481"/>
      <c r="AV91" s="1481"/>
      <c r="AW91" s="1481"/>
      <c r="AX91" s="1481"/>
      <c r="AY91" s="1481"/>
      <c r="AZ91" s="1481"/>
      <c r="BA91" s="1481"/>
      <c r="BB91" s="1481"/>
      <c r="BC91" s="1481"/>
      <c r="BD91" s="1481"/>
      <c r="BE91" s="1481"/>
      <c r="BF91" s="1481"/>
      <c r="BG91" s="1481"/>
      <c r="BH91" s="1481"/>
      <c r="BI91" s="1481"/>
      <c r="BJ91" s="1481"/>
      <c r="BK91" s="1481"/>
      <c r="BL91" s="1481"/>
      <c r="BM91" s="1481"/>
      <c r="BN91" s="1481"/>
      <c r="BO91" s="1481"/>
      <c r="BP91" s="1481"/>
      <c r="BQ91" s="1481"/>
      <c r="BR91" s="1481"/>
      <c r="BS91" s="1481"/>
      <c r="BT91" s="1481"/>
      <c r="BU91" s="1481"/>
      <c r="BV91" s="1023"/>
      <c r="BW91" s="1023"/>
      <c r="BX91" s="1023"/>
      <c r="BY91" s="1023"/>
      <c r="BZ91" s="1023"/>
      <c r="CA91" s="1023"/>
      <c r="CB91" s="1023"/>
      <c r="CC91" s="1023"/>
      <c r="CD91" s="1023"/>
      <c r="CE91" s="1023"/>
    </row>
    <row r="92" spans="1:83" ht="5.25" hidden="1" customHeight="1">
      <c r="A92" s="1636"/>
      <c r="B92" s="1481"/>
      <c r="C92" s="1481"/>
      <c r="D92" s="3622"/>
      <c r="E92" s="909"/>
      <c r="F92" s="909"/>
      <c r="G92" s="909"/>
      <c r="H92" s="909"/>
      <c r="I92" s="909"/>
      <c r="J92" s="909"/>
      <c r="K92" s="909"/>
      <c r="L92" s="909"/>
      <c r="M92" s="909"/>
      <c r="N92" s="909"/>
      <c r="O92" s="909"/>
      <c r="P92" s="909"/>
      <c r="Q92" s="910"/>
      <c r="R92" s="911"/>
      <c r="S92" s="912"/>
      <c r="T92" s="607" t="s">
        <v>877</v>
      </c>
      <c r="U92" s="3532">
        <v>1</v>
      </c>
      <c r="V92" s="3532" t="s">
        <v>840</v>
      </c>
      <c r="W92" s="1481"/>
      <c r="X92" s="1481"/>
      <c r="Y92" s="1481"/>
      <c r="Z92" s="1481"/>
      <c r="AA92" s="1481"/>
      <c r="AB92" s="1481"/>
      <c r="AC92" s="907"/>
      <c r="AD92" s="908"/>
      <c r="AE92" s="1481"/>
      <c r="AF92" s="1481"/>
      <c r="AG92" s="1481"/>
      <c r="AH92" s="1481"/>
      <c r="AI92" s="1481"/>
      <c r="AJ92" s="1481"/>
      <c r="AK92" s="1481"/>
      <c r="AL92" s="1481"/>
      <c r="AM92" s="1481"/>
      <c r="AN92" s="1481"/>
      <c r="AO92" s="1481"/>
      <c r="AP92" s="1481"/>
      <c r="AQ92" s="1481"/>
      <c r="AR92" s="1481"/>
      <c r="AS92" s="1481"/>
      <c r="AT92" s="1481"/>
      <c r="AU92" s="1481"/>
      <c r="AV92" s="1481"/>
      <c r="AW92" s="1481"/>
      <c r="AX92" s="1481"/>
      <c r="AY92" s="1481"/>
      <c r="AZ92" s="1481"/>
      <c r="BA92" s="1481"/>
      <c r="BB92" s="1481"/>
      <c r="BC92" s="1481"/>
      <c r="BD92" s="1481"/>
      <c r="BE92" s="1481"/>
      <c r="BF92" s="1481"/>
      <c r="BG92" s="1481"/>
      <c r="BH92" s="1481"/>
      <c r="BI92" s="1481"/>
      <c r="BJ92" s="1481"/>
      <c r="BK92" s="1481"/>
      <c r="BL92" s="1481"/>
      <c r="BM92" s="1481"/>
      <c r="BN92" s="1481"/>
      <c r="BO92" s="1481"/>
      <c r="BP92" s="1481"/>
      <c r="BQ92" s="1481"/>
      <c r="BR92" s="1481"/>
      <c r="BS92" s="1481"/>
      <c r="BT92" s="1481"/>
      <c r="BU92" s="1481"/>
      <c r="BV92" s="1481"/>
      <c r="BW92" s="1481"/>
      <c r="BX92" s="1481"/>
      <c r="BY92" s="1481"/>
      <c r="BZ92" s="1481"/>
      <c r="CA92" s="1481"/>
      <c r="CB92" s="1481"/>
      <c r="CC92" s="1481"/>
      <c r="CD92" s="1481"/>
      <c r="CE92" s="1481"/>
    </row>
    <row r="93" spans="1:83" ht="5.25" hidden="1" customHeight="1">
      <c r="A93" s="1636"/>
      <c r="B93" s="1481"/>
      <c r="C93" s="1481"/>
      <c r="D93" s="3622"/>
      <c r="E93" s="527"/>
      <c r="F93" s="527"/>
      <c r="G93" s="527"/>
      <c r="H93" s="527"/>
      <c r="I93" s="527"/>
      <c r="J93" s="527"/>
      <c r="K93" s="527"/>
      <c r="L93" s="527"/>
      <c r="M93" s="527"/>
      <c r="N93" s="527"/>
      <c r="O93" s="527"/>
      <c r="P93" s="527"/>
      <c r="Q93" s="527"/>
      <c r="R93" s="527"/>
      <c r="S93" s="528"/>
      <c r="T93" s="608"/>
      <c r="U93" s="3532"/>
      <c r="V93" s="3532"/>
      <c r="W93" s="1481"/>
      <c r="X93" s="1481"/>
      <c r="Y93" s="1481"/>
      <c r="Z93" s="1481"/>
      <c r="AA93" s="1481"/>
      <c r="AB93" s="1481"/>
      <c r="AC93" s="907"/>
      <c r="AD93" s="908"/>
      <c r="AE93" s="1481"/>
      <c r="AF93" s="1481"/>
      <c r="AG93" s="1481"/>
      <c r="AH93" s="1481"/>
      <c r="AI93" s="1481"/>
      <c r="AJ93" s="1481"/>
      <c r="AK93" s="1481"/>
      <c r="AL93" s="1481"/>
      <c r="AM93" s="1481"/>
      <c r="AN93" s="1481"/>
      <c r="AO93" s="1481"/>
      <c r="AP93" s="1481"/>
      <c r="AQ93" s="1481"/>
      <c r="AR93" s="1481"/>
      <c r="AS93" s="1481"/>
      <c r="AT93" s="1481"/>
      <c r="AU93" s="1481"/>
      <c r="AV93" s="1481"/>
      <c r="AW93" s="1481"/>
      <c r="AX93" s="1481"/>
      <c r="AY93" s="1481"/>
      <c r="AZ93" s="1481"/>
      <c r="BA93" s="1481"/>
      <c r="BB93" s="1481"/>
      <c r="BC93" s="1481"/>
      <c r="BD93" s="1481"/>
      <c r="BE93" s="1481"/>
      <c r="BF93" s="1481"/>
      <c r="BG93" s="1481"/>
      <c r="BH93" s="1481"/>
      <c r="BI93" s="1481"/>
      <c r="BJ93" s="1481"/>
      <c r="BK93" s="1481"/>
      <c r="BL93" s="1481"/>
      <c r="BM93" s="1481"/>
      <c r="BN93" s="1481"/>
      <c r="BO93" s="1481"/>
      <c r="BP93" s="1481"/>
      <c r="BQ93" s="1481"/>
      <c r="BR93" s="1481"/>
      <c r="BS93" s="1481"/>
      <c r="BT93" s="1481"/>
      <c r="BU93" s="1481"/>
      <c r="BV93" s="1481"/>
      <c r="BW93" s="1481"/>
      <c r="BX93" s="1481"/>
      <c r="BY93" s="1481"/>
      <c r="BZ93" s="1481"/>
      <c r="CA93" s="1481"/>
      <c r="CB93" s="1481"/>
      <c r="CC93" s="1481"/>
      <c r="CD93" s="1481"/>
      <c r="CE93" s="1481"/>
    </row>
    <row r="94" spans="1:83" ht="5.25" hidden="1" customHeight="1">
      <c r="A94" s="1636"/>
      <c r="B94" s="1481"/>
      <c r="C94" s="1481"/>
      <c r="D94" s="3623"/>
      <c r="E94" s="913"/>
      <c r="F94" s="914"/>
      <c r="G94" s="914"/>
      <c r="H94" s="915"/>
      <c r="I94" s="915"/>
      <c r="J94" s="915"/>
      <c r="K94" s="915"/>
      <c r="L94" s="915"/>
      <c r="M94" s="915"/>
      <c r="N94" s="915"/>
      <c r="O94" s="915"/>
      <c r="P94" s="915"/>
      <c r="Q94" s="915"/>
      <c r="R94" s="818"/>
      <c r="S94" s="916"/>
      <c r="T94" s="608"/>
      <c r="U94" s="3532"/>
      <c r="V94" s="3532"/>
      <c r="W94" s="1481"/>
      <c r="X94" s="1481"/>
      <c r="Y94" s="1481"/>
      <c r="Z94" s="1481"/>
      <c r="AA94" s="1481"/>
      <c r="AB94" s="1481"/>
      <c r="AC94" s="907"/>
      <c r="AD94" s="908"/>
      <c r="AE94" s="1481"/>
      <c r="AF94" s="1481"/>
      <c r="AG94" s="1481"/>
      <c r="AH94" s="1481"/>
      <c r="AI94" s="1481"/>
      <c r="AJ94" s="1481"/>
      <c r="AK94" s="1481"/>
      <c r="AL94" s="1481"/>
      <c r="AM94" s="1481"/>
      <c r="AN94" s="1481"/>
      <c r="AO94" s="1481"/>
      <c r="AP94" s="1481"/>
      <c r="AQ94" s="1481"/>
      <c r="AR94" s="1481"/>
      <c r="AS94" s="1481"/>
      <c r="AT94" s="1481"/>
      <c r="AU94" s="1481"/>
      <c r="AV94" s="1481"/>
      <c r="AW94" s="1481"/>
      <c r="AX94" s="1481"/>
      <c r="AY94" s="1481"/>
      <c r="AZ94" s="1481"/>
      <c r="BA94" s="1481"/>
      <c r="BB94" s="1481"/>
      <c r="BC94" s="1481"/>
      <c r="BD94" s="1481"/>
      <c r="BE94" s="1481"/>
      <c r="BF94" s="1481"/>
      <c r="BG94" s="1481"/>
      <c r="BH94" s="1481"/>
      <c r="BI94" s="1481"/>
      <c r="BJ94" s="1481"/>
      <c r="BK94" s="1481"/>
      <c r="BL94" s="1481"/>
      <c r="BM94" s="1481"/>
      <c r="BN94" s="1481"/>
      <c r="BO94" s="1481"/>
      <c r="BP94" s="1481"/>
      <c r="BQ94" s="1481"/>
      <c r="BR94" s="1481"/>
      <c r="BS94" s="1481"/>
      <c r="BT94" s="1481"/>
      <c r="BU94" s="1481"/>
      <c r="BV94" s="1481"/>
      <c r="BW94" s="1481"/>
      <c r="BX94" s="1481"/>
      <c r="BY94" s="1481"/>
      <c r="BZ94" s="1481"/>
      <c r="CA94" s="1481"/>
      <c r="CB94" s="1481"/>
      <c r="CC94" s="1481"/>
      <c r="CD94" s="1481"/>
      <c r="CE94" s="1481"/>
    </row>
    <row r="95" spans="1:83" ht="15" hidden="1" customHeight="1">
      <c r="A95" s="516" t="s">
        <v>138</v>
      </c>
      <c r="B95"/>
      <c r="C95" t="s">
        <v>18</v>
      </c>
      <c r="D95" s="3621" t="s">
        <v>888</v>
      </c>
      <c r="E95" s="3618" t="s">
        <v>102</v>
      </c>
      <c r="F95" s="3619"/>
      <c r="G95" s="3620"/>
      <c r="H95" s="3614" t="str">
        <f>IF(A95="","",INDEX(DIFFERENTIATION_UNMERGE_VD,MATCH(A95,DIFFERENTIATION_ID_DIFF,0)))</f>
        <v>Производство тепловой энергии. Некомбинированная выработка</v>
      </c>
      <c r="I95" s="3614"/>
      <c r="J95" s="3614"/>
      <c r="K95" s="3614"/>
      <c r="L95" s="3614"/>
      <c r="M95" s="3614"/>
      <c r="N95" s="3614"/>
      <c r="O95" s="3614"/>
      <c r="P95" s="3614"/>
      <c r="Q95" s="3614"/>
      <c r="R95" s="3614"/>
      <c r="S95" s="609"/>
      <c r="T95" s="606"/>
      <c r="U95" s="517"/>
      <c r="V95" s="517"/>
      <c r="W95" s="518"/>
      <c r="X95" s="518"/>
      <c r="Y95" s="518"/>
      <c r="Z95" s="518"/>
      <c r="AA95" s="519"/>
      <c r="AB95" s="520"/>
      <c r="AC95" s="3617"/>
      <c r="AD95" s="521"/>
      <c r="AE95" s="522" t="s">
        <v>18</v>
      </c>
      <c r="AF95" s="522"/>
      <c r="AG95" s="523" t="s">
        <v>874</v>
      </c>
      <c r="AH95" s="524">
        <v>3</v>
      </c>
      <c r="AI95" s="517"/>
      <c r="AJ95" s="517"/>
      <c r="AK95" s="517"/>
      <c r="AL95" s="517"/>
      <c r="AM95" s="517"/>
      <c r="AN95" s="517"/>
      <c r="AO95" s="517"/>
      <c r="AP95" s="517"/>
      <c r="AQ95" s="517"/>
      <c r="AR95" s="517"/>
      <c r="AS95" s="517"/>
      <c r="AT95" s="517"/>
      <c r="AU95" s="517"/>
      <c r="AV95" s="517"/>
      <c r="AW95" s="517"/>
      <c r="AX95" s="517"/>
      <c r="AY95" s="517"/>
      <c r="AZ95" s="517"/>
      <c r="BA95" s="517"/>
      <c r="BB95" s="517"/>
      <c r="BC95" s="517"/>
      <c r="BD95" s="517"/>
      <c r="BE95" s="517"/>
      <c r="BF95" s="517"/>
      <c r="BG95" s="517"/>
      <c r="BH95" s="517"/>
      <c r="BI95" s="517"/>
      <c r="BJ95" s="517"/>
      <c r="BK95" s="517"/>
      <c r="BL95" s="517"/>
      <c r="BM95" s="517"/>
      <c r="BN95" s="517"/>
      <c r="BO95" s="517"/>
      <c r="BP95" s="517"/>
      <c r="BQ95" s="517"/>
      <c r="BR95" s="517"/>
      <c r="BS95" s="517"/>
      <c r="BT95" s="517"/>
      <c r="BU95" s="517"/>
      <c r="BV95" s="518"/>
      <c r="BW95" s="518"/>
      <c r="BX95" s="518"/>
      <c r="BY95" s="518"/>
      <c r="BZ95" s="518"/>
      <c r="CA95" s="518"/>
      <c r="CB95" s="518"/>
      <c r="CC95" s="518"/>
      <c r="CD95" s="518"/>
      <c r="CE95" s="518"/>
    </row>
    <row r="96" spans="1:83" ht="15" hidden="1" customHeight="1">
      <c r="A96" s="516"/>
      <c r="B96"/>
      <c r="C96"/>
      <c r="D96" s="3622"/>
      <c r="E96" s="3618" t="s">
        <v>829</v>
      </c>
      <c r="F96" s="3619"/>
      <c r="G96" s="3620"/>
      <c r="H96" s="3614" t="str">
        <f>IF(A95="","",INDEX(DIFFERENTIATION_UNMERGE_AREA,MATCH(A95,DIFFERENTIATION_ID_DIFF,0)))</f>
        <v>Территория 1</v>
      </c>
      <c r="I96" s="3614"/>
      <c r="J96" s="3614"/>
      <c r="K96" s="3614"/>
      <c r="L96" s="3614"/>
      <c r="M96" s="3614"/>
      <c r="N96" s="3614"/>
      <c r="O96" s="3614"/>
      <c r="P96" s="3614"/>
      <c r="Q96" s="3614"/>
      <c r="R96" s="3614"/>
      <c r="S96" s="609"/>
      <c r="T96" s="606"/>
      <c r="U96" s="517"/>
      <c r="V96" s="517"/>
      <c r="W96" s="518"/>
      <c r="X96" s="518"/>
      <c r="Y96" s="518"/>
      <c r="Z96" s="518"/>
      <c r="AA96" s="519"/>
      <c r="AB96" s="520"/>
      <c r="AC96" s="3617"/>
      <c r="AD96" s="521"/>
      <c r="AE96" s="522"/>
      <c r="AF96" s="522"/>
      <c r="AG96" s="523"/>
      <c r="AH96" s="524"/>
      <c r="AI96" s="517"/>
      <c r="AJ96" s="517"/>
      <c r="AK96" s="517"/>
      <c r="AL96" s="517"/>
      <c r="AM96" s="517"/>
      <c r="AN96" s="517"/>
      <c r="AO96" s="517"/>
      <c r="AP96" s="517"/>
      <c r="AQ96" s="517"/>
      <c r="AR96" s="517"/>
      <c r="AS96" s="517"/>
      <c r="AT96" s="517"/>
      <c r="AU96" s="517"/>
      <c r="AV96" s="517"/>
      <c r="AW96" s="517"/>
      <c r="AX96" s="517"/>
      <c r="AY96" s="517"/>
      <c r="AZ96" s="517"/>
      <c r="BA96" s="517"/>
      <c r="BB96" s="517"/>
      <c r="BC96" s="517"/>
      <c r="BD96" s="517"/>
      <c r="BE96" s="517"/>
      <c r="BF96" s="517"/>
      <c r="BG96" s="517"/>
      <c r="BH96" s="517"/>
      <c r="BI96" s="517"/>
      <c r="BJ96" s="517"/>
      <c r="BK96" s="517"/>
      <c r="BL96" s="517"/>
      <c r="BM96" s="517"/>
      <c r="BN96" s="517"/>
      <c r="BO96" s="517"/>
      <c r="BP96" s="517"/>
      <c r="BQ96" s="517"/>
      <c r="BR96" s="517"/>
      <c r="BS96" s="517"/>
      <c r="BT96" s="517"/>
      <c r="BU96" s="517"/>
      <c r="BV96" s="518"/>
      <c r="BW96" s="518"/>
      <c r="BX96" s="518"/>
      <c r="BY96" s="518"/>
      <c r="BZ96" s="518"/>
      <c r="CA96" s="518"/>
      <c r="CB96" s="518"/>
      <c r="CC96" s="518"/>
      <c r="CD96" s="518"/>
      <c r="CE96" s="518"/>
    </row>
    <row r="97" spans="1:83" ht="15" hidden="1" customHeight="1">
      <c r="A97" s="516"/>
      <c r="B97"/>
      <c r="C97"/>
      <c r="D97" s="3622"/>
      <c r="E97" s="3618" t="s">
        <v>830</v>
      </c>
      <c r="F97" s="3619"/>
      <c r="G97" s="3620"/>
      <c r="H97" s="3614" t="str">
        <f>IF(A95="","",INDEX(DIFFERENTIATION_UNMERGE_SYSTEM,MATCH(A95,DIFFERENTIATION_ID_DIFF,0)))</f>
        <v>Карачевская, 29а</v>
      </c>
      <c r="I97" s="3614"/>
      <c r="J97" s="3614"/>
      <c r="K97" s="3614"/>
      <c r="L97" s="3614"/>
      <c r="M97" s="3614"/>
      <c r="N97" s="3614"/>
      <c r="O97" s="3614"/>
      <c r="P97" s="3614"/>
      <c r="Q97" s="3614"/>
      <c r="R97" s="3614"/>
      <c r="S97" s="609"/>
      <c r="T97" s="606"/>
      <c r="U97" s="517"/>
      <c r="V97" s="517"/>
      <c r="W97" s="518"/>
      <c r="X97" s="518"/>
      <c r="Y97" s="518"/>
      <c r="Z97" s="518"/>
      <c r="AA97" s="519"/>
      <c r="AB97" s="520"/>
      <c r="AC97" s="3617"/>
      <c r="AD97" s="521"/>
      <c r="AE97" s="522"/>
      <c r="AF97" s="522"/>
      <c r="AG97" s="523"/>
      <c r="AH97" s="524"/>
      <c r="AI97" s="517"/>
      <c r="AJ97" s="517"/>
      <c r="AK97" s="517"/>
      <c r="AL97" s="517"/>
      <c r="AM97" s="517"/>
      <c r="AN97" s="517"/>
      <c r="AO97" s="517"/>
      <c r="AP97" s="517"/>
      <c r="AQ97" s="517"/>
      <c r="AR97" s="517"/>
      <c r="AS97" s="517"/>
      <c r="AT97" s="517"/>
      <c r="AU97" s="517"/>
      <c r="AV97" s="517"/>
      <c r="AW97" s="517"/>
      <c r="AX97" s="517"/>
      <c r="AY97" s="517"/>
      <c r="AZ97" s="517"/>
      <c r="BA97" s="517"/>
      <c r="BB97" s="517"/>
      <c r="BC97" s="517"/>
      <c r="BD97" s="517"/>
      <c r="BE97" s="517"/>
      <c r="BF97" s="517"/>
      <c r="BG97" s="517"/>
      <c r="BH97" s="517"/>
      <c r="BI97" s="517"/>
      <c r="BJ97" s="517"/>
      <c r="BK97" s="517"/>
      <c r="BL97" s="517"/>
      <c r="BM97" s="517"/>
      <c r="BN97" s="517"/>
      <c r="BO97" s="517"/>
      <c r="BP97" s="517"/>
      <c r="BQ97" s="517"/>
      <c r="BR97" s="517"/>
      <c r="BS97" s="517"/>
      <c r="BT97" s="517"/>
      <c r="BU97" s="517"/>
      <c r="BV97" s="518"/>
      <c r="BW97" s="518"/>
      <c r="BX97" s="518"/>
      <c r="BY97" s="518"/>
      <c r="BZ97" s="518"/>
      <c r="CA97" s="518"/>
      <c r="CB97" s="518"/>
      <c r="CC97" s="518"/>
      <c r="CD97" s="518"/>
      <c r="CE97" s="518"/>
    </row>
    <row r="98" spans="1:83" ht="24.75" hidden="1" customHeight="1">
      <c r="A98" s="1649"/>
      <c r="B98" s="1023"/>
      <c r="C98" s="319"/>
      <c r="D98" s="3622"/>
      <c r="E98" s="3616" t="s">
        <v>875</v>
      </c>
      <c r="F98" s="3616"/>
      <c r="G98" s="3616"/>
      <c r="H98" s="3616"/>
      <c r="I98" s="3616"/>
      <c r="J98" s="3616"/>
      <c r="K98" s="3616"/>
      <c r="L98" s="3616"/>
      <c r="M98" s="3616"/>
      <c r="N98" s="3616"/>
      <c r="O98" s="3616"/>
      <c r="P98" s="3616"/>
      <c r="Q98" s="455">
        <f>SUMIF(T99:T100,"i",Q99:Q100)</f>
        <v>0</v>
      </c>
      <c r="R98" s="887"/>
      <c r="S98" s="1641" t="s">
        <v>876</v>
      </c>
      <c r="T98" s="607" t="s">
        <v>877</v>
      </c>
      <c r="U98" s="3532">
        <v>1</v>
      </c>
      <c r="V98" s="3532" t="s">
        <v>840</v>
      </c>
      <c r="W98" s="1023"/>
      <c r="X98" s="1023"/>
      <c r="Y98" s="1023"/>
      <c r="Z98" s="1023"/>
      <c r="AA98" s="1481"/>
      <c r="AB98" s="1023"/>
      <c r="AC98" s="3617"/>
      <c r="AD98" s="521"/>
      <c r="AE98" s="1023"/>
      <c r="AF98" s="1023"/>
      <c r="AG98" s="1481"/>
      <c r="AH98" s="1481"/>
      <c r="AI98" s="1481"/>
      <c r="AJ98" s="1481"/>
      <c r="AK98" s="1481"/>
      <c r="AL98" s="1481"/>
      <c r="AM98" s="1481"/>
      <c r="AN98" s="1481"/>
      <c r="AO98" s="1481"/>
      <c r="AP98" s="1481"/>
      <c r="AQ98" s="1481"/>
      <c r="AR98" s="1481"/>
      <c r="AS98" s="1481"/>
      <c r="AT98" s="1481"/>
      <c r="AU98" s="1481"/>
      <c r="AV98" s="1481"/>
      <c r="AW98" s="1481"/>
      <c r="AX98" s="1481"/>
      <c r="AY98" s="1481"/>
      <c r="AZ98" s="1481"/>
      <c r="BA98" s="1481"/>
      <c r="BB98" s="1481"/>
      <c r="BC98" s="1481"/>
      <c r="BD98" s="1481"/>
      <c r="BE98" s="1481"/>
      <c r="BF98" s="1481"/>
      <c r="BG98" s="1481"/>
      <c r="BH98" s="1481"/>
      <c r="BI98" s="1481"/>
      <c r="BJ98" s="1481"/>
      <c r="BK98" s="1481"/>
      <c r="BL98" s="1481"/>
      <c r="BM98" s="1481"/>
      <c r="BN98" s="1481"/>
      <c r="BO98" s="1481"/>
      <c r="BP98" s="1481"/>
      <c r="BQ98" s="1481"/>
      <c r="BR98" s="1481"/>
      <c r="BS98" s="1481"/>
      <c r="BT98" s="1481"/>
      <c r="BU98" s="1481"/>
      <c r="BV98" s="1023"/>
      <c r="BW98" s="1023"/>
      <c r="BX98" s="1023"/>
      <c r="BY98" s="1023"/>
      <c r="BZ98" s="1023"/>
      <c r="CA98" s="1023"/>
      <c r="CB98" s="1023"/>
      <c r="CC98" s="1023"/>
      <c r="CD98" s="1023"/>
      <c r="CE98" s="1023"/>
    </row>
    <row r="99" spans="1:83" ht="11.25" hidden="1" customHeight="1">
      <c r="A99" s="1636"/>
      <c r="B99" s="1481"/>
      <c r="C99" s="1481"/>
      <c r="D99" s="3622"/>
      <c r="E99" s="527"/>
      <c r="F99" s="527">
        <v>0</v>
      </c>
      <c r="G99" s="527"/>
      <c r="H99" s="527"/>
      <c r="I99" s="527"/>
      <c r="J99" s="527"/>
      <c r="K99" s="527"/>
      <c r="L99" s="527"/>
      <c r="M99" s="527"/>
      <c r="N99" s="527"/>
      <c r="O99" s="527"/>
      <c r="P99" s="527"/>
      <c r="Q99" s="527"/>
      <c r="R99" s="527"/>
      <c r="S99" s="528"/>
      <c r="T99" s="608"/>
      <c r="U99" s="3532"/>
      <c r="V99" s="3532"/>
      <c r="W99" s="1481"/>
      <c r="X99" s="1481"/>
      <c r="Y99" s="1481"/>
      <c r="Z99" s="1481"/>
      <c r="AA99" s="1481"/>
      <c r="AB99" s="1023"/>
      <c r="AC99" s="3617"/>
      <c r="AD99" s="521"/>
      <c r="AE99" s="1023"/>
      <c r="AF99" s="1023"/>
      <c r="AG99" s="1481"/>
      <c r="AH99" s="1481"/>
      <c r="AI99" s="1481"/>
      <c r="AJ99" s="1481"/>
      <c r="AK99" s="1481"/>
      <c r="AL99" s="1481"/>
      <c r="AM99" s="1481"/>
      <c r="AN99" s="1481"/>
      <c r="AO99" s="1481"/>
      <c r="AP99" s="1481"/>
      <c r="AQ99" s="1481"/>
      <c r="AR99" s="1481"/>
      <c r="AS99" s="1481"/>
      <c r="AT99" s="1481"/>
      <c r="AU99" s="1481"/>
      <c r="AV99" s="1481"/>
      <c r="AW99" s="1481"/>
      <c r="AX99" s="1481"/>
      <c r="AY99" s="1481"/>
      <c r="AZ99" s="1481"/>
      <c r="BA99" s="1481"/>
      <c r="BB99" s="1481"/>
      <c r="BC99" s="1481"/>
      <c r="BD99" s="1481"/>
      <c r="BE99" s="1481"/>
      <c r="BF99" s="1481"/>
      <c r="BG99" s="1481"/>
      <c r="BH99" s="1481"/>
      <c r="BI99" s="1481"/>
      <c r="BJ99" s="1481"/>
      <c r="BK99" s="1481"/>
      <c r="BL99" s="1481"/>
      <c r="BM99" s="1481"/>
      <c r="BN99" s="1481"/>
      <c r="BO99" s="1481"/>
      <c r="BP99" s="1481"/>
      <c r="BQ99" s="1481"/>
      <c r="BR99" s="1481"/>
      <c r="BS99" s="1481"/>
      <c r="BT99" s="1481"/>
      <c r="BU99" s="1481"/>
      <c r="BV99" s="1481"/>
      <c r="BW99" s="1481"/>
      <c r="BX99" s="1481"/>
      <c r="BY99" s="1481"/>
      <c r="BZ99" s="1481"/>
      <c r="CA99" s="1481"/>
      <c r="CB99" s="1481"/>
      <c r="CC99" s="1481"/>
      <c r="CD99" s="1481"/>
      <c r="CE99" s="1481"/>
    </row>
    <row r="100" spans="1:83" ht="11.25" hidden="1" customHeight="1">
      <c r="A100" s="1649"/>
      <c r="B100" s="1023"/>
      <c r="C100" s="319"/>
      <c r="D100" s="3622"/>
      <c r="E100" s="541" t="s">
        <v>18</v>
      </c>
      <c r="F100" s="1031" t="s">
        <v>18</v>
      </c>
      <c r="G100" s="1031" t="s">
        <v>880</v>
      </c>
      <c r="H100" s="543" t="s">
        <v>18</v>
      </c>
      <c r="I100" s="543"/>
      <c r="J100" s="543"/>
      <c r="K100" s="543"/>
      <c r="L100" s="543"/>
      <c r="M100" s="543"/>
      <c r="N100" s="543"/>
      <c r="O100" s="543"/>
      <c r="P100" s="543"/>
      <c r="Q100" s="543"/>
      <c r="R100" s="544"/>
      <c r="S100" s="545"/>
      <c r="T100" s="608"/>
      <c r="U100" s="3532"/>
      <c r="V100" s="3532"/>
      <c r="W100" s="1023"/>
      <c r="X100" s="1023"/>
      <c r="Y100" s="1023"/>
      <c r="Z100" s="1023"/>
      <c r="AA100" s="1481"/>
      <c r="AB100" s="1023"/>
      <c r="AC100" s="3617"/>
      <c r="AD100" s="521"/>
      <c r="AE100" s="1023"/>
      <c r="AF100" s="1023"/>
      <c r="AG100" s="1481"/>
      <c r="AH100" s="1481"/>
      <c r="AI100" s="1481"/>
      <c r="AJ100" s="1481"/>
      <c r="AK100" s="1481"/>
      <c r="AL100" s="1481"/>
      <c r="AM100" s="1481"/>
      <c r="AN100" s="1481"/>
      <c r="AO100" s="1481"/>
      <c r="AP100" s="1481"/>
      <c r="AQ100" s="1481"/>
      <c r="AR100" s="1481"/>
      <c r="AS100" s="1481"/>
      <c r="AT100" s="1481"/>
      <c r="AU100" s="1481"/>
      <c r="AV100" s="1481"/>
      <c r="AW100" s="1481"/>
      <c r="AX100" s="1481"/>
      <c r="AY100" s="1481"/>
      <c r="AZ100" s="1481"/>
      <c r="BA100" s="1481"/>
      <c r="BB100" s="1481"/>
      <c r="BC100" s="1481"/>
      <c r="BD100" s="1481"/>
      <c r="BE100" s="1481"/>
      <c r="BF100" s="1481"/>
      <c r="BG100" s="1481"/>
      <c r="BH100" s="1481"/>
      <c r="BI100" s="1481"/>
      <c r="BJ100" s="1481"/>
      <c r="BK100" s="1481"/>
      <c r="BL100" s="1481"/>
      <c r="BM100" s="1481"/>
      <c r="BN100" s="1481"/>
      <c r="BO100" s="1481"/>
      <c r="BP100" s="1481"/>
      <c r="BQ100" s="1481"/>
      <c r="BR100" s="1481"/>
      <c r="BS100" s="1481"/>
      <c r="BT100" s="1481"/>
      <c r="BU100" s="1481"/>
      <c r="BV100" s="1023"/>
      <c r="BW100" s="1023"/>
      <c r="BX100" s="1023"/>
      <c r="BY100" s="1023"/>
      <c r="BZ100" s="1023"/>
      <c r="CA100" s="1023"/>
      <c r="CB100" s="1023"/>
      <c r="CC100" s="1023"/>
      <c r="CD100" s="1023"/>
      <c r="CE100" s="1023"/>
    </row>
    <row r="101" spans="1:83" ht="5.25" hidden="1" customHeight="1">
      <c r="A101" s="1636"/>
      <c r="B101" s="1481"/>
      <c r="C101" s="1481"/>
      <c r="D101" s="3622"/>
      <c r="E101" s="909"/>
      <c r="F101" s="909"/>
      <c r="G101" s="909"/>
      <c r="H101" s="909"/>
      <c r="I101" s="909"/>
      <c r="J101" s="909"/>
      <c r="K101" s="909"/>
      <c r="L101" s="909"/>
      <c r="M101" s="909"/>
      <c r="N101" s="909"/>
      <c r="O101" s="909"/>
      <c r="P101" s="909"/>
      <c r="Q101" s="910"/>
      <c r="R101" s="911"/>
      <c r="S101" s="912"/>
      <c r="T101" s="607" t="s">
        <v>877</v>
      </c>
      <c r="U101" s="3532">
        <v>1</v>
      </c>
      <c r="V101" s="3532" t="s">
        <v>840</v>
      </c>
      <c r="W101" s="1481"/>
      <c r="X101" s="1481"/>
      <c r="Y101" s="1481"/>
      <c r="Z101" s="1481"/>
      <c r="AA101" s="1481"/>
      <c r="AB101" s="1481"/>
      <c r="AC101" s="907"/>
      <c r="AD101" s="908"/>
      <c r="AE101" s="1481"/>
      <c r="AF101" s="1481"/>
      <c r="AG101" s="1481"/>
      <c r="AH101" s="1481"/>
      <c r="AI101" s="1481"/>
      <c r="AJ101" s="1481"/>
      <c r="AK101" s="1481"/>
      <c r="AL101" s="1481"/>
      <c r="AM101" s="1481"/>
      <c r="AN101" s="1481"/>
      <c r="AO101" s="1481"/>
      <c r="AP101" s="1481"/>
      <c r="AQ101" s="1481"/>
      <c r="AR101" s="1481"/>
      <c r="AS101" s="1481"/>
      <c r="AT101" s="1481"/>
      <c r="AU101" s="1481"/>
      <c r="AV101" s="1481"/>
      <c r="AW101" s="1481"/>
      <c r="AX101" s="1481"/>
      <c r="AY101" s="1481"/>
      <c r="AZ101" s="1481"/>
      <c r="BA101" s="1481"/>
      <c r="BB101" s="1481"/>
      <c r="BC101" s="1481"/>
      <c r="BD101" s="1481"/>
      <c r="BE101" s="1481"/>
      <c r="BF101" s="1481"/>
      <c r="BG101" s="1481"/>
      <c r="BH101" s="1481"/>
      <c r="BI101" s="1481"/>
      <c r="BJ101" s="1481"/>
      <c r="BK101" s="1481"/>
      <c r="BL101" s="1481"/>
      <c r="BM101" s="1481"/>
      <c r="BN101" s="1481"/>
      <c r="BO101" s="1481"/>
      <c r="BP101" s="1481"/>
      <c r="BQ101" s="1481"/>
      <c r="BR101" s="1481"/>
      <c r="BS101" s="1481"/>
      <c r="BT101" s="1481"/>
      <c r="BU101" s="1481"/>
      <c r="BV101" s="1481"/>
      <c r="BW101" s="1481"/>
      <c r="BX101" s="1481"/>
      <c r="BY101" s="1481"/>
      <c r="BZ101" s="1481"/>
      <c r="CA101" s="1481"/>
      <c r="CB101" s="1481"/>
      <c r="CC101" s="1481"/>
      <c r="CD101" s="1481"/>
      <c r="CE101" s="1481"/>
    </row>
    <row r="102" spans="1:83" ht="5.25" hidden="1" customHeight="1">
      <c r="A102" s="1636"/>
      <c r="B102" s="1481"/>
      <c r="C102" s="1481"/>
      <c r="D102" s="3622"/>
      <c r="E102" s="527"/>
      <c r="F102" s="527"/>
      <c r="G102" s="527"/>
      <c r="H102" s="527"/>
      <c r="I102" s="527"/>
      <c r="J102" s="527"/>
      <c r="K102" s="527"/>
      <c r="L102" s="527"/>
      <c r="M102" s="527"/>
      <c r="N102" s="527"/>
      <c r="O102" s="527"/>
      <c r="P102" s="527"/>
      <c r="Q102" s="527"/>
      <c r="R102" s="527"/>
      <c r="S102" s="528"/>
      <c r="T102" s="608"/>
      <c r="U102" s="3532"/>
      <c r="V102" s="3532"/>
      <c r="W102" s="1481"/>
      <c r="X102" s="1481"/>
      <c r="Y102" s="1481"/>
      <c r="Z102" s="1481"/>
      <c r="AA102" s="1481"/>
      <c r="AB102" s="1481"/>
      <c r="AC102" s="907"/>
      <c r="AD102" s="908"/>
      <c r="AE102" s="1481"/>
      <c r="AF102" s="1481"/>
      <c r="AG102" s="1481"/>
      <c r="AH102" s="1481"/>
      <c r="AI102" s="1481"/>
      <c r="AJ102" s="1481"/>
      <c r="AK102" s="1481"/>
      <c r="AL102" s="1481"/>
      <c r="AM102" s="1481"/>
      <c r="AN102" s="1481"/>
      <c r="AO102" s="1481"/>
      <c r="AP102" s="1481"/>
      <c r="AQ102" s="1481"/>
      <c r="AR102" s="1481"/>
      <c r="AS102" s="1481"/>
      <c r="AT102" s="1481"/>
      <c r="AU102" s="1481"/>
      <c r="AV102" s="1481"/>
      <c r="AW102" s="1481"/>
      <c r="AX102" s="1481"/>
      <c r="AY102" s="1481"/>
      <c r="AZ102" s="1481"/>
      <c r="BA102" s="1481"/>
      <c r="BB102" s="1481"/>
      <c r="BC102" s="1481"/>
      <c r="BD102" s="1481"/>
      <c r="BE102" s="1481"/>
      <c r="BF102" s="1481"/>
      <c r="BG102" s="1481"/>
      <c r="BH102" s="1481"/>
      <c r="BI102" s="1481"/>
      <c r="BJ102" s="1481"/>
      <c r="BK102" s="1481"/>
      <c r="BL102" s="1481"/>
      <c r="BM102" s="1481"/>
      <c r="BN102" s="1481"/>
      <c r="BO102" s="1481"/>
      <c r="BP102" s="1481"/>
      <c r="BQ102" s="1481"/>
      <c r="BR102" s="1481"/>
      <c r="BS102" s="1481"/>
      <c r="BT102" s="1481"/>
      <c r="BU102" s="1481"/>
      <c r="BV102" s="1481"/>
      <c r="BW102" s="1481"/>
      <c r="BX102" s="1481"/>
      <c r="BY102" s="1481"/>
      <c r="BZ102" s="1481"/>
      <c r="CA102" s="1481"/>
      <c r="CB102" s="1481"/>
      <c r="CC102" s="1481"/>
      <c r="CD102" s="1481"/>
      <c r="CE102" s="1481"/>
    </row>
    <row r="103" spans="1:83" ht="5.25" hidden="1" customHeight="1">
      <c r="A103" s="1636"/>
      <c r="B103" s="1481"/>
      <c r="C103" s="1481"/>
      <c r="D103" s="3623"/>
      <c r="E103" s="913"/>
      <c r="F103" s="914"/>
      <c r="G103" s="914"/>
      <c r="H103" s="915"/>
      <c r="I103" s="915"/>
      <c r="J103" s="915"/>
      <c r="K103" s="915"/>
      <c r="L103" s="915"/>
      <c r="M103" s="915"/>
      <c r="N103" s="915"/>
      <c r="O103" s="915"/>
      <c r="P103" s="915"/>
      <c r="Q103" s="915"/>
      <c r="R103" s="818"/>
      <c r="S103" s="916"/>
      <c r="T103" s="608"/>
      <c r="U103" s="3532"/>
      <c r="V103" s="3532"/>
      <c r="W103" s="1481"/>
      <c r="X103" s="1481"/>
      <c r="Y103" s="1481"/>
      <c r="Z103" s="1481"/>
      <c r="AA103" s="1481"/>
      <c r="AB103" s="1481"/>
      <c r="AC103" s="907"/>
      <c r="AD103" s="908"/>
      <c r="AE103" s="1481"/>
      <c r="AF103" s="1481"/>
      <c r="AG103" s="1481"/>
      <c r="AH103" s="1481"/>
      <c r="AI103" s="1481"/>
      <c r="AJ103" s="1481"/>
      <c r="AK103" s="1481"/>
      <c r="AL103" s="1481"/>
      <c r="AM103" s="1481"/>
      <c r="AN103" s="1481"/>
      <c r="AO103" s="1481"/>
      <c r="AP103" s="1481"/>
      <c r="AQ103" s="1481"/>
      <c r="AR103" s="1481"/>
      <c r="AS103" s="1481"/>
      <c r="AT103" s="1481"/>
      <c r="AU103" s="1481"/>
      <c r="AV103" s="1481"/>
      <c r="AW103" s="1481"/>
      <c r="AX103" s="1481"/>
      <c r="AY103" s="1481"/>
      <c r="AZ103" s="1481"/>
      <c r="BA103" s="1481"/>
      <c r="BB103" s="1481"/>
      <c r="BC103" s="1481"/>
      <c r="BD103" s="1481"/>
      <c r="BE103" s="1481"/>
      <c r="BF103" s="1481"/>
      <c r="BG103" s="1481"/>
      <c r="BH103" s="1481"/>
      <c r="BI103" s="1481"/>
      <c r="BJ103" s="1481"/>
      <c r="BK103" s="1481"/>
      <c r="BL103" s="1481"/>
      <c r="BM103" s="1481"/>
      <c r="BN103" s="1481"/>
      <c r="BO103" s="1481"/>
      <c r="BP103" s="1481"/>
      <c r="BQ103" s="1481"/>
      <c r="BR103" s="1481"/>
      <c r="BS103" s="1481"/>
      <c r="BT103" s="1481"/>
      <c r="BU103" s="1481"/>
      <c r="BV103" s="1481"/>
      <c r="BW103" s="1481"/>
      <c r="BX103" s="1481"/>
      <c r="BY103" s="1481"/>
      <c r="BZ103" s="1481"/>
      <c r="CA103" s="1481"/>
      <c r="CB103" s="1481"/>
      <c r="CC103" s="1481"/>
      <c r="CD103" s="1481"/>
      <c r="CE103" s="1481"/>
    </row>
    <row r="104" spans="1:83" ht="15" hidden="1" customHeight="1">
      <c r="A104" s="516" t="s">
        <v>141</v>
      </c>
      <c r="B104"/>
      <c r="C104" t="s">
        <v>18</v>
      </c>
      <c r="D104" s="3621" t="s">
        <v>889</v>
      </c>
      <c r="E104" s="3618" t="s">
        <v>102</v>
      </c>
      <c r="F104" s="3619"/>
      <c r="G104" s="3620"/>
      <c r="H104" s="3614" t="str">
        <f>IF(A104="","",INDEX(DIFFERENTIATION_UNMERGE_VD,MATCH(A104,DIFFERENTIATION_ID_DIFF,0)))</f>
        <v>Производство тепловой энергии. Некомбинированная выработка</v>
      </c>
      <c r="I104" s="3614"/>
      <c r="J104" s="3614"/>
      <c r="K104" s="3614"/>
      <c r="L104" s="3614"/>
      <c r="M104" s="3614"/>
      <c r="N104" s="3614"/>
      <c r="O104" s="3614"/>
      <c r="P104" s="3614"/>
      <c r="Q104" s="3614"/>
      <c r="R104" s="3614"/>
      <c r="S104" s="609"/>
      <c r="T104" s="606"/>
      <c r="U104" s="517"/>
      <c r="V104" s="517"/>
      <c r="W104" s="518"/>
      <c r="X104" s="518"/>
      <c r="Y104" s="518"/>
      <c r="Z104" s="518"/>
      <c r="AA104" s="519"/>
      <c r="AB104" s="520"/>
      <c r="AC104" s="3617"/>
      <c r="AD104" s="521"/>
      <c r="AE104" s="522" t="s">
        <v>18</v>
      </c>
      <c r="AF104" s="522"/>
      <c r="AG104" s="523" t="s">
        <v>874</v>
      </c>
      <c r="AH104" s="524">
        <v>3</v>
      </c>
      <c r="AI104" s="517"/>
      <c r="AJ104" s="517"/>
      <c r="AK104" s="517"/>
      <c r="AL104" s="517"/>
      <c r="AM104" s="517"/>
      <c r="AN104" s="517"/>
      <c r="AO104" s="517"/>
      <c r="AP104" s="517"/>
      <c r="AQ104" s="517"/>
      <c r="AR104" s="517"/>
      <c r="AS104" s="517"/>
      <c r="AT104" s="517"/>
      <c r="AU104" s="517"/>
      <c r="AV104" s="517"/>
      <c r="AW104" s="517"/>
      <c r="AX104" s="517"/>
      <c r="AY104" s="517"/>
      <c r="AZ104" s="517"/>
      <c r="BA104" s="517"/>
      <c r="BB104" s="517"/>
      <c r="BC104" s="517"/>
      <c r="BD104" s="517"/>
      <c r="BE104" s="517"/>
      <c r="BF104" s="517"/>
      <c r="BG104" s="517"/>
      <c r="BH104" s="517"/>
      <c r="BI104" s="517"/>
      <c r="BJ104" s="517"/>
      <c r="BK104" s="517"/>
      <c r="BL104" s="517"/>
      <c r="BM104" s="517"/>
      <c r="BN104" s="517"/>
      <c r="BO104" s="517"/>
      <c r="BP104" s="517"/>
      <c r="BQ104" s="517"/>
      <c r="BR104" s="517"/>
      <c r="BS104" s="517"/>
      <c r="BT104" s="517"/>
      <c r="BU104" s="517"/>
      <c r="BV104" s="518"/>
      <c r="BW104" s="518"/>
      <c r="BX104" s="518"/>
      <c r="BY104" s="518"/>
      <c r="BZ104" s="518"/>
      <c r="CA104" s="518"/>
      <c r="CB104" s="518"/>
      <c r="CC104" s="518"/>
      <c r="CD104" s="518"/>
      <c r="CE104" s="518"/>
    </row>
    <row r="105" spans="1:83" ht="15" hidden="1" customHeight="1">
      <c r="A105" s="516"/>
      <c r="B105"/>
      <c r="C105"/>
      <c r="D105" s="3622"/>
      <c r="E105" s="3618" t="s">
        <v>829</v>
      </c>
      <c r="F105" s="3619"/>
      <c r="G105" s="3620"/>
      <c r="H105" s="3614" t="str">
        <f>IF(A104="","",INDEX(DIFFERENTIATION_UNMERGE_AREA,MATCH(A104,DIFFERENTIATION_ID_DIFF,0)))</f>
        <v>Территория 1</v>
      </c>
      <c r="I105" s="3614"/>
      <c r="J105" s="3614"/>
      <c r="K105" s="3614"/>
      <c r="L105" s="3614"/>
      <c r="M105" s="3614"/>
      <c r="N105" s="3614"/>
      <c r="O105" s="3614"/>
      <c r="P105" s="3614"/>
      <c r="Q105" s="3614"/>
      <c r="R105" s="3614"/>
      <c r="S105" s="609"/>
      <c r="T105" s="606"/>
      <c r="U105" s="517"/>
      <c r="V105" s="517"/>
      <c r="W105" s="518"/>
      <c r="X105" s="518"/>
      <c r="Y105" s="518"/>
      <c r="Z105" s="518"/>
      <c r="AA105" s="519"/>
      <c r="AB105" s="520"/>
      <c r="AC105" s="3617"/>
      <c r="AD105" s="521"/>
      <c r="AE105" s="522"/>
      <c r="AF105" s="522"/>
      <c r="AG105" s="523"/>
      <c r="AH105" s="524"/>
      <c r="AI105" s="517"/>
      <c r="AJ105" s="517"/>
      <c r="AK105" s="517"/>
      <c r="AL105" s="517"/>
      <c r="AM105" s="517"/>
      <c r="AN105" s="517"/>
      <c r="AO105" s="517"/>
      <c r="AP105" s="517"/>
      <c r="AQ105" s="517"/>
      <c r="AR105" s="517"/>
      <c r="AS105" s="517"/>
      <c r="AT105" s="517"/>
      <c r="AU105" s="517"/>
      <c r="AV105" s="517"/>
      <c r="AW105" s="517"/>
      <c r="AX105" s="517"/>
      <c r="AY105" s="517"/>
      <c r="AZ105" s="517"/>
      <c r="BA105" s="517"/>
      <c r="BB105" s="517"/>
      <c r="BC105" s="517"/>
      <c r="BD105" s="517"/>
      <c r="BE105" s="517"/>
      <c r="BF105" s="517"/>
      <c r="BG105" s="517"/>
      <c r="BH105" s="517"/>
      <c r="BI105" s="517"/>
      <c r="BJ105" s="517"/>
      <c r="BK105" s="517"/>
      <c r="BL105" s="517"/>
      <c r="BM105" s="517"/>
      <c r="BN105" s="517"/>
      <c r="BO105" s="517"/>
      <c r="BP105" s="517"/>
      <c r="BQ105" s="517"/>
      <c r="BR105" s="517"/>
      <c r="BS105" s="517"/>
      <c r="BT105" s="517"/>
      <c r="BU105" s="517"/>
      <c r="BV105" s="518"/>
      <c r="BW105" s="518"/>
      <c r="BX105" s="518"/>
      <c r="BY105" s="518"/>
      <c r="BZ105" s="518"/>
      <c r="CA105" s="518"/>
      <c r="CB105" s="518"/>
      <c r="CC105" s="518"/>
      <c r="CD105" s="518"/>
      <c r="CE105" s="518"/>
    </row>
    <row r="106" spans="1:83" ht="15" hidden="1" customHeight="1">
      <c r="A106" s="516"/>
      <c r="B106"/>
      <c r="C106"/>
      <c r="D106" s="3622"/>
      <c r="E106" s="3618" t="s">
        <v>830</v>
      </c>
      <c r="F106" s="3619"/>
      <c r="G106" s="3620"/>
      <c r="H106" s="3614" t="str">
        <f>IF(A104="","",INDEX(DIFFERENTIATION_UNMERGE_SYSTEM,MATCH(A104,DIFFERENTIATION_ID_DIFF,0)))</f>
        <v>Карачевская, 41б</v>
      </c>
      <c r="I106" s="3614"/>
      <c r="J106" s="3614"/>
      <c r="K106" s="3614"/>
      <c r="L106" s="3614"/>
      <c r="M106" s="3614"/>
      <c r="N106" s="3614"/>
      <c r="O106" s="3614"/>
      <c r="P106" s="3614"/>
      <c r="Q106" s="3614"/>
      <c r="R106" s="3614"/>
      <c r="S106" s="609"/>
      <c r="T106" s="606"/>
      <c r="U106" s="517"/>
      <c r="V106" s="517"/>
      <c r="W106" s="518"/>
      <c r="X106" s="518"/>
      <c r="Y106" s="518"/>
      <c r="Z106" s="518"/>
      <c r="AA106" s="519"/>
      <c r="AB106" s="520"/>
      <c r="AC106" s="3617"/>
      <c r="AD106" s="521"/>
      <c r="AE106" s="522"/>
      <c r="AF106" s="522"/>
      <c r="AG106" s="523"/>
      <c r="AH106" s="524"/>
      <c r="AI106" s="517"/>
      <c r="AJ106" s="517"/>
      <c r="AK106" s="517"/>
      <c r="AL106" s="517"/>
      <c r="AM106" s="517"/>
      <c r="AN106" s="517"/>
      <c r="AO106" s="517"/>
      <c r="AP106" s="517"/>
      <c r="AQ106" s="517"/>
      <c r="AR106" s="517"/>
      <c r="AS106" s="517"/>
      <c r="AT106" s="517"/>
      <c r="AU106" s="517"/>
      <c r="AV106" s="517"/>
      <c r="AW106" s="517"/>
      <c r="AX106" s="517"/>
      <c r="AY106" s="517"/>
      <c r="AZ106" s="517"/>
      <c r="BA106" s="517"/>
      <c r="BB106" s="517"/>
      <c r="BC106" s="517"/>
      <c r="BD106" s="517"/>
      <c r="BE106" s="517"/>
      <c r="BF106" s="517"/>
      <c r="BG106" s="517"/>
      <c r="BH106" s="517"/>
      <c r="BI106" s="517"/>
      <c r="BJ106" s="517"/>
      <c r="BK106" s="517"/>
      <c r="BL106" s="517"/>
      <c r="BM106" s="517"/>
      <c r="BN106" s="517"/>
      <c r="BO106" s="517"/>
      <c r="BP106" s="517"/>
      <c r="BQ106" s="517"/>
      <c r="BR106" s="517"/>
      <c r="BS106" s="517"/>
      <c r="BT106" s="517"/>
      <c r="BU106" s="517"/>
      <c r="BV106" s="518"/>
      <c r="BW106" s="518"/>
      <c r="BX106" s="518"/>
      <c r="BY106" s="518"/>
      <c r="BZ106" s="518"/>
      <c r="CA106" s="518"/>
      <c r="CB106" s="518"/>
      <c r="CC106" s="518"/>
      <c r="CD106" s="518"/>
      <c r="CE106" s="518"/>
    </row>
    <row r="107" spans="1:83" ht="24.75" hidden="1" customHeight="1">
      <c r="A107" s="1649"/>
      <c r="B107" s="1023"/>
      <c r="C107" s="319"/>
      <c r="D107" s="3622"/>
      <c r="E107" s="3616" t="s">
        <v>875</v>
      </c>
      <c r="F107" s="3616"/>
      <c r="G107" s="3616"/>
      <c r="H107" s="3616"/>
      <c r="I107" s="3616"/>
      <c r="J107" s="3616"/>
      <c r="K107" s="3616"/>
      <c r="L107" s="3616"/>
      <c r="M107" s="3616"/>
      <c r="N107" s="3616"/>
      <c r="O107" s="3616"/>
      <c r="P107" s="3616"/>
      <c r="Q107" s="455">
        <f>SUMIF(T108:T109,"i",Q108:Q109)</f>
        <v>0</v>
      </c>
      <c r="R107" s="887"/>
      <c r="S107" s="1641" t="s">
        <v>876</v>
      </c>
      <c r="T107" s="607" t="s">
        <v>877</v>
      </c>
      <c r="U107" s="3532">
        <v>1</v>
      </c>
      <c r="V107" s="3532" t="s">
        <v>840</v>
      </c>
      <c r="W107" s="1023"/>
      <c r="X107" s="1023"/>
      <c r="Y107" s="1023"/>
      <c r="Z107" s="1023"/>
      <c r="AA107" s="1481"/>
      <c r="AB107" s="1023"/>
      <c r="AC107" s="3617"/>
      <c r="AD107" s="521"/>
      <c r="AE107" s="1023"/>
      <c r="AF107" s="1023"/>
      <c r="AG107" s="1481"/>
      <c r="AH107" s="1481"/>
      <c r="AI107" s="1481"/>
      <c r="AJ107" s="1481"/>
      <c r="AK107" s="1481"/>
      <c r="AL107" s="1481"/>
      <c r="AM107" s="1481"/>
      <c r="AN107" s="1481"/>
      <c r="AO107" s="1481"/>
      <c r="AP107" s="1481"/>
      <c r="AQ107" s="1481"/>
      <c r="AR107" s="1481"/>
      <c r="AS107" s="1481"/>
      <c r="AT107" s="1481"/>
      <c r="AU107" s="1481"/>
      <c r="AV107" s="1481"/>
      <c r="AW107" s="1481"/>
      <c r="AX107" s="1481"/>
      <c r="AY107" s="1481"/>
      <c r="AZ107" s="1481"/>
      <c r="BA107" s="1481"/>
      <c r="BB107" s="1481"/>
      <c r="BC107" s="1481"/>
      <c r="BD107" s="1481"/>
      <c r="BE107" s="1481"/>
      <c r="BF107" s="1481"/>
      <c r="BG107" s="1481"/>
      <c r="BH107" s="1481"/>
      <c r="BI107" s="1481"/>
      <c r="BJ107" s="1481"/>
      <c r="BK107" s="1481"/>
      <c r="BL107" s="1481"/>
      <c r="BM107" s="1481"/>
      <c r="BN107" s="1481"/>
      <c r="BO107" s="1481"/>
      <c r="BP107" s="1481"/>
      <c r="BQ107" s="1481"/>
      <c r="BR107" s="1481"/>
      <c r="BS107" s="1481"/>
      <c r="BT107" s="1481"/>
      <c r="BU107" s="1481"/>
      <c r="BV107" s="1023"/>
      <c r="BW107" s="1023"/>
      <c r="BX107" s="1023"/>
      <c r="BY107" s="1023"/>
      <c r="BZ107" s="1023"/>
      <c r="CA107" s="1023"/>
      <c r="CB107" s="1023"/>
      <c r="CC107" s="1023"/>
      <c r="CD107" s="1023"/>
      <c r="CE107" s="1023"/>
    </row>
    <row r="108" spans="1:83" ht="11.25" hidden="1" customHeight="1">
      <c r="A108" s="1636"/>
      <c r="B108" s="1481"/>
      <c r="C108" s="1481"/>
      <c r="D108" s="3622"/>
      <c r="E108" s="527"/>
      <c r="F108" s="527">
        <v>0</v>
      </c>
      <c r="G108" s="527"/>
      <c r="H108" s="527"/>
      <c r="I108" s="527"/>
      <c r="J108" s="527"/>
      <c r="K108" s="527"/>
      <c r="L108" s="527"/>
      <c r="M108" s="527"/>
      <c r="N108" s="527"/>
      <c r="O108" s="527"/>
      <c r="P108" s="527"/>
      <c r="Q108" s="527"/>
      <c r="R108" s="527"/>
      <c r="S108" s="528"/>
      <c r="T108" s="608"/>
      <c r="U108" s="3532"/>
      <c r="V108" s="3532"/>
      <c r="W108" s="1481"/>
      <c r="X108" s="1481"/>
      <c r="Y108" s="1481"/>
      <c r="Z108" s="1481"/>
      <c r="AA108" s="1481"/>
      <c r="AB108" s="1023"/>
      <c r="AC108" s="3617"/>
      <c r="AD108" s="521"/>
      <c r="AE108" s="1023"/>
      <c r="AF108" s="1023"/>
      <c r="AG108" s="1481"/>
      <c r="AH108" s="1481"/>
      <c r="AI108" s="1481"/>
      <c r="AJ108" s="1481"/>
      <c r="AK108" s="1481"/>
      <c r="AL108" s="1481"/>
      <c r="AM108" s="1481"/>
      <c r="AN108" s="1481"/>
      <c r="AO108" s="1481"/>
      <c r="AP108" s="1481"/>
      <c r="AQ108" s="1481"/>
      <c r="AR108" s="1481"/>
      <c r="AS108" s="1481"/>
      <c r="AT108" s="1481"/>
      <c r="AU108" s="1481"/>
      <c r="AV108" s="1481"/>
      <c r="AW108" s="1481"/>
      <c r="AX108" s="1481"/>
      <c r="AY108" s="1481"/>
      <c r="AZ108" s="1481"/>
      <c r="BA108" s="1481"/>
      <c r="BB108" s="1481"/>
      <c r="BC108" s="1481"/>
      <c r="BD108" s="1481"/>
      <c r="BE108" s="1481"/>
      <c r="BF108" s="1481"/>
      <c r="BG108" s="1481"/>
      <c r="BH108" s="1481"/>
      <c r="BI108" s="1481"/>
      <c r="BJ108" s="1481"/>
      <c r="BK108" s="1481"/>
      <c r="BL108" s="1481"/>
      <c r="BM108" s="1481"/>
      <c r="BN108" s="1481"/>
      <c r="BO108" s="1481"/>
      <c r="BP108" s="1481"/>
      <c r="BQ108" s="1481"/>
      <c r="BR108" s="1481"/>
      <c r="BS108" s="1481"/>
      <c r="BT108" s="1481"/>
      <c r="BU108" s="1481"/>
      <c r="BV108" s="1481"/>
      <c r="BW108" s="1481"/>
      <c r="BX108" s="1481"/>
      <c r="BY108" s="1481"/>
      <c r="BZ108" s="1481"/>
      <c r="CA108" s="1481"/>
      <c r="CB108" s="1481"/>
      <c r="CC108" s="1481"/>
      <c r="CD108" s="1481"/>
      <c r="CE108" s="1481"/>
    </row>
    <row r="109" spans="1:83" ht="11.25" hidden="1" customHeight="1">
      <c r="A109" s="1649"/>
      <c r="B109" s="1023"/>
      <c r="C109" s="319"/>
      <c r="D109" s="3622"/>
      <c r="E109" s="541" t="s">
        <v>18</v>
      </c>
      <c r="F109" s="1031" t="s">
        <v>18</v>
      </c>
      <c r="G109" s="1031" t="s">
        <v>880</v>
      </c>
      <c r="H109" s="543" t="s">
        <v>18</v>
      </c>
      <c r="I109" s="543"/>
      <c r="J109" s="543"/>
      <c r="K109" s="543"/>
      <c r="L109" s="543"/>
      <c r="M109" s="543"/>
      <c r="N109" s="543"/>
      <c r="O109" s="543"/>
      <c r="P109" s="543"/>
      <c r="Q109" s="543"/>
      <c r="R109" s="544"/>
      <c r="S109" s="545"/>
      <c r="T109" s="608"/>
      <c r="U109" s="3532"/>
      <c r="V109" s="3532"/>
      <c r="W109" s="1023"/>
      <c r="X109" s="1023"/>
      <c r="Y109" s="1023"/>
      <c r="Z109" s="1023"/>
      <c r="AA109" s="1481"/>
      <c r="AB109" s="1023"/>
      <c r="AC109" s="3617"/>
      <c r="AD109" s="521"/>
      <c r="AE109" s="1023"/>
      <c r="AF109" s="1023"/>
      <c r="AG109" s="1481"/>
      <c r="AH109" s="1481"/>
      <c r="AI109" s="1481"/>
      <c r="AJ109" s="1481"/>
      <c r="AK109" s="1481"/>
      <c r="AL109" s="1481"/>
      <c r="AM109" s="1481"/>
      <c r="AN109" s="1481"/>
      <c r="AO109" s="1481"/>
      <c r="AP109" s="1481"/>
      <c r="AQ109" s="1481"/>
      <c r="AR109" s="1481"/>
      <c r="AS109" s="1481"/>
      <c r="AT109" s="1481"/>
      <c r="AU109" s="1481"/>
      <c r="AV109" s="1481"/>
      <c r="AW109" s="1481"/>
      <c r="AX109" s="1481"/>
      <c r="AY109" s="1481"/>
      <c r="AZ109" s="1481"/>
      <c r="BA109" s="1481"/>
      <c r="BB109" s="1481"/>
      <c r="BC109" s="1481"/>
      <c r="BD109" s="1481"/>
      <c r="BE109" s="1481"/>
      <c r="BF109" s="1481"/>
      <c r="BG109" s="1481"/>
      <c r="BH109" s="1481"/>
      <c r="BI109" s="1481"/>
      <c r="BJ109" s="1481"/>
      <c r="BK109" s="1481"/>
      <c r="BL109" s="1481"/>
      <c r="BM109" s="1481"/>
      <c r="BN109" s="1481"/>
      <c r="BO109" s="1481"/>
      <c r="BP109" s="1481"/>
      <c r="BQ109" s="1481"/>
      <c r="BR109" s="1481"/>
      <c r="BS109" s="1481"/>
      <c r="BT109" s="1481"/>
      <c r="BU109" s="1481"/>
      <c r="BV109" s="1023"/>
      <c r="BW109" s="1023"/>
      <c r="BX109" s="1023"/>
      <c r="BY109" s="1023"/>
      <c r="BZ109" s="1023"/>
      <c r="CA109" s="1023"/>
      <c r="CB109" s="1023"/>
      <c r="CC109" s="1023"/>
      <c r="CD109" s="1023"/>
      <c r="CE109" s="1023"/>
    </row>
    <row r="110" spans="1:83" ht="5.25" hidden="1" customHeight="1">
      <c r="A110" s="1636"/>
      <c r="B110" s="1481"/>
      <c r="C110" s="1481"/>
      <c r="D110" s="3622"/>
      <c r="E110" s="909"/>
      <c r="F110" s="909"/>
      <c r="G110" s="909"/>
      <c r="H110" s="909"/>
      <c r="I110" s="909"/>
      <c r="J110" s="909"/>
      <c r="K110" s="909"/>
      <c r="L110" s="909"/>
      <c r="M110" s="909"/>
      <c r="N110" s="909"/>
      <c r="O110" s="909"/>
      <c r="P110" s="909"/>
      <c r="Q110" s="910"/>
      <c r="R110" s="911"/>
      <c r="S110" s="912"/>
      <c r="T110" s="607" t="s">
        <v>877</v>
      </c>
      <c r="U110" s="3532">
        <v>1</v>
      </c>
      <c r="V110" s="3532" t="s">
        <v>840</v>
      </c>
      <c r="W110" s="1481"/>
      <c r="X110" s="1481"/>
      <c r="Y110" s="1481"/>
      <c r="Z110" s="1481"/>
      <c r="AA110" s="1481"/>
      <c r="AB110" s="1481"/>
      <c r="AC110" s="907"/>
      <c r="AD110" s="908"/>
      <c r="AE110" s="1481"/>
      <c r="AF110" s="1481"/>
      <c r="AG110" s="1481"/>
      <c r="AH110" s="1481"/>
      <c r="AI110" s="1481"/>
      <c r="AJ110" s="1481"/>
      <c r="AK110" s="1481"/>
      <c r="AL110" s="1481"/>
      <c r="AM110" s="1481"/>
      <c r="AN110" s="1481"/>
      <c r="AO110" s="1481"/>
      <c r="AP110" s="1481"/>
      <c r="AQ110" s="1481"/>
      <c r="AR110" s="1481"/>
      <c r="AS110" s="1481"/>
      <c r="AT110" s="1481"/>
      <c r="AU110" s="1481"/>
      <c r="AV110" s="1481"/>
      <c r="AW110" s="1481"/>
      <c r="AX110" s="1481"/>
      <c r="AY110" s="1481"/>
      <c r="AZ110" s="1481"/>
      <c r="BA110" s="1481"/>
      <c r="BB110" s="1481"/>
      <c r="BC110" s="1481"/>
      <c r="BD110" s="1481"/>
      <c r="BE110" s="1481"/>
      <c r="BF110" s="1481"/>
      <c r="BG110" s="1481"/>
      <c r="BH110" s="1481"/>
      <c r="BI110" s="1481"/>
      <c r="BJ110" s="1481"/>
      <c r="BK110" s="1481"/>
      <c r="BL110" s="1481"/>
      <c r="BM110" s="1481"/>
      <c r="BN110" s="1481"/>
      <c r="BO110" s="1481"/>
      <c r="BP110" s="1481"/>
      <c r="BQ110" s="1481"/>
      <c r="BR110" s="1481"/>
      <c r="BS110" s="1481"/>
      <c r="BT110" s="1481"/>
      <c r="BU110" s="1481"/>
      <c r="BV110" s="1481"/>
      <c r="BW110" s="1481"/>
      <c r="BX110" s="1481"/>
      <c r="BY110" s="1481"/>
      <c r="BZ110" s="1481"/>
      <c r="CA110" s="1481"/>
      <c r="CB110" s="1481"/>
      <c r="CC110" s="1481"/>
      <c r="CD110" s="1481"/>
      <c r="CE110" s="1481"/>
    </row>
    <row r="111" spans="1:83" ht="5.25" hidden="1" customHeight="1">
      <c r="A111" s="1636"/>
      <c r="B111" s="1481"/>
      <c r="C111" s="1481"/>
      <c r="D111" s="3622"/>
      <c r="E111" s="527"/>
      <c r="F111" s="527"/>
      <c r="G111" s="527"/>
      <c r="H111" s="527"/>
      <c r="I111" s="527"/>
      <c r="J111" s="527"/>
      <c r="K111" s="527"/>
      <c r="L111" s="527"/>
      <c r="M111" s="527"/>
      <c r="N111" s="527"/>
      <c r="O111" s="527"/>
      <c r="P111" s="527"/>
      <c r="Q111" s="527"/>
      <c r="R111" s="527"/>
      <c r="S111" s="528"/>
      <c r="T111" s="608"/>
      <c r="U111" s="3532"/>
      <c r="V111" s="3532"/>
      <c r="W111" s="1481"/>
      <c r="X111" s="1481"/>
      <c r="Y111" s="1481"/>
      <c r="Z111" s="1481"/>
      <c r="AA111" s="1481"/>
      <c r="AB111" s="1481"/>
      <c r="AC111" s="907"/>
      <c r="AD111" s="908"/>
      <c r="AE111" s="1481"/>
      <c r="AF111" s="1481"/>
      <c r="AG111" s="1481"/>
      <c r="AH111" s="1481"/>
      <c r="AI111" s="1481"/>
      <c r="AJ111" s="1481"/>
      <c r="AK111" s="1481"/>
      <c r="AL111" s="1481"/>
      <c r="AM111" s="1481"/>
      <c r="AN111" s="1481"/>
      <c r="AO111" s="1481"/>
      <c r="AP111" s="1481"/>
      <c r="AQ111" s="1481"/>
      <c r="AR111" s="1481"/>
      <c r="AS111" s="1481"/>
      <c r="AT111" s="1481"/>
      <c r="AU111" s="1481"/>
      <c r="AV111" s="1481"/>
      <c r="AW111" s="1481"/>
      <c r="AX111" s="1481"/>
      <c r="AY111" s="1481"/>
      <c r="AZ111" s="1481"/>
      <c r="BA111" s="1481"/>
      <c r="BB111" s="1481"/>
      <c r="BC111" s="1481"/>
      <c r="BD111" s="1481"/>
      <c r="BE111" s="1481"/>
      <c r="BF111" s="1481"/>
      <c r="BG111" s="1481"/>
      <c r="BH111" s="1481"/>
      <c r="BI111" s="1481"/>
      <c r="BJ111" s="1481"/>
      <c r="BK111" s="1481"/>
      <c r="BL111" s="1481"/>
      <c r="BM111" s="1481"/>
      <c r="BN111" s="1481"/>
      <c r="BO111" s="1481"/>
      <c r="BP111" s="1481"/>
      <c r="BQ111" s="1481"/>
      <c r="BR111" s="1481"/>
      <c r="BS111" s="1481"/>
      <c r="BT111" s="1481"/>
      <c r="BU111" s="1481"/>
      <c r="BV111" s="1481"/>
      <c r="BW111" s="1481"/>
      <c r="BX111" s="1481"/>
      <c r="BY111" s="1481"/>
      <c r="BZ111" s="1481"/>
      <c r="CA111" s="1481"/>
      <c r="CB111" s="1481"/>
      <c r="CC111" s="1481"/>
      <c r="CD111" s="1481"/>
      <c r="CE111" s="1481"/>
    </row>
    <row r="112" spans="1:83" ht="5.25" hidden="1" customHeight="1">
      <c r="A112" s="1636"/>
      <c r="B112" s="1481"/>
      <c r="C112" s="1481"/>
      <c r="D112" s="3623"/>
      <c r="E112" s="913"/>
      <c r="F112" s="914"/>
      <c r="G112" s="914"/>
      <c r="H112" s="915"/>
      <c r="I112" s="915"/>
      <c r="J112" s="915"/>
      <c r="K112" s="915"/>
      <c r="L112" s="915"/>
      <c r="M112" s="915"/>
      <c r="N112" s="915"/>
      <c r="O112" s="915"/>
      <c r="P112" s="915"/>
      <c r="Q112" s="915"/>
      <c r="R112" s="818"/>
      <c r="S112" s="916"/>
      <c r="T112" s="608"/>
      <c r="U112" s="3532"/>
      <c r="V112" s="3532"/>
      <c r="W112" s="1481"/>
      <c r="X112" s="1481"/>
      <c r="Y112" s="1481"/>
      <c r="Z112" s="1481"/>
      <c r="AA112" s="1481"/>
      <c r="AB112" s="1481"/>
      <c r="AC112" s="907"/>
      <c r="AD112" s="908"/>
      <c r="AE112" s="1481"/>
      <c r="AF112" s="1481"/>
      <c r="AG112" s="1481"/>
      <c r="AH112" s="1481"/>
      <c r="AI112" s="1481"/>
      <c r="AJ112" s="1481"/>
      <c r="AK112" s="1481"/>
      <c r="AL112" s="1481"/>
      <c r="AM112" s="1481"/>
      <c r="AN112" s="1481"/>
      <c r="AO112" s="1481"/>
      <c r="AP112" s="1481"/>
      <c r="AQ112" s="1481"/>
      <c r="AR112" s="1481"/>
      <c r="AS112" s="1481"/>
      <c r="AT112" s="1481"/>
      <c r="AU112" s="1481"/>
      <c r="AV112" s="1481"/>
      <c r="AW112" s="1481"/>
      <c r="AX112" s="1481"/>
      <c r="AY112" s="1481"/>
      <c r="AZ112" s="1481"/>
      <c r="BA112" s="1481"/>
      <c r="BB112" s="1481"/>
      <c r="BC112" s="1481"/>
      <c r="BD112" s="1481"/>
      <c r="BE112" s="1481"/>
      <c r="BF112" s="1481"/>
      <c r="BG112" s="1481"/>
      <c r="BH112" s="1481"/>
      <c r="BI112" s="1481"/>
      <c r="BJ112" s="1481"/>
      <c r="BK112" s="1481"/>
      <c r="BL112" s="1481"/>
      <c r="BM112" s="1481"/>
      <c r="BN112" s="1481"/>
      <c r="BO112" s="1481"/>
      <c r="BP112" s="1481"/>
      <c r="BQ112" s="1481"/>
      <c r="BR112" s="1481"/>
      <c r="BS112" s="1481"/>
      <c r="BT112" s="1481"/>
      <c r="BU112" s="1481"/>
      <c r="BV112" s="1481"/>
      <c r="BW112" s="1481"/>
      <c r="BX112" s="1481"/>
      <c r="BY112" s="1481"/>
      <c r="BZ112" s="1481"/>
      <c r="CA112" s="1481"/>
      <c r="CB112" s="1481"/>
      <c r="CC112" s="1481"/>
      <c r="CD112" s="1481"/>
      <c r="CE112" s="1481"/>
    </row>
    <row r="113" spans="1:83" ht="15" hidden="1" customHeight="1">
      <c r="A113" s="516" t="s">
        <v>144</v>
      </c>
      <c r="B113"/>
      <c r="C113" t="s">
        <v>18</v>
      </c>
      <c r="D113" s="3621" t="s">
        <v>890</v>
      </c>
      <c r="E113" s="3618" t="s">
        <v>102</v>
      </c>
      <c r="F113" s="3619"/>
      <c r="G113" s="3620"/>
      <c r="H113" s="3614" t="str">
        <f>IF(A113="","",INDEX(DIFFERENTIATION_UNMERGE_VD,MATCH(A113,DIFFERENTIATION_ID_DIFF,0)))</f>
        <v>Производство тепловой энергии. Некомбинированная выработка</v>
      </c>
      <c r="I113" s="3614"/>
      <c r="J113" s="3614"/>
      <c r="K113" s="3614"/>
      <c r="L113" s="3614"/>
      <c r="M113" s="3614"/>
      <c r="N113" s="3614"/>
      <c r="O113" s="3614"/>
      <c r="P113" s="3614"/>
      <c r="Q113" s="3614"/>
      <c r="R113" s="3614"/>
      <c r="S113" s="609"/>
      <c r="T113" s="606"/>
      <c r="U113" s="517"/>
      <c r="V113" s="517"/>
      <c r="W113" s="518"/>
      <c r="X113" s="518"/>
      <c r="Y113" s="518"/>
      <c r="Z113" s="518"/>
      <c r="AA113" s="519"/>
      <c r="AB113" s="520"/>
      <c r="AC113" s="3617"/>
      <c r="AD113" s="521"/>
      <c r="AE113" s="522" t="s">
        <v>18</v>
      </c>
      <c r="AF113" s="522"/>
      <c r="AG113" s="523" t="s">
        <v>874</v>
      </c>
      <c r="AH113" s="524">
        <v>3</v>
      </c>
      <c r="AI113" s="517"/>
      <c r="AJ113" s="517"/>
      <c r="AK113" s="517"/>
      <c r="AL113" s="517"/>
      <c r="AM113" s="517"/>
      <c r="AN113" s="517"/>
      <c r="AO113" s="517"/>
      <c r="AP113" s="517"/>
      <c r="AQ113" s="517"/>
      <c r="AR113" s="517"/>
      <c r="AS113" s="517"/>
      <c r="AT113" s="517"/>
      <c r="AU113" s="517"/>
      <c r="AV113" s="517"/>
      <c r="AW113" s="517"/>
      <c r="AX113" s="517"/>
      <c r="AY113" s="517"/>
      <c r="AZ113" s="517"/>
      <c r="BA113" s="517"/>
      <c r="BB113" s="517"/>
      <c r="BC113" s="517"/>
      <c r="BD113" s="517"/>
      <c r="BE113" s="517"/>
      <c r="BF113" s="517"/>
      <c r="BG113" s="517"/>
      <c r="BH113" s="517"/>
      <c r="BI113" s="517"/>
      <c r="BJ113" s="517"/>
      <c r="BK113" s="517"/>
      <c r="BL113" s="517"/>
      <c r="BM113" s="517"/>
      <c r="BN113" s="517"/>
      <c r="BO113" s="517"/>
      <c r="BP113" s="517"/>
      <c r="BQ113" s="517"/>
      <c r="BR113" s="517"/>
      <c r="BS113" s="517"/>
      <c r="BT113" s="517"/>
      <c r="BU113" s="517"/>
      <c r="BV113" s="518"/>
      <c r="BW113" s="518"/>
      <c r="BX113" s="518"/>
      <c r="BY113" s="518"/>
      <c r="BZ113" s="518"/>
      <c r="CA113" s="518"/>
      <c r="CB113" s="518"/>
      <c r="CC113" s="518"/>
      <c r="CD113" s="518"/>
      <c r="CE113" s="518"/>
    </row>
    <row r="114" spans="1:83" ht="15" hidden="1" customHeight="1">
      <c r="A114" s="516"/>
      <c r="B114"/>
      <c r="C114"/>
      <c r="D114" s="3622"/>
      <c r="E114" s="3618" t="s">
        <v>829</v>
      </c>
      <c r="F114" s="3619"/>
      <c r="G114" s="3620"/>
      <c r="H114" s="3614" t="str">
        <f>IF(A113="","",INDEX(DIFFERENTIATION_UNMERGE_AREA,MATCH(A113,DIFFERENTIATION_ID_DIFF,0)))</f>
        <v>Территория 1</v>
      </c>
      <c r="I114" s="3614"/>
      <c r="J114" s="3614"/>
      <c r="K114" s="3614"/>
      <c r="L114" s="3614"/>
      <c r="M114" s="3614"/>
      <c r="N114" s="3614"/>
      <c r="O114" s="3614"/>
      <c r="P114" s="3614"/>
      <c r="Q114" s="3614"/>
      <c r="R114" s="3614"/>
      <c r="S114" s="609"/>
      <c r="T114" s="606"/>
      <c r="U114" s="517"/>
      <c r="V114" s="517"/>
      <c r="W114" s="518"/>
      <c r="X114" s="518"/>
      <c r="Y114" s="518"/>
      <c r="Z114" s="518"/>
      <c r="AA114" s="519"/>
      <c r="AB114" s="520"/>
      <c r="AC114" s="3617"/>
      <c r="AD114" s="521"/>
      <c r="AE114" s="522"/>
      <c r="AF114" s="522"/>
      <c r="AG114" s="523"/>
      <c r="AH114" s="524"/>
      <c r="AI114" s="517"/>
      <c r="AJ114" s="517"/>
      <c r="AK114" s="517"/>
      <c r="AL114" s="517"/>
      <c r="AM114" s="517"/>
      <c r="AN114" s="517"/>
      <c r="AO114" s="517"/>
      <c r="AP114" s="517"/>
      <c r="AQ114" s="517"/>
      <c r="AR114" s="517"/>
      <c r="AS114" s="517"/>
      <c r="AT114" s="517"/>
      <c r="AU114" s="517"/>
      <c r="AV114" s="517"/>
      <c r="AW114" s="517"/>
      <c r="AX114" s="517"/>
      <c r="AY114" s="517"/>
      <c r="AZ114" s="517"/>
      <c r="BA114" s="517"/>
      <c r="BB114" s="517"/>
      <c r="BC114" s="517"/>
      <c r="BD114" s="517"/>
      <c r="BE114" s="517"/>
      <c r="BF114" s="517"/>
      <c r="BG114" s="517"/>
      <c r="BH114" s="517"/>
      <c r="BI114" s="517"/>
      <c r="BJ114" s="517"/>
      <c r="BK114" s="517"/>
      <c r="BL114" s="517"/>
      <c r="BM114" s="517"/>
      <c r="BN114" s="517"/>
      <c r="BO114" s="517"/>
      <c r="BP114" s="517"/>
      <c r="BQ114" s="517"/>
      <c r="BR114" s="517"/>
      <c r="BS114" s="517"/>
      <c r="BT114" s="517"/>
      <c r="BU114" s="517"/>
      <c r="BV114" s="518"/>
      <c r="BW114" s="518"/>
      <c r="BX114" s="518"/>
      <c r="BY114" s="518"/>
      <c r="BZ114" s="518"/>
      <c r="CA114" s="518"/>
      <c r="CB114" s="518"/>
      <c r="CC114" s="518"/>
      <c r="CD114" s="518"/>
      <c r="CE114" s="518"/>
    </row>
    <row r="115" spans="1:83" ht="15" hidden="1" customHeight="1">
      <c r="A115" s="516"/>
      <c r="B115"/>
      <c r="C115"/>
      <c r="D115" s="3622"/>
      <c r="E115" s="3618" t="s">
        <v>830</v>
      </c>
      <c r="F115" s="3619"/>
      <c r="G115" s="3620"/>
      <c r="H115" s="3614" t="str">
        <f>IF(A113="","",INDEX(DIFFERENTIATION_UNMERGE_SYSTEM,MATCH(A113,DIFFERENTIATION_ID_DIFF,0)))</f>
        <v>Карачвский, 23а</v>
      </c>
      <c r="I115" s="3614"/>
      <c r="J115" s="3614"/>
      <c r="K115" s="3614"/>
      <c r="L115" s="3614"/>
      <c r="M115" s="3614"/>
      <c r="N115" s="3614"/>
      <c r="O115" s="3614"/>
      <c r="P115" s="3614"/>
      <c r="Q115" s="3614"/>
      <c r="R115" s="3614"/>
      <c r="S115" s="609"/>
      <c r="T115" s="606"/>
      <c r="U115" s="517"/>
      <c r="V115" s="517"/>
      <c r="W115" s="518"/>
      <c r="X115" s="518"/>
      <c r="Y115" s="518"/>
      <c r="Z115" s="518"/>
      <c r="AA115" s="519"/>
      <c r="AB115" s="520"/>
      <c r="AC115" s="3617"/>
      <c r="AD115" s="521"/>
      <c r="AE115" s="522"/>
      <c r="AF115" s="522"/>
      <c r="AG115" s="523"/>
      <c r="AH115" s="524"/>
      <c r="AI115" s="517"/>
      <c r="AJ115" s="517"/>
      <c r="AK115" s="517"/>
      <c r="AL115" s="517"/>
      <c r="AM115" s="517"/>
      <c r="AN115" s="517"/>
      <c r="AO115" s="517"/>
      <c r="AP115" s="517"/>
      <c r="AQ115" s="517"/>
      <c r="AR115" s="517"/>
      <c r="AS115" s="517"/>
      <c r="AT115" s="517"/>
      <c r="AU115" s="517"/>
      <c r="AV115" s="517"/>
      <c r="AW115" s="517"/>
      <c r="AX115" s="517"/>
      <c r="AY115" s="517"/>
      <c r="AZ115" s="517"/>
      <c r="BA115" s="517"/>
      <c r="BB115" s="517"/>
      <c r="BC115" s="517"/>
      <c r="BD115" s="517"/>
      <c r="BE115" s="517"/>
      <c r="BF115" s="517"/>
      <c r="BG115" s="517"/>
      <c r="BH115" s="517"/>
      <c r="BI115" s="517"/>
      <c r="BJ115" s="517"/>
      <c r="BK115" s="517"/>
      <c r="BL115" s="517"/>
      <c r="BM115" s="517"/>
      <c r="BN115" s="517"/>
      <c r="BO115" s="517"/>
      <c r="BP115" s="517"/>
      <c r="BQ115" s="517"/>
      <c r="BR115" s="517"/>
      <c r="BS115" s="517"/>
      <c r="BT115" s="517"/>
      <c r="BU115" s="517"/>
      <c r="BV115" s="518"/>
      <c r="BW115" s="518"/>
      <c r="BX115" s="518"/>
      <c r="BY115" s="518"/>
      <c r="BZ115" s="518"/>
      <c r="CA115" s="518"/>
      <c r="CB115" s="518"/>
      <c r="CC115" s="518"/>
      <c r="CD115" s="518"/>
      <c r="CE115" s="518"/>
    </row>
    <row r="116" spans="1:83" ht="24.75" hidden="1" customHeight="1">
      <c r="A116" s="1649"/>
      <c r="B116" s="1023"/>
      <c r="C116" s="319"/>
      <c r="D116" s="3622"/>
      <c r="E116" s="3616" t="s">
        <v>875</v>
      </c>
      <c r="F116" s="3616"/>
      <c r="G116" s="3616"/>
      <c r="H116" s="3616"/>
      <c r="I116" s="3616"/>
      <c r="J116" s="3616"/>
      <c r="K116" s="3616"/>
      <c r="L116" s="3616"/>
      <c r="M116" s="3616"/>
      <c r="N116" s="3616"/>
      <c r="O116" s="3616"/>
      <c r="P116" s="3616"/>
      <c r="Q116" s="455">
        <f>SUMIF(T117:T118,"i",Q117:Q118)</f>
        <v>0</v>
      </c>
      <c r="R116" s="887"/>
      <c r="S116" s="1641" t="s">
        <v>876</v>
      </c>
      <c r="T116" s="607" t="s">
        <v>877</v>
      </c>
      <c r="U116" s="3532">
        <v>1</v>
      </c>
      <c r="V116" s="3532" t="s">
        <v>840</v>
      </c>
      <c r="W116" s="1023"/>
      <c r="X116" s="1023"/>
      <c r="Y116" s="1023"/>
      <c r="Z116" s="1023"/>
      <c r="AA116" s="1481"/>
      <c r="AB116" s="1023"/>
      <c r="AC116" s="3617"/>
      <c r="AD116" s="521"/>
      <c r="AE116" s="1023"/>
      <c r="AF116" s="1023"/>
      <c r="AG116" s="1481"/>
      <c r="AH116" s="1481"/>
      <c r="AI116" s="1481"/>
      <c r="AJ116" s="1481"/>
      <c r="AK116" s="1481"/>
      <c r="AL116" s="1481"/>
      <c r="AM116" s="1481"/>
      <c r="AN116" s="1481"/>
      <c r="AO116" s="1481"/>
      <c r="AP116" s="1481"/>
      <c r="AQ116" s="1481"/>
      <c r="AR116" s="1481"/>
      <c r="AS116" s="1481"/>
      <c r="AT116" s="1481"/>
      <c r="AU116" s="1481"/>
      <c r="AV116" s="1481"/>
      <c r="AW116" s="1481"/>
      <c r="AX116" s="1481"/>
      <c r="AY116" s="1481"/>
      <c r="AZ116" s="1481"/>
      <c r="BA116" s="1481"/>
      <c r="BB116" s="1481"/>
      <c r="BC116" s="1481"/>
      <c r="BD116" s="1481"/>
      <c r="BE116" s="1481"/>
      <c r="BF116" s="1481"/>
      <c r="BG116" s="1481"/>
      <c r="BH116" s="1481"/>
      <c r="BI116" s="1481"/>
      <c r="BJ116" s="1481"/>
      <c r="BK116" s="1481"/>
      <c r="BL116" s="1481"/>
      <c r="BM116" s="1481"/>
      <c r="BN116" s="1481"/>
      <c r="BO116" s="1481"/>
      <c r="BP116" s="1481"/>
      <c r="BQ116" s="1481"/>
      <c r="BR116" s="1481"/>
      <c r="BS116" s="1481"/>
      <c r="BT116" s="1481"/>
      <c r="BU116" s="1481"/>
      <c r="BV116" s="1023"/>
      <c r="BW116" s="1023"/>
      <c r="BX116" s="1023"/>
      <c r="BY116" s="1023"/>
      <c r="BZ116" s="1023"/>
      <c r="CA116" s="1023"/>
      <c r="CB116" s="1023"/>
      <c r="CC116" s="1023"/>
      <c r="CD116" s="1023"/>
      <c r="CE116" s="1023"/>
    </row>
    <row r="117" spans="1:83" ht="11.25" hidden="1" customHeight="1">
      <c r="A117" s="1636"/>
      <c r="B117" s="1481"/>
      <c r="C117" s="1481"/>
      <c r="D117" s="3622"/>
      <c r="E117" s="527"/>
      <c r="F117" s="527">
        <v>0</v>
      </c>
      <c r="G117" s="527"/>
      <c r="H117" s="527"/>
      <c r="I117" s="527"/>
      <c r="J117" s="527"/>
      <c r="K117" s="527"/>
      <c r="L117" s="527"/>
      <c r="M117" s="527"/>
      <c r="N117" s="527"/>
      <c r="O117" s="527"/>
      <c r="P117" s="527"/>
      <c r="Q117" s="527"/>
      <c r="R117" s="527"/>
      <c r="S117" s="528"/>
      <c r="T117" s="608"/>
      <c r="U117" s="3532"/>
      <c r="V117" s="3532"/>
      <c r="W117" s="1481"/>
      <c r="X117" s="1481"/>
      <c r="Y117" s="1481"/>
      <c r="Z117" s="1481"/>
      <c r="AA117" s="1481"/>
      <c r="AB117" s="1023"/>
      <c r="AC117" s="3617"/>
      <c r="AD117" s="521"/>
      <c r="AE117" s="1023"/>
      <c r="AF117" s="1023"/>
      <c r="AG117" s="1481"/>
      <c r="AH117" s="1481"/>
      <c r="AI117" s="1481"/>
      <c r="AJ117" s="1481"/>
      <c r="AK117" s="1481"/>
      <c r="AL117" s="1481"/>
      <c r="AM117" s="1481"/>
      <c r="AN117" s="1481"/>
      <c r="AO117" s="1481"/>
      <c r="AP117" s="1481"/>
      <c r="AQ117" s="1481"/>
      <c r="AR117" s="1481"/>
      <c r="AS117" s="1481"/>
      <c r="AT117" s="1481"/>
      <c r="AU117" s="1481"/>
      <c r="AV117" s="1481"/>
      <c r="AW117" s="1481"/>
      <c r="AX117" s="1481"/>
      <c r="AY117" s="1481"/>
      <c r="AZ117" s="1481"/>
      <c r="BA117" s="1481"/>
      <c r="BB117" s="1481"/>
      <c r="BC117" s="1481"/>
      <c r="BD117" s="1481"/>
      <c r="BE117" s="1481"/>
      <c r="BF117" s="1481"/>
      <c r="BG117" s="1481"/>
      <c r="BH117" s="1481"/>
      <c r="BI117" s="1481"/>
      <c r="BJ117" s="1481"/>
      <c r="BK117" s="1481"/>
      <c r="BL117" s="1481"/>
      <c r="BM117" s="1481"/>
      <c r="BN117" s="1481"/>
      <c r="BO117" s="1481"/>
      <c r="BP117" s="1481"/>
      <c r="BQ117" s="1481"/>
      <c r="BR117" s="1481"/>
      <c r="BS117" s="1481"/>
      <c r="BT117" s="1481"/>
      <c r="BU117" s="1481"/>
      <c r="BV117" s="1481"/>
      <c r="BW117" s="1481"/>
      <c r="BX117" s="1481"/>
      <c r="BY117" s="1481"/>
      <c r="BZ117" s="1481"/>
      <c r="CA117" s="1481"/>
      <c r="CB117" s="1481"/>
      <c r="CC117" s="1481"/>
      <c r="CD117" s="1481"/>
      <c r="CE117" s="1481"/>
    </row>
    <row r="118" spans="1:83" ht="11.25" hidden="1" customHeight="1">
      <c r="A118" s="1649"/>
      <c r="B118" s="1023"/>
      <c r="C118" s="319"/>
      <c r="D118" s="3622"/>
      <c r="E118" s="541" t="s">
        <v>18</v>
      </c>
      <c r="F118" s="1031" t="s">
        <v>18</v>
      </c>
      <c r="G118" s="1031" t="s">
        <v>880</v>
      </c>
      <c r="H118" s="543" t="s">
        <v>18</v>
      </c>
      <c r="I118" s="543"/>
      <c r="J118" s="543"/>
      <c r="K118" s="543"/>
      <c r="L118" s="543"/>
      <c r="M118" s="543"/>
      <c r="N118" s="543"/>
      <c r="O118" s="543"/>
      <c r="P118" s="543"/>
      <c r="Q118" s="543"/>
      <c r="R118" s="544"/>
      <c r="S118" s="545"/>
      <c r="T118" s="608"/>
      <c r="U118" s="3532"/>
      <c r="V118" s="3532"/>
      <c r="W118" s="1023"/>
      <c r="X118" s="1023"/>
      <c r="Y118" s="1023"/>
      <c r="Z118" s="1023"/>
      <c r="AA118" s="1481"/>
      <c r="AB118" s="1023"/>
      <c r="AC118" s="3617"/>
      <c r="AD118" s="521"/>
      <c r="AE118" s="1023"/>
      <c r="AF118" s="1023"/>
      <c r="AG118" s="1481"/>
      <c r="AH118" s="1481"/>
      <c r="AI118" s="1481"/>
      <c r="AJ118" s="1481"/>
      <c r="AK118" s="1481"/>
      <c r="AL118" s="1481"/>
      <c r="AM118" s="1481"/>
      <c r="AN118" s="1481"/>
      <c r="AO118" s="1481"/>
      <c r="AP118" s="1481"/>
      <c r="AQ118" s="1481"/>
      <c r="AR118" s="1481"/>
      <c r="AS118" s="1481"/>
      <c r="AT118" s="1481"/>
      <c r="AU118" s="1481"/>
      <c r="AV118" s="1481"/>
      <c r="AW118" s="1481"/>
      <c r="AX118" s="1481"/>
      <c r="AY118" s="1481"/>
      <c r="AZ118" s="1481"/>
      <c r="BA118" s="1481"/>
      <c r="BB118" s="1481"/>
      <c r="BC118" s="1481"/>
      <c r="BD118" s="1481"/>
      <c r="BE118" s="1481"/>
      <c r="BF118" s="1481"/>
      <c r="BG118" s="1481"/>
      <c r="BH118" s="1481"/>
      <c r="BI118" s="1481"/>
      <c r="BJ118" s="1481"/>
      <c r="BK118" s="1481"/>
      <c r="BL118" s="1481"/>
      <c r="BM118" s="1481"/>
      <c r="BN118" s="1481"/>
      <c r="BO118" s="1481"/>
      <c r="BP118" s="1481"/>
      <c r="BQ118" s="1481"/>
      <c r="BR118" s="1481"/>
      <c r="BS118" s="1481"/>
      <c r="BT118" s="1481"/>
      <c r="BU118" s="1481"/>
      <c r="BV118" s="1023"/>
      <c r="BW118" s="1023"/>
      <c r="BX118" s="1023"/>
      <c r="BY118" s="1023"/>
      <c r="BZ118" s="1023"/>
      <c r="CA118" s="1023"/>
      <c r="CB118" s="1023"/>
      <c r="CC118" s="1023"/>
      <c r="CD118" s="1023"/>
      <c r="CE118" s="1023"/>
    </row>
    <row r="119" spans="1:83" ht="5.25" hidden="1" customHeight="1">
      <c r="A119" s="1636"/>
      <c r="B119" s="1481"/>
      <c r="C119" s="1481"/>
      <c r="D119" s="3622"/>
      <c r="E119" s="909"/>
      <c r="F119" s="909"/>
      <c r="G119" s="909"/>
      <c r="H119" s="909"/>
      <c r="I119" s="909"/>
      <c r="J119" s="909"/>
      <c r="K119" s="909"/>
      <c r="L119" s="909"/>
      <c r="M119" s="909"/>
      <c r="N119" s="909"/>
      <c r="O119" s="909"/>
      <c r="P119" s="909"/>
      <c r="Q119" s="910"/>
      <c r="R119" s="911"/>
      <c r="S119" s="912"/>
      <c r="T119" s="607" t="s">
        <v>877</v>
      </c>
      <c r="U119" s="3532">
        <v>1</v>
      </c>
      <c r="V119" s="3532" t="s">
        <v>840</v>
      </c>
      <c r="W119" s="1481"/>
      <c r="X119" s="1481"/>
      <c r="Y119" s="1481"/>
      <c r="Z119" s="1481"/>
      <c r="AA119" s="1481"/>
      <c r="AB119" s="1481"/>
      <c r="AC119" s="907"/>
      <c r="AD119" s="908"/>
      <c r="AE119" s="1481"/>
      <c r="AF119" s="1481"/>
      <c r="AG119" s="1481"/>
      <c r="AH119" s="1481"/>
      <c r="AI119" s="1481"/>
      <c r="AJ119" s="1481"/>
      <c r="AK119" s="1481"/>
      <c r="AL119" s="1481"/>
      <c r="AM119" s="1481"/>
      <c r="AN119" s="1481"/>
      <c r="AO119" s="1481"/>
      <c r="AP119" s="1481"/>
      <c r="AQ119" s="1481"/>
      <c r="AR119" s="1481"/>
      <c r="AS119" s="1481"/>
      <c r="AT119" s="1481"/>
      <c r="AU119" s="1481"/>
      <c r="AV119" s="1481"/>
      <c r="AW119" s="1481"/>
      <c r="AX119" s="1481"/>
      <c r="AY119" s="1481"/>
      <c r="AZ119" s="1481"/>
      <c r="BA119" s="1481"/>
      <c r="BB119" s="1481"/>
      <c r="BC119" s="1481"/>
      <c r="BD119" s="1481"/>
      <c r="BE119" s="1481"/>
      <c r="BF119" s="1481"/>
      <c r="BG119" s="1481"/>
      <c r="BH119" s="1481"/>
      <c r="BI119" s="1481"/>
      <c r="BJ119" s="1481"/>
      <c r="BK119" s="1481"/>
      <c r="BL119" s="1481"/>
      <c r="BM119" s="1481"/>
      <c r="BN119" s="1481"/>
      <c r="BO119" s="1481"/>
      <c r="BP119" s="1481"/>
      <c r="BQ119" s="1481"/>
      <c r="BR119" s="1481"/>
      <c r="BS119" s="1481"/>
      <c r="BT119" s="1481"/>
      <c r="BU119" s="1481"/>
      <c r="BV119" s="1481"/>
      <c r="BW119" s="1481"/>
      <c r="BX119" s="1481"/>
      <c r="BY119" s="1481"/>
      <c r="BZ119" s="1481"/>
      <c r="CA119" s="1481"/>
      <c r="CB119" s="1481"/>
      <c r="CC119" s="1481"/>
      <c r="CD119" s="1481"/>
      <c r="CE119" s="1481"/>
    </row>
    <row r="120" spans="1:83" ht="5.25" hidden="1" customHeight="1">
      <c r="A120" s="1636"/>
      <c r="B120" s="1481"/>
      <c r="C120" s="1481"/>
      <c r="D120" s="3622"/>
      <c r="E120" s="527"/>
      <c r="F120" s="527"/>
      <c r="G120" s="527"/>
      <c r="H120" s="527"/>
      <c r="I120" s="527"/>
      <c r="J120" s="527"/>
      <c r="K120" s="527"/>
      <c r="L120" s="527"/>
      <c r="M120" s="527"/>
      <c r="N120" s="527"/>
      <c r="O120" s="527"/>
      <c r="P120" s="527"/>
      <c r="Q120" s="527"/>
      <c r="R120" s="527"/>
      <c r="S120" s="528"/>
      <c r="T120" s="608"/>
      <c r="U120" s="3532"/>
      <c r="V120" s="3532"/>
      <c r="W120" s="1481"/>
      <c r="X120" s="1481"/>
      <c r="Y120" s="1481"/>
      <c r="Z120" s="1481"/>
      <c r="AA120" s="1481"/>
      <c r="AB120" s="1481"/>
      <c r="AC120" s="907"/>
      <c r="AD120" s="908"/>
      <c r="AE120" s="1481"/>
      <c r="AF120" s="1481"/>
      <c r="AG120" s="1481"/>
      <c r="AH120" s="1481"/>
      <c r="AI120" s="1481"/>
      <c r="AJ120" s="1481"/>
      <c r="AK120" s="1481"/>
      <c r="AL120" s="1481"/>
      <c r="AM120" s="1481"/>
      <c r="AN120" s="1481"/>
      <c r="AO120" s="1481"/>
      <c r="AP120" s="1481"/>
      <c r="AQ120" s="1481"/>
      <c r="AR120" s="1481"/>
      <c r="AS120" s="1481"/>
      <c r="AT120" s="1481"/>
      <c r="AU120" s="1481"/>
      <c r="AV120" s="1481"/>
      <c r="AW120" s="1481"/>
      <c r="AX120" s="1481"/>
      <c r="AY120" s="1481"/>
      <c r="AZ120" s="1481"/>
      <c r="BA120" s="1481"/>
      <c r="BB120" s="1481"/>
      <c r="BC120" s="1481"/>
      <c r="BD120" s="1481"/>
      <c r="BE120" s="1481"/>
      <c r="BF120" s="1481"/>
      <c r="BG120" s="1481"/>
      <c r="BH120" s="1481"/>
      <c r="BI120" s="1481"/>
      <c r="BJ120" s="1481"/>
      <c r="BK120" s="1481"/>
      <c r="BL120" s="1481"/>
      <c r="BM120" s="1481"/>
      <c r="BN120" s="1481"/>
      <c r="BO120" s="1481"/>
      <c r="BP120" s="1481"/>
      <c r="BQ120" s="1481"/>
      <c r="BR120" s="1481"/>
      <c r="BS120" s="1481"/>
      <c r="BT120" s="1481"/>
      <c r="BU120" s="1481"/>
      <c r="BV120" s="1481"/>
      <c r="BW120" s="1481"/>
      <c r="BX120" s="1481"/>
      <c r="BY120" s="1481"/>
      <c r="BZ120" s="1481"/>
      <c r="CA120" s="1481"/>
      <c r="CB120" s="1481"/>
      <c r="CC120" s="1481"/>
      <c r="CD120" s="1481"/>
      <c r="CE120" s="1481"/>
    </row>
    <row r="121" spans="1:83" ht="5.25" hidden="1" customHeight="1">
      <c r="A121" s="1636"/>
      <c r="B121" s="1481"/>
      <c r="C121" s="1481"/>
      <c r="D121" s="3623"/>
      <c r="E121" s="913"/>
      <c r="F121" s="914"/>
      <c r="G121" s="914"/>
      <c r="H121" s="915"/>
      <c r="I121" s="915"/>
      <c r="J121" s="915"/>
      <c r="K121" s="915"/>
      <c r="L121" s="915"/>
      <c r="M121" s="915"/>
      <c r="N121" s="915"/>
      <c r="O121" s="915"/>
      <c r="P121" s="915"/>
      <c r="Q121" s="915"/>
      <c r="R121" s="818"/>
      <c r="S121" s="916"/>
      <c r="T121" s="608"/>
      <c r="U121" s="3532"/>
      <c r="V121" s="3532"/>
      <c r="W121" s="1481"/>
      <c r="X121" s="1481"/>
      <c r="Y121" s="1481"/>
      <c r="Z121" s="1481"/>
      <c r="AA121" s="1481"/>
      <c r="AB121" s="1481"/>
      <c r="AC121" s="907"/>
      <c r="AD121" s="908"/>
      <c r="AE121" s="1481"/>
      <c r="AF121" s="1481"/>
      <c r="AG121" s="1481"/>
      <c r="AH121" s="1481"/>
      <c r="AI121" s="1481"/>
      <c r="AJ121" s="1481"/>
      <c r="AK121" s="1481"/>
      <c r="AL121" s="1481"/>
      <c r="AM121" s="1481"/>
      <c r="AN121" s="1481"/>
      <c r="AO121" s="1481"/>
      <c r="AP121" s="1481"/>
      <c r="AQ121" s="1481"/>
      <c r="AR121" s="1481"/>
      <c r="AS121" s="1481"/>
      <c r="AT121" s="1481"/>
      <c r="AU121" s="1481"/>
      <c r="AV121" s="1481"/>
      <c r="AW121" s="1481"/>
      <c r="AX121" s="1481"/>
      <c r="AY121" s="1481"/>
      <c r="AZ121" s="1481"/>
      <c r="BA121" s="1481"/>
      <c r="BB121" s="1481"/>
      <c r="BC121" s="1481"/>
      <c r="BD121" s="1481"/>
      <c r="BE121" s="1481"/>
      <c r="BF121" s="1481"/>
      <c r="BG121" s="1481"/>
      <c r="BH121" s="1481"/>
      <c r="BI121" s="1481"/>
      <c r="BJ121" s="1481"/>
      <c r="BK121" s="1481"/>
      <c r="BL121" s="1481"/>
      <c r="BM121" s="1481"/>
      <c r="BN121" s="1481"/>
      <c r="BO121" s="1481"/>
      <c r="BP121" s="1481"/>
      <c r="BQ121" s="1481"/>
      <c r="BR121" s="1481"/>
      <c r="BS121" s="1481"/>
      <c r="BT121" s="1481"/>
      <c r="BU121" s="1481"/>
      <c r="BV121" s="1481"/>
      <c r="BW121" s="1481"/>
      <c r="BX121" s="1481"/>
      <c r="BY121" s="1481"/>
      <c r="BZ121" s="1481"/>
      <c r="CA121" s="1481"/>
      <c r="CB121" s="1481"/>
      <c r="CC121" s="1481"/>
      <c r="CD121" s="1481"/>
      <c r="CE121" s="1481"/>
    </row>
    <row r="122" spans="1:83" ht="15" hidden="1" customHeight="1">
      <c r="A122" s="516" t="s">
        <v>147</v>
      </c>
      <c r="B122"/>
      <c r="C122" t="s">
        <v>18</v>
      </c>
      <c r="D122" s="3621" t="s">
        <v>891</v>
      </c>
      <c r="E122" s="3618" t="s">
        <v>102</v>
      </c>
      <c r="F122" s="3619"/>
      <c r="G122" s="3620"/>
      <c r="H122" s="3614" t="str">
        <f>IF(A122="","",INDEX(DIFFERENTIATION_UNMERGE_VD,MATCH(A122,DIFFERENTIATION_ID_DIFF,0)))</f>
        <v>Производство тепловой энергии. Некомбинированная выработка</v>
      </c>
      <c r="I122" s="3614"/>
      <c r="J122" s="3614"/>
      <c r="K122" s="3614"/>
      <c r="L122" s="3614"/>
      <c r="M122" s="3614"/>
      <c r="N122" s="3614"/>
      <c r="O122" s="3614"/>
      <c r="P122" s="3614"/>
      <c r="Q122" s="3614"/>
      <c r="R122" s="3614"/>
      <c r="S122" s="609"/>
      <c r="T122" s="606"/>
      <c r="U122" s="517"/>
      <c r="V122" s="517"/>
      <c r="W122" s="518"/>
      <c r="X122" s="518"/>
      <c r="Y122" s="518"/>
      <c r="Z122" s="518"/>
      <c r="AA122" s="519"/>
      <c r="AB122" s="520"/>
      <c r="AC122" s="3617"/>
      <c r="AD122" s="521"/>
      <c r="AE122" s="522" t="s">
        <v>18</v>
      </c>
      <c r="AF122" s="522"/>
      <c r="AG122" s="523" t="s">
        <v>874</v>
      </c>
      <c r="AH122" s="524">
        <v>3</v>
      </c>
      <c r="AI122" s="517"/>
      <c r="AJ122" s="517"/>
      <c r="AK122" s="517"/>
      <c r="AL122" s="517"/>
      <c r="AM122" s="517"/>
      <c r="AN122" s="517"/>
      <c r="AO122" s="517"/>
      <c r="AP122" s="517"/>
      <c r="AQ122" s="517"/>
      <c r="AR122" s="517"/>
      <c r="AS122" s="517"/>
      <c r="AT122" s="517"/>
      <c r="AU122" s="517"/>
      <c r="AV122" s="517"/>
      <c r="AW122" s="517"/>
      <c r="AX122" s="517"/>
      <c r="AY122" s="517"/>
      <c r="AZ122" s="517"/>
      <c r="BA122" s="517"/>
      <c r="BB122" s="517"/>
      <c r="BC122" s="517"/>
      <c r="BD122" s="517"/>
      <c r="BE122" s="517"/>
      <c r="BF122" s="517"/>
      <c r="BG122" s="517"/>
      <c r="BH122" s="517"/>
      <c r="BI122" s="517"/>
      <c r="BJ122" s="517"/>
      <c r="BK122" s="517"/>
      <c r="BL122" s="517"/>
      <c r="BM122" s="517"/>
      <c r="BN122" s="517"/>
      <c r="BO122" s="517"/>
      <c r="BP122" s="517"/>
      <c r="BQ122" s="517"/>
      <c r="BR122" s="517"/>
      <c r="BS122" s="517"/>
      <c r="BT122" s="517"/>
      <c r="BU122" s="517"/>
      <c r="BV122" s="518"/>
      <c r="BW122" s="518"/>
      <c r="BX122" s="518"/>
      <c r="BY122" s="518"/>
      <c r="BZ122" s="518"/>
      <c r="CA122" s="518"/>
      <c r="CB122" s="518"/>
      <c r="CC122" s="518"/>
      <c r="CD122" s="518"/>
      <c r="CE122" s="518"/>
    </row>
    <row r="123" spans="1:83" ht="15" hidden="1" customHeight="1">
      <c r="A123" s="516"/>
      <c r="B123"/>
      <c r="C123"/>
      <c r="D123" s="3622"/>
      <c r="E123" s="3618" t="s">
        <v>829</v>
      </c>
      <c r="F123" s="3619"/>
      <c r="G123" s="3620"/>
      <c r="H123" s="3614" t="str">
        <f>IF(A122="","",INDEX(DIFFERENTIATION_UNMERGE_AREA,MATCH(A122,DIFFERENTIATION_ID_DIFF,0)))</f>
        <v>Территория 1</v>
      </c>
      <c r="I123" s="3614"/>
      <c r="J123" s="3614"/>
      <c r="K123" s="3614"/>
      <c r="L123" s="3614"/>
      <c r="M123" s="3614"/>
      <c r="N123" s="3614"/>
      <c r="O123" s="3614"/>
      <c r="P123" s="3614"/>
      <c r="Q123" s="3614"/>
      <c r="R123" s="3614"/>
      <c r="S123" s="609"/>
      <c r="T123" s="606"/>
      <c r="U123" s="517"/>
      <c r="V123" s="517"/>
      <c r="W123" s="518"/>
      <c r="X123" s="518"/>
      <c r="Y123" s="518"/>
      <c r="Z123" s="518"/>
      <c r="AA123" s="519"/>
      <c r="AB123" s="520"/>
      <c r="AC123" s="3617"/>
      <c r="AD123" s="521"/>
      <c r="AE123" s="522"/>
      <c r="AF123" s="522"/>
      <c r="AG123" s="523"/>
      <c r="AH123" s="524"/>
      <c r="AI123" s="517"/>
      <c r="AJ123" s="517"/>
      <c r="AK123" s="517"/>
      <c r="AL123" s="517"/>
      <c r="AM123" s="517"/>
      <c r="AN123" s="517"/>
      <c r="AO123" s="517"/>
      <c r="AP123" s="517"/>
      <c r="AQ123" s="517"/>
      <c r="AR123" s="517"/>
      <c r="AS123" s="517"/>
      <c r="AT123" s="517"/>
      <c r="AU123" s="517"/>
      <c r="AV123" s="517"/>
      <c r="AW123" s="517"/>
      <c r="AX123" s="517"/>
      <c r="AY123" s="517"/>
      <c r="AZ123" s="517"/>
      <c r="BA123" s="517"/>
      <c r="BB123" s="517"/>
      <c r="BC123" s="517"/>
      <c r="BD123" s="517"/>
      <c r="BE123" s="517"/>
      <c r="BF123" s="517"/>
      <c r="BG123" s="517"/>
      <c r="BH123" s="517"/>
      <c r="BI123" s="517"/>
      <c r="BJ123" s="517"/>
      <c r="BK123" s="517"/>
      <c r="BL123" s="517"/>
      <c r="BM123" s="517"/>
      <c r="BN123" s="517"/>
      <c r="BO123" s="517"/>
      <c r="BP123" s="517"/>
      <c r="BQ123" s="517"/>
      <c r="BR123" s="517"/>
      <c r="BS123" s="517"/>
      <c r="BT123" s="517"/>
      <c r="BU123" s="517"/>
      <c r="BV123" s="518"/>
      <c r="BW123" s="518"/>
      <c r="BX123" s="518"/>
      <c r="BY123" s="518"/>
      <c r="BZ123" s="518"/>
      <c r="CA123" s="518"/>
      <c r="CB123" s="518"/>
      <c r="CC123" s="518"/>
      <c r="CD123" s="518"/>
      <c r="CE123" s="518"/>
    </row>
    <row r="124" spans="1:83" ht="15" hidden="1" customHeight="1">
      <c r="A124" s="516"/>
      <c r="B124"/>
      <c r="C124"/>
      <c r="D124" s="3622"/>
      <c r="E124" s="3618" t="s">
        <v>830</v>
      </c>
      <c r="F124" s="3619"/>
      <c r="G124" s="3620"/>
      <c r="H124" s="3614" t="str">
        <f>IF(A122="","",INDEX(DIFFERENTIATION_UNMERGE_SYSTEM,MATCH(A122,DIFFERENTIATION_ID_DIFF,0)))</f>
        <v>Карачевское, 5а</v>
      </c>
      <c r="I124" s="3614"/>
      <c r="J124" s="3614"/>
      <c r="K124" s="3614"/>
      <c r="L124" s="3614"/>
      <c r="M124" s="3614"/>
      <c r="N124" s="3614"/>
      <c r="O124" s="3614"/>
      <c r="P124" s="3614"/>
      <c r="Q124" s="3614"/>
      <c r="R124" s="3614"/>
      <c r="S124" s="609"/>
      <c r="T124" s="606"/>
      <c r="U124" s="517"/>
      <c r="V124" s="517"/>
      <c r="W124" s="518"/>
      <c r="X124" s="518"/>
      <c r="Y124" s="518"/>
      <c r="Z124" s="518"/>
      <c r="AA124" s="519"/>
      <c r="AB124" s="520"/>
      <c r="AC124" s="3617"/>
      <c r="AD124" s="521"/>
      <c r="AE124" s="522"/>
      <c r="AF124" s="522"/>
      <c r="AG124" s="523"/>
      <c r="AH124" s="524"/>
      <c r="AI124" s="517"/>
      <c r="AJ124" s="517"/>
      <c r="AK124" s="517"/>
      <c r="AL124" s="517"/>
      <c r="AM124" s="517"/>
      <c r="AN124" s="517"/>
      <c r="AO124" s="517"/>
      <c r="AP124" s="517"/>
      <c r="AQ124" s="517"/>
      <c r="AR124" s="517"/>
      <c r="AS124" s="517"/>
      <c r="AT124" s="517"/>
      <c r="AU124" s="517"/>
      <c r="AV124" s="517"/>
      <c r="AW124" s="517"/>
      <c r="AX124" s="517"/>
      <c r="AY124" s="517"/>
      <c r="AZ124" s="517"/>
      <c r="BA124" s="517"/>
      <c r="BB124" s="517"/>
      <c r="BC124" s="517"/>
      <c r="BD124" s="517"/>
      <c r="BE124" s="517"/>
      <c r="BF124" s="517"/>
      <c r="BG124" s="517"/>
      <c r="BH124" s="517"/>
      <c r="BI124" s="517"/>
      <c r="BJ124" s="517"/>
      <c r="BK124" s="517"/>
      <c r="BL124" s="517"/>
      <c r="BM124" s="517"/>
      <c r="BN124" s="517"/>
      <c r="BO124" s="517"/>
      <c r="BP124" s="517"/>
      <c r="BQ124" s="517"/>
      <c r="BR124" s="517"/>
      <c r="BS124" s="517"/>
      <c r="BT124" s="517"/>
      <c r="BU124" s="517"/>
      <c r="BV124" s="518"/>
      <c r="BW124" s="518"/>
      <c r="BX124" s="518"/>
      <c r="BY124" s="518"/>
      <c r="BZ124" s="518"/>
      <c r="CA124" s="518"/>
      <c r="CB124" s="518"/>
      <c r="CC124" s="518"/>
      <c r="CD124" s="518"/>
      <c r="CE124" s="518"/>
    </row>
    <row r="125" spans="1:83" ht="24.75" hidden="1" customHeight="1">
      <c r="A125" s="1649"/>
      <c r="B125" s="1023"/>
      <c r="C125" s="319"/>
      <c r="D125" s="3622"/>
      <c r="E125" s="3616" t="s">
        <v>875</v>
      </c>
      <c r="F125" s="3616"/>
      <c r="G125" s="3616"/>
      <c r="H125" s="3616"/>
      <c r="I125" s="3616"/>
      <c r="J125" s="3616"/>
      <c r="K125" s="3616"/>
      <c r="L125" s="3616"/>
      <c r="M125" s="3616"/>
      <c r="N125" s="3616"/>
      <c r="O125" s="3616"/>
      <c r="P125" s="3616"/>
      <c r="Q125" s="455">
        <f>SUMIF(T126:T127,"i",Q126:Q127)</f>
        <v>0</v>
      </c>
      <c r="R125" s="887"/>
      <c r="S125" s="1641" t="s">
        <v>876</v>
      </c>
      <c r="T125" s="607" t="s">
        <v>877</v>
      </c>
      <c r="U125" s="3532">
        <v>1</v>
      </c>
      <c r="V125" s="3532" t="s">
        <v>840</v>
      </c>
      <c r="W125" s="1023"/>
      <c r="X125" s="1023"/>
      <c r="Y125" s="1023"/>
      <c r="Z125" s="1023"/>
      <c r="AA125" s="1481"/>
      <c r="AB125" s="1023"/>
      <c r="AC125" s="3617"/>
      <c r="AD125" s="521"/>
      <c r="AE125" s="1023"/>
      <c r="AF125" s="1023"/>
      <c r="AG125" s="1481"/>
      <c r="AH125" s="1481"/>
      <c r="AI125" s="1481"/>
      <c r="AJ125" s="1481"/>
      <c r="AK125" s="1481"/>
      <c r="AL125" s="1481"/>
      <c r="AM125" s="1481"/>
      <c r="AN125" s="1481"/>
      <c r="AO125" s="1481"/>
      <c r="AP125" s="1481"/>
      <c r="AQ125" s="1481"/>
      <c r="AR125" s="1481"/>
      <c r="AS125" s="1481"/>
      <c r="AT125" s="1481"/>
      <c r="AU125" s="1481"/>
      <c r="AV125" s="1481"/>
      <c r="AW125" s="1481"/>
      <c r="AX125" s="1481"/>
      <c r="AY125" s="1481"/>
      <c r="AZ125" s="1481"/>
      <c r="BA125" s="1481"/>
      <c r="BB125" s="1481"/>
      <c r="BC125" s="1481"/>
      <c r="BD125" s="1481"/>
      <c r="BE125" s="1481"/>
      <c r="BF125" s="1481"/>
      <c r="BG125" s="1481"/>
      <c r="BH125" s="1481"/>
      <c r="BI125" s="1481"/>
      <c r="BJ125" s="1481"/>
      <c r="BK125" s="1481"/>
      <c r="BL125" s="1481"/>
      <c r="BM125" s="1481"/>
      <c r="BN125" s="1481"/>
      <c r="BO125" s="1481"/>
      <c r="BP125" s="1481"/>
      <c r="BQ125" s="1481"/>
      <c r="BR125" s="1481"/>
      <c r="BS125" s="1481"/>
      <c r="BT125" s="1481"/>
      <c r="BU125" s="1481"/>
      <c r="BV125" s="1023"/>
      <c r="BW125" s="1023"/>
      <c r="BX125" s="1023"/>
      <c r="BY125" s="1023"/>
      <c r="BZ125" s="1023"/>
      <c r="CA125" s="1023"/>
      <c r="CB125" s="1023"/>
      <c r="CC125" s="1023"/>
      <c r="CD125" s="1023"/>
      <c r="CE125" s="1023"/>
    </row>
    <row r="126" spans="1:83" ht="11.25" hidden="1" customHeight="1">
      <c r="A126" s="1636"/>
      <c r="B126" s="1481"/>
      <c r="C126" s="1481"/>
      <c r="D126" s="3622"/>
      <c r="E126" s="527"/>
      <c r="F126" s="527">
        <v>0</v>
      </c>
      <c r="G126" s="527"/>
      <c r="H126" s="527"/>
      <c r="I126" s="527"/>
      <c r="J126" s="527"/>
      <c r="K126" s="527"/>
      <c r="L126" s="527"/>
      <c r="M126" s="527"/>
      <c r="N126" s="527"/>
      <c r="O126" s="527"/>
      <c r="P126" s="527"/>
      <c r="Q126" s="527"/>
      <c r="R126" s="527"/>
      <c r="S126" s="528"/>
      <c r="T126" s="608"/>
      <c r="U126" s="3532"/>
      <c r="V126" s="3532"/>
      <c r="W126" s="1481"/>
      <c r="X126" s="1481"/>
      <c r="Y126" s="1481"/>
      <c r="Z126" s="1481"/>
      <c r="AA126" s="1481"/>
      <c r="AB126" s="1023"/>
      <c r="AC126" s="3617"/>
      <c r="AD126" s="521"/>
      <c r="AE126" s="1023"/>
      <c r="AF126" s="1023"/>
      <c r="AG126" s="1481"/>
      <c r="AH126" s="1481"/>
      <c r="AI126" s="1481"/>
      <c r="AJ126" s="1481"/>
      <c r="AK126" s="1481"/>
      <c r="AL126" s="1481"/>
      <c r="AM126" s="1481"/>
      <c r="AN126" s="1481"/>
      <c r="AO126" s="1481"/>
      <c r="AP126" s="1481"/>
      <c r="AQ126" s="1481"/>
      <c r="AR126" s="1481"/>
      <c r="AS126" s="1481"/>
      <c r="AT126" s="1481"/>
      <c r="AU126" s="1481"/>
      <c r="AV126" s="1481"/>
      <c r="AW126" s="1481"/>
      <c r="AX126" s="1481"/>
      <c r="AY126" s="1481"/>
      <c r="AZ126" s="1481"/>
      <c r="BA126" s="1481"/>
      <c r="BB126" s="1481"/>
      <c r="BC126" s="1481"/>
      <c r="BD126" s="1481"/>
      <c r="BE126" s="1481"/>
      <c r="BF126" s="1481"/>
      <c r="BG126" s="1481"/>
      <c r="BH126" s="1481"/>
      <c r="BI126" s="1481"/>
      <c r="BJ126" s="1481"/>
      <c r="BK126" s="1481"/>
      <c r="BL126" s="1481"/>
      <c r="BM126" s="1481"/>
      <c r="BN126" s="1481"/>
      <c r="BO126" s="1481"/>
      <c r="BP126" s="1481"/>
      <c r="BQ126" s="1481"/>
      <c r="BR126" s="1481"/>
      <c r="BS126" s="1481"/>
      <c r="BT126" s="1481"/>
      <c r="BU126" s="1481"/>
      <c r="BV126" s="1481"/>
      <c r="BW126" s="1481"/>
      <c r="BX126" s="1481"/>
      <c r="BY126" s="1481"/>
      <c r="BZ126" s="1481"/>
      <c r="CA126" s="1481"/>
      <c r="CB126" s="1481"/>
      <c r="CC126" s="1481"/>
      <c r="CD126" s="1481"/>
      <c r="CE126" s="1481"/>
    </row>
    <row r="127" spans="1:83" ht="11.25" hidden="1" customHeight="1">
      <c r="A127" s="1649"/>
      <c r="B127" s="1023"/>
      <c r="C127" s="319"/>
      <c r="D127" s="3622"/>
      <c r="E127" s="541" t="s">
        <v>18</v>
      </c>
      <c r="F127" s="1031" t="s">
        <v>18</v>
      </c>
      <c r="G127" s="1031" t="s">
        <v>880</v>
      </c>
      <c r="H127" s="543" t="s">
        <v>18</v>
      </c>
      <c r="I127" s="543"/>
      <c r="J127" s="543"/>
      <c r="K127" s="543"/>
      <c r="L127" s="543"/>
      <c r="M127" s="543"/>
      <c r="N127" s="543"/>
      <c r="O127" s="543"/>
      <c r="P127" s="543"/>
      <c r="Q127" s="543"/>
      <c r="R127" s="544"/>
      <c r="S127" s="545"/>
      <c r="T127" s="608"/>
      <c r="U127" s="3532"/>
      <c r="V127" s="3532"/>
      <c r="W127" s="1023"/>
      <c r="X127" s="1023"/>
      <c r="Y127" s="1023"/>
      <c r="Z127" s="1023"/>
      <c r="AA127" s="1481"/>
      <c r="AB127" s="1023"/>
      <c r="AC127" s="3617"/>
      <c r="AD127" s="521"/>
      <c r="AE127" s="1023"/>
      <c r="AF127" s="1023"/>
      <c r="AG127" s="1481"/>
      <c r="AH127" s="1481"/>
      <c r="AI127" s="1481"/>
      <c r="AJ127" s="1481"/>
      <c r="AK127" s="1481"/>
      <c r="AL127" s="1481"/>
      <c r="AM127" s="1481"/>
      <c r="AN127" s="1481"/>
      <c r="AO127" s="1481"/>
      <c r="AP127" s="1481"/>
      <c r="AQ127" s="1481"/>
      <c r="AR127" s="1481"/>
      <c r="AS127" s="1481"/>
      <c r="AT127" s="1481"/>
      <c r="AU127" s="1481"/>
      <c r="AV127" s="1481"/>
      <c r="AW127" s="1481"/>
      <c r="AX127" s="1481"/>
      <c r="AY127" s="1481"/>
      <c r="AZ127" s="1481"/>
      <c r="BA127" s="1481"/>
      <c r="BB127" s="1481"/>
      <c r="BC127" s="1481"/>
      <c r="BD127" s="1481"/>
      <c r="BE127" s="1481"/>
      <c r="BF127" s="1481"/>
      <c r="BG127" s="1481"/>
      <c r="BH127" s="1481"/>
      <c r="BI127" s="1481"/>
      <c r="BJ127" s="1481"/>
      <c r="BK127" s="1481"/>
      <c r="BL127" s="1481"/>
      <c r="BM127" s="1481"/>
      <c r="BN127" s="1481"/>
      <c r="BO127" s="1481"/>
      <c r="BP127" s="1481"/>
      <c r="BQ127" s="1481"/>
      <c r="BR127" s="1481"/>
      <c r="BS127" s="1481"/>
      <c r="BT127" s="1481"/>
      <c r="BU127" s="1481"/>
      <c r="BV127" s="1023"/>
      <c r="BW127" s="1023"/>
      <c r="BX127" s="1023"/>
      <c r="BY127" s="1023"/>
      <c r="BZ127" s="1023"/>
      <c r="CA127" s="1023"/>
      <c r="CB127" s="1023"/>
      <c r="CC127" s="1023"/>
      <c r="CD127" s="1023"/>
      <c r="CE127" s="1023"/>
    </row>
    <row r="128" spans="1:83" ht="5.25" hidden="1" customHeight="1">
      <c r="A128" s="1636"/>
      <c r="B128" s="1481"/>
      <c r="C128" s="1481"/>
      <c r="D128" s="3622"/>
      <c r="E128" s="909"/>
      <c r="F128" s="909"/>
      <c r="G128" s="909"/>
      <c r="H128" s="909"/>
      <c r="I128" s="909"/>
      <c r="J128" s="909"/>
      <c r="K128" s="909"/>
      <c r="L128" s="909"/>
      <c r="M128" s="909"/>
      <c r="N128" s="909"/>
      <c r="O128" s="909"/>
      <c r="P128" s="909"/>
      <c r="Q128" s="910"/>
      <c r="R128" s="911"/>
      <c r="S128" s="912"/>
      <c r="T128" s="607" t="s">
        <v>877</v>
      </c>
      <c r="U128" s="3532">
        <v>1</v>
      </c>
      <c r="V128" s="3532" t="s">
        <v>840</v>
      </c>
      <c r="W128" s="1481"/>
      <c r="X128" s="1481"/>
      <c r="Y128" s="1481"/>
      <c r="Z128" s="1481"/>
      <c r="AA128" s="1481"/>
      <c r="AB128" s="1481"/>
      <c r="AC128" s="907"/>
      <c r="AD128" s="908"/>
      <c r="AE128" s="1481"/>
      <c r="AF128" s="1481"/>
      <c r="AG128" s="1481"/>
      <c r="AH128" s="1481"/>
      <c r="AI128" s="1481"/>
      <c r="AJ128" s="1481"/>
      <c r="AK128" s="1481"/>
      <c r="AL128" s="1481"/>
      <c r="AM128" s="1481"/>
      <c r="AN128" s="1481"/>
      <c r="AO128" s="1481"/>
      <c r="AP128" s="1481"/>
      <c r="AQ128" s="1481"/>
      <c r="AR128" s="1481"/>
      <c r="AS128" s="1481"/>
      <c r="AT128" s="1481"/>
      <c r="AU128" s="1481"/>
      <c r="AV128" s="1481"/>
      <c r="AW128" s="1481"/>
      <c r="AX128" s="1481"/>
      <c r="AY128" s="1481"/>
      <c r="AZ128" s="1481"/>
      <c r="BA128" s="1481"/>
      <c r="BB128" s="1481"/>
      <c r="BC128" s="1481"/>
      <c r="BD128" s="1481"/>
      <c r="BE128" s="1481"/>
      <c r="BF128" s="1481"/>
      <c r="BG128" s="1481"/>
      <c r="BH128" s="1481"/>
      <c r="BI128" s="1481"/>
      <c r="BJ128" s="1481"/>
      <c r="BK128" s="1481"/>
      <c r="BL128" s="1481"/>
      <c r="BM128" s="1481"/>
      <c r="BN128" s="1481"/>
      <c r="BO128" s="1481"/>
      <c r="BP128" s="1481"/>
      <c r="BQ128" s="1481"/>
      <c r="BR128" s="1481"/>
      <c r="BS128" s="1481"/>
      <c r="BT128" s="1481"/>
      <c r="BU128" s="1481"/>
      <c r="BV128" s="1481"/>
      <c r="BW128" s="1481"/>
      <c r="BX128" s="1481"/>
      <c r="BY128" s="1481"/>
      <c r="BZ128" s="1481"/>
      <c r="CA128" s="1481"/>
      <c r="CB128" s="1481"/>
      <c r="CC128" s="1481"/>
      <c r="CD128" s="1481"/>
      <c r="CE128" s="1481"/>
    </row>
    <row r="129" spans="1:83" ht="5.25" hidden="1" customHeight="1">
      <c r="A129" s="1636"/>
      <c r="B129" s="1481"/>
      <c r="C129" s="1481"/>
      <c r="D129" s="3622"/>
      <c r="E129" s="527"/>
      <c r="F129" s="527"/>
      <c r="G129" s="527"/>
      <c r="H129" s="527"/>
      <c r="I129" s="527"/>
      <c r="J129" s="527"/>
      <c r="K129" s="527"/>
      <c r="L129" s="527"/>
      <c r="M129" s="527"/>
      <c r="N129" s="527"/>
      <c r="O129" s="527"/>
      <c r="P129" s="527"/>
      <c r="Q129" s="527"/>
      <c r="R129" s="527"/>
      <c r="S129" s="528"/>
      <c r="T129" s="608"/>
      <c r="U129" s="3532"/>
      <c r="V129" s="3532"/>
      <c r="W129" s="1481"/>
      <c r="X129" s="1481"/>
      <c r="Y129" s="1481"/>
      <c r="Z129" s="1481"/>
      <c r="AA129" s="1481"/>
      <c r="AB129" s="1481"/>
      <c r="AC129" s="907"/>
      <c r="AD129" s="908"/>
      <c r="AE129" s="1481"/>
      <c r="AF129" s="1481"/>
      <c r="AG129" s="1481"/>
      <c r="AH129" s="1481"/>
      <c r="AI129" s="1481"/>
      <c r="AJ129" s="1481"/>
      <c r="AK129" s="1481"/>
      <c r="AL129" s="1481"/>
      <c r="AM129" s="1481"/>
      <c r="AN129" s="1481"/>
      <c r="AO129" s="1481"/>
      <c r="AP129" s="1481"/>
      <c r="AQ129" s="1481"/>
      <c r="AR129" s="1481"/>
      <c r="AS129" s="1481"/>
      <c r="AT129" s="1481"/>
      <c r="AU129" s="1481"/>
      <c r="AV129" s="1481"/>
      <c r="AW129" s="1481"/>
      <c r="AX129" s="1481"/>
      <c r="AY129" s="1481"/>
      <c r="AZ129" s="1481"/>
      <c r="BA129" s="1481"/>
      <c r="BB129" s="1481"/>
      <c r="BC129" s="1481"/>
      <c r="BD129" s="1481"/>
      <c r="BE129" s="1481"/>
      <c r="BF129" s="1481"/>
      <c r="BG129" s="1481"/>
      <c r="BH129" s="1481"/>
      <c r="BI129" s="1481"/>
      <c r="BJ129" s="1481"/>
      <c r="BK129" s="1481"/>
      <c r="BL129" s="1481"/>
      <c r="BM129" s="1481"/>
      <c r="BN129" s="1481"/>
      <c r="BO129" s="1481"/>
      <c r="BP129" s="1481"/>
      <c r="BQ129" s="1481"/>
      <c r="BR129" s="1481"/>
      <c r="BS129" s="1481"/>
      <c r="BT129" s="1481"/>
      <c r="BU129" s="1481"/>
      <c r="BV129" s="1481"/>
      <c r="BW129" s="1481"/>
      <c r="BX129" s="1481"/>
      <c r="BY129" s="1481"/>
      <c r="BZ129" s="1481"/>
      <c r="CA129" s="1481"/>
      <c r="CB129" s="1481"/>
      <c r="CC129" s="1481"/>
      <c r="CD129" s="1481"/>
      <c r="CE129" s="1481"/>
    </row>
    <row r="130" spans="1:83" ht="5.25" hidden="1" customHeight="1">
      <c r="A130" s="1636"/>
      <c r="B130" s="1481"/>
      <c r="C130" s="1481"/>
      <c r="D130" s="3623"/>
      <c r="E130" s="913"/>
      <c r="F130" s="914"/>
      <c r="G130" s="914"/>
      <c r="H130" s="915"/>
      <c r="I130" s="915"/>
      <c r="J130" s="915"/>
      <c r="K130" s="915"/>
      <c r="L130" s="915"/>
      <c r="M130" s="915"/>
      <c r="N130" s="915"/>
      <c r="O130" s="915"/>
      <c r="P130" s="915"/>
      <c r="Q130" s="915"/>
      <c r="R130" s="818"/>
      <c r="S130" s="916"/>
      <c r="T130" s="608"/>
      <c r="U130" s="3532"/>
      <c r="V130" s="3532"/>
      <c r="W130" s="1481"/>
      <c r="X130" s="1481"/>
      <c r="Y130" s="1481"/>
      <c r="Z130" s="1481"/>
      <c r="AA130" s="1481"/>
      <c r="AB130" s="1481"/>
      <c r="AC130" s="907"/>
      <c r="AD130" s="908"/>
      <c r="AE130" s="1481"/>
      <c r="AF130" s="1481"/>
      <c r="AG130" s="1481"/>
      <c r="AH130" s="1481"/>
      <c r="AI130" s="1481"/>
      <c r="AJ130" s="1481"/>
      <c r="AK130" s="1481"/>
      <c r="AL130" s="1481"/>
      <c r="AM130" s="1481"/>
      <c r="AN130" s="1481"/>
      <c r="AO130" s="1481"/>
      <c r="AP130" s="1481"/>
      <c r="AQ130" s="1481"/>
      <c r="AR130" s="1481"/>
      <c r="AS130" s="1481"/>
      <c r="AT130" s="1481"/>
      <c r="AU130" s="1481"/>
      <c r="AV130" s="1481"/>
      <c r="AW130" s="1481"/>
      <c r="AX130" s="1481"/>
      <c r="AY130" s="1481"/>
      <c r="AZ130" s="1481"/>
      <c r="BA130" s="1481"/>
      <c r="BB130" s="1481"/>
      <c r="BC130" s="1481"/>
      <c r="BD130" s="1481"/>
      <c r="BE130" s="1481"/>
      <c r="BF130" s="1481"/>
      <c r="BG130" s="1481"/>
      <c r="BH130" s="1481"/>
      <c r="BI130" s="1481"/>
      <c r="BJ130" s="1481"/>
      <c r="BK130" s="1481"/>
      <c r="BL130" s="1481"/>
      <c r="BM130" s="1481"/>
      <c r="BN130" s="1481"/>
      <c r="BO130" s="1481"/>
      <c r="BP130" s="1481"/>
      <c r="BQ130" s="1481"/>
      <c r="BR130" s="1481"/>
      <c r="BS130" s="1481"/>
      <c r="BT130" s="1481"/>
      <c r="BU130" s="1481"/>
      <c r="BV130" s="1481"/>
      <c r="BW130" s="1481"/>
      <c r="BX130" s="1481"/>
      <c r="BY130" s="1481"/>
      <c r="BZ130" s="1481"/>
      <c r="CA130" s="1481"/>
      <c r="CB130" s="1481"/>
      <c r="CC130" s="1481"/>
      <c r="CD130" s="1481"/>
      <c r="CE130" s="1481"/>
    </row>
    <row r="131" spans="1:83" ht="15" hidden="1" customHeight="1">
      <c r="A131" s="516" t="s">
        <v>150</v>
      </c>
      <c r="B131"/>
      <c r="C131" t="s">
        <v>18</v>
      </c>
      <c r="D131" s="3621" t="s">
        <v>892</v>
      </c>
      <c r="E131" s="3618" t="s">
        <v>102</v>
      </c>
      <c r="F131" s="3619"/>
      <c r="G131" s="3620"/>
      <c r="H131" s="3614" t="str">
        <f>IF(A131="","",INDEX(DIFFERENTIATION_UNMERGE_VD,MATCH(A131,DIFFERENTIATION_ID_DIFF,0)))</f>
        <v>Производство тепловой энергии. Некомбинированная выработка</v>
      </c>
      <c r="I131" s="3614"/>
      <c r="J131" s="3614"/>
      <c r="K131" s="3614"/>
      <c r="L131" s="3614"/>
      <c r="M131" s="3614"/>
      <c r="N131" s="3614"/>
      <c r="O131" s="3614"/>
      <c r="P131" s="3614"/>
      <c r="Q131" s="3614"/>
      <c r="R131" s="3614"/>
      <c r="S131" s="609"/>
      <c r="T131" s="606"/>
      <c r="U131" s="517"/>
      <c r="V131" s="517"/>
      <c r="W131" s="518"/>
      <c r="X131" s="518"/>
      <c r="Y131" s="518"/>
      <c r="Z131" s="518"/>
      <c r="AA131" s="519"/>
      <c r="AB131" s="520"/>
      <c r="AC131" s="3617"/>
      <c r="AD131" s="521"/>
      <c r="AE131" s="522" t="s">
        <v>18</v>
      </c>
      <c r="AF131" s="522"/>
      <c r="AG131" s="523" t="s">
        <v>874</v>
      </c>
      <c r="AH131" s="524">
        <v>3</v>
      </c>
      <c r="AI131" s="517"/>
      <c r="AJ131" s="517"/>
      <c r="AK131" s="517"/>
      <c r="AL131" s="517"/>
      <c r="AM131" s="517"/>
      <c r="AN131" s="517"/>
      <c r="AO131" s="517"/>
      <c r="AP131" s="517"/>
      <c r="AQ131" s="517"/>
      <c r="AR131" s="517"/>
      <c r="AS131" s="517"/>
      <c r="AT131" s="517"/>
      <c r="AU131" s="517"/>
      <c r="AV131" s="517"/>
      <c r="AW131" s="517"/>
      <c r="AX131" s="517"/>
      <c r="AY131" s="517"/>
      <c r="AZ131" s="517"/>
      <c r="BA131" s="517"/>
      <c r="BB131" s="517"/>
      <c r="BC131" s="517"/>
      <c r="BD131" s="517"/>
      <c r="BE131" s="517"/>
      <c r="BF131" s="517"/>
      <c r="BG131" s="517"/>
      <c r="BH131" s="517"/>
      <c r="BI131" s="517"/>
      <c r="BJ131" s="517"/>
      <c r="BK131" s="517"/>
      <c r="BL131" s="517"/>
      <c r="BM131" s="517"/>
      <c r="BN131" s="517"/>
      <c r="BO131" s="517"/>
      <c r="BP131" s="517"/>
      <c r="BQ131" s="517"/>
      <c r="BR131" s="517"/>
      <c r="BS131" s="517"/>
      <c r="BT131" s="517"/>
      <c r="BU131" s="517"/>
      <c r="BV131" s="518"/>
      <c r="BW131" s="518"/>
      <c r="BX131" s="518"/>
      <c r="BY131" s="518"/>
      <c r="BZ131" s="518"/>
      <c r="CA131" s="518"/>
      <c r="CB131" s="518"/>
      <c r="CC131" s="518"/>
      <c r="CD131" s="518"/>
      <c r="CE131" s="518"/>
    </row>
    <row r="132" spans="1:83" ht="15" hidden="1" customHeight="1">
      <c r="A132" s="516"/>
      <c r="B132"/>
      <c r="C132"/>
      <c r="D132" s="3622"/>
      <c r="E132" s="3618" t="s">
        <v>829</v>
      </c>
      <c r="F132" s="3619"/>
      <c r="G132" s="3620"/>
      <c r="H132" s="3614" t="str">
        <f>IF(A131="","",INDEX(DIFFERENTIATION_UNMERGE_AREA,MATCH(A131,DIFFERENTIATION_ID_DIFF,0)))</f>
        <v>Территория 1</v>
      </c>
      <c r="I132" s="3614"/>
      <c r="J132" s="3614"/>
      <c r="K132" s="3614"/>
      <c r="L132" s="3614"/>
      <c r="M132" s="3614"/>
      <c r="N132" s="3614"/>
      <c r="O132" s="3614"/>
      <c r="P132" s="3614"/>
      <c r="Q132" s="3614"/>
      <c r="R132" s="3614"/>
      <c r="S132" s="609"/>
      <c r="T132" s="606"/>
      <c r="U132" s="517"/>
      <c r="V132" s="517"/>
      <c r="W132" s="518"/>
      <c r="X132" s="518"/>
      <c r="Y132" s="518"/>
      <c r="Z132" s="518"/>
      <c r="AA132" s="519"/>
      <c r="AB132" s="520"/>
      <c r="AC132" s="3617"/>
      <c r="AD132" s="521"/>
      <c r="AE132" s="522"/>
      <c r="AF132" s="522"/>
      <c r="AG132" s="523"/>
      <c r="AH132" s="524"/>
      <c r="AI132" s="517"/>
      <c r="AJ132" s="517"/>
      <c r="AK132" s="517"/>
      <c r="AL132" s="517"/>
      <c r="AM132" s="517"/>
      <c r="AN132" s="517"/>
      <c r="AO132" s="517"/>
      <c r="AP132" s="517"/>
      <c r="AQ132" s="517"/>
      <c r="AR132" s="517"/>
      <c r="AS132" s="517"/>
      <c r="AT132" s="517"/>
      <c r="AU132" s="517"/>
      <c r="AV132" s="517"/>
      <c r="AW132" s="517"/>
      <c r="AX132" s="517"/>
      <c r="AY132" s="517"/>
      <c r="AZ132" s="517"/>
      <c r="BA132" s="517"/>
      <c r="BB132" s="517"/>
      <c r="BC132" s="517"/>
      <c r="BD132" s="517"/>
      <c r="BE132" s="517"/>
      <c r="BF132" s="517"/>
      <c r="BG132" s="517"/>
      <c r="BH132" s="517"/>
      <c r="BI132" s="517"/>
      <c r="BJ132" s="517"/>
      <c r="BK132" s="517"/>
      <c r="BL132" s="517"/>
      <c r="BM132" s="517"/>
      <c r="BN132" s="517"/>
      <c r="BO132" s="517"/>
      <c r="BP132" s="517"/>
      <c r="BQ132" s="517"/>
      <c r="BR132" s="517"/>
      <c r="BS132" s="517"/>
      <c r="BT132" s="517"/>
      <c r="BU132" s="517"/>
      <c r="BV132" s="518"/>
      <c r="BW132" s="518"/>
      <c r="BX132" s="518"/>
      <c r="BY132" s="518"/>
      <c r="BZ132" s="518"/>
      <c r="CA132" s="518"/>
      <c r="CB132" s="518"/>
      <c r="CC132" s="518"/>
      <c r="CD132" s="518"/>
      <c r="CE132" s="518"/>
    </row>
    <row r="133" spans="1:83" ht="15" hidden="1" customHeight="1">
      <c r="A133" s="516"/>
      <c r="B133"/>
      <c r="C133"/>
      <c r="D133" s="3622"/>
      <c r="E133" s="3618" t="s">
        <v>830</v>
      </c>
      <c r="F133" s="3619"/>
      <c r="G133" s="3620"/>
      <c r="H133" s="3614" t="str">
        <f>IF(A131="","",INDEX(DIFFERENTIATION_UNMERGE_SYSTEM,MATCH(A131,DIFFERENTIATION_ID_DIFF,0)))</f>
        <v>Карачевское, 60а</v>
      </c>
      <c r="I133" s="3614"/>
      <c r="J133" s="3614"/>
      <c r="K133" s="3614"/>
      <c r="L133" s="3614"/>
      <c r="M133" s="3614"/>
      <c r="N133" s="3614"/>
      <c r="O133" s="3614"/>
      <c r="P133" s="3614"/>
      <c r="Q133" s="3614"/>
      <c r="R133" s="3614"/>
      <c r="S133" s="609"/>
      <c r="T133" s="606"/>
      <c r="U133" s="517"/>
      <c r="V133" s="517"/>
      <c r="W133" s="518"/>
      <c r="X133" s="518"/>
      <c r="Y133" s="518"/>
      <c r="Z133" s="518"/>
      <c r="AA133" s="519"/>
      <c r="AB133" s="520"/>
      <c r="AC133" s="3617"/>
      <c r="AD133" s="521"/>
      <c r="AE133" s="522"/>
      <c r="AF133" s="522"/>
      <c r="AG133" s="523"/>
      <c r="AH133" s="524"/>
      <c r="AI133" s="517"/>
      <c r="AJ133" s="517"/>
      <c r="AK133" s="517"/>
      <c r="AL133" s="517"/>
      <c r="AM133" s="517"/>
      <c r="AN133" s="517"/>
      <c r="AO133" s="517"/>
      <c r="AP133" s="517"/>
      <c r="AQ133" s="517"/>
      <c r="AR133" s="517"/>
      <c r="AS133" s="517"/>
      <c r="AT133" s="517"/>
      <c r="AU133" s="517"/>
      <c r="AV133" s="517"/>
      <c r="AW133" s="517"/>
      <c r="AX133" s="517"/>
      <c r="AY133" s="517"/>
      <c r="AZ133" s="517"/>
      <c r="BA133" s="517"/>
      <c r="BB133" s="517"/>
      <c r="BC133" s="517"/>
      <c r="BD133" s="517"/>
      <c r="BE133" s="517"/>
      <c r="BF133" s="517"/>
      <c r="BG133" s="517"/>
      <c r="BH133" s="517"/>
      <c r="BI133" s="517"/>
      <c r="BJ133" s="517"/>
      <c r="BK133" s="517"/>
      <c r="BL133" s="517"/>
      <c r="BM133" s="517"/>
      <c r="BN133" s="517"/>
      <c r="BO133" s="517"/>
      <c r="BP133" s="517"/>
      <c r="BQ133" s="517"/>
      <c r="BR133" s="517"/>
      <c r="BS133" s="517"/>
      <c r="BT133" s="517"/>
      <c r="BU133" s="517"/>
      <c r="BV133" s="518"/>
      <c r="BW133" s="518"/>
      <c r="BX133" s="518"/>
      <c r="BY133" s="518"/>
      <c r="BZ133" s="518"/>
      <c r="CA133" s="518"/>
      <c r="CB133" s="518"/>
      <c r="CC133" s="518"/>
      <c r="CD133" s="518"/>
      <c r="CE133" s="518"/>
    </row>
    <row r="134" spans="1:83" ht="24.75" hidden="1" customHeight="1">
      <c r="A134" s="1649"/>
      <c r="B134" s="1023"/>
      <c r="C134" s="319"/>
      <c r="D134" s="3622"/>
      <c r="E134" s="3616" t="s">
        <v>875</v>
      </c>
      <c r="F134" s="3616"/>
      <c r="G134" s="3616"/>
      <c r="H134" s="3616"/>
      <c r="I134" s="3616"/>
      <c r="J134" s="3616"/>
      <c r="K134" s="3616"/>
      <c r="L134" s="3616"/>
      <c r="M134" s="3616"/>
      <c r="N134" s="3616"/>
      <c r="O134" s="3616"/>
      <c r="P134" s="3616"/>
      <c r="Q134" s="455">
        <f>SUMIF(T135:T136,"i",Q135:Q136)</f>
        <v>0</v>
      </c>
      <c r="R134" s="887"/>
      <c r="S134" s="1641" t="s">
        <v>876</v>
      </c>
      <c r="T134" s="607" t="s">
        <v>877</v>
      </c>
      <c r="U134" s="3532">
        <v>1</v>
      </c>
      <c r="V134" s="3532" t="s">
        <v>840</v>
      </c>
      <c r="W134" s="1023"/>
      <c r="X134" s="1023"/>
      <c r="Y134" s="1023"/>
      <c r="Z134" s="1023"/>
      <c r="AA134" s="1481"/>
      <c r="AB134" s="1023"/>
      <c r="AC134" s="3617"/>
      <c r="AD134" s="521"/>
      <c r="AE134" s="1023"/>
      <c r="AF134" s="1023"/>
      <c r="AG134" s="1481"/>
      <c r="AH134" s="1481"/>
      <c r="AI134" s="1481"/>
      <c r="AJ134" s="1481"/>
      <c r="AK134" s="1481"/>
      <c r="AL134" s="1481"/>
      <c r="AM134" s="1481"/>
      <c r="AN134" s="1481"/>
      <c r="AO134" s="1481"/>
      <c r="AP134" s="1481"/>
      <c r="AQ134" s="1481"/>
      <c r="AR134" s="1481"/>
      <c r="AS134" s="1481"/>
      <c r="AT134" s="1481"/>
      <c r="AU134" s="1481"/>
      <c r="AV134" s="1481"/>
      <c r="AW134" s="1481"/>
      <c r="AX134" s="1481"/>
      <c r="AY134" s="1481"/>
      <c r="AZ134" s="1481"/>
      <c r="BA134" s="1481"/>
      <c r="BB134" s="1481"/>
      <c r="BC134" s="1481"/>
      <c r="BD134" s="1481"/>
      <c r="BE134" s="1481"/>
      <c r="BF134" s="1481"/>
      <c r="BG134" s="1481"/>
      <c r="BH134" s="1481"/>
      <c r="BI134" s="1481"/>
      <c r="BJ134" s="1481"/>
      <c r="BK134" s="1481"/>
      <c r="BL134" s="1481"/>
      <c r="BM134" s="1481"/>
      <c r="BN134" s="1481"/>
      <c r="BO134" s="1481"/>
      <c r="BP134" s="1481"/>
      <c r="BQ134" s="1481"/>
      <c r="BR134" s="1481"/>
      <c r="BS134" s="1481"/>
      <c r="BT134" s="1481"/>
      <c r="BU134" s="1481"/>
      <c r="BV134" s="1023"/>
      <c r="BW134" s="1023"/>
      <c r="BX134" s="1023"/>
      <c r="BY134" s="1023"/>
      <c r="BZ134" s="1023"/>
      <c r="CA134" s="1023"/>
      <c r="CB134" s="1023"/>
      <c r="CC134" s="1023"/>
      <c r="CD134" s="1023"/>
      <c r="CE134" s="1023"/>
    </row>
    <row r="135" spans="1:83" ht="11.25" hidden="1" customHeight="1">
      <c r="A135" s="1636"/>
      <c r="B135" s="1481"/>
      <c r="C135" s="1481"/>
      <c r="D135" s="3622"/>
      <c r="E135" s="527"/>
      <c r="F135" s="527">
        <v>0</v>
      </c>
      <c r="G135" s="527"/>
      <c r="H135" s="527"/>
      <c r="I135" s="527"/>
      <c r="J135" s="527"/>
      <c r="K135" s="527"/>
      <c r="L135" s="527"/>
      <c r="M135" s="527"/>
      <c r="N135" s="527"/>
      <c r="O135" s="527"/>
      <c r="P135" s="527"/>
      <c r="Q135" s="527"/>
      <c r="R135" s="527"/>
      <c r="S135" s="528"/>
      <c r="T135" s="608"/>
      <c r="U135" s="3532"/>
      <c r="V135" s="3532"/>
      <c r="W135" s="1481"/>
      <c r="X135" s="1481"/>
      <c r="Y135" s="1481"/>
      <c r="Z135" s="1481"/>
      <c r="AA135" s="1481"/>
      <c r="AB135" s="1023"/>
      <c r="AC135" s="3617"/>
      <c r="AD135" s="521"/>
      <c r="AE135" s="1023"/>
      <c r="AF135" s="1023"/>
      <c r="AG135" s="1481"/>
      <c r="AH135" s="1481"/>
      <c r="AI135" s="1481"/>
      <c r="AJ135" s="1481"/>
      <c r="AK135" s="1481"/>
      <c r="AL135" s="1481"/>
      <c r="AM135" s="1481"/>
      <c r="AN135" s="1481"/>
      <c r="AO135" s="1481"/>
      <c r="AP135" s="1481"/>
      <c r="AQ135" s="1481"/>
      <c r="AR135" s="1481"/>
      <c r="AS135" s="1481"/>
      <c r="AT135" s="1481"/>
      <c r="AU135" s="1481"/>
      <c r="AV135" s="1481"/>
      <c r="AW135" s="1481"/>
      <c r="AX135" s="1481"/>
      <c r="AY135" s="1481"/>
      <c r="AZ135" s="1481"/>
      <c r="BA135" s="1481"/>
      <c r="BB135" s="1481"/>
      <c r="BC135" s="1481"/>
      <c r="BD135" s="1481"/>
      <c r="BE135" s="1481"/>
      <c r="BF135" s="1481"/>
      <c r="BG135" s="1481"/>
      <c r="BH135" s="1481"/>
      <c r="BI135" s="1481"/>
      <c r="BJ135" s="1481"/>
      <c r="BK135" s="1481"/>
      <c r="BL135" s="1481"/>
      <c r="BM135" s="1481"/>
      <c r="BN135" s="1481"/>
      <c r="BO135" s="1481"/>
      <c r="BP135" s="1481"/>
      <c r="BQ135" s="1481"/>
      <c r="BR135" s="1481"/>
      <c r="BS135" s="1481"/>
      <c r="BT135" s="1481"/>
      <c r="BU135" s="1481"/>
      <c r="BV135" s="1481"/>
      <c r="BW135" s="1481"/>
      <c r="BX135" s="1481"/>
      <c r="BY135" s="1481"/>
      <c r="BZ135" s="1481"/>
      <c r="CA135" s="1481"/>
      <c r="CB135" s="1481"/>
      <c r="CC135" s="1481"/>
      <c r="CD135" s="1481"/>
      <c r="CE135" s="1481"/>
    </row>
    <row r="136" spans="1:83" ht="11.25" hidden="1" customHeight="1">
      <c r="A136" s="1649"/>
      <c r="B136" s="1023"/>
      <c r="C136" s="319"/>
      <c r="D136" s="3622"/>
      <c r="E136" s="541" t="s">
        <v>18</v>
      </c>
      <c r="F136" s="1031" t="s">
        <v>18</v>
      </c>
      <c r="G136" s="1031" t="s">
        <v>880</v>
      </c>
      <c r="H136" s="543" t="s">
        <v>18</v>
      </c>
      <c r="I136" s="543"/>
      <c r="J136" s="543"/>
      <c r="K136" s="543"/>
      <c r="L136" s="543"/>
      <c r="M136" s="543"/>
      <c r="N136" s="543"/>
      <c r="O136" s="543"/>
      <c r="P136" s="543"/>
      <c r="Q136" s="543"/>
      <c r="R136" s="544"/>
      <c r="S136" s="545"/>
      <c r="T136" s="608"/>
      <c r="U136" s="3532"/>
      <c r="V136" s="3532"/>
      <c r="W136" s="1023"/>
      <c r="X136" s="1023"/>
      <c r="Y136" s="1023"/>
      <c r="Z136" s="1023"/>
      <c r="AA136" s="1481"/>
      <c r="AB136" s="1023"/>
      <c r="AC136" s="3617"/>
      <c r="AD136" s="521"/>
      <c r="AE136" s="1023"/>
      <c r="AF136" s="1023"/>
      <c r="AG136" s="1481"/>
      <c r="AH136" s="1481"/>
      <c r="AI136" s="1481"/>
      <c r="AJ136" s="1481"/>
      <c r="AK136" s="1481"/>
      <c r="AL136" s="1481"/>
      <c r="AM136" s="1481"/>
      <c r="AN136" s="1481"/>
      <c r="AO136" s="1481"/>
      <c r="AP136" s="1481"/>
      <c r="AQ136" s="1481"/>
      <c r="AR136" s="1481"/>
      <c r="AS136" s="1481"/>
      <c r="AT136" s="1481"/>
      <c r="AU136" s="1481"/>
      <c r="AV136" s="1481"/>
      <c r="AW136" s="1481"/>
      <c r="AX136" s="1481"/>
      <c r="AY136" s="1481"/>
      <c r="AZ136" s="1481"/>
      <c r="BA136" s="1481"/>
      <c r="BB136" s="1481"/>
      <c r="BC136" s="1481"/>
      <c r="BD136" s="1481"/>
      <c r="BE136" s="1481"/>
      <c r="BF136" s="1481"/>
      <c r="BG136" s="1481"/>
      <c r="BH136" s="1481"/>
      <c r="BI136" s="1481"/>
      <c r="BJ136" s="1481"/>
      <c r="BK136" s="1481"/>
      <c r="BL136" s="1481"/>
      <c r="BM136" s="1481"/>
      <c r="BN136" s="1481"/>
      <c r="BO136" s="1481"/>
      <c r="BP136" s="1481"/>
      <c r="BQ136" s="1481"/>
      <c r="BR136" s="1481"/>
      <c r="BS136" s="1481"/>
      <c r="BT136" s="1481"/>
      <c r="BU136" s="1481"/>
      <c r="BV136" s="1023"/>
      <c r="BW136" s="1023"/>
      <c r="BX136" s="1023"/>
      <c r="BY136" s="1023"/>
      <c r="BZ136" s="1023"/>
      <c r="CA136" s="1023"/>
      <c r="CB136" s="1023"/>
      <c r="CC136" s="1023"/>
      <c r="CD136" s="1023"/>
      <c r="CE136" s="1023"/>
    </row>
    <row r="137" spans="1:83" ht="5.25" hidden="1" customHeight="1">
      <c r="A137" s="1636"/>
      <c r="B137" s="1481"/>
      <c r="C137" s="1481"/>
      <c r="D137" s="3622"/>
      <c r="E137" s="909"/>
      <c r="F137" s="909"/>
      <c r="G137" s="909"/>
      <c r="H137" s="909"/>
      <c r="I137" s="909"/>
      <c r="J137" s="909"/>
      <c r="K137" s="909"/>
      <c r="L137" s="909"/>
      <c r="M137" s="909"/>
      <c r="N137" s="909"/>
      <c r="O137" s="909"/>
      <c r="P137" s="909"/>
      <c r="Q137" s="910"/>
      <c r="R137" s="911"/>
      <c r="S137" s="912"/>
      <c r="T137" s="607" t="s">
        <v>877</v>
      </c>
      <c r="U137" s="3532">
        <v>1</v>
      </c>
      <c r="V137" s="3532" t="s">
        <v>840</v>
      </c>
      <c r="W137" s="1481"/>
      <c r="X137" s="1481"/>
      <c r="Y137" s="1481"/>
      <c r="Z137" s="1481"/>
      <c r="AA137" s="1481"/>
      <c r="AB137" s="1481"/>
      <c r="AC137" s="907"/>
      <c r="AD137" s="908"/>
      <c r="AE137" s="1481"/>
      <c r="AF137" s="1481"/>
      <c r="AG137" s="1481"/>
      <c r="AH137" s="1481"/>
      <c r="AI137" s="1481"/>
      <c r="AJ137" s="1481"/>
      <c r="AK137" s="1481"/>
      <c r="AL137" s="1481"/>
      <c r="AM137" s="1481"/>
      <c r="AN137" s="1481"/>
      <c r="AO137" s="1481"/>
      <c r="AP137" s="1481"/>
      <c r="AQ137" s="1481"/>
      <c r="AR137" s="1481"/>
      <c r="AS137" s="1481"/>
      <c r="AT137" s="1481"/>
      <c r="AU137" s="1481"/>
      <c r="AV137" s="1481"/>
      <c r="AW137" s="1481"/>
      <c r="AX137" s="1481"/>
      <c r="AY137" s="1481"/>
      <c r="AZ137" s="1481"/>
      <c r="BA137" s="1481"/>
      <c r="BB137" s="1481"/>
      <c r="BC137" s="1481"/>
      <c r="BD137" s="1481"/>
      <c r="BE137" s="1481"/>
      <c r="BF137" s="1481"/>
      <c r="BG137" s="1481"/>
      <c r="BH137" s="1481"/>
      <c r="BI137" s="1481"/>
      <c r="BJ137" s="1481"/>
      <c r="BK137" s="1481"/>
      <c r="BL137" s="1481"/>
      <c r="BM137" s="1481"/>
      <c r="BN137" s="1481"/>
      <c r="BO137" s="1481"/>
      <c r="BP137" s="1481"/>
      <c r="BQ137" s="1481"/>
      <c r="BR137" s="1481"/>
      <c r="BS137" s="1481"/>
      <c r="BT137" s="1481"/>
      <c r="BU137" s="1481"/>
      <c r="BV137" s="1481"/>
      <c r="BW137" s="1481"/>
      <c r="BX137" s="1481"/>
      <c r="BY137" s="1481"/>
      <c r="BZ137" s="1481"/>
      <c r="CA137" s="1481"/>
      <c r="CB137" s="1481"/>
      <c r="CC137" s="1481"/>
      <c r="CD137" s="1481"/>
      <c r="CE137" s="1481"/>
    </row>
    <row r="138" spans="1:83" ht="5.25" hidden="1" customHeight="1">
      <c r="A138" s="1636"/>
      <c r="B138" s="1481"/>
      <c r="C138" s="1481"/>
      <c r="D138" s="3622"/>
      <c r="E138" s="527"/>
      <c r="F138" s="527"/>
      <c r="G138" s="527"/>
      <c r="H138" s="527"/>
      <c r="I138" s="527"/>
      <c r="J138" s="527"/>
      <c r="K138" s="527"/>
      <c r="L138" s="527"/>
      <c r="M138" s="527"/>
      <c r="N138" s="527"/>
      <c r="O138" s="527"/>
      <c r="P138" s="527"/>
      <c r="Q138" s="527"/>
      <c r="R138" s="527"/>
      <c r="S138" s="528"/>
      <c r="T138" s="608"/>
      <c r="U138" s="3532"/>
      <c r="V138" s="3532"/>
      <c r="W138" s="1481"/>
      <c r="X138" s="1481"/>
      <c r="Y138" s="1481"/>
      <c r="Z138" s="1481"/>
      <c r="AA138" s="1481"/>
      <c r="AB138" s="1481"/>
      <c r="AC138" s="907"/>
      <c r="AD138" s="908"/>
      <c r="AE138" s="1481"/>
      <c r="AF138" s="1481"/>
      <c r="AG138" s="1481"/>
      <c r="AH138" s="1481"/>
      <c r="AI138" s="1481"/>
      <c r="AJ138" s="1481"/>
      <c r="AK138" s="1481"/>
      <c r="AL138" s="1481"/>
      <c r="AM138" s="1481"/>
      <c r="AN138" s="1481"/>
      <c r="AO138" s="1481"/>
      <c r="AP138" s="1481"/>
      <c r="AQ138" s="1481"/>
      <c r="AR138" s="1481"/>
      <c r="AS138" s="1481"/>
      <c r="AT138" s="1481"/>
      <c r="AU138" s="1481"/>
      <c r="AV138" s="1481"/>
      <c r="AW138" s="1481"/>
      <c r="AX138" s="1481"/>
      <c r="AY138" s="1481"/>
      <c r="AZ138" s="1481"/>
      <c r="BA138" s="1481"/>
      <c r="BB138" s="1481"/>
      <c r="BC138" s="1481"/>
      <c r="BD138" s="1481"/>
      <c r="BE138" s="1481"/>
      <c r="BF138" s="1481"/>
      <c r="BG138" s="1481"/>
      <c r="BH138" s="1481"/>
      <c r="BI138" s="1481"/>
      <c r="BJ138" s="1481"/>
      <c r="BK138" s="1481"/>
      <c r="BL138" s="1481"/>
      <c r="BM138" s="1481"/>
      <c r="BN138" s="1481"/>
      <c r="BO138" s="1481"/>
      <c r="BP138" s="1481"/>
      <c r="BQ138" s="1481"/>
      <c r="BR138" s="1481"/>
      <c r="BS138" s="1481"/>
      <c r="BT138" s="1481"/>
      <c r="BU138" s="1481"/>
      <c r="BV138" s="1481"/>
      <c r="BW138" s="1481"/>
      <c r="BX138" s="1481"/>
      <c r="BY138" s="1481"/>
      <c r="BZ138" s="1481"/>
      <c r="CA138" s="1481"/>
      <c r="CB138" s="1481"/>
      <c r="CC138" s="1481"/>
      <c r="CD138" s="1481"/>
      <c r="CE138" s="1481"/>
    </row>
    <row r="139" spans="1:83" ht="5.25" hidden="1" customHeight="1">
      <c r="A139" s="1636"/>
      <c r="B139" s="1481"/>
      <c r="C139" s="1481"/>
      <c r="D139" s="3623"/>
      <c r="E139" s="913"/>
      <c r="F139" s="914"/>
      <c r="G139" s="914"/>
      <c r="H139" s="915"/>
      <c r="I139" s="915"/>
      <c r="J139" s="915"/>
      <c r="K139" s="915"/>
      <c r="L139" s="915"/>
      <c r="M139" s="915"/>
      <c r="N139" s="915"/>
      <c r="O139" s="915"/>
      <c r="P139" s="915"/>
      <c r="Q139" s="915"/>
      <c r="R139" s="818"/>
      <c r="S139" s="916"/>
      <c r="T139" s="608"/>
      <c r="U139" s="3532"/>
      <c r="V139" s="3532"/>
      <c r="W139" s="1481"/>
      <c r="X139" s="1481"/>
      <c r="Y139" s="1481"/>
      <c r="Z139" s="1481"/>
      <c r="AA139" s="1481"/>
      <c r="AB139" s="1481"/>
      <c r="AC139" s="907"/>
      <c r="AD139" s="908"/>
      <c r="AE139" s="1481"/>
      <c r="AF139" s="1481"/>
      <c r="AG139" s="1481"/>
      <c r="AH139" s="1481"/>
      <c r="AI139" s="1481"/>
      <c r="AJ139" s="1481"/>
      <c r="AK139" s="1481"/>
      <c r="AL139" s="1481"/>
      <c r="AM139" s="1481"/>
      <c r="AN139" s="1481"/>
      <c r="AO139" s="1481"/>
      <c r="AP139" s="1481"/>
      <c r="AQ139" s="1481"/>
      <c r="AR139" s="1481"/>
      <c r="AS139" s="1481"/>
      <c r="AT139" s="1481"/>
      <c r="AU139" s="1481"/>
      <c r="AV139" s="1481"/>
      <c r="AW139" s="1481"/>
      <c r="AX139" s="1481"/>
      <c r="AY139" s="1481"/>
      <c r="AZ139" s="1481"/>
      <c r="BA139" s="1481"/>
      <c r="BB139" s="1481"/>
      <c r="BC139" s="1481"/>
      <c r="BD139" s="1481"/>
      <c r="BE139" s="1481"/>
      <c r="BF139" s="1481"/>
      <c r="BG139" s="1481"/>
      <c r="BH139" s="1481"/>
      <c r="BI139" s="1481"/>
      <c r="BJ139" s="1481"/>
      <c r="BK139" s="1481"/>
      <c r="BL139" s="1481"/>
      <c r="BM139" s="1481"/>
      <c r="BN139" s="1481"/>
      <c r="BO139" s="1481"/>
      <c r="BP139" s="1481"/>
      <c r="BQ139" s="1481"/>
      <c r="BR139" s="1481"/>
      <c r="BS139" s="1481"/>
      <c r="BT139" s="1481"/>
      <c r="BU139" s="1481"/>
      <c r="BV139" s="1481"/>
      <c r="BW139" s="1481"/>
      <c r="BX139" s="1481"/>
      <c r="BY139" s="1481"/>
      <c r="BZ139" s="1481"/>
      <c r="CA139" s="1481"/>
      <c r="CB139" s="1481"/>
      <c r="CC139" s="1481"/>
      <c r="CD139" s="1481"/>
      <c r="CE139" s="1481"/>
    </row>
    <row r="140" spans="1:83" ht="15" hidden="1" customHeight="1">
      <c r="A140" s="516" t="s">
        <v>153</v>
      </c>
      <c r="B140"/>
      <c r="C140" t="s">
        <v>18</v>
      </c>
      <c r="D140" s="3621" t="s">
        <v>893</v>
      </c>
      <c r="E140" s="3618" t="s">
        <v>102</v>
      </c>
      <c r="F140" s="3619"/>
      <c r="G140" s="3620"/>
      <c r="H140" s="3614" t="str">
        <f>IF(A140="","",INDEX(DIFFERENTIATION_UNMERGE_VD,MATCH(A140,DIFFERENTIATION_ID_DIFF,0)))</f>
        <v>Производство тепловой энергии. Некомбинированная выработка</v>
      </c>
      <c r="I140" s="3614"/>
      <c r="J140" s="3614"/>
      <c r="K140" s="3614"/>
      <c r="L140" s="3614"/>
      <c r="M140" s="3614"/>
      <c r="N140" s="3614"/>
      <c r="O140" s="3614"/>
      <c r="P140" s="3614"/>
      <c r="Q140" s="3614"/>
      <c r="R140" s="3614"/>
      <c r="S140" s="609"/>
      <c r="T140" s="606"/>
      <c r="U140" s="517"/>
      <c r="V140" s="517"/>
      <c r="W140" s="518"/>
      <c r="X140" s="518"/>
      <c r="Y140" s="518"/>
      <c r="Z140" s="518"/>
      <c r="AA140" s="519"/>
      <c r="AB140" s="520"/>
      <c r="AC140" s="3617"/>
      <c r="AD140" s="521"/>
      <c r="AE140" s="522" t="s">
        <v>18</v>
      </c>
      <c r="AF140" s="522"/>
      <c r="AG140" s="523" t="s">
        <v>874</v>
      </c>
      <c r="AH140" s="524">
        <v>3</v>
      </c>
      <c r="AI140" s="517"/>
      <c r="AJ140" s="517"/>
      <c r="AK140" s="517"/>
      <c r="AL140" s="517"/>
      <c r="AM140" s="517"/>
      <c r="AN140" s="517"/>
      <c r="AO140" s="517"/>
      <c r="AP140" s="517"/>
      <c r="AQ140" s="517"/>
      <c r="AR140" s="517"/>
      <c r="AS140" s="517"/>
      <c r="AT140" s="517"/>
      <c r="AU140" s="517"/>
      <c r="AV140" s="517"/>
      <c r="AW140" s="517"/>
      <c r="AX140" s="517"/>
      <c r="AY140" s="517"/>
      <c r="AZ140" s="517"/>
      <c r="BA140" s="517"/>
      <c r="BB140" s="517"/>
      <c r="BC140" s="517"/>
      <c r="BD140" s="517"/>
      <c r="BE140" s="517"/>
      <c r="BF140" s="517"/>
      <c r="BG140" s="517"/>
      <c r="BH140" s="517"/>
      <c r="BI140" s="517"/>
      <c r="BJ140" s="517"/>
      <c r="BK140" s="517"/>
      <c r="BL140" s="517"/>
      <c r="BM140" s="517"/>
      <c r="BN140" s="517"/>
      <c r="BO140" s="517"/>
      <c r="BP140" s="517"/>
      <c r="BQ140" s="517"/>
      <c r="BR140" s="517"/>
      <c r="BS140" s="517"/>
      <c r="BT140" s="517"/>
      <c r="BU140" s="517"/>
      <c r="BV140" s="518"/>
      <c r="BW140" s="518"/>
      <c r="BX140" s="518"/>
      <c r="BY140" s="518"/>
      <c r="BZ140" s="518"/>
      <c r="CA140" s="518"/>
      <c r="CB140" s="518"/>
      <c r="CC140" s="518"/>
      <c r="CD140" s="518"/>
      <c r="CE140" s="518"/>
    </row>
    <row r="141" spans="1:83" ht="15" hidden="1" customHeight="1">
      <c r="A141" s="516"/>
      <c r="B141"/>
      <c r="C141"/>
      <c r="D141" s="3622"/>
      <c r="E141" s="3618" t="s">
        <v>829</v>
      </c>
      <c r="F141" s="3619"/>
      <c r="G141" s="3620"/>
      <c r="H141" s="3614" t="str">
        <f>IF(A140="","",INDEX(DIFFERENTIATION_UNMERGE_AREA,MATCH(A140,DIFFERENTIATION_ID_DIFF,0)))</f>
        <v>Территория 1</v>
      </c>
      <c r="I141" s="3614"/>
      <c r="J141" s="3614"/>
      <c r="K141" s="3614"/>
      <c r="L141" s="3614"/>
      <c r="M141" s="3614"/>
      <c r="N141" s="3614"/>
      <c r="O141" s="3614"/>
      <c r="P141" s="3614"/>
      <c r="Q141" s="3614"/>
      <c r="R141" s="3614"/>
      <c r="S141" s="609"/>
      <c r="T141" s="606"/>
      <c r="U141" s="517"/>
      <c r="V141" s="517"/>
      <c r="W141" s="518"/>
      <c r="X141" s="518"/>
      <c r="Y141" s="518"/>
      <c r="Z141" s="518"/>
      <c r="AA141" s="519"/>
      <c r="AB141" s="520"/>
      <c r="AC141" s="3617"/>
      <c r="AD141" s="521"/>
      <c r="AE141" s="522"/>
      <c r="AF141" s="522"/>
      <c r="AG141" s="523"/>
      <c r="AH141" s="524"/>
      <c r="AI141" s="517"/>
      <c r="AJ141" s="517"/>
      <c r="AK141" s="517"/>
      <c r="AL141" s="517"/>
      <c r="AM141" s="517"/>
      <c r="AN141" s="517"/>
      <c r="AO141" s="517"/>
      <c r="AP141" s="517"/>
      <c r="AQ141" s="517"/>
      <c r="AR141" s="517"/>
      <c r="AS141" s="517"/>
      <c r="AT141" s="517"/>
      <c r="AU141" s="517"/>
      <c r="AV141" s="517"/>
      <c r="AW141" s="517"/>
      <c r="AX141" s="517"/>
      <c r="AY141" s="517"/>
      <c r="AZ141" s="517"/>
      <c r="BA141" s="517"/>
      <c r="BB141" s="517"/>
      <c r="BC141" s="517"/>
      <c r="BD141" s="517"/>
      <c r="BE141" s="517"/>
      <c r="BF141" s="517"/>
      <c r="BG141" s="517"/>
      <c r="BH141" s="517"/>
      <c r="BI141" s="517"/>
      <c r="BJ141" s="517"/>
      <c r="BK141" s="517"/>
      <c r="BL141" s="517"/>
      <c r="BM141" s="517"/>
      <c r="BN141" s="517"/>
      <c r="BO141" s="517"/>
      <c r="BP141" s="517"/>
      <c r="BQ141" s="517"/>
      <c r="BR141" s="517"/>
      <c r="BS141" s="517"/>
      <c r="BT141" s="517"/>
      <c r="BU141" s="517"/>
      <c r="BV141" s="518"/>
      <c r="BW141" s="518"/>
      <c r="BX141" s="518"/>
      <c r="BY141" s="518"/>
      <c r="BZ141" s="518"/>
      <c r="CA141" s="518"/>
      <c r="CB141" s="518"/>
      <c r="CC141" s="518"/>
      <c r="CD141" s="518"/>
      <c r="CE141" s="518"/>
    </row>
    <row r="142" spans="1:83" ht="15" hidden="1" customHeight="1">
      <c r="A142" s="516"/>
      <c r="B142"/>
      <c r="C142"/>
      <c r="D142" s="3622"/>
      <c r="E142" s="3618" t="s">
        <v>830</v>
      </c>
      <c r="F142" s="3619"/>
      <c r="G142" s="3620"/>
      <c r="H142" s="3614" t="str">
        <f>IF(A140="","",INDEX(DIFFERENTIATION_UNMERGE_SYSTEM,MATCH(A140,DIFFERENTIATION_ID_DIFF,0)))</f>
        <v>Комсомольская, 15а</v>
      </c>
      <c r="I142" s="3614"/>
      <c r="J142" s="3614"/>
      <c r="K142" s="3614"/>
      <c r="L142" s="3614"/>
      <c r="M142" s="3614"/>
      <c r="N142" s="3614"/>
      <c r="O142" s="3614"/>
      <c r="P142" s="3614"/>
      <c r="Q142" s="3614"/>
      <c r="R142" s="3614"/>
      <c r="S142" s="609"/>
      <c r="T142" s="606"/>
      <c r="U142" s="517"/>
      <c r="V142" s="517"/>
      <c r="W142" s="518"/>
      <c r="X142" s="518"/>
      <c r="Y142" s="518"/>
      <c r="Z142" s="518"/>
      <c r="AA142" s="519"/>
      <c r="AB142" s="520"/>
      <c r="AC142" s="3617"/>
      <c r="AD142" s="521"/>
      <c r="AE142" s="522"/>
      <c r="AF142" s="522"/>
      <c r="AG142" s="523"/>
      <c r="AH142" s="524"/>
      <c r="AI142" s="517"/>
      <c r="AJ142" s="517"/>
      <c r="AK142" s="517"/>
      <c r="AL142" s="517"/>
      <c r="AM142" s="517"/>
      <c r="AN142" s="517"/>
      <c r="AO142" s="517"/>
      <c r="AP142" s="517"/>
      <c r="AQ142" s="517"/>
      <c r="AR142" s="517"/>
      <c r="AS142" s="517"/>
      <c r="AT142" s="517"/>
      <c r="AU142" s="517"/>
      <c r="AV142" s="517"/>
      <c r="AW142" s="517"/>
      <c r="AX142" s="517"/>
      <c r="AY142" s="517"/>
      <c r="AZ142" s="517"/>
      <c r="BA142" s="517"/>
      <c r="BB142" s="517"/>
      <c r="BC142" s="517"/>
      <c r="BD142" s="517"/>
      <c r="BE142" s="517"/>
      <c r="BF142" s="517"/>
      <c r="BG142" s="517"/>
      <c r="BH142" s="517"/>
      <c r="BI142" s="517"/>
      <c r="BJ142" s="517"/>
      <c r="BK142" s="517"/>
      <c r="BL142" s="517"/>
      <c r="BM142" s="517"/>
      <c r="BN142" s="517"/>
      <c r="BO142" s="517"/>
      <c r="BP142" s="517"/>
      <c r="BQ142" s="517"/>
      <c r="BR142" s="517"/>
      <c r="BS142" s="517"/>
      <c r="BT142" s="517"/>
      <c r="BU142" s="517"/>
      <c r="BV142" s="518"/>
      <c r="BW142" s="518"/>
      <c r="BX142" s="518"/>
      <c r="BY142" s="518"/>
      <c r="BZ142" s="518"/>
      <c r="CA142" s="518"/>
      <c r="CB142" s="518"/>
      <c r="CC142" s="518"/>
      <c r="CD142" s="518"/>
      <c r="CE142" s="518"/>
    </row>
    <row r="143" spans="1:83" ht="24.75" hidden="1" customHeight="1">
      <c r="A143" s="1649"/>
      <c r="B143" s="1023"/>
      <c r="C143" s="319"/>
      <c r="D143" s="3622"/>
      <c r="E143" s="3616" t="s">
        <v>875</v>
      </c>
      <c r="F143" s="3616"/>
      <c r="G143" s="3616"/>
      <c r="H143" s="3616"/>
      <c r="I143" s="3616"/>
      <c r="J143" s="3616"/>
      <c r="K143" s="3616"/>
      <c r="L143" s="3616"/>
      <c r="M143" s="3616"/>
      <c r="N143" s="3616"/>
      <c r="O143" s="3616"/>
      <c r="P143" s="3616"/>
      <c r="Q143" s="455">
        <f>SUMIF(T144:T145,"i",Q144:Q145)</f>
        <v>0</v>
      </c>
      <c r="R143" s="887"/>
      <c r="S143" s="1641" t="s">
        <v>876</v>
      </c>
      <c r="T143" s="607" t="s">
        <v>877</v>
      </c>
      <c r="U143" s="3532">
        <v>1</v>
      </c>
      <c r="V143" s="3532" t="s">
        <v>840</v>
      </c>
      <c r="W143" s="1023"/>
      <c r="X143" s="1023"/>
      <c r="Y143" s="1023"/>
      <c r="Z143" s="1023"/>
      <c r="AA143" s="1481"/>
      <c r="AB143" s="1023"/>
      <c r="AC143" s="3617"/>
      <c r="AD143" s="521"/>
      <c r="AE143" s="1023"/>
      <c r="AF143" s="1023"/>
      <c r="AG143" s="1481"/>
      <c r="AH143" s="1481"/>
      <c r="AI143" s="1481"/>
      <c r="AJ143" s="1481"/>
      <c r="AK143" s="1481"/>
      <c r="AL143" s="1481"/>
      <c r="AM143" s="1481"/>
      <c r="AN143" s="1481"/>
      <c r="AO143" s="1481"/>
      <c r="AP143" s="1481"/>
      <c r="AQ143" s="1481"/>
      <c r="AR143" s="1481"/>
      <c r="AS143" s="1481"/>
      <c r="AT143" s="1481"/>
      <c r="AU143" s="1481"/>
      <c r="AV143" s="1481"/>
      <c r="AW143" s="1481"/>
      <c r="AX143" s="1481"/>
      <c r="AY143" s="1481"/>
      <c r="AZ143" s="1481"/>
      <c r="BA143" s="1481"/>
      <c r="BB143" s="1481"/>
      <c r="BC143" s="1481"/>
      <c r="BD143" s="1481"/>
      <c r="BE143" s="1481"/>
      <c r="BF143" s="1481"/>
      <c r="BG143" s="1481"/>
      <c r="BH143" s="1481"/>
      <c r="BI143" s="1481"/>
      <c r="BJ143" s="1481"/>
      <c r="BK143" s="1481"/>
      <c r="BL143" s="1481"/>
      <c r="BM143" s="1481"/>
      <c r="BN143" s="1481"/>
      <c r="BO143" s="1481"/>
      <c r="BP143" s="1481"/>
      <c r="BQ143" s="1481"/>
      <c r="BR143" s="1481"/>
      <c r="BS143" s="1481"/>
      <c r="BT143" s="1481"/>
      <c r="BU143" s="1481"/>
      <c r="BV143" s="1023"/>
      <c r="BW143" s="1023"/>
      <c r="BX143" s="1023"/>
      <c r="BY143" s="1023"/>
      <c r="BZ143" s="1023"/>
      <c r="CA143" s="1023"/>
      <c r="CB143" s="1023"/>
      <c r="CC143" s="1023"/>
      <c r="CD143" s="1023"/>
      <c r="CE143" s="1023"/>
    </row>
    <row r="144" spans="1:83" ht="11.25" hidden="1" customHeight="1">
      <c r="A144" s="1636"/>
      <c r="B144" s="1481"/>
      <c r="C144" s="1481"/>
      <c r="D144" s="3622"/>
      <c r="E144" s="527"/>
      <c r="F144" s="527">
        <v>0</v>
      </c>
      <c r="G144" s="527"/>
      <c r="H144" s="527"/>
      <c r="I144" s="527"/>
      <c r="J144" s="527"/>
      <c r="K144" s="527"/>
      <c r="L144" s="527"/>
      <c r="M144" s="527"/>
      <c r="N144" s="527"/>
      <c r="O144" s="527"/>
      <c r="P144" s="527"/>
      <c r="Q144" s="527"/>
      <c r="R144" s="527"/>
      <c r="S144" s="528"/>
      <c r="T144" s="608"/>
      <c r="U144" s="3532"/>
      <c r="V144" s="3532"/>
      <c r="W144" s="1481"/>
      <c r="X144" s="1481"/>
      <c r="Y144" s="1481"/>
      <c r="Z144" s="1481"/>
      <c r="AA144" s="1481"/>
      <c r="AB144" s="1023"/>
      <c r="AC144" s="3617"/>
      <c r="AD144" s="521"/>
      <c r="AE144" s="1023"/>
      <c r="AF144" s="1023"/>
      <c r="AG144" s="1481"/>
      <c r="AH144" s="1481"/>
      <c r="AI144" s="1481"/>
      <c r="AJ144" s="1481"/>
      <c r="AK144" s="1481"/>
      <c r="AL144" s="1481"/>
      <c r="AM144" s="1481"/>
      <c r="AN144" s="1481"/>
      <c r="AO144" s="1481"/>
      <c r="AP144" s="1481"/>
      <c r="AQ144" s="1481"/>
      <c r="AR144" s="1481"/>
      <c r="AS144" s="1481"/>
      <c r="AT144" s="1481"/>
      <c r="AU144" s="1481"/>
      <c r="AV144" s="1481"/>
      <c r="AW144" s="1481"/>
      <c r="AX144" s="1481"/>
      <c r="AY144" s="1481"/>
      <c r="AZ144" s="1481"/>
      <c r="BA144" s="1481"/>
      <c r="BB144" s="1481"/>
      <c r="BC144" s="1481"/>
      <c r="BD144" s="1481"/>
      <c r="BE144" s="1481"/>
      <c r="BF144" s="1481"/>
      <c r="BG144" s="1481"/>
      <c r="BH144" s="1481"/>
      <c r="BI144" s="1481"/>
      <c r="BJ144" s="1481"/>
      <c r="BK144" s="1481"/>
      <c r="BL144" s="1481"/>
      <c r="BM144" s="1481"/>
      <c r="BN144" s="1481"/>
      <c r="BO144" s="1481"/>
      <c r="BP144" s="1481"/>
      <c r="BQ144" s="1481"/>
      <c r="BR144" s="1481"/>
      <c r="BS144" s="1481"/>
      <c r="BT144" s="1481"/>
      <c r="BU144" s="1481"/>
      <c r="BV144" s="1481"/>
      <c r="BW144" s="1481"/>
      <c r="BX144" s="1481"/>
      <c r="BY144" s="1481"/>
      <c r="BZ144" s="1481"/>
      <c r="CA144" s="1481"/>
      <c r="CB144" s="1481"/>
      <c r="CC144" s="1481"/>
      <c r="CD144" s="1481"/>
      <c r="CE144" s="1481"/>
    </row>
    <row r="145" spans="1:83" ht="11.25" hidden="1" customHeight="1">
      <c r="A145" s="1649"/>
      <c r="B145" s="1023"/>
      <c r="C145" s="319"/>
      <c r="D145" s="3622"/>
      <c r="E145" s="541" t="s">
        <v>18</v>
      </c>
      <c r="F145" s="1031" t="s">
        <v>18</v>
      </c>
      <c r="G145" s="1031" t="s">
        <v>880</v>
      </c>
      <c r="H145" s="543" t="s">
        <v>18</v>
      </c>
      <c r="I145" s="543"/>
      <c r="J145" s="543"/>
      <c r="K145" s="543"/>
      <c r="L145" s="543"/>
      <c r="M145" s="543"/>
      <c r="N145" s="543"/>
      <c r="O145" s="543"/>
      <c r="P145" s="543"/>
      <c r="Q145" s="543"/>
      <c r="R145" s="544"/>
      <c r="S145" s="545"/>
      <c r="T145" s="608"/>
      <c r="U145" s="3532"/>
      <c r="V145" s="3532"/>
      <c r="W145" s="1023"/>
      <c r="X145" s="1023"/>
      <c r="Y145" s="1023"/>
      <c r="Z145" s="1023"/>
      <c r="AA145" s="1481"/>
      <c r="AB145" s="1023"/>
      <c r="AC145" s="3617"/>
      <c r="AD145" s="521"/>
      <c r="AE145" s="1023"/>
      <c r="AF145" s="1023"/>
      <c r="AG145" s="1481"/>
      <c r="AH145" s="1481"/>
      <c r="AI145" s="1481"/>
      <c r="AJ145" s="1481"/>
      <c r="AK145" s="1481"/>
      <c r="AL145" s="1481"/>
      <c r="AM145" s="1481"/>
      <c r="AN145" s="1481"/>
      <c r="AO145" s="1481"/>
      <c r="AP145" s="1481"/>
      <c r="AQ145" s="1481"/>
      <c r="AR145" s="1481"/>
      <c r="AS145" s="1481"/>
      <c r="AT145" s="1481"/>
      <c r="AU145" s="1481"/>
      <c r="AV145" s="1481"/>
      <c r="AW145" s="1481"/>
      <c r="AX145" s="1481"/>
      <c r="AY145" s="1481"/>
      <c r="AZ145" s="1481"/>
      <c r="BA145" s="1481"/>
      <c r="BB145" s="1481"/>
      <c r="BC145" s="1481"/>
      <c r="BD145" s="1481"/>
      <c r="BE145" s="1481"/>
      <c r="BF145" s="1481"/>
      <c r="BG145" s="1481"/>
      <c r="BH145" s="1481"/>
      <c r="BI145" s="1481"/>
      <c r="BJ145" s="1481"/>
      <c r="BK145" s="1481"/>
      <c r="BL145" s="1481"/>
      <c r="BM145" s="1481"/>
      <c r="BN145" s="1481"/>
      <c r="BO145" s="1481"/>
      <c r="BP145" s="1481"/>
      <c r="BQ145" s="1481"/>
      <c r="BR145" s="1481"/>
      <c r="BS145" s="1481"/>
      <c r="BT145" s="1481"/>
      <c r="BU145" s="1481"/>
      <c r="BV145" s="1023"/>
      <c r="BW145" s="1023"/>
      <c r="BX145" s="1023"/>
      <c r="BY145" s="1023"/>
      <c r="BZ145" s="1023"/>
      <c r="CA145" s="1023"/>
      <c r="CB145" s="1023"/>
      <c r="CC145" s="1023"/>
      <c r="CD145" s="1023"/>
      <c r="CE145" s="1023"/>
    </row>
    <row r="146" spans="1:83" ht="5.25" hidden="1" customHeight="1">
      <c r="A146" s="1636"/>
      <c r="B146" s="1481"/>
      <c r="C146" s="1481"/>
      <c r="D146" s="3622"/>
      <c r="E146" s="909"/>
      <c r="F146" s="909"/>
      <c r="G146" s="909"/>
      <c r="H146" s="909"/>
      <c r="I146" s="909"/>
      <c r="J146" s="909"/>
      <c r="K146" s="909"/>
      <c r="L146" s="909"/>
      <c r="M146" s="909"/>
      <c r="N146" s="909"/>
      <c r="O146" s="909"/>
      <c r="P146" s="909"/>
      <c r="Q146" s="910"/>
      <c r="R146" s="911"/>
      <c r="S146" s="912"/>
      <c r="T146" s="607" t="s">
        <v>877</v>
      </c>
      <c r="U146" s="3532">
        <v>1</v>
      </c>
      <c r="V146" s="3532" t="s">
        <v>840</v>
      </c>
      <c r="W146" s="1481"/>
      <c r="X146" s="1481"/>
      <c r="Y146" s="1481"/>
      <c r="Z146" s="1481"/>
      <c r="AA146" s="1481"/>
      <c r="AB146" s="1481"/>
      <c r="AC146" s="907"/>
      <c r="AD146" s="908"/>
      <c r="AE146" s="1481"/>
      <c r="AF146" s="1481"/>
      <c r="AG146" s="1481"/>
      <c r="AH146" s="1481"/>
      <c r="AI146" s="1481"/>
      <c r="AJ146" s="1481"/>
      <c r="AK146" s="1481"/>
      <c r="AL146" s="1481"/>
      <c r="AM146" s="1481"/>
      <c r="AN146" s="1481"/>
      <c r="AO146" s="1481"/>
      <c r="AP146" s="1481"/>
      <c r="AQ146" s="1481"/>
      <c r="AR146" s="1481"/>
      <c r="AS146" s="1481"/>
      <c r="AT146" s="1481"/>
      <c r="AU146" s="1481"/>
      <c r="AV146" s="1481"/>
      <c r="AW146" s="1481"/>
      <c r="AX146" s="1481"/>
      <c r="AY146" s="1481"/>
      <c r="AZ146" s="1481"/>
      <c r="BA146" s="1481"/>
      <c r="BB146" s="1481"/>
      <c r="BC146" s="1481"/>
      <c r="BD146" s="1481"/>
      <c r="BE146" s="1481"/>
      <c r="BF146" s="1481"/>
      <c r="BG146" s="1481"/>
      <c r="BH146" s="1481"/>
      <c r="BI146" s="1481"/>
      <c r="BJ146" s="1481"/>
      <c r="BK146" s="1481"/>
      <c r="BL146" s="1481"/>
      <c r="BM146" s="1481"/>
      <c r="BN146" s="1481"/>
      <c r="BO146" s="1481"/>
      <c r="BP146" s="1481"/>
      <c r="BQ146" s="1481"/>
      <c r="BR146" s="1481"/>
      <c r="BS146" s="1481"/>
      <c r="BT146" s="1481"/>
      <c r="BU146" s="1481"/>
      <c r="BV146" s="1481"/>
      <c r="BW146" s="1481"/>
      <c r="BX146" s="1481"/>
      <c r="BY146" s="1481"/>
      <c r="BZ146" s="1481"/>
      <c r="CA146" s="1481"/>
      <c r="CB146" s="1481"/>
      <c r="CC146" s="1481"/>
      <c r="CD146" s="1481"/>
      <c r="CE146" s="1481"/>
    </row>
    <row r="147" spans="1:83" ht="5.25" hidden="1" customHeight="1">
      <c r="A147" s="1636"/>
      <c r="B147" s="1481"/>
      <c r="C147" s="1481"/>
      <c r="D147" s="3622"/>
      <c r="E147" s="527"/>
      <c r="F147" s="527"/>
      <c r="G147" s="527"/>
      <c r="H147" s="527"/>
      <c r="I147" s="527"/>
      <c r="J147" s="527"/>
      <c r="K147" s="527"/>
      <c r="L147" s="527"/>
      <c r="M147" s="527"/>
      <c r="N147" s="527"/>
      <c r="O147" s="527"/>
      <c r="P147" s="527"/>
      <c r="Q147" s="527"/>
      <c r="R147" s="527"/>
      <c r="S147" s="528"/>
      <c r="T147" s="608"/>
      <c r="U147" s="3532"/>
      <c r="V147" s="3532"/>
      <c r="W147" s="1481"/>
      <c r="X147" s="1481"/>
      <c r="Y147" s="1481"/>
      <c r="Z147" s="1481"/>
      <c r="AA147" s="1481"/>
      <c r="AB147" s="1481"/>
      <c r="AC147" s="907"/>
      <c r="AD147" s="908"/>
      <c r="AE147" s="1481"/>
      <c r="AF147" s="1481"/>
      <c r="AG147" s="1481"/>
      <c r="AH147" s="1481"/>
      <c r="AI147" s="1481"/>
      <c r="AJ147" s="1481"/>
      <c r="AK147" s="1481"/>
      <c r="AL147" s="1481"/>
      <c r="AM147" s="1481"/>
      <c r="AN147" s="1481"/>
      <c r="AO147" s="1481"/>
      <c r="AP147" s="1481"/>
      <c r="AQ147" s="1481"/>
      <c r="AR147" s="1481"/>
      <c r="AS147" s="1481"/>
      <c r="AT147" s="1481"/>
      <c r="AU147" s="1481"/>
      <c r="AV147" s="1481"/>
      <c r="AW147" s="1481"/>
      <c r="AX147" s="1481"/>
      <c r="AY147" s="1481"/>
      <c r="AZ147" s="1481"/>
      <c r="BA147" s="1481"/>
      <c r="BB147" s="1481"/>
      <c r="BC147" s="1481"/>
      <c r="BD147" s="1481"/>
      <c r="BE147" s="1481"/>
      <c r="BF147" s="1481"/>
      <c r="BG147" s="1481"/>
      <c r="BH147" s="1481"/>
      <c r="BI147" s="1481"/>
      <c r="BJ147" s="1481"/>
      <c r="BK147" s="1481"/>
      <c r="BL147" s="1481"/>
      <c r="BM147" s="1481"/>
      <c r="BN147" s="1481"/>
      <c r="BO147" s="1481"/>
      <c r="BP147" s="1481"/>
      <c r="BQ147" s="1481"/>
      <c r="BR147" s="1481"/>
      <c r="BS147" s="1481"/>
      <c r="BT147" s="1481"/>
      <c r="BU147" s="1481"/>
      <c r="BV147" s="1481"/>
      <c r="BW147" s="1481"/>
      <c r="BX147" s="1481"/>
      <c r="BY147" s="1481"/>
      <c r="BZ147" s="1481"/>
      <c r="CA147" s="1481"/>
      <c r="CB147" s="1481"/>
      <c r="CC147" s="1481"/>
      <c r="CD147" s="1481"/>
      <c r="CE147" s="1481"/>
    </row>
    <row r="148" spans="1:83" ht="5.25" hidden="1" customHeight="1">
      <c r="A148" s="1636"/>
      <c r="B148" s="1481"/>
      <c r="C148" s="1481"/>
      <c r="D148" s="3623"/>
      <c r="E148" s="913"/>
      <c r="F148" s="914"/>
      <c r="G148" s="914"/>
      <c r="H148" s="915"/>
      <c r="I148" s="915"/>
      <c r="J148" s="915"/>
      <c r="K148" s="915"/>
      <c r="L148" s="915"/>
      <c r="M148" s="915"/>
      <c r="N148" s="915"/>
      <c r="O148" s="915"/>
      <c r="P148" s="915"/>
      <c r="Q148" s="915"/>
      <c r="R148" s="818"/>
      <c r="S148" s="916"/>
      <c r="T148" s="608"/>
      <c r="U148" s="3532"/>
      <c r="V148" s="3532"/>
      <c r="W148" s="1481"/>
      <c r="X148" s="1481"/>
      <c r="Y148" s="1481"/>
      <c r="Z148" s="1481"/>
      <c r="AA148" s="1481"/>
      <c r="AB148" s="1481"/>
      <c r="AC148" s="907"/>
      <c r="AD148" s="908"/>
      <c r="AE148" s="1481"/>
      <c r="AF148" s="1481"/>
      <c r="AG148" s="1481"/>
      <c r="AH148" s="1481"/>
      <c r="AI148" s="1481"/>
      <c r="AJ148" s="1481"/>
      <c r="AK148" s="1481"/>
      <c r="AL148" s="1481"/>
      <c r="AM148" s="1481"/>
      <c r="AN148" s="1481"/>
      <c r="AO148" s="1481"/>
      <c r="AP148" s="1481"/>
      <c r="AQ148" s="1481"/>
      <c r="AR148" s="1481"/>
      <c r="AS148" s="1481"/>
      <c r="AT148" s="1481"/>
      <c r="AU148" s="1481"/>
      <c r="AV148" s="1481"/>
      <c r="AW148" s="1481"/>
      <c r="AX148" s="1481"/>
      <c r="AY148" s="1481"/>
      <c r="AZ148" s="1481"/>
      <c r="BA148" s="1481"/>
      <c r="BB148" s="1481"/>
      <c r="BC148" s="1481"/>
      <c r="BD148" s="1481"/>
      <c r="BE148" s="1481"/>
      <c r="BF148" s="1481"/>
      <c r="BG148" s="1481"/>
      <c r="BH148" s="1481"/>
      <c r="BI148" s="1481"/>
      <c r="BJ148" s="1481"/>
      <c r="BK148" s="1481"/>
      <c r="BL148" s="1481"/>
      <c r="BM148" s="1481"/>
      <c r="BN148" s="1481"/>
      <c r="BO148" s="1481"/>
      <c r="BP148" s="1481"/>
      <c r="BQ148" s="1481"/>
      <c r="BR148" s="1481"/>
      <c r="BS148" s="1481"/>
      <c r="BT148" s="1481"/>
      <c r="BU148" s="1481"/>
      <c r="BV148" s="1481"/>
      <c r="BW148" s="1481"/>
      <c r="BX148" s="1481"/>
      <c r="BY148" s="1481"/>
      <c r="BZ148" s="1481"/>
      <c r="CA148" s="1481"/>
      <c r="CB148" s="1481"/>
      <c r="CC148" s="1481"/>
      <c r="CD148" s="1481"/>
      <c r="CE148" s="1481"/>
    </row>
    <row r="149" spans="1:83" ht="15" hidden="1" customHeight="1">
      <c r="A149" s="516" t="s">
        <v>156</v>
      </c>
      <c r="B149"/>
      <c r="C149" t="s">
        <v>18</v>
      </c>
      <c r="D149" s="3621" t="s">
        <v>894</v>
      </c>
      <c r="E149" s="3618" t="s">
        <v>102</v>
      </c>
      <c r="F149" s="3619"/>
      <c r="G149" s="3620"/>
      <c r="H149" s="3614" t="str">
        <f>IF(A149="","",INDEX(DIFFERENTIATION_UNMERGE_VD,MATCH(A149,DIFFERENTIATION_ID_DIFF,0)))</f>
        <v>Производство тепловой энергии. Некомбинированная выработка</v>
      </c>
      <c r="I149" s="3614"/>
      <c r="J149" s="3614"/>
      <c r="K149" s="3614"/>
      <c r="L149" s="3614"/>
      <c r="M149" s="3614"/>
      <c r="N149" s="3614"/>
      <c r="O149" s="3614"/>
      <c r="P149" s="3614"/>
      <c r="Q149" s="3614"/>
      <c r="R149" s="3614"/>
      <c r="S149" s="609"/>
      <c r="T149" s="606"/>
      <c r="U149" s="517"/>
      <c r="V149" s="517"/>
      <c r="W149" s="518"/>
      <c r="X149" s="518"/>
      <c r="Y149" s="518"/>
      <c r="Z149" s="518"/>
      <c r="AA149" s="519"/>
      <c r="AB149" s="520"/>
      <c r="AC149" s="3617"/>
      <c r="AD149" s="521"/>
      <c r="AE149" s="522" t="s">
        <v>18</v>
      </c>
      <c r="AF149" s="522"/>
      <c r="AG149" s="523" t="s">
        <v>874</v>
      </c>
      <c r="AH149" s="524">
        <v>3</v>
      </c>
      <c r="AI149" s="517"/>
      <c r="AJ149" s="517"/>
      <c r="AK149" s="517"/>
      <c r="AL149" s="517"/>
      <c r="AM149" s="517"/>
      <c r="AN149" s="517"/>
      <c r="AO149" s="517"/>
      <c r="AP149" s="517"/>
      <c r="AQ149" s="517"/>
      <c r="AR149" s="517"/>
      <c r="AS149" s="517"/>
      <c r="AT149" s="517"/>
      <c r="AU149" s="517"/>
      <c r="AV149" s="517"/>
      <c r="AW149" s="517"/>
      <c r="AX149" s="517"/>
      <c r="AY149" s="517"/>
      <c r="AZ149" s="517"/>
      <c r="BA149" s="517"/>
      <c r="BB149" s="517"/>
      <c r="BC149" s="517"/>
      <c r="BD149" s="517"/>
      <c r="BE149" s="517"/>
      <c r="BF149" s="517"/>
      <c r="BG149" s="517"/>
      <c r="BH149" s="517"/>
      <c r="BI149" s="517"/>
      <c r="BJ149" s="517"/>
      <c r="BK149" s="517"/>
      <c r="BL149" s="517"/>
      <c r="BM149" s="517"/>
      <c r="BN149" s="517"/>
      <c r="BO149" s="517"/>
      <c r="BP149" s="517"/>
      <c r="BQ149" s="517"/>
      <c r="BR149" s="517"/>
      <c r="BS149" s="517"/>
      <c r="BT149" s="517"/>
      <c r="BU149" s="517"/>
      <c r="BV149" s="518"/>
      <c r="BW149" s="518"/>
      <c r="BX149" s="518"/>
      <c r="BY149" s="518"/>
      <c r="BZ149" s="518"/>
      <c r="CA149" s="518"/>
      <c r="CB149" s="518"/>
      <c r="CC149" s="518"/>
      <c r="CD149" s="518"/>
      <c r="CE149" s="518"/>
    </row>
    <row r="150" spans="1:83" ht="15" hidden="1" customHeight="1">
      <c r="A150" s="516"/>
      <c r="B150"/>
      <c r="C150"/>
      <c r="D150" s="3622"/>
      <c r="E150" s="3618" t="s">
        <v>829</v>
      </c>
      <c r="F150" s="3619"/>
      <c r="G150" s="3620"/>
      <c r="H150" s="3614" t="str">
        <f>IF(A149="","",INDEX(DIFFERENTIATION_UNMERGE_AREA,MATCH(A149,DIFFERENTIATION_ID_DIFF,0)))</f>
        <v>Территория 1</v>
      </c>
      <c r="I150" s="3614"/>
      <c r="J150" s="3614"/>
      <c r="K150" s="3614"/>
      <c r="L150" s="3614"/>
      <c r="M150" s="3614"/>
      <c r="N150" s="3614"/>
      <c r="O150" s="3614"/>
      <c r="P150" s="3614"/>
      <c r="Q150" s="3614"/>
      <c r="R150" s="3614"/>
      <c r="S150" s="609"/>
      <c r="T150" s="606"/>
      <c r="U150" s="517"/>
      <c r="V150" s="517"/>
      <c r="W150" s="518"/>
      <c r="X150" s="518"/>
      <c r="Y150" s="518"/>
      <c r="Z150" s="518"/>
      <c r="AA150" s="519"/>
      <c r="AB150" s="520"/>
      <c r="AC150" s="3617"/>
      <c r="AD150" s="521"/>
      <c r="AE150" s="522"/>
      <c r="AF150" s="522"/>
      <c r="AG150" s="523"/>
      <c r="AH150" s="524"/>
      <c r="AI150" s="517"/>
      <c r="AJ150" s="517"/>
      <c r="AK150" s="517"/>
      <c r="AL150" s="517"/>
      <c r="AM150" s="517"/>
      <c r="AN150" s="517"/>
      <c r="AO150" s="517"/>
      <c r="AP150" s="517"/>
      <c r="AQ150" s="517"/>
      <c r="AR150" s="517"/>
      <c r="AS150" s="517"/>
      <c r="AT150" s="517"/>
      <c r="AU150" s="517"/>
      <c r="AV150" s="517"/>
      <c r="AW150" s="517"/>
      <c r="AX150" s="517"/>
      <c r="AY150" s="517"/>
      <c r="AZ150" s="517"/>
      <c r="BA150" s="517"/>
      <c r="BB150" s="517"/>
      <c r="BC150" s="517"/>
      <c r="BD150" s="517"/>
      <c r="BE150" s="517"/>
      <c r="BF150" s="517"/>
      <c r="BG150" s="517"/>
      <c r="BH150" s="517"/>
      <c r="BI150" s="517"/>
      <c r="BJ150" s="517"/>
      <c r="BK150" s="517"/>
      <c r="BL150" s="517"/>
      <c r="BM150" s="517"/>
      <c r="BN150" s="517"/>
      <c r="BO150" s="517"/>
      <c r="BP150" s="517"/>
      <c r="BQ150" s="517"/>
      <c r="BR150" s="517"/>
      <c r="BS150" s="517"/>
      <c r="BT150" s="517"/>
      <c r="BU150" s="517"/>
      <c r="BV150" s="518"/>
      <c r="BW150" s="518"/>
      <c r="BX150" s="518"/>
      <c r="BY150" s="518"/>
      <c r="BZ150" s="518"/>
      <c r="CA150" s="518"/>
      <c r="CB150" s="518"/>
      <c r="CC150" s="518"/>
      <c r="CD150" s="518"/>
      <c r="CE150" s="518"/>
    </row>
    <row r="151" spans="1:83" ht="15" hidden="1" customHeight="1">
      <c r="A151" s="516"/>
      <c r="B151"/>
      <c r="C151"/>
      <c r="D151" s="3622"/>
      <c r="E151" s="3618" t="s">
        <v>830</v>
      </c>
      <c r="F151" s="3619"/>
      <c r="G151" s="3620"/>
      <c r="H151" s="3614" t="str">
        <f>IF(A149="","",INDEX(DIFFERENTIATION_UNMERGE_SYSTEM,MATCH(A149,DIFFERENTIATION_ID_DIFF,0)))</f>
        <v>Комсомольская, 119а</v>
      </c>
      <c r="I151" s="3614"/>
      <c r="J151" s="3614"/>
      <c r="K151" s="3614"/>
      <c r="L151" s="3614"/>
      <c r="M151" s="3614"/>
      <c r="N151" s="3614"/>
      <c r="O151" s="3614"/>
      <c r="P151" s="3614"/>
      <c r="Q151" s="3614"/>
      <c r="R151" s="3614"/>
      <c r="S151" s="609"/>
      <c r="T151" s="606"/>
      <c r="U151" s="517"/>
      <c r="V151" s="517"/>
      <c r="W151" s="518"/>
      <c r="X151" s="518"/>
      <c r="Y151" s="518"/>
      <c r="Z151" s="518"/>
      <c r="AA151" s="519"/>
      <c r="AB151" s="520"/>
      <c r="AC151" s="3617"/>
      <c r="AD151" s="521"/>
      <c r="AE151" s="522"/>
      <c r="AF151" s="522"/>
      <c r="AG151" s="523"/>
      <c r="AH151" s="524"/>
      <c r="AI151" s="517"/>
      <c r="AJ151" s="517"/>
      <c r="AK151" s="517"/>
      <c r="AL151" s="517"/>
      <c r="AM151" s="517"/>
      <c r="AN151" s="517"/>
      <c r="AO151" s="517"/>
      <c r="AP151" s="517"/>
      <c r="AQ151" s="517"/>
      <c r="AR151" s="517"/>
      <c r="AS151" s="517"/>
      <c r="AT151" s="517"/>
      <c r="AU151" s="517"/>
      <c r="AV151" s="517"/>
      <c r="AW151" s="517"/>
      <c r="AX151" s="517"/>
      <c r="AY151" s="517"/>
      <c r="AZ151" s="517"/>
      <c r="BA151" s="517"/>
      <c r="BB151" s="517"/>
      <c r="BC151" s="517"/>
      <c r="BD151" s="517"/>
      <c r="BE151" s="517"/>
      <c r="BF151" s="517"/>
      <c r="BG151" s="517"/>
      <c r="BH151" s="517"/>
      <c r="BI151" s="517"/>
      <c r="BJ151" s="517"/>
      <c r="BK151" s="517"/>
      <c r="BL151" s="517"/>
      <c r="BM151" s="517"/>
      <c r="BN151" s="517"/>
      <c r="BO151" s="517"/>
      <c r="BP151" s="517"/>
      <c r="BQ151" s="517"/>
      <c r="BR151" s="517"/>
      <c r="BS151" s="517"/>
      <c r="BT151" s="517"/>
      <c r="BU151" s="517"/>
      <c r="BV151" s="518"/>
      <c r="BW151" s="518"/>
      <c r="BX151" s="518"/>
      <c r="BY151" s="518"/>
      <c r="BZ151" s="518"/>
      <c r="CA151" s="518"/>
      <c r="CB151" s="518"/>
      <c r="CC151" s="518"/>
      <c r="CD151" s="518"/>
      <c r="CE151" s="518"/>
    </row>
    <row r="152" spans="1:83" ht="24.75" hidden="1" customHeight="1">
      <c r="A152" s="1649"/>
      <c r="B152" s="1023"/>
      <c r="C152" s="319"/>
      <c r="D152" s="3622"/>
      <c r="E152" s="3616" t="s">
        <v>875</v>
      </c>
      <c r="F152" s="3616"/>
      <c r="G152" s="3616"/>
      <c r="H152" s="3616"/>
      <c r="I152" s="3616"/>
      <c r="J152" s="3616"/>
      <c r="K152" s="3616"/>
      <c r="L152" s="3616"/>
      <c r="M152" s="3616"/>
      <c r="N152" s="3616"/>
      <c r="O152" s="3616"/>
      <c r="P152" s="3616"/>
      <c r="Q152" s="455">
        <f>SUMIF(T153:T154,"i",Q153:Q154)</f>
        <v>0</v>
      </c>
      <c r="R152" s="887"/>
      <c r="S152" s="1641" t="s">
        <v>876</v>
      </c>
      <c r="T152" s="607" t="s">
        <v>877</v>
      </c>
      <c r="U152" s="3532">
        <v>1</v>
      </c>
      <c r="V152" s="3532" t="s">
        <v>840</v>
      </c>
      <c r="W152" s="1023"/>
      <c r="X152" s="1023"/>
      <c r="Y152" s="1023"/>
      <c r="Z152" s="1023"/>
      <c r="AA152" s="1481"/>
      <c r="AB152" s="1023"/>
      <c r="AC152" s="3617"/>
      <c r="AD152" s="521"/>
      <c r="AE152" s="1023"/>
      <c r="AF152" s="1023"/>
      <c r="AG152" s="1481"/>
      <c r="AH152" s="1481"/>
      <c r="AI152" s="1481"/>
      <c r="AJ152" s="1481"/>
      <c r="AK152" s="1481"/>
      <c r="AL152" s="1481"/>
      <c r="AM152" s="1481"/>
      <c r="AN152" s="1481"/>
      <c r="AO152" s="1481"/>
      <c r="AP152" s="1481"/>
      <c r="AQ152" s="1481"/>
      <c r="AR152" s="1481"/>
      <c r="AS152" s="1481"/>
      <c r="AT152" s="1481"/>
      <c r="AU152" s="1481"/>
      <c r="AV152" s="1481"/>
      <c r="AW152" s="1481"/>
      <c r="AX152" s="1481"/>
      <c r="AY152" s="1481"/>
      <c r="AZ152" s="1481"/>
      <c r="BA152" s="1481"/>
      <c r="BB152" s="1481"/>
      <c r="BC152" s="1481"/>
      <c r="BD152" s="1481"/>
      <c r="BE152" s="1481"/>
      <c r="BF152" s="1481"/>
      <c r="BG152" s="1481"/>
      <c r="BH152" s="1481"/>
      <c r="BI152" s="1481"/>
      <c r="BJ152" s="1481"/>
      <c r="BK152" s="1481"/>
      <c r="BL152" s="1481"/>
      <c r="BM152" s="1481"/>
      <c r="BN152" s="1481"/>
      <c r="BO152" s="1481"/>
      <c r="BP152" s="1481"/>
      <c r="BQ152" s="1481"/>
      <c r="BR152" s="1481"/>
      <c r="BS152" s="1481"/>
      <c r="BT152" s="1481"/>
      <c r="BU152" s="1481"/>
      <c r="BV152" s="1023"/>
      <c r="BW152" s="1023"/>
      <c r="BX152" s="1023"/>
      <c r="BY152" s="1023"/>
      <c r="BZ152" s="1023"/>
      <c r="CA152" s="1023"/>
      <c r="CB152" s="1023"/>
      <c r="CC152" s="1023"/>
      <c r="CD152" s="1023"/>
      <c r="CE152" s="1023"/>
    </row>
    <row r="153" spans="1:83" ht="11.25" hidden="1" customHeight="1">
      <c r="A153" s="1636"/>
      <c r="B153" s="1481"/>
      <c r="C153" s="1481"/>
      <c r="D153" s="3622"/>
      <c r="E153" s="527"/>
      <c r="F153" s="527">
        <v>0</v>
      </c>
      <c r="G153" s="527"/>
      <c r="H153" s="527"/>
      <c r="I153" s="527"/>
      <c r="J153" s="527"/>
      <c r="K153" s="527"/>
      <c r="L153" s="527"/>
      <c r="M153" s="527"/>
      <c r="N153" s="527"/>
      <c r="O153" s="527"/>
      <c r="P153" s="527"/>
      <c r="Q153" s="527"/>
      <c r="R153" s="527"/>
      <c r="S153" s="528"/>
      <c r="T153" s="608"/>
      <c r="U153" s="3532"/>
      <c r="V153" s="3532"/>
      <c r="W153" s="1481"/>
      <c r="X153" s="1481"/>
      <c r="Y153" s="1481"/>
      <c r="Z153" s="1481"/>
      <c r="AA153" s="1481"/>
      <c r="AB153" s="1023"/>
      <c r="AC153" s="3617"/>
      <c r="AD153" s="521"/>
      <c r="AE153" s="1023"/>
      <c r="AF153" s="1023"/>
      <c r="AG153" s="1481"/>
      <c r="AH153" s="1481"/>
      <c r="AI153" s="1481"/>
      <c r="AJ153" s="1481"/>
      <c r="AK153" s="1481"/>
      <c r="AL153" s="1481"/>
      <c r="AM153" s="1481"/>
      <c r="AN153" s="1481"/>
      <c r="AO153" s="1481"/>
      <c r="AP153" s="1481"/>
      <c r="AQ153" s="1481"/>
      <c r="AR153" s="1481"/>
      <c r="AS153" s="1481"/>
      <c r="AT153" s="1481"/>
      <c r="AU153" s="1481"/>
      <c r="AV153" s="1481"/>
      <c r="AW153" s="1481"/>
      <c r="AX153" s="1481"/>
      <c r="AY153" s="1481"/>
      <c r="AZ153" s="1481"/>
      <c r="BA153" s="1481"/>
      <c r="BB153" s="1481"/>
      <c r="BC153" s="1481"/>
      <c r="BD153" s="1481"/>
      <c r="BE153" s="1481"/>
      <c r="BF153" s="1481"/>
      <c r="BG153" s="1481"/>
      <c r="BH153" s="1481"/>
      <c r="BI153" s="1481"/>
      <c r="BJ153" s="1481"/>
      <c r="BK153" s="1481"/>
      <c r="BL153" s="1481"/>
      <c r="BM153" s="1481"/>
      <c r="BN153" s="1481"/>
      <c r="BO153" s="1481"/>
      <c r="BP153" s="1481"/>
      <c r="BQ153" s="1481"/>
      <c r="BR153" s="1481"/>
      <c r="BS153" s="1481"/>
      <c r="BT153" s="1481"/>
      <c r="BU153" s="1481"/>
      <c r="BV153" s="1481"/>
      <c r="BW153" s="1481"/>
      <c r="BX153" s="1481"/>
      <c r="BY153" s="1481"/>
      <c r="BZ153" s="1481"/>
      <c r="CA153" s="1481"/>
      <c r="CB153" s="1481"/>
      <c r="CC153" s="1481"/>
      <c r="CD153" s="1481"/>
      <c r="CE153" s="1481"/>
    </row>
    <row r="154" spans="1:83" ht="11.25" hidden="1" customHeight="1">
      <c r="A154" s="1649"/>
      <c r="B154" s="1023"/>
      <c r="C154" s="319"/>
      <c r="D154" s="3622"/>
      <c r="E154" s="541" t="s">
        <v>18</v>
      </c>
      <c r="F154" s="1031" t="s">
        <v>18</v>
      </c>
      <c r="G154" s="1031" t="s">
        <v>880</v>
      </c>
      <c r="H154" s="543" t="s">
        <v>18</v>
      </c>
      <c r="I154" s="543"/>
      <c r="J154" s="543"/>
      <c r="K154" s="543"/>
      <c r="L154" s="543"/>
      <c r="M154" s="543"/>
      <c r="N154" s="543"/>
      <c r="O154" s="543"/>
      <c r="P154" s="543"/>
      <c r="Q154" s="543"/>
      <c r="R154" s="544"/>
      <c r="S154" s="545"/>
      <c r="T154" s="608"/>
      <c r="U154" s="3532"/>
      <c r="V154" s="3532"/>
      <c r="W154" s="1023"/>
      <c r="X154" s="1023"/>
      <c r="Y154" s="1023"/>
      <c r="Z154" s="1023"/>
      <c r="AA154" s="1481"/>
      <c r="AB154" s="1023"/>
      <c r="AC154" s="3617"/>
      <c r="AD154" s="521"/>
      <c r="AE154" s="1023"/>
      <c r="AF154" s="1023"/>
      <c r="AG154" s="1481"/>
      <c r="AH154" s="1481"/>
      <c r="AI154" s="1481"/>
      <c r="AJ154" s="1481"/>
      <c r="AK154" s="1481"/>
      <c r="AL154" s="1481"/>
      <c r="AM154" s="1481"/>
      <c r="AN154" s="1481"/>
      <c r="AO154" s="1481"/>
      <c r="AP154" s="1481"/>
      <c r="AQ154" s="1481"/>
      <c r="AR154" s="1481"/>
      <c r="AS154" s="1481"/>
      <c r="AT154" s="1481"/>
      <c r="AU154" s="1481"/>
      <c r="AV154" s="1481"/>
      <c r="AW154" s="1481"/>
      <c r="AX154" s="1481"/>
      <c r="AY154" s="1481"/>
      <c r="AZ154" s="1481"/>
      <c r="BA154" s="1481"/>
      <c r="BB154" s="1481"/>
      <c r="BC154" s="1481"/>
      <c r="BD154" s="1481"/>
      <c r="BE154" s="1481"/>
      <c r="BF154" s="1481"/>
      <c r="BG154" s="1481"/>
      <c r="BH154" s="1481"/>
      <c r="BI154" s="1481"/>
      <c r="BJ154" s="1481"/>
      <c r="BK154" s="1481"/>
      <c r="BL154" s="1481"/>
      <c r="BM154" s="1481"/>
      <c r="BN154" s="1481"/>
      <c r="BO154" s="1481"/>
      <c r="BP154" s="1481"/>
      <c r="BQ154" s="1481"/>
      <c r="BR154" s="1481"/>
      <c r="BS154" s="1481"/>
      <c r="BT154" s="1481"/>
      <c r="BU154" s="1481"/>
      <c r="BV154" s="1023"/>
      <c r="BW154" s="1023"/>
      <c r="BX154" s="1023"/>
      <c r="BY154" s="1023"/>
      <c r="BZ154" s="1023"/>
      <c r="CA154" s="1023"/>
      <c r="CB154" s="1023"/>
      <c r="CC154" s="1023"/>
      <c r="CD154" s="1023"/>
      <c r="CE154" s="1023"/>
    </row>
    <row r="155" spans="1:83" ht="5.25" hidden="1" customHeight="1">
      <c r="A155" s="1636"/>
      <c r="B155" s="1481"/>
      <c r="C155" s="1481"/>
      <c r="D155" s="3622"/>
      <c r="E155" s="909"/>
      <c r="F155" s="909"/>
      <c r="G155" s="909"/>
      <c r="H155" s="909"/>
      <c r="I155" s="909"/>
      <c r="J155" s="909"/>
      <c r="K155" s="909"/>
      <c r="L155" s="909"/>
      <c r="M155" s="909"/>
      <c r="N155" s="909"/>
      <c r="O155" s="909"/>
      <c r="P155" s="909"/>
      <c r="Q155" s="910"/>
      <c r="R155" s="911"/>
      <c r="S155" s="912"/>
      <c r="T155" s="607" t="s">
        <v>877</v>
      </c>
      <c r="U155" s="3532">
        <v>1</v>
      </c>
      <c r="V155" s="3532" t="s">
        <v>840</v>
      </c>
      <c r="W155" s="1481"/>
      <c r="X155" s="1481"/>
      <c r="Y155" s="1481"/>
      <c r="Z155" s="1481"/>
      <c r="AA155" s="1481"/>
      <c r="AB155" s="1481"/>
      <c r="AC155" s="907"/>
      <c r="AD155" s="908"/>
      <c r="AE155" s="1481"/>
      <c r="AF155" s="1481"/>
      <c r="AG155" s="1481"/>
      <c r="AH155" s="1481"/>
      <c r="AI155" s="1481"/>
      <c r="AJ155" s="1481"/>
      <c r="AK155" s="1481"/>
      <c r="AL155" s="1481"/>
      <c r="AM155" s="1481"/>
      <c r="AN155" s="1481"/>
      <c r="AO155" s="1481"/>
      <c r="AP155" s="1481"/>
      <c r="AQ155" s="1481"/>
      <c r="AR155" s="1481"/>
      <c r="AS155" s="1481"/>
      <c r="AT155" s="1481"/>
      <c r="AU155" s="1481"/>
      <c r="AV155" s="1481"/>
      <c r="AW155" s="1481"/>
      <c r="AX155" s="1481"/>
      <c r="AY155" s="1481"/>
      <c r="AZ155" s="1481"/>
      <c r="BA155" s="1481"/>
      <c r="BB155" s="1481"/>
      <c r="BC155" s="1481"/>
      <c r="BD155" s="1481"/>
      <c r="BE155" s="1481"/>
      <c r="BF155" s="1481"/>
      <c r="BG155" s="1481"/>
      <c r="BH155" s="1481"/>
      <c r="BI155" s="1481"/>
      <c r="BJ155" s="1481"/>
      <c r="BK155" s="1481"/>
      <c r="BL155" s="1481"/>
      <c r="BM155" s="1481"/>
      <c r="BN155" s="1481"/>
      <c r="BO155" s="1481"/>
      <c r="BP155" s="1481"/>
      <c r="BQ155" s="1481"/>
      <c r="BR155" s="1481"/>
      <c r="BS155" s="1481"/>
      <c r="BT155" s="1481"/>
      <c r="BU155" s="1481"/>
      <c r="BV155" s="1481"/>
      <c r="BW155" s="1481"/>
      <c r="BX155" s="1481"/>
      <c r="BY155" s="1481"/>
      <c r="BZ155" s="1481"/>
      <c r="CA155" s="1481"/>
      <c r="CB155" s="1481"/>
      <c r="CC155" s="1481"/>
      <c r="CD155" s="1481"/>
      <c r="CE155" s="1481"/>
    </row>
    <row r="156" spans="1:83" ht="5.25" hidden="1" customHeight="1">
      <c r="A156" s="1636"/>
      <c r="B156" s="1481"/>
      <c r="C156" s="1481"/>
      <c r="D156" s="3622"/>
      <c r="E156" s="527"/>
      <c r="F156" s="527"/>
      <c r="G156" s="527"/>
      <c r="H156" s="527"/>
      <c r="I156" s="527"/>
      <c r="J156" s="527"/>
      <c r="K156" s="527"/>
      <c r="L156" s="527"/>
      <c r="M156" s="527"/>
      <c r="N156" s="527"/>
      <c r="O156" s="527"/>
      <c r="P156" s="527"/>
      <c r="Q156" s="527"/>
      <c r="R156" s="527"/>
      <c r="S156" s="528"/>
      <c r="T156" s="608"/>
      <c r="U156" s="3532"/>
      <c r="V156" s="3532"/>
      <c r="W156" s="1481"/>
      <c r="X156" s="1481"/>
      <c r="Y156" s="1481"/>
      <c r="Z156" s="1481"/>
      <c r="AA156" s="1481"/>
      <c r="AB156" s="1481"/>
      <c r="AC156" s="907"/>
      <c r="AD156" s="908"/>
      <c r="AE156" s="1481"/>
      <c r="AF156" s="1481"/>
      <c r="AG156" s="1481"/>
      <c r="AH156" s="1481"/>
      <c r="AI156" s="1481"/>
      <c r="AJ156" s="1481"/>
      <c r="AK156" s="1481"/>
      <c r="AL156" s="1481"/>
      <c r="AM156" s="1481"/>
      <c r="AN156" s="1481"/>
      <c r="AO156" s="1481"/>
      <c r="AP156" s="1481"/>
      <c r="AQ156" s="1481"/>
      <c r="AR156" s="1481"/>
      <c r="AS156" s="1481"/>
      <c r="AT156" s="1481"/>
      <c r="AU156" s="1481"/>
      <c r="AV156" s="1481"/>
      <c r="AW156" s="1481"/>
      <c r="AX156" s="1481"/>
      <c r="AY156" s="1481"/>
      <c r="AZ156" s="1481"/>
      <c r="BA156" s="1481"/>
      <c r="BB156" s="1481"/>
      <c r="BC156" s="1481"/>
      <c r="BD156" s="1481"/>
      <c r="BE156" s="1481"/>
      <c r="BF156" s="1481"/>
      <c r="BG156" s="1481"/>
      <c r="BH156" s="1481"/>
      <c r="BI156" s="1481"/>
      <c r="BJ156" s="1481"/>
      <c r="BK156" s="1481"/>
      <c r="BL156" s="1481"/>
      <c r="BM156" s="1481"/>
      <c r="BN156" s="1481"/>
      <c r="BO156" s="1481"/>
      <c r="BP156" s="1481"/>
      <c r="BQ156" s="1481"/>
      <c r="BR156" s="1481"/>
      <c r="BS156" s="1481"/>
      <c r="BT156" s="1481"/>
      <c r="BU156" s="1481"/>
      <c r="BV156" s="1481"/>
      <c r="BW156" s="1481"/>
      <c r="BX156" s="1481"/>
      <c r="BY156" s="1481"/>
      <c r="BZ156" s="1481"/>
      <c r="CA156" s="1481"/>
      <c r="CB156" s="1481"/>
      <c r="CC156" s="1481"/>
      <c r="CD156" s="1481"/>
      <c r="CE156" s="1481"/>
    </row>
    <row r="157" spans="1:83" ht="5.25" hidden="1" customHeight="1">
      <c r="A157" s="1636"/>
      <c r="B157" s="1481"/>
      <c r="C157" s="1481"/>
      <c r="D157" s="3623"/>
      <c r="E157" s="913"/>
      <c r="F157" s="914"/>
      <c r="G157" s="914"/>
      <c r="H157" s="915"/>
      <c r="I157" s="915"/>
      <c r="J157" s="915"/>
      <c r="K157" s="915"/>
      <c r="L157" s="915"/>
      <c r="M157" s="915"/>
      <c r="N157" s="915"/>
      <c r="O157" s="915"/>
      <c r="P157" s="915"/>
      <c r="Q157" s="915"/>
      <c r="R157" s="818"/>
      <c r="S157" s="916"/>
      <c r="T157" s="608"/>
      <c r="U157" s="3532"/>
      <c r="V157" s="3532"/>
      <c r="W157" s="1481"/>
      <c r="X157" s="1481"/>
      <c r="Y157" s="1481"/>
      <c r="Z157" s="1481"/>
      <c r="AA157" s="1481"/>
      <c r="AB157" s="1481"/>
      <c r="AC157" s="907"/>
      <c r="AD157" s="908"/>
      <c r="AE157" s="1481"/>
      <c r="AF157" s="1481"/>
      <c r="AG157" s="1481"/>
      <c r="AH157" s="1481"/>
      <c r="AI157" s="1481"/>
      <c r="AJ157" s="1481"/>
      <c r="AK157" s="1481"/>
      <c r="AL157" s="1481"/>
      <c r="AM157" s="1481"/>
      <c r="AN157" s="1481"/>
      <c r="AO157" s="1481"/>
      <c r="AP157" s="1481"/>
      <c r="AQ157" s="1481"/>
      <c r="AR157" s="1481"/>
      <c r="AS157" s="1481"/>
      <c r="AT157" s="1481"/>
      <c r="AU157" s="1481"/>
      <c r="AV157" s="1481"/>
      <c r="AW157" s="1481"/>
      <c r="AX157" s="1481"/>
      <c r="AY157" s="1481"/>
      <c r="AZ157" s="1481"/>
      <c r="BA157" s="1481"/>
      <c r="BB157" s="1481"/>
      <c r="BC157" s="1481"/>
      <c r="BD157" s="1481"/>
      <c r="BE157" s="1481"/>
      <c r="BF157" s="1481"/>
      <c r="BG157" s="1481"/>
      <c r="BH157" s="1481"/>
      <c r="BI157" s="1481"/>
      <c r="BJ157" s="1481"/>
      <c r="BK157" s="1481"/>
      <c r="BL157" s="1481"/>
      <c r="BM157" s="1481"/>
      <c r="BN157" s="1481"/>
      <c r="BO157" s="1481"/>
      <c r="BP157" s="1481"/>
      <c r="BQ157" s="1481"/>
      <c r="BR157" s="1481"/>
      <c r="BS157" s="1481"/>
      <c r="BT157" s="1481"/>
      <c r="BU157" s="1481"/>
      <c r="BV157" s="1481"/>
      <c r="BW157" s="1481"/>
      <c r="BX157" s="1481"/>
      <c r="BY157" s="1481"/>
      <c r="BZ157" s="1481"/>
      <c r="CA157" s="1481"/>
      <c r="CB157" s="1481"/>
      <c r="CC157" s="1481"/>
      <c r="CD157" s="1481"/>
      <c r="CE157" s="1481"/>
    </row>
    <row r="158" spans="1:83" ht="15" hidden="1" customHeight="1">
      <c r="A158" s="516" t="s">
        <v>159</v>
      </c>
      <c r="B158"/>
      <c r="C158" t="s">
        <v>18</v>
      </c>
      <c r="D158" s="3621" t="s">
        <v>895</v>
      </c>
      <c r="E158" s="3618" t="s">
        <v>102</v>
      </c>
      <c r="F158" s="3619"/>
      <c r="G158" s="3620"/>
      <c r="H158" s="3614" t="str">
        <f>IF(A158="","",INDEX(DIFFERENTIATION_UNMERGE_VD,MATCH(A158,DIFFERENTIATION_ID_DIFF,0)))</f>
        <v>Производство тепловой энергии. Некомбинированная выработка</v>
      </c>
      <c r="I158" s="3614"/>
      <c r="J158" s="3614"/>
      <c r="K158" s="3614"/>
      <c r="L158" s="3614"/>
      <c r="M158" s="3614"/>
      <c r="N158" s="3614"/>
      <c r="O158" s="3614"/>
      <c r="P158" s="3614"/>
      <c r="Q158" s="3614"/>
      <c r="R158" s="3614"/>
      <c r="S158" s="609"/>
      <c r="T158" s="606"/>
      <c r="U158" s="517"/>
      <c r="V158" s="517"/>
      <c r="W158" s="518"/>
      <c r="X158" s="518"/>
      <c r="Y158" s="518"/>
      <c r="Z158" s="518"/>
      <c r="AA158" s="519"/>
      <c r="AB158" s="520"/>
      <c r="AC158" s="3617"/>
      <c r="AD158" s="521"/>
      <c r="AE158" s="522" t="s">
        <v>18</v>
      </c>
      <c r="AF158" s="522"/>
      <c r="AG158" s="523" t="s">
        <v>874</v>
      </c>
      <c r="AH158" s="524">
        <v>3</v>
      </c>
      <c r="AI158" s="517"/>
      <c r="AJ158" s="517"/>
      <c r="AK158" s="517"/>
      <c r="AL158" s="517"/>
      <c r="AM158" s="517"/>
      <c r="AN158" s="517"/>
      <c r="AO158" s="517"/>
      <c r="AP158" s="517"/>
      <c r="AQ158" s="517"/>
      <c r="AR158" s="517"/>
      <c r="AS158" s="517"/>
      <c r="AT158" s="517"/>
      <c r="AU158" s="517"/>
      <c r="AV158" s="517"/>
      <c r="AW158" s="517"/>
      <c r="AX158" s="517"/>
      <c r="AY158" s="517"/>
      <c r="AZ158" s="517"/>
      <c r="BA158" s="517"/>
      <c r="BB158" s="517"/>
      <c r="BC158" s="517"/>
      <c r="BD158" s="517"/>
      <c r="BE158" s="517"/>
      <c r="BF158" s="517"/>
      <c r="BG158" s="517"/>
      <c r="BH158" s="517"/>
      <c r="BI158" s="517"/>
      <c r="BJ158" s="517"/>
      <c r="BK158" s="517"/>
      <c r="BL158" s="517"/>
      <c r="BM158" s="517"/>
      <c r="BN158" s="517"/>
      <c r="BO158" s="517"/>
      <c r="BP158" s="517"/>
      <c r="BQ158" s="517"/>
      <c r="BR158" s="517"/>
      <c r="BS158" s="517"/>
      <c r="BT158" s="517"/>
      <c r="BU158" s="517"/>
      <c r="BV158" s="518"/>
      <c r="BW158" s="518"/>
      <c r="BX158" s="518"/>
      <c r="BY158" s="518"/>
      <c r="BZ158" s="518"/>
      <c r="CA158" s="518"/>
      <c r="CB158" s="518"/>
      <c r="CC158" s="518"/>
      <c r="CD158" s="518"/>
      <c r="CE158" s="518"/>
    </row>
    <row r="159" spans="1:83" ht="15" hidden="1" customHeight="1">
      <c r="A159" s="516"/>
      <c r="B159"/>
      <c r="C159"/>
      <c r="D159" s="3622"/>
      <c r="E159" s="3618" t="s">
        <v>829</v>
      </c>
      <c r="F159" s="3619"/>
      <c r="G159" s="3620"/>
      <c r="H159" s="3614" t="str">
        <f>IF(A158="","",INDEX(DIFFERENTIATION_UNMERGE_AREA,MATCH(A158,DIFFERENTIATION_ID_DIFF,0)))</f>
        <v>Территория 1</v>
      </c>
      <c r="I159" s="3614"/>
      <c r="J159" s="3614"/>
      <c r="K159" s="3614"/>
      <c r="L159" s="3614"/>
      <c r="M159" s="3614"/>
      <c r="N159" s="3614"/>
      <c r="O159" s="3614"/>
      <c r="P159" s="3614"/>
      <c r="Q159" s="3614"/>
      <c r="R159" s="3614"/>
      <c r="S159" s="609"/>
      <c r="T159" s="606"/>
      <c r="U159" s="517"/>
      <c r="V159" s="517"/>
      <c r="W159" s="518"/>
      <c r="X159" s="518"/>
      <c r="Y159" s="518"/>
      <c r="Z159" s="518"/>
      <c r="AA159" s="519"/>
      <c r="AB159" s="520"/>
      <c r="AC159" s="3617"/>
      <c r="AD159" s="521"/>
      <c r="AE159" s="522"/>
      <c r="AF159" s="522"/>
      <c r="AG159" s="523"/>
      <c r="AH159" s="524"/>
      <c r="AI159" s="517"/>
      <c r="AJ159" s="517"/>
      <c r="AK159" s="517"/>
      <c r="AL159" s="517"/>
      <c r="AM159" s="517"/>
      <c r="AN159" s="517"/>
      <c r="AO159" s="517"/>
      <c r="AP159" s="517"/>
      <c r="AQ159" s="517"/>
      <c r="AR159" s="517"/>
      <c r="AS159" s="517"/>
      <c r="AT159" s="517"/>
      <c r="AU159" s="517"/>
      <c r="AV159" s="517"/>
      <c r="AW159" s="517"/>
      <c r="AX159" s="517"/>
      <c r="AY159" s="517"/>
      <c r="AZ159" s="517"/>
      <c r="BA159" s="517"/>
      <c r="BB159" s="517"/>
      <c r="BC159" s="517"/>
      <c r="BD159" s="517"/>
      <c r="BE159" s="517"/>
      <c r="BF159" s="517"/>
      <c r="BG159" s="517"/>
      <c r="BH159" s="517"/>
      <c r="BI159" s="517"/>
      <c r="BJ159" s="517"/>
      <c r="BK159" s="517"/>
      <c r="BL159" s="517"/>
      <c r="BM159" s="517"/>
      <c r="BN159" s="517"/>
      <c r="BO159" s="517"/>
      <c r="BP159" s="517"/>
      <c r="BQ159" s="517"/>
      <c r="BR159" s="517"/>
      <c r="BS159" s="517"/>
      <c r="BT159" s="517"/>
      <c r="BU159" s="517"/>
      <c r="BV159" s="518"/>
      <c r="BW159" s="518"/>
      <c r="BX159" s="518"/>
      <c r="BY159" s="518"/>
      <c r="BZ159" s="518"/>
      <c r="CA159" s="518"/>
      <c r="CB159" s="518"/>
      <c r="CC159" s="518"/>
      <c r="CD159" s="518"/>
      <c r="CE159" s="518"/>
    </row>
    <row r="160" spans="1:83" ht="15" hidden="1" customHeight="1">
      <c r="A160" s="516"/>
      <c r="B160"/>
      <c r="C160"/>
      <c r="D160" s="3622"/>
      <c r="E160" s="3618" t="s">
        <v>830</v>
      </c>
      <c r="F160" s="3619"/>
      <c r="G160" s="3620"/>
      <c r="H160" s="3614" t="str">
        <f>IF(A158="","",INDEX(DIFFERENTIATION_UNMERGE_SYSTEM,MATCH(A158,DIFFERENTIATION_ID_DIFF,0)))</f>
        <v>Комсомольская, 127а</v>
      </c>
      <c r="I160" s="3614"/>
      <c r="J160" s="3614"/>
      <c r="K160" s="3614"/>
      <c r="L160" s="3614"/>
      <c r="M160" s="3614"/>
      <c r="N160" s="3614"/>
      <c r="O160" s="3614"/>
      <c r="P160" s="3614"/>
      <c r="Q160" s="3614"/>
      <c r="R160" s="3614"/>
      <c r="S160" s="609"/>
      <c r="T160" s="606"/>
      <c r="U160" s="517"/>
      <c r="V160" s="517"/>
      <c r="W160" s="518"/>
      <c r="X160" s="518"/>
      <c r="Y160" s="518"/>
      <c r="Z160" s="518"/>
      <c r="AA160" s="519"/>
      <c r="AB160" s="520"/>
      <c r="AC160" s="3617"/>
      <c r="AD160" s="521"/>
      <c r="AE160" s="522"/>
      <c r="AF160" s="522"/>
      <c r="AG160" s="523"/>
      <c r="AH160" s="524"/>
      <c r="AI160" s="517"/>
      <c r="AJ160" s="517"/>
      <c r="AK160" s="517"/>
      <c r="AL160" s="517"/>
      <c r="AM160" s="517"/>
      <c r="AN160" s="517"/>
      <c r="AO160" s="517"/>
      <c r="AP160" s="517"/>
      <c r="AQ160" s="517"/>
      <c r="AR160" s="517"/>
      <c r="AS160" s="517"/>
      <c r="AT160" s="517"/>
      <c r="AU160" s="517"/>
      <c r="AV160" s="517"/>
      <c r="AW160" s="517"/>
      <c r="AX160" s="517"/>
      <c r="AY160" s="517"/>
      <c r="AZ160" s="517"/>
      <c r="BA160" s="517"/>
      <c r="BB160" s="517"/>
      <c r="BC160" s="517"/>
      <c r="BD160" s="517"/>
      <c r="BE160" s="517"/>
      <c r="BF160" s="517"/>
      <c r="BG160" s="517"/>
      <c r="BH160" s="517"/>
      <c r="BI160" s="517"/>
      <c r="BJ160" s="517"/>
      <c r="BK160" s="517"/>
      <c r="BL160" s="517"/>
      <c r="BM160" s="517"/>
      <c r="BN160" s="517"/>
      <c r="BO160" s="517"/>
      <c r="BP160" s="517"/>
      <c r="BQ160" s="517"/>
      <c r="BR160" s="517"/>
      <c r="BS160" s="517"/>
      <c r="BT160" s="517"/>
      <c r="BU160" s="517"/>
      <c r="BV160" s="518"/>
      <c r="BW160" s="518"/>
      <c r="BX160" s="518"/>
      <c r="BY160" s="518"/>
      <c r="BZ160" s="518"/>
      <c r="CA160" s="518"/>
      <c r="CB160" s="518"/>
      <c r="CC160" s="518"/>
      <c r="CD160" s="518"/>
      <c r="CE160" s="518"/>
    </row>
    <row r="161" spans="1:83" ht="24.75" hidden="1" customHeight="1">
      <c r="A161" s="1649"/>
      <c r="B161" s="1023"/>
      <c r="C161" s="319"/>
      <c r="D161" s="3622"/>
      <c r="E161" s="3616" t="s">
        <v>875</v>
      </c>
      <c r="F161" s="3616"/>
      <c r="G161" s="3616"/>
      <c r="H161" s="3616"/>
      <c r="I161" s="3616"/>
      <c r="J161" s="3616"/>
      <c r="K161" s="3616"/>
      <c r="L161" s="3616"/>
      <c r="M161" s="3616"/>
      <c r="N161" s="3616"/>
      <c r="O161" s="3616"/>
      <c r="P161" s="3616"/>
      <c r="Q161" s="455">
        <f>SUMIF(T162:T163,"i",Q162:Q163)</f>
        <v>0</v>
      </c>
      <c r="R161" s="887"/>
      <c r="S161" s="1641" t="s">
        <v>876</v>
      </c>
      <c r="T161" s="607" t="s">
        <v>877</v>
      </c>
      <c r="U161" s="3532">
        <v>1</v>
      </c>
      <c r="V161" s="3532" t="s">
        <v>840</v>
      </c>
      <c r="W161" s="1023"/>
      <c r="X161" s="1023"/>
      <c r="Y161" s="1023"/>
      <c r="Z161" s="1023"/>
      <c r="AA161" s="1481"/>
      <c r="AB161" s="1023"/>
      <c r="AC161" s="3617"/>
      <c r="AD161" s="521"/>
      <c r="AE161" s="1023"/>
      <c r="AF161" s="1023"/>
      <c r="AG161" s="1481"/>
      <c r="AH161" s="1481"/>
      <c r="AI161" s="1481"/>
      <c r="AJ161" s="1481"/>
      <c r="AK161" s="1481"/>
      <c r="AL161" s="1481"/>
      <c r="AM161" s="1481"/>
      <c r="AN161" s="1481"/>
      <c r="AO161" s="1481"/>
      <c r="AP161" s="1481"/>
      <c r="AQ161" s="1481"/>
      <c r="AR161" s="1481"/>
      <c r="AS161" s="1481"/>
      <c r="AT161" s="1481"/>
      <c r="AU161" s="1481"/>
      <c r="AV161" s="1481"/>
      <c r="AW161" s="1481"/>
      <c r="AX161" s="1481"/>
      <c r="AY161" s="1481"/>
      <c r="AZ161" s="1481"/>
      <c r="BA161" s="1481"/>
      <c r="BB161" s="1481"/>
      <c r="BC161" s="1481"/>
      <c r="BD161" s="1481"/>
      <c r="BE161" s="1481"/>
      <c r="BF161" s="1481"/>
      <c r="BG161" s="1481"/>
      <c r="BH161" s="1481"/>
      <c r="BI161" s="1481"/>
      <c r="BJ161" s="1481"/>
      <c r="BK161" s="1481"/>
      <c r="BL161" s="1481"/>
      <c r="BM161" s="1481"/>
      <c r="BN161" s="1481"/>
      <c r="BO161" s="1481"/>
      <c r="BP161" s="1481"/>
      <c r="BQ161" s="1481"/>
      <c r="BR161" s="1481"/>
      <c r="BS161" s="1481"/>
      <c r="BT161" s="1481"/>
      <c r="BU161" s="1481"/>
      <c r="BV161" s="1023"/>
      <c r="BW161" s="1023"/>
      <c r="BX161" s="1023"/>
      <c r="BY161" s="1023"/>
      <c r="BZ161" s="1023"/>
      <c r="CA161" s="1023"/>
      <c r="CB161" s="1023"/>
      <c r="CC161" s="1023"/>
      <c r="CD161" s="1023"/>
      <c r="CE161" s="1023"/>
    </row>
    <row r="162" spans="1:83" ht="11.25" hidden="1" customHeight="1">
      <c r="A162" s="1636"/>
      <c r="B162" s="1481"/>
      <c r="C162" s="1481"/>
      <c r="D162" s="3622"/>
      <c r="E162" s="527"/>
      <c r="F162" s="527">
        <v>0</v>
      </c>
      <c r="G162" s="527"/>
      <c r="H162" s="527"/>
      <c r="I162" s="527"/>
      <c r="J162" s="527"/>
      <c r="K162" s="527"/>
      <c r="L162" s="527"/>
      <c r="M162" s="527"/>
      <c r="N162" s="527"/>
      <c r="O162" s="527"/>
      <c r="P162" s="527"/>
      <c r="Q162" s="527"/>
      <c r="R162" s="527"/>
      <c r="S162" s="528"/>
      <c r="T162" s="608"/>
      <c r="U162" s="3532"/>
      <c r="V162" s="3532"/>
      <c r="W162" s="1481"/>
      <c r="X162" s="1481"/>
      <c r="Y162" s="1481"/>
      <c r="Z162" s="1481"/>
      <c r="AA162" s="1481"/>
      <c r="AB162" s="1023"/>
      <c r="AC162" s="3617"/>
      <c r="AD162" s="521"/>
      <c r="AE162" s="1023"/>
      <c r="AF162" s="1023"/>
      <c r="AG162" s="1481"/>
      <c r="AH162" s="1481"/>
      <c r="AI162" s="1481"/>
      <c r="AJ162" s="1481"/>
      <c r="AK162" s="1481"/>
      <c r="AL162" s="1481"/>
      <c r="AM162" s="1481"/>
      <c r="AN162" s="1481"/>
      <c r="AO162" s="1481"/>
      <c r="AP162" s="1481"/>
      <c r="AQ162" s="1481"/>
      <c r="AR162" s="1481"/>
      <c r="AS162" s="1481"/>
      <c r="AT162" s="1481"/>
      <c r="AU162" s="1481"/>
      <c r="AV162" s="1481"/>
      <c r="AW162" s="1481"/>
      <c r="AX162" s="1481"/>
      <c r="AY162" s="1481"/>
      <c r="AZ162" s="1481"/>
      <c r="BA162" s="1481"/>
      <c r="BB162" s="1481"/>
      <c r="BC162" s="1481"/>
      <c r="BD162" s="1481"/>
      <c r="BE162" s="1481"/>
      <c r="BF162" s="1481"/>
      <c r="BG162" s="1481"/>
      <c r="BH162" s="1481"/>
      <c r="BI162" s="1481"/>
      <c r="BJ162" s="1481"/>
      <c r="BK162" s="1481"/>
      <c r="BL162" s="1481"/>
      <c r="BM162" s="1481"/>
      <c r="BN162" s="1481"/>
      <c r="BO162" s="1481"/>
      <c r="BP162" s="1481"/>
      <c r="BQ162" s="1481"/>
      <c r="BR162" s="1481"/>
      <c r="BS162" s="1481"/>
      <c r="BT162" s="1481"/>
      <c r="BU162" s="1481"/>
      <c r="BV162" s="1481"/>
      <c r="BW162" s="1481"/>
      <c r="BX162" s="1481"/>
      <c r="BY162" s="1481"/>
      <c r="BZ162" s="1481"/>
      <c r="CA162" s="1481"/>
      <c r="CB162" s="1481"/>
      <c r="CC162" s="1481"/>
      <c r="CD162" s="1481"/>
      <c r="CE162" s="1481"/>
    </row>
    <row r="163" spans="1:83" ht="11.25" hidden="1" customHeight="1">
      <c r="A163" s="1649"/>
      <c r="B163" s="1023"/>
      <c r="C163" s="319"/>
      <c r="D163" s="3622"/>
      <c r="E163" s="541" t="s">
        <v>18</v>
      </c>
      <c r="F163" s="1031" t="s">
        <v>18</v>
      </c>
      <c r="G163" s="1031" t="s">
        <v>880</v>
      </c>
      <c r="H163" s="543" t="s">
        <v>18</v>
      </c>
      <c r="I163" s="543"/>
      <c r="J163" s="543"/>
      <c r="K163" s="543"/>
      <c r="L163" s="543"/>
      <c r="M163" s="543"/>
      <c r="N163" s="543"/>
      <c r="O163" s="543"/>
      <c r="P163" s="543"/>
      <c r="Q163" s="543"/>
      <c r="R163" s="544"/>
      <c r="S163" s="545"/>
      <c r="T163" s="608"/>
      <c r="U163" s="3532"/>
      <c r="V163" s="3532"/>
      <c r="W163" s="1023"/>
      <c r="X163" s="1023"/>
      <c r="Y163" s="1023"/>
      <c r="Z163" s="1023"/>
      <c r="AA163" s="1481"/>
      <c r="AB163" s="1023"/>
      <c r="AC163" s="3617"/>
      <c r="AD163" s="521"/>
      <c r="AE163" s="1023"/>
      <c r="AF163" s="1023"/>
      <c r="AG163" s="1481"/>
      <c r="AH163" s="1481"/>
      <c r="AI163" s="1481"/>
      <c r="AJ163" s="1481"/>
      <c r="AK163" s="1481"/>
      <c r="AL163" s="1481"/>
      <c r="AM163" s="1481"/>
      <c r="AN163" s="1481"/>
      <c r="AO163" s="1481"/>
      <c r="AP163" s="1481"/>
      <c r="AQ163" s="1481"/>
      <c r="AR163" s="1481"/>
      <c r="AS163" s="1481"/>
      <c r="AT163" s="1481"/>
      <c r="AU163" s="1481"/>
      <c r="AV163" s="1481"/>
      <c r="AW163" s="1481"/>
      <c r="AX163" s="1481"/>
      <c r="AY163" s="1481"/>
      <c r="AZ163" s="1481"/>
      <c r="BA163" s="1481"/>
      <c r="BB163" s="1481"/>
      <c r="BC163" s="1481"/>
      <c r="BD163" s="1481"/>
      <c r="BE163" s="1481"/>
      <c r="BF163" s="1481"/>
      <c r="BG163" s="1481"/>
      <c r="BH163" s="1481"/>
      <c r="BI163" s="1481"/>
      <c r="BJ163" s="1481"/>
      <c r="BK163" s="1481"/>
      <c r="BL163" s="1481"/>
      <c r="BM163" s="1481"/>
      <c r="BN163" s="1481"/>
      <c r="BO163" s="1481"/>
      <c r="BP163" s="1481"/>
      <c r="BQ163" s="1481"/>
      <c r="BR163" s="1481"/>
      <c r="BS163" s="1481"/>
      <c r="BT163" s="1481"/>
      <c r="BU163" s="1481"/>
      <c r="BV163" s="1023"/>
      <c r="BW163" s="1023"/>
      <c r="BX163" s="1023"/>
      <c r="BY163" s="1023"/>
      <c r="BZ163" s="1023"/>
      <c r="CA163" s="1023"/>
      <c r="CB163" s="1023"/>
      <c r="CC163" s="1023"/>
      <c r="CD163" s="1023"/>
      <c r="CE163" s="1023"/>
    </row>
    <row r="164" spans="1:83" ht="5.25" hidden="1" customHeight="1">
      <c r="A164" s="1636"/>
      <c r="B164" s="1481"/>
      <c r="C164" s="1481"/>
      <c r="D164" s="3622"/>
      <c r="E164" s="909"/>
      <c r="F164" s="909"/>
      <c r="G164" s="909"/>
      <c r="H164" s="909"/>
      <c r="I164" s="909"/>
      <c r="J164" s="909"/>
      <c r="K164" s="909"/>
      <c r="L164" s="909"/>
      <c r="M164" s="909"/>
      <c r="N164" s="909"/>
      <c r="O164" s="909"/>
      <c r="P164" s="909"/>
      <c r="Q164" s="910"/>
      <c r="R164" s="911"/>
      <c r="S164" s="912"/>
      <c r="T164" s="607" t="s">
        <v>877</v>
      </c>
      <c r="U164" s="3532">
        <v>1</v>
      </c>
      <c r="V164" s="3532" t="s">
        <v>840</v>
      </c>
      <c r="W164" s="1481"/>
      <c r="X164" s="1481"/>
      <c r="Y164" s="1481"/>
      <c r="Z164" s="1481"/>
      <c r="AA164" s="1481"/>
      <c r="AB164" s="1481"/>
      <c r="AC164" s="907"/>
      <c r="AD164" s="908"/>
      <c r="AE164" s="1481"/>
      <c r="AF164" s="1481"/>
      <c r="AG164" s="1481"/>
      <c r="AH164" s="1481"/>
      <c r="AI164" s="1481"/>
      <c r="AJ164" s="1481"/>
      <c r="AK164" s="1481"/>
      <c r="AL164" s="1481"/>
      <c r="AM164" s="1481"/>
      <c r="AN164" s="1481"/>
      <c r="AO164" s="1481"/>
      <c r="AP164" s="1481"/>
      <c r="AQ164" s="1481"/>
      <c r="AR164" s="1481"/>
      <c r="AS164" s="1481"/>
      <c r="AT164" s="1481"/>
      <c r="AU164" s="1481"/>
      <c r="AV164" s="1481"/>
      <c r="AW164" s="1481"/>
      <c r="AX164" s="1481"/>
      <c r="AY164" s="1481"/>
      <c r="AZ164" s="1481"/>
      <c r="BA164" s="1481"/>
      <c r="BB164" s="1481"/>
      <c r="BC164" s="1481"/>
      <c r="BD164" s="1481"/>
      <c r="BE164" s="1481"/>
      <c r="BF164" s="1481"/>
      <c r="BG164" s="1481"/>
      <c r="BH164" s="1481"/>
      <c r="BI164" s="1481"/>
      <c r="BJ164" s="1481"/>
      <c r="BK164" s="1481"/>
      <c r="BL164" s="1481"/>
      <c r="BM164" s="1481"/>
      <c r="BN164" s="1481"/>
      <c r="BO164" s="1481"/>
      <c r="BP164" s="1481"/>
      <c r="BQ164" s="1481"/>
      <c r="BR164" s="1481"/>
      <c r="BS164" s="1481"/>
      <c r="BT164" s="1481"/>
      <c r="BU164" s="1481"/>
      <c r="BV164" s="1481"/>
      <c r="BW164" s="1481"/>
      <c r="BX164" s="1481"/>
      <c r="BY164" s="1481"/>
      <c r="BZ164" s="1481"/>
      <c r="CA164" s="1481"/>
      <c r="CB164" s="1481"/>
      <c r="CC164" s="1481"/>
      <c r="CD164" s="1481"/>
      <c r="CE164" s="1481"/>
    </row>
    <row r="165" spans="1:83" ht="5.25" hidden="1" customHeight="1">
      <c r="A165" s="1636"/>
      <c r="B165" s="1481"/>
      <c r="C165" s="1481"/>
      <c r="D165" s="3622"/>
      <c r="E165" s="527"/>
      <c r="F165" s="527"/>
      <c r="G165" s="527"/>
      <c r="H165" s="527"/>
      <c r="I165" s="527"/>
      <c r="J165" s="527"/>
      <c r="K165" s="527"/>
      <c r="L165" s="527"/>
      <c r="M165" s="527"/>
      <c r="N165" s="527"/>
      <c r="O165" s="527"/>
      <c r="P165" s="527"/>
      <c r="Q165" s="527"/>
      <c r="R165" s="527"/>
      <c r="S165" s="528"/>
      <c r="T165" s="608"/>
      <c r="U165" s="3532"/>
      <c r="V165" s="3532"/>
      <c r="W165" s="1481"/>
      <c r="X165" s="1481"/>
      <c r="Y165" s="1481"/>
      <c r="Z165" s="1481"/>
      <c r="AA165" s="1481"/>
      <c r="AB165" s="1481"/>
      <c r="AC165" s="907"/>
      <c r="AD165" s="908"/>
      <c r="AE165" s="1481"/>
      <c r="AF165" s="1481"/>
      <c r="AG165" s="1481"/>
      <c r="AH165" s="1481"/>
      <c r="AI165" s="1481"/>
      <c r="AJ165" s="1481"/>
      <c r="AK165" s="1481"/>
      <c r="AL165" s="1481"/>
      <c r="AM165" s="1481"/>
      <c r="AN165" s="1481"/>
      <c r="AO165" s="1481"/>
      <c r="AP165" s="1481"/>
      <c r="AQ165" s="1481"/>
      <c r="AR165" s="1481"/>
      <c r="AS165" s="1481"/>
      <c r="AT165" s="1481"/>
      <c r="AU165" s="1481"/>
      <c r="AV165" s="1481"/>
      <c r="AW165" s="1481"/>
      <c r="AX165" s="1481"/>
      <c r="AY165" s="1481"/>
      <c r="AZ165" s="1481"/>
      <c r="BA165" s="1481"/>
      <c r="BB165" s="1481"/>
      <c r="BC165" s="1481"/>
      <c r="BD165" s="1481"/>
      <c r="BE165" s="1481"/>
      <c r="BF165" s="1481"/>
      <c r="BG165" s="1481"/>
      <c r="BH165" s="1481"/>
      <c r="BI165" s="1481"/>
      <c r="BJ165" s="1481"/>
      <c r="BK165" s="1481"/>
      <c r="BL165" s="1481"/>
      <c r="BM165" s="1481"/>
      <c r="BN165" s="1481"/>
      <c r="BO165" s="1481"/>
      <c r="BP165" s="1481"/>
      <c r="BQ165" s="1481"/>
      <c r="BR165" s="1481"/>
      <c r="BS165" s="1481"/>
      <c r="BT165" s="1481"/>
      <c r="BU165" s="1481"/>
      <c r="BV165" s="1481"/>
      <c r="BW165" s="1481"/>
      <c r="BX165" s="1481"/>
      <c r="BY165" s="1481"/>
      <c r="BZ165" s="1481"/>
      <c r="CA165" s="1481"/>
      <c r="CB165" s="1481"/>
      <c r="CC165" s="1481"/>
      <c r="CD165" s="1481"/>
      <c r="CE165" s="1481"/>
    </row>
    <row r="166" spans="1:83" ht="5.25" hidden="1" customHeight="1">
      <c r="A166" s="1636"/>
      <c r="B166" s="1481"/>
      <c r="C166" s="1481"/>
      <c r="D166" s="3623"/>
      <c r="E166" s="913"/>
      <c r="F166" s="914"/>
      <c r="G166" s="914"/>
      <c r="H166" s="915"/>
      <c r="I166" s="915"/>
      <c r="J166" s="915"/>
      <c r="K166" s="915"/>
      <c r="L166" s="915"/>
      <c r="M166" s="915"/>
      <c r="N166" s="915"/>
      <c r="O166" s="915"/>
      <c r="P166" s="915"/>
      <c r="Q166" s="915"/>
      <c r="R166" s="818"/>
      <c r="S166" s="916"/>
      <c r="T166" s="608"/>
      <c r="U166" s="3532"/>
      <c r="V166" s="3532"/>
      <c r="W166" s="1481"/>
      <c r="X166" s="1481"/>
      <c r="Y166" s="1481"/>
      <c r="Z166" s="1481"/>
      <c r="AA166" s="1481"/>
      <c r="AB166" s="1481"/>
      <c r="AC166" s="907"/>
      <c r="AD166" s="908"/>
      <c r="AE166" s="1481"/>
      <c r="AF166" s="1481"/>
      <c r="AG166" s="1481"/>
      <c r="AH166" s="1481"/>
      <c r="AI166" s="1481"/>
      <c r="AJ166" s="1481"/>
      <c r="AK166" s="1481"/>
      <c r="AL166" s="1481"/>
      <c r="AM166" s="1481"/>
      <c r="AN166" s="1481"/>
      <c r="AO166" s="1481"/>
      <c r="AP166" s="1481"/>
      <c r="AQ166" s="1481"/>
      <c r="AR166" s="1481"/>
      <c r="AS166" s="1481"/>
      <c r="AT166" s="1481"/>
      <c r="AU166" s="1481"/>
      <c r="AV166" s="1481"/>
      <c r="AW166" s="1481"/>
      <c r="AX166" s="1481"/>
      <c r="AY166" s="1481"/>
      <c r="AZ166" s="1481"/>
      <c r="BA166" s="1481"/>
      <c r="BB166" s="1481"/>
      <c r="BC166" s="1481"/>
      <c r="BD166" s="1481"/>
      <c r="BE166" s="1481"/>
      <c r="BF166" s="1481"/>
      <c r="BG166" s="1481"/>
      <c r="BH166" s="1481"/>
      <c r="BI166" s="1481"/>
      <c r="BJ166" s="1481"/>
      <c r="BK166" s="1481"/>
      <c r="BL166" s="1481"/>
      <c r="BM166" s="1481"/>
      <c r="BN166" s="1481"/>
      <c r="BO166" s="1481"/>
      <c r="BP166" s="1481"/>
      <c r="BQ166" s="1481"/>
      <c r="BR166" s="1481"/>
      <c r="BS166" s="1481"/>
      <c r="BT166" s="1481"/>
      <c r="BU166" s="1481"/>
      <c r="BV166" s="1481"/>
      <c r="BW166" s="1481"/>
      <c r="BX166" s="1481"/>
      <c r="BY166" s="1481"/>
      <c r="BZ166" s="1481"/>
      <c r="CA166" s="1481"/>
      <c r="CB166" s="1481"/>
      <c r="CC166" s="1481"/>
      <c r="CD166" s="1481"/>
      <c r="CE166" s="1481"/>
    </row>
    <row r="167" spans="1:83" ht="15" hidden="1" customHeight="1">
      <c r="A167" s="516" t="s">
        <v>162</v>
      </c>
      <c r="B167"/>
      <c r="C167" t="s">
        <v>18</v>
      </c>
      <c r="D167" s="3621" t="s">
        <v>896</v>
      </c>
      <c r="E167" s="3618" t="s">
        <v>102</v>
      </c>
      <c r="F167" s="3619"/>
      <c r="G167" s="3620"/>
      <c r="H167" s="3614" t="str">
        <f>IF(A167="","",INDEX(DIFFERENTIATION_UNMERGE_VD,MATCH(A167,DIFFERENTIATION_ID_DIFF,0)))</f>
        <v>Производство тепловой энергии. Некомбинированная выработка</v>
      </c>
      <c r="I167" s="3614"/>
      <c r="J167" s="3614"/>
      <c r="K167" s="3614"/>
      <c r="L167" s="3614"/>
      <c r="M167" s="3614"/>
      <c r="N167" s="3614"/>
      <c r="O167" s="3614"/>
      <c r="P167" s="3614"/>
      <c r="Q167" s="3614"/>
      <c r="R167" s="3614"/>
      <c r="S167" s="609"/>
      <c r="T167" s="606"/>
      <c r="U167" s="517"/>
      <c r="V167" s="517"/>
      <c r="W167" s="518"/>
      <c r="X167" s="518"/>
      <c r="Y167" s="518"/>
      <c r="Z167" s="518"/>
      <c r="AA167" s="519"/>
      <c r="AB167" s="520"/>
      <c r="AC167" s="3617"/>
      <c r="AD167" s="521"/>
      <c r="AE167" s="522" t="s">
        <v>18</v>
      </c>
      <c r="AF167" s="522"/>
      <c r="AG167" s="523" t="s">
        <v>874</v>
      </c>
      <c r="AH167" s="524">
        <v>3</v>
      </c>
      <c r="AI167" s="517"/>
      <c r="AJ167" s="517"/>
      <c r="AK167" s="517"/>
      <c r="AL167" s="517"/>
      <c r="AM167" s="517"/>
      <c r="AN167" s="517"/>
      <c r="AO167" s="517"/>
      <c r="AP167" s="517"/>
      <c r="AQ167" s="517"/>
      <c r="AR167" s="517"/>
      <c r="AS167" s="517"/>
      <c r="AT167" s="517"/>
      <c r="AU167" s="517"/>
      <c r="AV167" s="517"/>
      <c r="AW167" s="517"/>
      <c r="AX167" s="517"/>
      <c r="AY167" s="517"/>
      <c r="AZ167" s="517"/>
      <c r="BA167" s="517"/>
      <c r="BB167" s="517"/>
      <c r="BC167" s="517"/>
      <c r="BD167" s="517"/>
      <c r="BE167" s="517"/>
      <c r="BF167" s="517"/>
      <c r="BG167" s="517"/>
      <c r="BH167" s="517"/>
      <c r="BI167" s="517"/>
      <c r="BJ167" s="517"/>
      <c r="BK167" s="517"/>
      <c r="BL167" s="517"/>
      <c r="BM167" s="517"/>
      <c r="BN167" s="517"/>
      <c r="BO167" s="517"/>
      <c r="BP167" s="517"/>
      <c r="BQ167" s="517"/>
      <c r="BR167" s="517"/>
      <c r="BS167" s="517"/>
      <c r="BT167" s="517"/>
      <c r="BU167" s="517"/>
      <c r="BV167" s="518"/>
      <c r="BW167" s="518"/>
      <c r="BX167" s="518"/>
      <c r="BY167" s="518"/>
      <c r="BZ167" s="518"/>
      <c r="CA167" s="518"/>
      <c r="CB167" s="518"/>
      <c r="CC167" s="518"/>
      <c r="CD167" s="518"/>
      <c r="CE167" s="518"/>
    </row>
    <row r="168" spans="1:83" ht="15" hidden="1" customHeight="1">
      <c r="A168" s="516"/>
      <c r="B168"/>
      <c r="C168"/>
      <c r="D168" s="3622"/>
      <c r="E168" s="3618" t="s">
        <v>829</v>
      </c>
      <c r="F168" s="3619"/>
      <c r="G168" s="3620"/>
      <c r="H168" s="3614" t="str">
        <f>IF(A167="","",INDEX(DIFFERENTIATION_UNMERGE_AREA,MATCH(A167,DIFFERENTIATION_ID_DIFF,0)))</f>
        <v>Территория 1</v>
      </c>
      <c r="I168" s="3614"/>
      <c r="J168" s="3614"/>
      <c r="K168" s="3614"/>
      <c r="L168" s="3614"/>
      <c r="M168" s="3614"/>
      <c r="N168" s="3614"/>
      <c r="O168" s="3614"/>
      <c r="P168" s="3614"/>
      <c r="Q168" s="3614"/>
      <c r="R168" s="3614"/>
      <c r="S168" s="609"/>
      <c r="T168" s="606"/>
      <c r="U168" s="517"/>
      <c r="V168" s="517"/>
      <c r="W168" s="518"/>
      <c r="X168" s="518"/>
      <c r="Y168" s="518"/>
      <c r="Z168" s="518"/>
      <c r="AA168" s="519"/>
      <c r="AB168" s="520"/>
      <c r="AC168" s="3617"/>
      <c r="AD168" s="521"/>
      <c r="AE168" s="522"/>
      <c r="AF168" s="522"/>
      <c r="AG168" s="523"/>
      <c r="AH168" s="524"/>
      <c r="AI168" s="517"/>
      <c r="AJ168" s="517"/>
      <c r="AK168" s="517"/>
      <c r="AL168" s="517"/>
      <c r="AM168" s="517"/>
      <c r="AN168" s="517"/>
      <c r="AO168" s="517"/>
      <c r="AP168" s="517"/>
      <c r="AQ168" s="517"/>
      <c r="AR168" s="517"/>
      <c r="AS168" s="517"/>
      <c r="AT168" s="517"/>
      <c r="AU168" s="517"/>
      <c r="AV168" s="517"/>
      <c r="AW168" s="517"/>
      <c r="AX168" s="517"/>
      <c r="AY168" s="517"/>
      <c r="AZ168" s="517"/>
      <c r="BA168" s="517"/>
      <c r="BB168" s="517"/>
      <c r="BC168" s="517"/>
      <c r="BD168" s="517"/>
      <c r="BE168" s="517"/>
      <c r="BF168" s="517"/>
      <c r="BG168" s="517"/>
      <c r="BH168" s="517"/>
      <c r="BI168" s="517"/>
      <c r="BJ168" s="517"/>
      <c r="BK168" s="517"/>
      <c r="BL168" s="517"/>
      <c r="BM168" s="517"/>
      <c r="BN168" s="517"/>
      <c r="BO168" s="517"/>
      <c r="BP168" s="517"/>
      <c r="BQ168" s="517"/>
      <c r="BR168" s="517"/>
      <c r="BS168" s="517"/>
      <c r="BT168" s="517"/>
      <c r="BU168" s="517"/>
      <c r="BV168" s="518"/>
      <c r="BW168" s="518"/>
      <c r="BX168" s="518"/>
      <c r="BY168" s="518"/>
      <c r="BZ168" s="518"/>
      <c r="CA168" s="518"/>
      <c r="CB168" s="518"/>
      <c r="CC168" s="518"/>
      <c r="CD168" s="518"/>
      <c r="CE168" s="518"/>
    </row>
    <row r="169" spans="1:83" ht="15" hidden="1" customHeight="1">
      <c r="A169" s="516"/>
      <c r="B169"/>
      <c r="C169"/>
      <c r="D169" s="3622"/>
      <c r="E169" s="3618" t="s">
        <v>830</v>
      </c>
      <c r="F169" s="3619"/>
      <c r="G169" s="3620"/>
      <c r="H169" s="3614" t="str">
        <f>IF(A167="","",INDEX(DIFFERENTIATION_UNMERGE_SYSTEM,MATCH(A167,DIFFERENTIATION_ID_DIFF,0)))</f>
        <v>Комсомольская, 185а</v>
      </c>
      <c r="I169" s="3614"/>
      <c r="J169" s="3614"/>
      <c r="K169" s="3614"/>
      <c r="L169" s="3614"/>
      <c r="M169" s="3614"/>
      <c r="N169" s="3614"/>
      <c r="O169" s="3614"/>
      <c r="P169" s="3614"/>
      <c r="Q169" s="3614"/>
      <c r="R169" s="3614"/>
      <c r="S169" s="609"/>
      <c r="T169" s="606"/>
      <c r="U169" s="517"/>
      <c r="V169" s="517"/>
      <c r="W169" s="518"/>
      <c r="X169" s="518"/>
      <c r="Y169" s="518"/>
      <c r="Z169" s="518"/>
      <c r="AA169" s="519"/>
      <c r="AB169" s="520"/>
      <c r="AC169" s="3617"/>
      <c r="AD169" s="521"/>
      <c r="AE169" s="522"/>
      <c r="AF169" s="522"/>
      <c r="AG169" s="523"/>
      <c r="AH169" s="524"/>
      <c r="AI169" s="517"/>
      <c r="AJ169" s="517"/>
      <c r="AK169" s="517"/>
      <c r="AL169" s="517"/>
      <c r="AM169" s="517"/>
      <c r="AN169" s="517"/>
      <c r="AO169" s="517"/>
      <c r="AP169" s="517"/>
      <c r="AQ169" s="517"/>
      <c r="AR169" s="517"/>
      <c r="AS169" s="517"/>
      <c r="AT169" s="517"/>
      <c r="AU169" s="517"/>
      <c r="AV169" s="517"/>
      <c r="AW169" s="517"/>
      <c r="AX169" s="517"/>
      <c r="AY169" s="517"/>
      <c r="AZ169" s="517"/>
      <c r="BA169" s="517"/>
      <c r="BB169" s="517"/>
      <c r="BC169" s="517"/>
      <c r="BD169" s="517"/>
      <c r="BE169" s="517"/>
      <c r="BF169" s="517"/>
      <c r="BG169" s="517"/>
      <c r="BH169" s="517"/>
      <c r="BI169" s="517"/>
      <c r="BJ169" s="517"/>
      <c r="BK169" s="517"/>
      <c r="BL169" s="517"/>
      <c r="BM169" s="517"/>
      <c r="BN169" s="517"/>
      <c r="BO169" s="517"/>
      <c r="BP169" s="517"/>
      <c r="BQ169" s="517"/>
      <c r="BR169" s="517"/>
      <c r="BS169" s="517"/>
      <c r="BT169" s="517"/>
      <c r="BU169" s="517"/>
      <c r="BV169" s="518"/>
      <c r="BW169" s="518"/>
      <c r="BX169" s="518"/>
      <c r="BY169" s="518"/>
      <c r="BZ169" s="518"/>
      <c r="CA169" s="518"/>
      <c r="CB169" s="518"/>
      <c r="CC169" s="518"/>
      <c r="CD169" s="518"/>
      <c r="CE169" s="518"/>
    </row>
    <row r="170" spans="1:83" ht="24.75" hidden="1" customHeight="1">
      <c r="A170" s="1649"/>
      <c r="B170" s="1023"/>
      <c r="C170" s="319"/>
      <c r="D170" s="3622"/>
      <c r="E170" s="3616" t="s">
        <v>875</v>
      </c>
      <c r="F170" s="3616"/>
      <c r="G170" s="3616"/>
      <c r="H170" s="3616"/>
      <c r="I170" s="3616"/>
      <c r="J170" s="3616"/>
      <c r="K170" s="3616"/>
      <c r="L170" s="3616"/>
      <c r="M170" s="3616"/>
      <c r="N170" s="3616"/>
      <c r="O170" s="3616"/>
      <c r="P170" s="3616"/>
      <c r="Q170" s="455">
        <f>SUMIF(T171:T172,"i",Q171:Q172)</f>
        <v>0</v>
      </c>
      <c r="R170" s="887"/>
      <c r="S170" s="1641" t="s">
        <v>876</v>
      </c>
      <c r="T170" s="607" t="s">
        <v>877</v>
      </c>
      <c r="U170" s="3532">
        <v>1</v>
      </c>
      <c r="V170" s="3532" t="s">
        <v>840</v>
      </c>
      <c r="W170" s="1023"/>
      <c r="X170" s="1023"/>
      <c r="Y170" s="1023"/>
      <c r="Z170" s="1023"/>
      <c r="AA170" s="1481"/>
      <c r="AB170" s="1023"/>
      <c r="AC170" s="3617"/>
      <c r="AD170" s="521"/>
      <c r="AE170" s="1023"/>
      <c r="AF170" s="1023"/>
      <c r="AG170" s="1481"/>
      <c r="AH170" s="1481"/>
      <c r="AI170" s="1481"/>
      <c r="AJ170" s="1481"/>
      <c r="AK170" s="1481"/>
      <c r="AL170" s="1481"/>
      <c r="AM170" s="1481"/>
      <c r="AN170" s="1481"/>
      <c r="AO170" s="1481"/>
      <c r="AP170" s="1481"/>
      <c r="AQ170" s="1481"/>
      <c r="AR170" s="1481"/>
      <c r="AS170" s="1481"/>
      <c r="AT170" s="1481"/>
      <c r="AU170" s="1481"/>
      <c r="AV170" s="1481"/>
      <c r="AW170" s="1481"/>
      <c r="AX170" s="1481"/>
      <c r="AY170" s="1481"/>
      <c r="AZ170" s="1481"/>
      <c r="BA170" s="1481"/>
      <c r="BB170" s="1481"/>
      <c r="BC170" s="1481"/>
      <c r="BD170" s="1481"/>
      <c r="BE170" s="1481"/>
      <c r="BF170" s="1481"/>
      <c r="BG170" s="1481"/>
      <c r="BH170" s="1481"/>
      <c r="BI170" s="1481"/>
      <c r="BJ170" s="1481"/>
      <c r="BK170" s="1481"/>
      <c r="BL170" s="1481"/>
      <c r="BM170" s="1481"/>
      <c r="BN170" s="1481"/>
      <c r="BO170" s="1481"/>
      <c r="BP170" s="1481"/>
      <c r="BQ170" s="1481"/>
      <c r="BR170" s="1481"/>
      <c r="BS170" s="1481"/>
      <c r="BT170" s="1481"/>
      <c r="BU170" s="1481"/>
      <c r="BV170" s="1023"/>
      <c r="BW170" s="1023"/>
      <c r="BX170" s="1023"/>
      <c r="BY170" s="1023"/>
      <c r="BZ170" s="1023"/>
      <c r="CA170" s="1023"/>
      <c r="CB170" s="1023"/>
      <c r="CC170" s="1023"/>
      <c r="CD170" s="1023"/>
      <c r="CE170" s="1023"/>
    </row>
    <row r="171" spans="1:83" ht="11.25" hidden="1" customHeight="1">
      <c r="A171" s="1636"/>
      <c r="B171" s="1481"/>
      <c r="C171" s="1481"/>
      <c r="D171" s="3622"/>
      <c r="E171" s="527"/>
      <c r="F171" s="527">
        <v>0</v>
      </c>
      <c r="G171" s="527"/>
      <c r="H171" s="527"/>
      <c r="I171" s="527"/>
      <c r="J171" s="527"/>
      <c r="K171" s="527"/>
      <c r="L171" s="527"/>
      <c r="M171" s="527"/>
      <c r="N171" s="527"/>
      <c r="O171" s="527"/>
      <c r="P171" s="527"/>
      <c r="Q171" s="527"/>
      <c r="R171" s="527"/>
      <c r="S171" s="528"/>
      <c r="T171" s="608"/>
      <c r="U171" s="3532"/>
      <c r="V171" s="3532"/>
      <c r="W171" s="1481"/>
      <c r="X171" s="1481"/>
      <c r="Y171" s="1481"/>
      <c r="Z171" s="1481"/>
      <c r="AA171" s="1481"/>
      <c r="AB171" s="1023"/>
      <c r="AC171" s="3617"/>
      <c r="AD171" s="521"/>
      <c r="AE171" s="1023"/>
      <c r="AF171" s="1023"/>
      <c r="AG171" s="1481"/>
      <c r="AH171" s="1481"/>
      <c r="AI171" s="1481"/>
      <c r="AJ171" s="1481"/>
      <c r="AK171" s="1481"/>
      <c r="AL171" s="1481"/>
      <c r="AM171" s="1481"/>
      <c r="AN171" s="1481"/>
      <c r="AO171" s="1481"/>
      <c r="AP171" s="1481"/>
      <c r="AQ171" s="1481"/>
      <c r="AR171" s="1481"/>
      <c r="AS171" s="1481"/>
      <c r="AT171" s="1481"/>
      <c r="AU171" s="1481"/>
      <c r="AV171" s="1481"/>
      <c r="AW171" s="1481"/>
      <c r="AX171" s="1481"/>
      <c r="AY171" s="1481"/>
      <c r="AZ171" s="1481"/>
      <c r="BA171" s="1481"/>
      <c r="BB171" s="1481"/>
      <c r="BC171" s="1481"/>
      <c r="BD171" s="1481"/>
      <c r="BE171" s="1481"/>
      <c r="BF171" s="1481"/>
      <c r="BG171" s="1481"/>
      <c r="BH171" s="1481"/>
      <c r="BI171" s="1481"/>
      <c r="BJ171" s="1481"/>
      <c r="BK171" s="1481"/>
      <c r="BL171" s="1481"/>
      <c r="BM171" s="1481"/>
      <c r="BN171" s="1481"/>
      <c r="BO171" s="1481"/>
      <c r="BP171" s="1481"/>
      <c r="BQ171" s="1481"/>
      <c r="BR171" s="1481"/>
      <c r="BS171" s="1481"/>
      <c r="BT171" s="1481"/>
      <c r="BU171" s="1481"/>
      <c r="BV171" s="1481"/>
      <c r="BW171" s="1481"/>
      <c r="BX171" s="1481"/>
      <c r="BY171" s="1481"/>
      <c r="BZ171" s="1481"/>
      <c r="CA171" s="1481"/>
      <c r="CB171" s="1481"/>
      <c r="CC171" s="1481"/>
      <c r="CD171" s="1481"/>
      <c r="CE171" s="1481"/>
    </row>
    <row r="172" spans="1:83" ht="11.25" hidden="1" customHeight="1">
      <c r="A172" s="1649"/>
      <c r="B172" s="1023"/>
      <c r="C172" s="319"/>
      <c r="D172" s="3622"/>
      <c r="E172" s="541" t="s">
        <v>18</v>
      </c>
      <c r="F172" s="1031" t="s">
        <v>18</v>
      </c>
      <c r="G172" s="1031" t="s">
        <v>880</v>
      </c>
      <c r="H172" s="543" t="s">
        <v>18</v>
      </c>
      <c r="I172" s="543"/>
      <c r="J172" s="543"/>
      <c r="K172" s="543"/>
      <c r="L172" s="543"/>
      <c r="M172" s="543"/>
      <c r="N172" s="543"/>
      <c r="O172" s="543"/>
      <c r="P172" s="543"/>
      <c r="Q172" s="543"/>
      <c r="R172" s="544"/>
      <c r="S172" s="545"/>
      <c r="T172" s="608"/>
      <c r="U172" s="3532"/>
      <c r="V172" s="3532"/>
      <c r="W172" s="1023"/>
      <c r="X172" s="1023"/>
      <c r="Y172" s="1023"/>
      <c r="Z172" s="1023"/>
      <c r="AA172" s="1481"/>
      <c r="AB172" s="1023"/>
      <c r="AC172" s="3617"/>
      <c r="AD172" s="521"/>
      <c r="AE172" s="1023"/>
      <c r="AF172" s="1023"/>
      <c r="AG172" s="1481"/>
      <c r="AH172" s="1481"/>
      <c r="AI172" s="1481"/>
      <c r="AJ172" s="1481"/>
      <c r="AK172" s="1481"/>
      <c r="AL172" s="1481"/>
      <c r="AM172" s="1481"/>
      <c r="AN172" s="1481"/>
      <c r="AO172" s="1481"/>
      <c r="AP172" s="1481"/>
      <c r="AQ172" s="1481"/>
      <c r="AR172" s="1481"/>
      <c r="AS172" s="1481"/>
      <c r="AT172" s="1481"/>
      <c r="AU172" s="1481"/>
      <c r="AV172" s="1481"/>
      <c r="AW172" s="1481"/>
      <c r="AX172" s="1481"/>
      <c r="AY172" s="1481"/>
      <c r="AZ172" s="1481"/>
      <c r="BA172" s="1481"/>
      <c r="BB172" s="1481"/>
      <c r="BC172" s="1481"/>
      <c r="BD172" s="1481"/>
      <c r="BE172" s="1481"/>
      <c r="BF172" s="1481"/>
      <c r="BG172" s="1481"/>
      <c r="BH172" s="1481"/>
      <c r="BI172" s="1481"/>
      <c r="BJ172" s="1481"/>
      <c r="BK172" s="1481"/>
      <c r="BL172" s="1481"/>
      <c r="BM172" s="1481"/>
      <c r="BN172" s="1481"/>
      <c r="BO172" s="1481"/>
      <c r="BP172" s="1481"/>
      <c r="BQ172" s="1481"/>
      <c r="BR172" s="1481"/>
      <c r="BS172" s="1481"/>
      <c r="BT172" s="1481"/>
      <c r="BU172" s="1481"/>
      <c r="BV172" s="1023"/>
      <c r="BW172" s="1023"/>
      <c r="BX172" s="1023"/>
      <c r="BY172" s="1023"/>
      <c r="BZ172" s="1023"/>
      <c r="CA172" s="1023"/>
      <c r="CB172" s="1023"/>
      <c r="CC172" s="1023"/>
      <c r="CD172" s="1023"/>
      <c r="CE172" s="1023"/>
    </row>
    <row r="173" spans="1:83" ht="5.25" hidden="1" customHeight="1">
      <c r="A173" s="1636"/>
      <c r="B173" s="1481"/>
      <c r="C173" s="1481"/>
      <c r="D173" s="3622"/>
      <c r="E173" s="909"/>
      <c r="F173" s="909"/>
      <c r="G173" s="909"/>
      <c r="H173" s="909"/>
      <c r="I173" s="909"/>
      <c r="J173" s="909"/>
      <c r="K173" s="909"/>
      <c r="L173" s="909"/>
      <c r="M173" s="909"/>
      <c r="N173" s="909"/>
      <c r="O173" s="909"/>
      <c r="P173" s="909"/>
      <c r="Q173" s="910"/>
      <c r="R173" s="911"/>
      <c r="S173" s="912"/>
      <c r="T173" s="607" t="s">
        <v>877</v>
      </c>
      <c r="U173" s="3532">
        <v>1</v>
      </c>
      <c r="V173" s="3532" t="s">
        <v>840</v>
      </c>
      <c r="W173" s="1481"/>
      <c r="X173" s="1481"/>
      <c r="Y173" s="1481"/>
      <c r="Z173" s="1481"/>
      <c r="AA173" s="1481"/>
      <c r="AB173" s="1481"/>
      <c r="AC173" s="907"/>
      <c r="AD173" s="908"/>
      <c r="AE173" s="1481"/>
      <c r="AF173" s="1481"/>
      <c r="AG173" s="1481"/>
      <c r="AH173" s="1481"/>
      <c r="AI173" s="1481"/>
      <c r="AJ173" s="1481"/>
      <c r="AK173" s="1481"/>
      <c r="AL173" s="1481"/>
      <c r="AM173" s="1481"/>
      <c r="AN173" s="1481"/>
      <c r="AO173" s="1481"/>
      <c r="AP173" s="1481"/>
      <c r="AQ173" s="1481"/>
      <c r="AR173" s="1481"/>
      <c r="AS173" s="1481"/>
      <c r="AT173" s="1481"/>
      <c r="AU173" s="1481"/>
      <c r="AV173" s="1481"/>
      <c r="AW173" s="1481"/>
      <c r="AX173" s="1481"/>
      <c r="AY173" s="1481"/>
      <c r="AZ173" s="1481"/>
      <c r="BA173" s="1481"/>
      <c r="BB173" s="1481"/>
      <c r="BC173" s="1481"/>
      <c r="BD173" s="1481"/>
      <c r="BE173" s="1481"/>
      <c r="BF173" s="1481"/>
      <c r="BG173" s="1481"/>
      <c r="BH173" s="1481"/>
      <c r="BI173" s="1481"/>
      <c r="BJ173" s="1481"/>
      <c r="BK173" s="1481"/>
      <c r="BL173" s="1481"/>
      <c r="BM173" s="1481"/>
      <c r="BN173" s="1481"/>
      <c r="BO173" s="1481"/>
      <c r="BP173" s="1481"/>
      <c r="BQ173" s="1481"/>
      <c r="BR173" s="1481"/>
      <c r="BS173" s="1481"/>
      <c r="BT173" s="1481"/>
      <c r="BU173" s="1481"/>
      <c r="BV173" s="1481"/>
      <c r="BW173" s="1481"/>
      <c r="BX173" s="1481"/>
      <c r="BY173" s="1481"/>
      <c r="BZ173" s="1481"/>
      <c r="CA173" s="1481"/>
      <c r="CB173" s="1481"/>
      <c r="CC173" s="1481"/>
      <c r="CD173" s="1481"/>
      <c r="CE173" s="1481"/>
    </row>
    <row r="174" spans="1:83" ht="5.25" hidden="1" customHeight="1">
      <c r="A174" s="1636"/>
      <c r="B174" s="1481"/>
      <c r="C174" s="1481"/>
      <c r="D174" s="3622"/>
      <c r="E174" s="527"/>
      <c r="F174" s="527"/>
      <c r="G174" s="527"/>
      <c r="H174" s="527"/>
      <c r="I174" s="527"/>
      <c r="J174" s="527"/>
      <c r="K174" s="527"/>
      <c r="L174" s="527"/>
      <c r="M174" s="527"/>
      <c r="N174" s="527"/>
      <c r="O174" s="527"/>
      <c r="P174" s="527"/>
      <c r="Q174" s="527"/>
      <c r="R174" s="527"/>
      <c r="S174" s="528"/>
      <c r="T174" s="608"/>
      <c r="U174" s="3532"/>
      <c r="V174" s="3532"/>
      <c r="W174" s="1481"/>
      <c r="X174" s="1481"/>
      <c r="Y174" s="1481"/>
      <c r="Z174" s="1481"/>
      <c r="AA174" s="1481"/>
      <c r="AB174" s="1481"/>
      <c r="AC174" s="907"/>
      <c r="AD174" s="908"/>
      <c r="AE174" s="1481"/>
      <c r="AF174" s="1481"/>
      <c r="AG174" s="1481"/>
      <c r="AH174" s="1481"/>
      <c r="AI174" s="1481"/>
      <c r="AJ174" s="1481"/>
      <c r="AK174" s="1481"/>
      <c r="AL174" s="1481"/>
      <c r="AM174" s="1481"/>
      <c r="AN174" s="1481"/>
      <c r="AO174" s="1481"/>
      <c r="AP174" s="1481"/>
      <c r="AQ174" s="1481"/>
      <c r="AR174" s="1481"/>
      <c r="AS174" s="1481"/>
      <c r="AT174" s="1481"/>
      <c r="AU174" s="1481"/>
      <c r="AV174" s="1481"/>
      <c r="AW174" s="1481"/>
      <c r="AX174" s="1481"/>
      <c r="AY174" s="1481"/>
      <c r="AZ174" s="1481"/>
      <c r="BA174" s="1481"/>
      <c r="BB174" s="1481"/>
      <c r="BC174" s="1481"/>
      <c r="BD174" s="1481"/>
      <c r="BE174" s="1481"/>
      <c r="BF174" s="1481"/>
      <c r="BG174" s="1481"/>
      <c r="BH174" s="1481"/>
      <c r="BI174" s="1481"/>
      <c r="BJ174" s="1481"/>
      <c r="BK174" s="1481"/>
      <c r="BL174" s="1481"/>
      <c r="BM174" s="1481"/>
      <c r="BN174" s="1481"/>
      <c r="BO174" s="1481"/>
      <c r="BP174" s="1481"/>
      <c r="BQ174" s="1481"/>
      <c r="BR174" s="1481"/>
      <c r="BS174" s="1481"/>
      <c r="BT174" s="1481"/>
      <c r="BU174" s="1481"/>
      <c r="BV174" s="1481"/>
      <c r="BW174" s="1481"/>
      <c r="BX174" s="1481"/>
      <c r="BY174" s="1481"/>
      <c r="BZ174" s="1481"/>
      <c r="CA174" s="1481"/>
      <c r="CB174" s="1481"/>
      <c r="CC174" s="1481"/>
      <c r="CD174" s="1481"/>
      <c r="CE174" s="1481"/>
    </row>
    <row r="175" spans="1:83" ht="5.25" hidden="1" customHeight="1">
      <c r="A175" s="1636"/>
      <c r="B175" s="1481"/>
      <c r="C175" s="1481"/>
      <c r="D175" s="3623"/>
      <c r="E175" s="913"/>
      <c r="F175" s="914"/>
      <c r="G175" s="914"/>
      <c r="H175" s="915"/>
      <c r="I175" s="915"/>
      <c r="J175" s="915"/>
      <c r="K175" s="915"/>
      <c r="L175" s="915"/>
      <c r="M175" s="915"/>
      <c r="N175" s="915"/>
      <c r="O175" s="915"/>
      <c r="P175" s="915"/>
      <c r="Q175" s="915"/>
      <c r="R175" s="818"/>
      <c r="S175" s="916"/>
      <c r="T175" s="608"/>
      <c r="U175" s="3532"/>
      <c r="V175" s="3532"/>
      <c r="W175" s="1481"/>
      <c r="X175" s="1481"/>
      <c r="Y175" s="1481"/>
      <c r="Z175" s="1481"/>
      <c r="AA175" s="1481"/>
      <c r="AB175" s="1481"/>
      <c r="AC175" s="907"/>
      <c r="AD175" s="908"/>
      <c r="AE175" s="1481"/>
      <c r="AF175" s="1481"/>
      <c r="AG175" s="1481"/>
      <c r="AH175" s="1481"/>
      <c r="AI175" s="1481"/>
      <c r="AJ175" s="1481"/>
      <c r="AK175" s="1481"/>
      <c r="AL175" s="1481"/>
      <c r="AM175" s="1481"/>
      <c r="AN175" s="1481"/>
      <c r="AO175" s="1481"/>
      <c r="AP175" s="1481"/>
      <c r="AQ175" s="1481"/>
      <c r="AR175" s="1481"/>
      <c r="AS175" s="1481"/>
      <c r="AT175" s="1481"/>
      <c r="AU175" s="1481"/>
      <c r="AV175" s="1481"/>
      <c r="AW175" s="1481"/>
      <c r="AX175" s="1481"/>
      <c r="AY175" s="1481"/>
      <c r="AZ175" s="1481"/>
      <c r="BA175" s="1481"/>
      <c r="BB175" s="1481"/>
      <c r="BC175" s="1481"/>
      <c r="BD175" s="1481"/>
      <c r="BE175" s="1481"/>
      <c r="BF175" s="1481"/>
      <c r="BG175" s="1481"/>
      <c r="BH175" s="1481"/>
      <c r="BI175" s="1481"/>
      <c r="BJ175" s="1481"/>
      <c r="BK175" s="1481"/>
      <c r="BL175" s="1481"/>
      <c r="BM175" s="1481"/>
      <c r="BN175" s="1481"/>
      <c r="BO175" s="1481"/>
      <c r="BP175" s="1481"/>
      <c r="BQ175" s="1481"/>
      <c r="BR175" s="1481"/>
      <c r="BS175" s="1481"/>
      <c r="BT175" s="1481"/>
      <c r="BU175" s="1481"/>
      <c r="BV175" s="1481"/>
      <c r="BW175" s="1481"/>
      <c r="BX175" s="1481"/>
      <c r="BY175" s="1481"/>
      <c r="BZ175" s="1481"/>
      <c r="CA175" s="1481"/>
      <c r="CB175" s="1481"/>
      <c r="CC175" s="1481"/>
      <c r="CD175" s="1481"/>
      <c r="CE175" s="1481"/>
    </row>
    <row r="176" spans="1:83" ht="15" hidden="1" customHeight="1">
      <c r="A176" s="516" t="s">
        <v>165</v>
      </c>
      <c r="B176"/>
      <c r="C176" t="s">
        <v>18</v>
      </c>
      <c r="D176" s="3621" t="s">
        <v>897</v>
      </c>
      <c r="E176" s="3618" t="s">
        <v>102</v>
      </c>
      <c r="F176" s="3619"/>
      <c r="G176" s="3620"/>
      <c r="H176" s="3614" t="str">
        <f>IF(A176="","",INDEX(DIFFERENTIATION_UNMERGE_VD,MATCH(A176,DIFFERENTIATION_ID_DIFF,0)))</f>
        <v>Производство тепловой энергии. Некомбинированная выработка</v>
      </c>
      <c r="I176" s="3614"/>
      <c r="J176" s="3614"/>
      <c r="K176" s="3614"/>
      <c r="L176" s="3614"/>
      <c r="M176" s="3614"/>
      <c r="N176" s="3614"/>
      <c r="O176" s="3614"/>
      <c r="P176" s="3614"/>
      <c r="Q176" s="3614"/>
      <c r="R176" s="3614"/>
      <c r="S176" s="609"/>
      <c r="T176" s="606"/>
      <c r="U176" s="517"/>
      <c r="V176" s="517"/>
      <c r="W176" s="518"/>
      <c r="X176" s="518"/>
      <c r="Y176" s="518"/>
      <c r="Z176" s="518"/>
      <c r="AA176" s="519"/>
      <c r="AB176" s="520"/>
      <c r="AC176" s="3617"/>
      <c r="AD176" s="521"/>
      <c r="AE176" s="522" t="s">
        <v>18</v>
      </c>
      <c r="AF176" s="522"/>
      <c r="AG176" s="523" t="s">
        <v>874</v>
      </c>
      <c r="AH176" s="524">
        <v>3</v>
      </c>
      <c r="AI176" s="517"/>
      <c r="AJ176" s="517"/>
      <c r="AK176" s="517"/>
      <c r="AL176" s="517"/>
      <c r="AM176" s="517"/>
      <c r="AN176" s="517"/>
      <c r="AO176" s="517"/>
      <c r="AP176" s="517"/>
      <c r="AQ176" s="517"/>
      <c r="AR176" s="517"/>
      <c r="AS176" s="517"/>
      <c r="AT176" s="517"/>
      <c r="AU176" s="517"/>
      <c r="AV176" s="517"/>
      <c r="AW176" s="517"/>
      <c r="AX176" s="517"/>
      <c r="AY176" s="517"/>
      <c r="AZ176" s="517"/>
      <c r="BA176" s="517"/>
      <c r="BB176" s="517"/>
      <c r="BC176" s="517"/>
      <c r="BD176" s="517"/>
      <c r="BE176" s="517"/>
      <c r="BF176" s="517"/>
      <c r="BG176" s="517"/>
      <c r="BH176" s="517"/>
      <c r="BI176" s="517"/>
      <c r="BJ176" s="517"/>
      <c r="BK176" s="517"/>
      <c r="BL176" s="517"/>
      <c r="BM176" s="517"/>
      <c r="BN176" s="517"/>
      <c r="BO176" s="517"/>
      <c r="BP176" s="517"/>
      <c r="BQ176" s="517"/>
      <c r="BR176" s="517"/>
      <c r="BS176" s="517"/>
      <c r="BT176" s="517"/>
      <c r="BU176" s="517"/>
      <c r="BV176" s="518"/>
      <c r="BW176" s="518"/>
      <c r="BX176" s="518"/>
      <c r="BY176" s="518"/>
      <c r="BZ176" s="518"/>
      <c r="CA176" s="518"/>
      <c r="CB176" s="518"/>
      <c r="CC176" s="518"/>
      <c r="CD176" s="518"/>
      <c r="CE176" s="518"/>
    </row>
    <row r="177" spans="1:83" ht="15" hidden="1" customHeight="1">
      <c r="A177" s="516"/>
      <c r="B177"/>
      <c r="C177"/>
      <c r="D177" s="3622"/>
      <c r="E177" s="3618" t="s">
        <v>829</v>
      </c>
      <c r="F177" s="3619"/>
      <c r="G177" s="3620"/>
      <c r="H177" s="3614" t="str">
        <f>IF(A176="","",INDEX(DIFFERENTIATION_UNMERGE_AREA,MATCH(A176,DIFFERENTIATION_ID_DIFF,0)))</f>
        <v>Территория 1</v>
      </c>
      <c r="I177" s="3614"/>
      <c r="J177" s="3614"/>
      <c r="K177" s="3614"/>
      <c r="L177" s="3614"/>
      <c r="M177" s="3614"/>
      <c r="N177" s="3614"/>
      <c r="O177" s="3614"/>
      <c r="P177" s="3614"/>
      <c r="Q177" s="3614"/>
      <c r="R177" s="3614"/>
      <c r="S177" s="609"/>
      <c r="T177" s="606"/>
      <c r="U177" s="517"/>
      <c r="V177" s="517"/>
      <c r="W177" s="518"/>
      <c r="X177" s="518"/>
      <c r="Y177" s="518"/>
      <c r="Z177" s="518"/>
      <c r="AA177" s="519"/>
      <c r="AB177" s="520"/>
      <c r="AC177" s="3617"/>
      <c r="AD177" s="521"/>
      <c r="AE177" s="522"/>
      <c r="AF177" s="522"/>
      <c r="AG177" s="523"/>
      <c r="AH177" s="524"/>
      <c r="AI177" s="517"/>
      <c r="AJ177" s="517"/>
      <c r="AK177" s="517"/>
      <c r="AL177" s="517"/>
      <c r="AM177" s="517"/>
      <c r="AN177" s="517"/>
      <c r="AO177" s="517"/>
      <c r="AP177" s="517"/>
      <c r="AQ177" s="517"/>
      <c r="AR177" s="517"/>
      <c r="AS177" s="517"/>
      <c r="AT177" s="517"/>
      <c r="AU177" s="517"/>
      <c r="AV177" s="517"/>
      <c r="AW177" s="517"/>
      <c r="AX177" s="517"/>
      <c r="AY177" s="517"/>
      <c r="AZ177" s="517"/>
      <c r="BA177" s="517"/>
      <c r="BB177" s="517"/>
      <c r="BC177" s="517"/>
      <c r="BD177" s="517"/>
      <c r="BE177" s="517"/>
      <c r="BF177" s="517"/>
      <c r="BG177" s="517"/>
      <c r="BH177" s="517"/>
      <c r="BI177" s="517"/>
      <c r="BJ177" s="517"/>
      <c r="BK177" s="517"/>
      <c r="BL177" s="517"/>
      <c r="BM177" s="517"/>
      <c r="BN177" s="517"/>
      <c r="BO177" s="517"/>
      <c r="BP177" s="517"/>
      <c r="BQ177" s="517"/>
      <c r="BR177" s="517"/>
      <c r="BS177" s="517"/>
      <c r="BT177" s="517"/>
      <c r="BU177" s="517"/>
      <c r="BV177" s="518"/>
      <c r="BW177" s="518"/>
      <c r="BX177" s="518"/>
      <c r="BY177" s="518"/>
      <c r="BZ177" s="518"/>
      <c r="CA177" s="518"/>
      <c r="CB177" s="518"/>
      <c r="CC177" s="518"/>
      <c r="CD177" s="518"/>
      <c r="CE177" s="518"/>
    </row>
    <row r="178" spans="1:83" ht="15" hidden="1" customHeight="1">
      <c r="A178" s="516"/>
      <c r="B178"/>
      <c r="C178"/>
      <c r="D178" s="3622"/>
      <c r="E178" s="3618" t="s">
        <v>830</v>
      </c>
      <c r="F178" s="3619"/>
      <c r="G178" s="3620"/>
      <c r="H178" s="3614" t="str">
        <f>IF(A176="","",INDEX(DIFFERENTIATION_UNMERGE_SYSTEM,MATCH(A176,DIFFERENTIATION_ID_DIFF,0)))</f>
        <v>Комсомольская, 206а</v>
      </c>
      <c r="I178" s="3614"/>
      <c r="J178" s="3614"/>
      <c r="K178" s="3614"/>
      <c r="L178" s="3614"/>
      <c r="M178" s="3614"/>
      <c r="N178" s="3614"/>
      <c r="O178" s="3614"/>
      <c r="P178" s="3614"/>
      <c r="Q178" s="3614"/>
      <c r="R178" s="3614"/>
      <c r="S178" s="609"/>
      <c r="T178" s="606"/>
      <c r="U178" s="517"/>
      <c r="V178" s="517"/>
      <c r="W178" s="518"/>
      <c r="X178" s="518"/>
      <c r="Y178" s="518"/>
      <c r="Z178" s="518"/>
      <c r="AA178" s="519"/>
      <c r="AB178" s="520"/>
      <c r="AC178" s="3617"/>
      <c r="AD178" s="521"/>
      <c r="AE178" s="522"/>
      <c r="AF178" s="522"/>
      <c r="AG178" s="523"/>
      <c r="AH178" s="524"/>
      <c r="AI178" s="517"/>
      <c r="AJ178" s="517"/>
      <c r="AK178" s="517"/>
      <c r="AL178" s="517"/>
      <c r="AM178" s="517"/>
      <c r="AN178" s="517"/>
      <c r="AO178" s="517"/>
      <c r="AP178" s="517"/>
      <c r="AQ178" s="517"/>
      <c r="AR178" s="517"/>
      <c r="AS178" s="517"/>
      <c r="AT178" s="517"/>
      <c r="AU178" s="517"/>
      <c r="AV178" s="517"/>
      <c r="AW178" s="517"/>
      <c r="AX178" s="517"/>
      <c r="AY178" s="517"/>
      <c r="AZ178" s="517"/>
      <c r="BA178" s="517"/>
      <c r="BB178" s="517"/>
      <c r="BC178" s="517"/>
      <c r="BD178" s="517"/>
      <c r="BE178" s="517"/>
      <c r="BF178" s="517"/>
      <c r="BG178" s="517"/>
      <c r="BH178" s="517"/>
      <c r="BI178" s="517"/>
      <c r="BJ178" s="517"/>
      <c r="BK178" s="517"/>
      <c r="BL178" s="517"/>
      <c r="BM178" s="517"/>
      <c r="BN178" s="517"/>
      <c r="BO178" s="517"/>
      <c r="BP178" s="517"/>
      <c r="BQ178" s="517"/>
      <c r="BR178" s="517"/>
      <c r="BS178" s="517"/>
      <c r="BT178" s="517"/>
      <c r="BU178" s="517"/>
      <c r="BV178" s="518"/>
      <c r="BW178" s="518"/>
      <c r="BX178" s="518"/>
      <c r="BY178" s="518"/>
      <c r="BZ178" s="518"/>
      <c r="CA178" s="518"/>
      <c r="CB178" s="518"/>
      <c r="CC178" s="518"/>
      <c r="CD178" s="518"/>
      <c r="CE178" s="518"/>
    </row>
    <row r="179" spans="1:83" ht="24.75" hidden="1" customHeight="1">
      <c r="A179" s="1649"/>
      <c r="B179" s="1023"/>
      <c r="C179" s="319"/>
      <c r="D179" s="3622"/>
      <c r="E179" s="3616" t="s">
        <v>875</v>
      </c>
      <c r="F179" s="3616"/>
      <c r="G179" s="3616"/>
      <c r="H179" s="3616"/>
      <c r="I179" s="3616"/>
      <c r="J179" s="3616"/>
      <c r="K179" s="3616"/>
      <c r="L179" s="3616"/>
      <c r="M179" s="3616"/>
      <c r="N179" s="3616"/>
      <c r="O179" s="3616"/>
      <c r="P179" s="3616"/>
      <c r="Q179" s="455">
        <f>SUMIF(T180:T181,"i",Q180:Q181)</f>
        <v>0</v>
      </c>
      <c r="R179" s="887"/>
      <c r="S179" s="1641" t="s">
        <v>876</v>
      </c>
      <c r="T179" s="607" t="s">
        <v>877</v>
      </c>
      <c r="U179" s="3532">
        <v>1</v>
      </c>
      <c r="V179" s="3532" t="s">
        <v>840</v>
      </c>
      <c r="W179" s="1023"/>
      <c r="X179" s="1023"/>
      <c r="Y179" s="1023"/>
      <c r="Z179" s="1023"/>
      <c r="AA179" s="1481"/>
      <c r="AB179" s="1023"/>
      <c r="AC179" s="3617"/>
      <c r="AD179" s="521"/>
      <c r="AE179" s="1023"/>
      <c r="AF179" s="1023"/>
      <c r="AG179" s="1481"/>
      <c r="AH179" s="1481"/>
      <c r="AI179" s="1481"/>
      <c r="AJ179" s="1481"/>
      <c r="AK179" s="1481"/>
      <c r="AL179" s="1481"/>
      <c r="AM179" s="1481"/>
      <c r="AN179" s="1481"/>
      <c r="AO179" s="1481"/>
      <c r="AP179" s="1481"/>
      <c r="AQ179" s="1481"/>
      <c r="AR179" s="1481"/>
      <c r="AS179" s="1481"/>
      <c r="AT179" s="1481"/>
      <c r="AU179" s="1481"/>
      <c r="AV179" s="1481"/>
      <c r="AW179" s="1481"/>
      <c r="AX179" s="1481"/>
      <c r="AY179" s="1481"/>
      <c r="AZ179" s="1481"/>
      <c r="BA179" s="1481"/>
      <c r="BB179" s="1481"/>
      <c r="BC179" s="1481"/>
      <c r="BD179" s="1481"/>
      <c r="BE179" s="1481"/>
      <c r="BF179" s="1481"/>
      <c r="BG179" s="1481"/>
      <c r="BH179" s="1481"/>
      <c r="BI179" s="1481"/>
      <c r="BJ179" s="1481"/>
      <c r="BK179" s="1481"/>
      <c r="BL179" s="1481"/>
      <c r="BM179" s="1481"/>
      <c r="BN179" s="1481"/>
      <c r="BO179" s="1481"/>
      <c r="BP179" s="1481"/>
      <c r="BQ179" s="1481"/>
      <c r="BR179" s="1481"/>
      <c r="BS179" s="1481"/>
      <c r="BT179" s="1481"/>
      <c r="BU179" s="1481"/>
      <c r="BV179" s="1023"/>
      <c r="BW179" s="1023"/>
      <c r="BX179" s="1023"/>
      <c r="BY179" s="1023"/>
      <c r="BZ179" s="1023"/>
      <c r="CA179" s="1023"/>
      <c r="CB179" s="1023"/>
      <c r="CC179" s="1023"/>
      <c r="CD179" s="1023"/>
      <c r="CE179" s="1023"/>
    </row>
    <row r="180" spans="1:83" ht="11.25" hidden="1" customHeight="1">
      <c r="A180" s="1636"/>
      <c r="B180" s="1481"/>
      <c r="C180" s="1481"/>
      <c r="D180" s="3622"/>
      <c r="E180" s="527"/>
      <c r="F180" s="527">
        <v>0</v>
      </c>
      <c r="G180" s="527"/>
      <c r="H180" s="527"/>
      <c r="I180" s="527"/>
      <c r="J180" s="527"/>
      <c r="K180" s="527"/>
      <c r="L180" s="527"/>
      <c r="M180" s="527"/>
      <c r="N180" s="527"/>
      <c r="O180" s="527"/>
      <c r="P180" s="527"/>
      <c r="Q180" s="527"/>
      <c r="R180" s="527"/>
      <c r="S180" s="528"/>
      <c r="T180" s="608"/>
      <c r="U180" s="3532"/>
      <c r="V180" s="3532"/>
      <c r="W180" s="1481"/>
      <c r="X180" s="1481"/>
      <c r="Y180" s="1481"/>
      <c r="Z180" s="1481"/>
      <c r="AA180" s="1481"/>
      <c r="AB180" s="1023"/>
      <c r="AC180" s="3617"/>
      <c r="AD180" s="521"/>
      <c r="AE180" s="1023"/>
      <c r="AF180" s="1023"/>
      <c r="AG180" s="1481"/>
      <c r="AH180" s="1481"/>
      <c r="AI180" s="1481"/>
      <c r="AJ180" s="1481"/>
      <c r="AK180" s="1481"/>
      <c r="AL180" s="1481"/>
      <c r="AM180" s="1481"/>
      <c r="AN180" s="1481"/>
      <c r="AO180" s="1481"/>
      <c r="AP180" s="1481"/>
      <c r="AQ180" s="1481"/>
      <c r="AR180" s="1481"/>
      <c r="AS180" s="1481"/>
      <c r="AT180" s="1481"/>
      <c r="AU180" s="1481"/>
      <c r="AV180" s="1481"/>
      <c r="AW180" s="1481"/>
      <c r="AX180" s="1481"/>
      <c r="AY180" s="1481"/>
      <c r="AZ180" s="1481"/>
      <c r="BA180" s="1481"/>
      <c r="BB180" s="1481"/>
      <c r="BC180" s="1481"/>
      <c r="BD180" s="1481"/>
      <c r="BE180" s="1481"/>
      <c r="BF180" s="1481"/>
      <c r="BG180" s="1481"/>
      <c r="BH180" s="1481"/>
      <c r="BI180" s="1481"/>
      <c r="BJ180" s="1481"/>
      <c r="BK180" s="1481"/>
      <c r="BL180" s="1481"/>
      <c r="BM180" s="1481"/>
      <c r="BN180" s="1481"/>
      <c r="BO180" s="1481"/>
      <c r="BP180" s="1481"/>
      <c r="BQ180" s="1481"/>
      <c r="BR180" s="1481"/>
      <c r="BS180" s="1481"/>
      <c r="BT180" s="1481"/>
      <c r="BU180" s="1481"/>
      <c r="BV180" s="1481"/>
      <c r="BW180" s="1481"/>
      <c r="BX180" s="1481"/>
      <c r="BY180" s="1481"/>
      <c r="BZ180" s="1481"/>
      <c r="CA180" s="1481"/>
      <c r="CB180" s="1481"/>
      <c r="CC180" s="1481"/>
      <c r="CD180" s="1481"/>
      <c r="CE180" s="1481"/>
    </row>
    <row r="181" spans="1:83" ht="11.25" hidden="1" customHeight="1">
      <c r="A181" s="1649"/>
      <c r="B181" s="1023"/>
      <c r="C181" s="319"/>
      <c r="D181" s="3622"/>
      <c r="E181" s="541" t="s">
        <v>18</v>
      </c>
      <c r="F181" s="1031" t="s">
        <v>18</v>
      </c>
      <c r="G181" s="1031" t="s">
        <v>880</v>
      </c>
      <c r="H181" s="543" t="s">
        <v>18</v>
      </c>
      <c r="I181" s="543"/>
      <c r="J181" s="543"/>
      <c r="K181" s="543"/>
      <c r="L181" s="543"/>
      <c r="M181" s="543"/>
      <c r="N181" s="543"/>
      <c r="O181" s="543"/>
      <c r="P181" s="543"/>
      <c r="Q181" s="543"/>
      <c r="R181" s="544"/>
      <c r="S181" s="545"/>
      <c r="T181" s="608"/>
      <c r="U181" s="3532"/>
      <c r="V181" s="3532"/>
      <c r="W181" s="1023"/>
      <c r="X181" s="1023"/>
      <c r="Y181" s="1023"/>
      <c r="Z181" s="1023"/>
      <c r="AA181" s="1481"/>
      <c r="AB181" s="1023"/>
      <c r="AC181" s="3617"/>
      <c r="AD181" s="521"/>
      <c r="AE181" s="1023"/>
      <c r="AF181" s="1023"/>
      <c r="AG181" s="1481"/>
      <c r="AH181" s="1481"/>
      <c r="AI181" s="1481"/>
      <c r="AJ181" s="1481"/>
      <c r="AK181" s="1481"/>
      <c r="AL181" s="1481"/>
      <c r="AM181" s="1481"/>
      <c r="AN181" s="1481"/>
      <c r="AO181" s="1481"/>
      <c r="AP181" s="1481"/>
      <c r="AQ181" s="1481"/>
      <c r="AR181" s="1481"/>
      <c r="AS181" s="1481"/>
      <c r="AT181" s="1481"/>
      <c r="AU181" s="1481"/>
      <c r="AV181" s="1481"/>
      <c r="AW181" s="1481"/>
      <c r="AX181" s="1481"/>
      <c r="AY181" s="1481"/>
      <c r="AZ181" s="1481"/>
      <c r="BA181" s="1481"/>
      <c r="BB181" s="1481"/>
      <c r="BC181" s="1481"/>
      <c r="BD181" s="1481"/>
      <c r="BE181" s="1481"/>
      <c r="BF181" s="1481"/>
      <c r="BG181" s="1481"/>
      <c r="BH181" s="1481"/>
      <c r="BI181" s="1481"/>
      <c r="BJ181" s="1481"/>
      <c r="BK181" s="1481"/>
      <c r="BL181" s="1481"/>
      <c r="BM181" s="1481"/>
      <c r="BN181" s="1481"/>
      <c r="BO181" s="1481"/>
      <c r="BP181" s="1481"/>
      <c r="BQ181" s="1481"/>
      <c r="BR181" s="1481"/>
      <c r="BS181" s="1481"/>
      <c r="BT181" s="1481"/>
      <c r="BU181" s="1481"/>
      <c r="BV181" s="1023"/>
      <c r="BW181" s="1023"/>
      <c r="BX181" s="1023"/>
      <c r="BY181" s="1023"/>
      <c r="BZ181" s="1023"/>
      <c r="CA181" s="1023"/>
      <c r="CB181" s="1023"/>
      <c r="CC181" s="1023"/>
      <c r="CD181" s="1023"/>
      <c r="CE181" s="1023"/>
    </row>
    <row r="182" spans="1:83" ht="5.25" hidden="1" customHeight="1">
      <c r="A182" s="1636"/>
      <c r="B182" s="1481"/>
      <c r="C182" s="1481"/>
      <c r="D182" s="3622"/>
      <c r="E182" s="909"/>
      <c r="F182" s="909"/>
      <c r="G182" s="909"/>
      <c r="H182" s="909"/>
      <c r="I182" s="909"/>
      <c r="J182" s="909"/>
      <c r="K182" s="909"/>
      <c r="L182" s="909"/>
      <c r="M182" s="909"/>
      <c r="N182" s="909"/>
      <c r="O182" s="909"/>
      <c r="P182" s="909"/>
      <c r="Q182" s="910"/>
      <c r="R182" s="911"/>
      <c r="S182" s="912"/>
      <c r="T182" s="607" t="s">
        <v>877</v>
      </c>
      <c r="U182" s="3532">
        <v>1</v>
      </c>
      <c r="V182" s="3532" t="s">
        <v>840</v>
      </c>
      <c r="W182" s="1481"/>
      <c r="X182" s="1481"/>
      <c r="Y182" s="1481"/>
      <c r="Z182" s="1481"/>
      <c r="AA182" s="1481"/>
      <c r="AB182" s="1481"/>
      <c r="AC182" s="907"/>
      <c r="AD182" s="908"/>
      <c r="AE182" s="1481"/>
      <c r="AF182" s="1481"/>
      <c r="AG182" s="1481"/>
      <c r="AH182" s="1481"/>
      <c r="AI182" s="1481"/>
      <c r="AJ182" s="1481"/>
      <c r="AK182" s="1481"/>
      <c r="AL182" s="1481"/>
      <c r="AM182" s="1481"/>
      <c r="AN182" s="1481"/>
      <c r="AO182" s="1481"/>
      <c r="AP182" s="1481"/>
      <c r="AQ182" s="1481"/>
      <c r="AR182" s="1481"/>
      <c r="AS182" s="1481"/>
      <c r="AT182" s="1481"/>
      <c r="AU182" s="1481"/>
      <c r="AV182" s="1481"/>
      <c r="AW182" s="1481"/>
      <c r="AX182" s="1481"/>
      <c r="AY182" s="1481"/>
      <c r="AZ182" s="1481"/>
      <c r="BA182" s="1481"/>
      <c r="BB182" s="1481"/>
      <c r="BC182" s="1481"/>
      <c r="BD182" s="1481"/>
      <c r="BE182" s="1481"/>
      <c r="BF182" s="1481"/>
      <c r="BG182" s="1481"/>
      <c r="BH182" s="1481"/>
      <c r="BI182" s="1481"/>
      <c r="BJ182" s="1481"/>
      <c r="BK182" s="1481"/>
      <c r="BL182" s="1481"/>
      <c r="BM182" s="1481"/>
      <c r="BN182" s="1481"/>
      <c r="BO182" s="1481"/>
      <c r="BP182" s="1481"/>
      <c r="BQ182" s="1481"/>
      <c r="BR182" s="1481"/>
      <c r="BS182" s="1481"/>
      <c r="BT182" s="1481"/>
      <c r="BU182" s="1481"/>
      <c r="BV182" s="1481"/>
      <c r="BW182" s="1481"/>
      <c r="BX182" s="1481"/>
      <c r="BY182" s="1481"/>
      <c r="BZ182" s="1481"/>
      <c r="CA182" s="1481"/>
      <c r="CB182" s="1481"/>
      <c r="CC182" s="1481"/>
      <c r="CD182" s="1481"/>
      <c r="CE182" s="1481"/>
    </row>
    <row r="183" spans="1:83" ht="5.25" hidden="1" customHeight="1">
      <c r="A183" s="1636"/>
      <c r="B183" s="1481"/>
      <c r="C183" s="1481"/>
      <c r="D183" s="3622"/>
      <c r="E183" s="527"/>
      <c r="F183" s="527"/>
      <c r="G183" s="527"/>
      <c r="H183" s="527"/>
      <c r="I183" s="527"/>
      <c r="J183" s="527"/>
      <c r="K183" s="527"/>
      <c r="L183" s="527"/>
      <c r="M183" s="527"/>
      <c r="N183" s="527"/>
      <c r="O183" s="527"/>
      <c r="P183" s="527"/>
      <c r="Q183" s="527"/>
      <c r="R183" s="527"/>
      <c r="S183" s="528"/>
      <c r="T183" s="608"/>
      <c r="U183" s="3532"/>
      <c r="V183" s="3532"/>
      <c r="W183" s="1481"/>
      <c r="X183" s="1481"/>
      <c r="Y183" s="1481"/>
      <c r="Z183" s="1481"/>
      <c r="AA183" s="1481"/>
      <c r="AB183" s="1481"/>
      <c r="AC183" s="907"/>
      <c r="AD183" s="908"/>
      <c r="AE183" s="1481"/>
      <c r="AF183" s="1481"/>
      <c r="AG183" s="1481"/>
      <c r="AH183" s="1481"/>
      <c r="AI183" s="1481"/>
      <c r="AJ183" s="1481"/>
      <c r="AK183" s="1481"/>
      <c r="AL183" s="1481"/>
      <c r="AM183" s="1481"/>
      <c r="AN183" s="1481"/>
      <c r="AO183" s="1481"/>
      <c r="AP183" s="1481"/>
      <c r="AQ183" s="1481"/>
      <c r="AR183" s="1481"/>
      <c r="AS183" s="1481"/>
      <c r="AT183" s="1481"/>
      <c r="AU183" s="1481"/>
      <c r="AV183" s="1481"/>
      <c r="AW183" s="1481"/>
      <c r="AX183" s="1481"/>
      <c r="AY183" s="1481"/>
      <c r="AZ183" s="1481"/>
      <c r="BA183" s="1481"/>
      <c r="BB183" s="1481"/>
      <c r="BC183" s="1481"/>
      <c r="BD183" s="1481"/>
      <c r="BE183" s="1481"/>
      <c r="BF183" s="1481"/>
      <c r="BG183" s="1481"/>
      <c r="BH183" s="1481"/>
      <c r="BI183" s="1481"/>
      <c r="BJ183" s="1481"/>
      <c r="BK183" s="1481"/>
      <c r="BL183" s="1481"/>
      <c r="BM183" s="1481"/>
      <c r="BN183" s="1481"/>
      <c r="BO183" s="1481"/>
      <c r="BP183" s="1481"/>
      <c r="BQ183" s="1481"/>
      <c r="BR183" s="1481"/>
      <c r="BS183" s="1481"/>
      <c r="BT183" s="1481"/>
      <c r="BU183" s="1481"/>
      <c r="BV183" s="1481"/>
      <c r="BW183" s="1481"/>
      <c r="BX183" s="1481"/>
      <c r="BY183" s="1481"/>
      <c r="BZ183" s="1481"/>
      <c r="CA183" s="1481"/>
      <c r="CB183" s="1481"/>
      <c r="CC183" s="1481"/>
      <c r="CD183" s="1481"/>
      <c r="CE183" s="1481"/>
    </row>
    <row r="184" spans="1:83" ht="5.25" hidden="1" customHeight="1">
      <c r="A184" s="1636"/>
      <c r="B184" s="1481"/>
      <c r="C184" s="1481"/>
      <c r="D184" s="3623"/>
      <c r="E184" s="913"/>
      <c r="F184" s="914"/>
      <c r="G184" s="914"/>
      <c r="H184" s="915"/>
      <c r="I184" s="915"/>
      <c r="J184" s="915"/>
      <c r="K184" s="915"/>
      <c r="L184" s="915"/>
      <c r="M184" s="915"/>
      <c r="N184" s="915"/>
      <c r="O184" s="915"/>
      <c r="P184" s="915"/>
      <c r="Q184" s="915"/>
      <c r="R184" s="818"/>
      <c r="S184" s="916"/>
      <c r="T184" s="608"/>
      <c r="U184" s="3532"/>
      <c r="V184" s="3532"/>
      <c r="W184" s="1481"/>
      <c r="X184" s="1481"/>
      <c r="Y184" s="1481"/>
      <c r="Z184" s="1481"/>
      <c r="AA184" s="1481"/>
      <c r="AB184" s="1481"/>
      <c r="AC184" s="907"/>
      <c r="AD184" s="908"/>
      <c r="AE184" s="1481"/>
      <c r="AF184" s="1481"/>
      <c r="AG184" s="1481"/>
      <c r="AH184" s="1481"/>
      <c r="AI184" s="1481"/>
      <c r="AJ184" s="1481"/>
      <c r="AK184" s="1481"/>
      <c r="AL184" s="1481"/>
      <c r="AM184" s="1481"/>
      <c r="AN184" s="1481"/>
      <c r="AO184" s="1481"/>
      <c r="AP184" s="1481"/>
      <c r="AQ184" s="1481"/>
      <c r="AR184" s="1481"/>
      <c r="AS184" s="1481"/>
      <c r="AT184" s="1481"/>
      <c r="AU184" s="1481"/>
      <c r="AV184" s="1481"/>
      <c r="AW184" s="1481"/>
      <c r="AX184" s="1481"/>
      <c r="AY184" s="1481"/>
      <c r="AZ184" s="1481"/>
      <c r="BA184" s="1481"/>
      <c r="BB184" s="1481"/>
      <c r="BC184" s="1481"/>
      <c r="BD184" s="1481"/>
      <c r="BE184" s="1481"/>
      <c r="BF184" s="1481"/>
      <c r="BG184" s="1481"/>
      <c r="BH184" s="1481"/>
      <c r="BI184" s="1481"/>
      <c r="BJ184" s="1481"/>
      <c r="BK184" s="1481"/>
      <c r="BL184" s="1481"/>
      <c r="BM184" s="1481"/>
      <c r="BN184" s="1481"/>
      <c r="BO184" s="1481"/>
      <c r="BP184" s="1481"/>
      <c r="BQ184" s="1481"/>
      <c r="BR184" s="1481"/>
      <c r="BS184" s="1481"/>
      <c r="BT184" s="1481"/>
      <c r="BU184" s="1481"/>
      <c r="BV184" s="1481"/>
      <c r="BW184" s="1481"/>
      <c r="BX184" s="1481"/>
      <c r="BY184" s="1481"/>
      <c r="BZ184" s="1481"/>
      <c r="CA184" s="1481"/>
      <c r="CB184" s="1481"/>
      <c r="CC184" s="1481"/>
      <c r="CD184" s="1481"/>
      <c r="CE184" s="1481"/>
    </row>
    <row r="185" spans="1:83" ht="15" hidden="1" customHeight="1">
      <c r="A185" s="516" t="s">
        <v>168</v>
      </c>
      <c r="B185"/>
      <c r="C185" t="s">
        <v>18</v>
      </c>
      <c r="D185" s="3621" t="s">
        <v>898</v>
      </c>
      <c r="E185" s="3618" t="s">
        <v>102</v>
      </c>
      <c r="F185" s="3619"/>
      <c r="G185" s="3620"/>
      <c r="H185" s="3614" t="str">
        <f>IF(A185="","",INDEX(DIFFERENTIATION_UNMERGE_VD,MATCH(A185,DIFFERENTIATION_ID_DIFF,0)))</f>
        <v>Производство тепловой энергии. Некомбинированная выработка</v>
      </c>
      <c r="I185" s="3614"/>
      <c r="J185" s="3614"/>
      <c r="K185" s="3614"/>
      <c r="L185" s="3614"/>
      <c r="M185" s="3614"/>
      <c r="N185" s="3614"/>
      <c r="O185" s="3614"/>
      <c r="P185" s="3614"/>
      <c r="Q185" s="3614"/>
      <c r="R185" s="3614"/>
      <c r="S185" s="609"/>
      <c r="T185" s="606"/>
      <c r="U185" s="517"/>
      <c r="V185" s="517"/>
      <c r="W185" s="518"/>
      <c r="X185" s="518"/>
      <c r="Y185" s="518"/>
      <c r="Z185" s="518"/>
      <c r="AA185" s="519"/>
      <c r="AB185" s="520"/>
      <c r="AC185" s="3617"/>
      <c r="AD185" s="521"/>
      <c r="AE185" s="522" t="s">
        <v>18</v>
      </c>
      <c r="AF185" s="522"/>
      <c r="AG185" s="523" t="s">
        <v>874</v>
      </c>
      <c r="AH185" s="524">
        <v>3</v>
      </c>
      <c r="AI185" s="517"/>
      <c r="AJ185" s="517"/>
      <c r="AK185" s="517"/>
      <c r="AL185" s="517"/>
      <c r="AM185" s="517"/>
      <c r="AN185" s="517"/>
      <c r="AO185" s="517"/>
      <c r="AP185" s="517"/>
      <c r="AQ185" s="517"/>
      <c r="AR185" s="517"/>
      <c r="AS185" s="517"/>
      <c r="AT185" s="517"/>
      <c r="AU185" s="517"/>
      <c r="AV185" s="517"/>
      <c r="AW185" s="517"/>
      <c r="AX185" s="517"/>
      <c r="AY185" s="517"/>
      <c r="AZ185" s="517"/>
      <c r="BA185" s="517"/>
      <c r="BB185" s="517"/>
      <c r="BC185" s="517"/>
      <c r="BD185" s="517"/>
      <c r="BE185" s="517"/>
      <c r="BF185" s="517"/>
      <c r="BG185" s="517"/>
      <c r="BH185" s="517"/>
      <c r="BI185" s="517"/>
      <c r="BJ185" s="517"/>
      <c r="BK185" s="517"/>
      <c r="BL185" s="517"/>
      <c r="BM185" s="517"/>
      <c r="BN185" s="517"/>
      <c r="BO185" s="517"/>
      <c r="BP185" s="517"/>
      <c r="BQ185" s="517"/>
      <c r="BR185" s="517"/>
      <c r="BS185" s="517"/>
      <c r="BT185" s="517"/>
      <c r="BU185" s="517"/>
      <c r="BV185" s="518"/>
      <c r="BW185" s="518"/>
      <c r="BX185" s="518"/>
      <c r="BY185" s="518"/>
      <c r="BZ185" s="518"/>
      <c r="CA185" s="518"/>
      <c r="CB185" s="518"/>
      <c r="CC185" s="518"/>
      <c r="CD185" s="518"/>
      <c r="CE185" s="518"/>
    </row>
    <row r="186" spans="1:83" ht="15" hidden="1" customHeight="1">
      <c r="A186" s="516"/>
      <c r="B186"/>
      <c r="C186"/>
      <c r="D186" s="3622"/>
      <c r="E186" s="3618" t="s">
        <v>829</v>
      </c>
      <c r="F186" s="3619"/>
      <c r="G186" s="3620"/>
      <c r="H186" s="3614" t="str">
        <f>IF(A185="","",INDEX(DIFFERENTIATION_UNMERGE_AREA,MATCH(A185,DIFFERENTIATION_ID_DIFF,0)))</f>
        <v>Территория 1</v>
      </c>
      <c r="I186" s="3614"/>
      <c r="J186" s="3614"/>
      <c r="K186" s="3614"/>
      <c r="L186" s="3614"/>
      <c r="M186" s="3614"/>
      <c r="N186" s="3614"/>
      <c r="O186" s="3614"/>
      <c r="P186" s="3614"/>
      <c r="Q186" s="3614"/>
      <c r="R186" s="3614"/>
      <c r="S186" s="609"/>
      <c r="T186" s="606"/>
      <c r="U186" s="517"/>
      <c r="V186" s="517"/>
      <c r="W186" s="518"/>
      <c r="X186" s="518"/>
      <c r="Y186" s="518"/>
      <c r="Z186" s="518"/>
      <c r="AA186" s="519"/>
      <c r="AB186" s="520"/>
      <c r="AC186" s="3617"/>
      <c r="AD186" s="521"/>
      <c r="AE186" s="522"/>
      <c r="AF186" s="522"/>
      <c r="AG186" s="523"/>
      <c r="AH186" s="524"/>
      <c r="AI186" s="517"/>
      <c r="AJ186" s="517"/>
      <c r="AK186" s="517"/>
      <c r="AL186" s="517"/>
      <c r="AM186" s="517"/>
      <c r="AN186" s="517"/>
      <c r="AO186" s="517"/>
      <c r="AP186" s="517"/>
      <c r="AQ186" s="517"/>
      <c r="AR186" s="517"/>
      <c r="AS186" s="517"/>
      <c r="AT186" s="517"/>
      <c r="AU186" s="517"/>
      <c r="AV186" s="517"/>
      <c r="AW186" s="517"/>
      <c r="AX186" s="517"/>
      <c r="AY186" s="517"/>
      <c r="AZ186" s="517"/>
      <c r="BA186" s="517"/>
      <c r="BB186" s="517"/>
      <c r="BC186" s="517"/>
      <c r="BD186" s="517"/>
      <c r="BE186" s="517"/>
      <c r="BF186" s="517"/>
      <c r="BG186" s="517"/>
      <c r="BH186" s="517"/>
      <c r="BI186" s="517"/>
      <c r="BJ186" s="517"/>
      <c r="BK186" s="517"/>
      <c r="BL186" s="517"/>
      <c r="BM186" s="517"/>
      <c r="BN186" s="517"/>
      <c r="BO186" s="517"/>
      <c r="BP186" s="517"/>
      <c r="BQ186" s="517"/>
      <c r="BR186" s="517"/>
      <c r="BS186" s="517"/>
      <c r="BT186" s="517"/>
      <c r="BU186" s="517"/>
      <c r="BV186" s="518"/>
      <c r="BW186" s="518"/>
      <c r="BX186" s="518"/>
      <c r="BY186" s="518"/>
      <c r="BZ186" s="518"/>
      <c r="CA186" s="518"/>
      <c r="CB186" s="518"/>
      <c r="CC186" s="518"/>
      <c r="CD186" s="518"/>
      <c r="CE186" s="518"/>
    </row>
    <row r="187" spans="1:83" ht="15" hidden="1" customHeight="1">
      <c r="A187" s="516"/>
      <c r="B187"/>
      <c r="C187"/>
      <c r="D187" s="3622"/>
      <c r="E187" s="3618" t="s">
        <v>830</v>
      </c>
      <c r="F187" s="3619"/>
      <c r="G187" s="3620"/>
      <c r="H187" s="3614" t="str">
        <f>IF(A185="","",INDEX(DIFFERENTIATION_UNMERGE_SYSTEM,MATCH(A185,DIFFERENTIATION_ID_DIFF,0)))</f>
        <v>Комсомольская, 252а</v>
      </c>
      <c r="I187" s="3614"/>
      <c r="J187" s="3614"/>
      <c r="K187" s="3614"/>
      <c r="L187" s="3614"/>
      <c r="M187" s="3614"/>
      <c r="N187" s="3614"/>
      <c r="O187" s="3614"/>
      <c r="P187" s="3614"/>
      <c r="Q187" s="3614"/>
      <c r="R187" s="3614"/>
      <c r="S187" s="609"/>
      <c r="T187" s="606"/>
      <c r="U187" s="517"/>
      <c r="V187" s="517"/>
      <c r="W187" s="518"/>
      <c r="X187" s="518"/>
      <c r="Y187" s="518"/>
      <c r="Z187" s="518"/>
      <c r="AA187" s="519"/>
      <c r="AB187" s="520"/>
      <c r="AC187" s="3617"/>
      <c r="AD187" s="521"/>
      <c r="AE187" s="522"/>
      <c r="AF187" s="522"/>
      <c r="AG187" s="523"/>
      <c r="AH187" s="524"/>
      <c r="AI187" s="517"/>
      <c r="AJ187" s="517"/>
      <c r="AK187" s="517"/>
      <c r="AL187" s="517"/>
      <c r="AM187" s="517"/>
      <c r="AN187" s="517"/>
      <c r="AO187" s="517"/>
      <c r="AP187" s="517"/>
      <c r="AQ187" s="517"/>
      <c r="AR187" s="517"/>
      <c r="AS187" s="517"/>
      <c r="AT187" s="517"/>
      <c r="AU187" s="517"/>
      <c r="AV187" s="517"/>
      <c r="AW187" s="517"/>
      <c r="AX187" s="517"/>
      <c r="AY187" s="517"/>
      <c r="AZ187" s="517"/>
      <c r="BA187" s="517"/>
      <c r="BB187" s="517"/>
      <c r="BC187" s="517"/>
      <c r="BD187" s="517"/>
      <c r="BE187" s="517"/>
      <c r="BF187" s="517"/>
      <c r="BG187" s="517"/>
      <c r="BH187" s="517"/>
      <c r="BI187" s="517"/>
      <c r="BJ187" s="517"/>
      <c r="BK187" s="517"/>
      <c r="BL187" s="517"/>
      <c r="BM187" s="517"/>
      <c r="BN187" s="517"/>
      <c r="BO187" s="517"/>
      <c r="BP187" s="517"/>
      <c r="BQ187" s="517"/>
      <c r="BR187" s="517"/>
      <c r="BS187" s="517"/>
      <c r="BT187" s="517"/>
      <c r="BU187" s="517"/>
      <c r="BV187" s="518"/>
      <c r="BW187" s="518"/>
      <c r="BX187" s="518"/>
      <c r="BY187" s="518"/>
      <c r="BZ187" s="518"/>
      <c r="CA187" s="518"/>
      <c r="CB187" s="518"/>
      <c r="CC187" s="518"/>
      <c r="CD187" s="518"/>
      <c r="CE187" s="518"/>
    </row>
    <row r="188" spans="1:83" ht="24.75" hidden="1" customHeight="1">
      <c r="A188" s="1649"/>
      <c r="B188" s="1023"/>
      <c r="C188" s="319"/>
      <c r="D188" s="3622"/>
      <c r="E188" s="3616" t="s">
        <v>875</v>
      </c>
      <c r="F188" s="3616"/>
      <c r="G188" s="3616"/>
      <c r="H188" s="3616"/>
      <c r="I188" s="3616"/>
      <c r="J188" s="3616"/>
      <c r="K188" s="3616"/>
      <c r="L188" s="3616"/>
      <c r="M188" s="3616"/>
      <c r="N188" s="3616"/>
      <c r="O188" s="3616"/>
      <c r="P188" s="3616"/>
      <c r="Q188" s="455">
        <f>SUMIF(T189:T190,"i",Q189:Q190)</f>
        <v>0</v>
      </c>
      <c r="R188" s="887"/>
      <c r="S188" s="1641" t="s">
        <v>876</v>
      </c>
      <c r="T188" s="607" t="s">
        <v>877</v>
      </c>
      <c r="U188" s="3532">
        <v>1</v>
      </c>
      <c r="V188" s="3532" t="s">
        <v>840</v>
      </c>
      <c r="W188" s="1023"/>
      <c r="X188" s="1023"/>
      <c r="Y188" s="1023"/>
      <c r="Z188" s="1023"/>
      <c r="AA188" s="1481"/>
      <c r="AB188" s="1023"/>
      <c r="AC188" s="3617"/>
      <c r="AD188" s="521"/>
      <c r="AE188" s="1023"/>
      <c r="AF188" s="1023"/>
      <c r="AG188" s="1481"/>
      <c r="AH188" s="1481"/>
      <c r="AI188" s="1481"/>
      <c r="AJ188" s="1481"/>
      <c r="AK188" s="1481"/>
      <c r="AL188" s="1481"/>
      <c r="AM188" s="1481"/>
      <c r="AN188" s="1481"/>
      <c r="AO188" s="1481"/>
      <c r="AP188" s="1481"/>
      <c r="AQ188" s="1481"/>
      <c r="AR188" s="1481"/>
      <c r="AS188" s="1481"/>
      <c r="AT188" s="1481"/>
      <c r="AU188" s="1481"/>
      <c r="AV188" s="1481"/>
      <c r="AW188" s="1481"/>
      <c r="AX188" s="1481"/>
      <c r="AY188" s="1481"/>
      <c r="AZ188" s="1481"/>
      <c r="BA188" s="1481"/>
      <c r="BB188" s="1481"/>
      <c r="BC188" s="1481"/>
      <c r="BD188" s="1481"/>
      <c r="BE188" s="1481"/>
      <c r="BF188" s="1481"/>
      <c r="BG188" s="1481"/>
      <c r="BH188" s="1481"/>
      <c r="BI188" s="1481"/>
      <c r="BJ188" s="1481"/>
      <c r="BK188" s="1481"/>
      <c r="BL188" s="1481"/>
      <c r="BM188" s="1481"/>
      <c r="BN188" s="1481"/>
      <c r="BO188" s="1481"/>
      <c r="BP188" s="1481"/>
      <c r="BQ188" s="1481"/>
      <c r="BR188" s="1481"/>
      <c r="BS188" s="1481"/>
      <c r="BT188" s="1481"/>
      <c r="BU188" s="1481"/>
      <c r="BV188" s="1023"/>
      <c r="BW188" s="1023"/>
      <c r="BX188" s="1023"/>
      <c r="BY188" s="1023"/>
      <c r="BZ188" s="1023"/>
      <c r="CA188" s="1023"/>
      <c r="CB188" s="1023"/>
      <c r="CC188" s="1023"/>
      <c r="CD188" s="1023"/>
      <c r="CE188" s="1023"/>
    </row>
    <row r="189" spans="1:83" ht="11.25" hidden="1" customHeight="1">
      <c r="A189" s="1636"/>
      <c r="B189" s="1481"/>
      <c r="C189" s="1481"/>
      <c r="D189" s="3622"/>
      <c r="E189" s="527"/>
      <c r="F189" s="527">
        <v>0</v>
      </c>
      <c r="G189" s="527"/>
      <c r="H189" s="527"/>
      <c r="I189" s="527"/>
      <c r="J189" s="527"/>
      <c r="K189" s="527"/>
      <c r="L189" s="527"/>
      <c r="M189" s="527"/>
      <c r="N189" s="527"/>
      <c r="O189" s="527"/>
      <c r="P189" s="527"/>
      <c r="Q189" s="527"/>
      <c r="R189" s="527"/>
      <c r="S189" s="528"/>
      <c r="T189" s="608"/>
      <c r="U189" s="3532"/>
      <c r="V189" s="3532"/>
      <c r="W189" s="1481"/>
      <c r="X189" s="1481"/>
      <c r="Y189" s="1481"/>
      <c r="Z189" s="1481"/>
      <c r="AA189" s="1481"/>
      <c r="AB189" s="1023"/>
      <c r="AC189" s="3617"/>
      <c r="AD189" s="521"/>
      <c r="AE189" s="1023"/>
      <c r="AF189" s="1023"/>
      <c r="AG189" s="1481"/>
      <c r="AH189" s="1481"/>
      <c r="AI189" s="1481"/>
      <c r="AJ189" s="1481"/>
      <c r="AK189" s="1481"/>
      <c r="AL189" s="1481"/>
      <c r="AM189" s="1481"/>
      <c r="AN189" s="1481"/>
      <c r="AO189" s="1481"/>
      <c r="AP189" s="1481"/>
      <c r="AQ189" s="1481"/>
      <c r="AR189" s="1481"/>
      <c r="AS189" s="1481"/>
      <c r="AT189" s="1481"/>
      <c r="AU189" s="1481"/>
      <c r="AV189" s="1481"/>
      <c r="AW189" s="1481"/>
      <c r="AX189" s="1481"/>
      <c r="AY189" s="1481"/>
      <c r="AZ189" s="1481"/>
      <c r="BA189" s="1481"/>
      <c r="BB189" s="1481"/>
      <c r="BC189" s="1481"/>
      <c r="BD189" s="1481"/>
      <c r="BE189" s="1481"/>
      <c r="BF189" s="1481"/>
      <c r="BG189" s="1481"/>
      <c r="BH189" s="1481"/>
      <c r="BI189" s="1481"/>
      <c r="BJ189" s="1481"/>
      <c r="BK189" s="1481"/>
      <c r="BL189" s="1481"/>
      <c r="BM189" s="1481"/>
      <c r="BN189" s="1481"/>
      <c r="BO189" s="1481"/>
      <c r="BP189" s="1481"/>
      <c r="BQ189" s="1481"/>
      <c r="BR189" s="1481"/>
      <c r="BS189" s="1481"/>
      <c r="BT189" s="1481"/>
      <c r="BU189" s="1481"/>
      <c r="BV189" s="1481"/>
      <c r="BW189" s="1481"/>
      <c r="BX189" s="1481"/>
      <c r="BY189" s="1481"/>
      <c r="BZ189" s="1481"/>
      <c r="CA189" s="1481"/>
      <c r="CB189" s="1481"/>
      <c r="CC189" s="1481"/>
      <c r="CD189" s="1481"/>
      <c r="CE189" s="1481"/>
    </row>
    <row r="190" spans="1:83" ht="11.25" hidden="1" customHeight="1">
      <c r="A190" s="1649"/>
      <c r="B190" s="1023"/>
      <c r="C190" s="319"/>
      <c r="D190" s="3622"/>
      <c r="E190" s="541" t="s">
        <v>18</v>
      </c>
      <c r="F190" s="1031" t="s">
        <v>18</v>
      </c>
      <c r="G190" s="1031" t="s">
        <v>880</v>
      </c>
      <c r="H190" s="543" t="s">
        <v>18</v>
      </c>
      <c r="I190" s="543"/>
      <c r="J190" s="543"/>
      <c r="K190" s="543"/>
      <c r="L190" s="543"/>
      <c r="M190" s="543"/>
      <c r="N190" s="543"/>
      <c r="O190" s="543"/>
      <c r="P190" s="543"/>
      <c r="Q190" s="543"/>
      <c r="R190" s="544"/>
      <c r="S190" s="545"/>
      <c r="T190" s="608"/>
      <c r="U190" s="3532"/>
      <c r="V190" s="3532"/>
      <c r="W190" s="1023"/>
      <c r="X190" s="1023"/>
      <c r="Y190" s="1023"/>
      <c r="Z190" s="1023"/>
      <c r="AA190" s="1481"/>
      <c r="AB190" s="1023"/>
      <c r="AC190" s="3617"/>
      <c r="AD190" s="521"/>
      <c r="AE190" s="1023"/>
      <c r="AF190" s="1023"/>
      <c r="AG190" s="1481"/>
      <c r="AH190" s="1481"/>
      <c r="AI190" s="1481"/>
      <c r="AJ190" s="1481"/>
      <c r="AK190" s="1481"/>
      <c r="AL190" s="1481"/>
      <c r="AM190" s="1481"/>
      <c r="AN190" s="1481"/>
      <c r="AO190" s="1481"/>
      <c r="AP190" s="1481"/>
      <c r="AQ190" s="1481"/>
      <c r="AR190" s="1481"/>
      <c r="AS190" s="1481"/>
      <c r="AT190" s="1481"/>
      <c r="AU190" s="1481"/>
      <c r="AV190" s="1481"/>
      <c r="AW190" s="1481"/>
      <c r="AX190" s="1481"/>
      <c r="AY190" s="1481"/>
      <c r="AZ190" s="1481"/>
      <c r="BA190" s="1481"/>
      <c r="BB190" s="1481"/>
      <c r="BC190" s="1481"/>
      <c r="BD190" s="1481"/>
      <c r="BE190" s="1481"/>
      <c r="BF190" s="1481"/>
      <c r="BG190" s="1481"/>
      <c r="BH190" s="1481"/>
      <c r="BI190" s="1481"/>
      <c r="BJ190" s="1481"/>
      <c r="BK190" s="1481"/>
      <c r="BL190" s="1481"/>
      <c r="BM190" s="1481"/>
      <c r="BN190" s="1481"/>
      <c r="BO190" s="1481"/>
      <c r="BP190" s="1481"/>
      <c r="BQ190" s="1481"/>
      <c r="BR190" s="1481"/>
      <c r="BS190" s="1481"/>
      <c r="BT190" s="1481"/>
      <c r="BU190" s="1481"/>
      <c r="BV190" s="1023"/>
      <c r="BW190" s="1023"/>
      <c r="BX190" s="1023"/>
      <c r="BY190" s="1023"/>
      <c r="BZ190" s="1023"/>
      <c r="CA190" s="1023"/>
      <c r="CB190" s="1023"/>
      <c r="CC190" s="1023"/>
      <c r="CD190" s="1023"/>
      <c r="CE190" s="1023"/>
    </row>
    <row r="191" spans="1:83" ht="5.25" hidden="1" customHeight="1">
      <c r="A191" s="1636"/>
      <c r="B191" s="1481"/>
      <c r="C191" s="1481"/>
      <c r="D191" s="3622"/>
      <c r="E191" s="909"/>
      <c r="F191" s="909"/>
      <c r="G191" s="909"/>
      <c r="H191" s="909"/>
      <c r="I191" s="909"/>
      <c r="J191" s="909"/>
      <c r="K191" s="909"/>
      <c r="L191" s="909"/>
      <c r="M191" s="909"/>
      <c r="N191" s="909"/>
      <c r="O191" s="909"/>
      <c r="P191" s="909"/>
      <c r="Q191" s="910"/>
      <c r="R191" s="911"/>
      <c r="S191" s="912"/>
      <c r="T191" s="607" t="s">
        <v>877</v>
      </c>
      <c r="U191" s="3532">
        <v>1</v>
      </c>
      <c r="V191" s="3532" t="s">
        <v>840</v>
      </c>
      <c r="W191" s="1481"/>
      <c r="X191" s="1481"/>
      <c r="Y191" s="1481"/>
      <c r="Z191" s="1481"/>
      <c r="AA191" s="1481"/>
      <c r="AB191" s="1481"/>
      <c r="AC191" s="907"/>
      <c r="AD191" s="908"/>
      <c r="AE191" s="1481"/>
      <c r="AF191" s="1481"/>
      <c r="AG191" s="1481"/>
      <c r="AH191" s="1481"/>
      <c r="AI191" s="1481"/>
      <c r="AJ191" s="1481"/>
      <c r="AK191" s="1481"/>
      <c r="AL191" s="1481"/>
      <c r="AM191" s="1481"/>
      <c r="AN191" s="1481"/>
      <c r="AO191" s="1481"/>
      <c r="AP191" s="1481"/>
      <c r="AQ191" s="1481"/>
      <c r="AR191" s="1481"/>
      <c r="AS191" s="1481"/>
      <c r="AT191" s="1481"/>
      <c r="AU191" s="1481"/>
      <c r="AV191" s="1481"/>
      <c r="AW191" s="1481"/>
      <c r="AX191" s="1481"/>
      <c r="AY191" s="1481"/>
      <c r="AZ191" s="1481"/>
      <c r="BA191" s="1481"/>
      <c r="BB191" s="1481"/>
      <c r="BC191" s="1481"/>
      <c r="BD191" s="1481"/>
      <c r="BE191" s="1481"/>
      <c r="BF191" s="1481"/>
      <c r="BG191" s="1481"/>
      <c r="BH191" s="1481"/>
      <c r="BI191" s="1481"/>
      <c r="BJ191" s="1481"/>
      <c r="BK191" s="1481"/>
      <c r="BL191" s="1481"/>
      <c r="BM191" s="1481"/>
      <c r="BN191" s="1481"/>
      <c r="BO191" s="1481"/>
      <c r="BP191" s="1481"/>
      <c r="BQ191" s="1481"/>
      <c r="BR191" s="1481"/>
      <c r="BS191" s="1481"/>
      <c r="BT191" s="1481"/>
      <c r="BU191" s="1481"/>
      <c r="BV191" s="1481"/>
      <c r="BW191" s="1481"/>
      <c r="BX191" s="1481"/>
      <c r="BY191" s="1481"/>
      <c r="BZ191" s="1481"/>
      <c r="CA191" s="1481"/>
      <c r="CB191" s="1481"/>
      <c r="CC191" s="1481"/>
      <c r="CD191" s="1481"/>
      <c r="CE191" s="1481"/>
    </row>
    <row r="192" spans="1:83" ht="5.25" hidden="1" customHeight="1">
      <c r="A192" s="1636"/>
      <c r="B192" s="1481"/>
      <c r="C192" s="1481"/>
      <c r="D192" s="3622"/>
      <c r="E192" s="527"/>
      <c r="F192" s="527"/>
      <c r="G192" s="527"/>
      <c r="H192" s="527"/>
      <c r="I192" s="527"/>
      <c r="J192" s="527"/>
      <c r="K192" s="527"/>
      <c r="L192" s="527"/>
      <c r="M192" s="527"/>
      <c r="N192" s="527"/>
      <c r="O192" s="527"/>
      <c r="P192" s="527"/>
      <c r="Q192" s="527"/>
      <c r="R192" s="527"/>
      <c r="S192" s="528"/>
      <c r="T192" s="608"/>
      <c r="U192" s="3532"/>
      <c r="V192" s="3532"/>
      <c r="W192" s="1481"/>
      <c r="X192" s="1481"/>
      <c r="Y192" s="1481"/>
      <c r="Z192" s="1481"/>
      <c r="AA192" s="1481"/>
      <c r="AB192" s="1481"/>
      <c r="AC192" s="907"/>
      <c r="AD192" s="908"/>
      <c r="AE192" s="1481"/>
      <c r="AF192" s="1481"/>
      <c r="AG192" s="1481"/>
      <c r="AH192" s="1481"/>
      <c r="AI192" s="1481"/>
      <c r="AJ192" s="1481"/>
      <c r="AK192" s="1481"/>
      <c r="AL192" s="1481"/>
      <c r="AM192" s="1481"/>
      <c r="AN192" s="1481"/>
      <c r="AO192" s="1481"/>
      <c r="AP192" s="1481"/>
      <c r="AQ192" s="1481"/>
      <c r="AR192" s="1481"/>
      <c r="AS192" s="1481"/>
      <c r="AT192" s="1481"/>
      <c r="AU192" s="1481"/>
      <c r="AV192" s="1481"/>
      <c r="AW192" s="1481"/>
      <c r="AX192" s="1481"/>
      <c r="AY192" s="1481"/>
      <c r="AZ192" s="1481"/>
      <c r="BA192" s="1481"/>
      <c r="BB192" s="1481"/>
      <c r="BC192" s="1481"/>
      <c r="BD192" s="1481"/>
      <c r="BE192" s="1481"/>
      <c r="BF192" s="1481"/>
      <c r="BG192" s="1481"/>
      <c r="BH192" s="1481"/>
      <c r="BI192" s="1481"/>
      <c r="BJ192" s="1481"/>
      <c r="BK192" s="1481"/>
      <c r="BL192" s="1481"/>
      <c r="BM192" s="1481"/>
      <c r="BN192" s="1481"/>
      <c r="BO192" s="1481"/>
      <c r="BP192" s="1481"/>
      <c r="BQ192" s="1481"/>
      <c r="BR192" s="1481"/>
      <c r="BS192" s="1481"/>
      <c r="BT192" s="1481"/>
      <c r="BU192" s="1481"/>
      <c r="BV192" s="1481"/>
      <c r="BW192" s="1481"/>
      <c r="BX192" s="1481"/>
      <c r="BY192" s="1481"/>
      <c r="BZ192" s="1481"/>
      <c r="CA192" s="1481"/>
      <c r="CB192" s="1481"/>
      <c r="CC192" s="1481"/>
      <c r="CD192" s="1481"/>
      <c r="CE192" s="1481"/>
    </row>
    <row r="193" spans="1:83" ht="5.25" hidden="1" customHeight="1">
      <c r="A193" s="1636"/>
      <c r="B193" s="1481"/>
      <c r="C193" s="1481"/>
      <c r="D193" s="3623"/>
      <c r="E193" s="913"/>
      <c r="F193" s="914"/>
      <c r="G193" s="914"/>
      <c r="H193" s="915"/>
      <c r="I193" s="915"/>
      <c r="J193" s="915"/>
      <c r="K193" s="915"/>
      <c r="L193" s="915"/>
      <c r="M193" s="915"/>
      <c r="N193" s="915"/>
      <c r="O193" s="915"/>
      <c r="P193" s="915"/>
      <c r="Q193" s="915"/>
      <c r="R193" s="818"/>
      <c r="S193" s="916"/>
      <c r="T193" s="608"/>
      <c r="U193" s="3532"/>
      <c r="V193" s="3532"/>
      <c r="W193" s="1481"/>
      <c r="X193" s="1481"/>
      <c r="Y193" s="1481"/>
      <c r="Z193" s="1481"/>
      <c r="AA193" s="1481"/>
      <c r="AB193" s="1481"/>
      <c r="AC193" s="907"/>
      <c r="AD193" s="908"/>
      <c r="AE193" s="1481"/>
      <c r="AF193" s="1481"/>
      <c r="AG193" s="1481"/>
      <c r="AH193" s="1481"/>
      <c r="AI193" s="1481"/>
      <c r="AJ193" s="1481"/>
      <c r="AK193" s="1481"/>
      <c r="AL193" s="1481"/>
      <c r="AM193" s="1481"/>
      <c r="AN193" s="1481"/>
      <c r="AO193" s="1481"/>
      <c r="AP193" s="1481"/>
      <c r="AQ193" s="1481"/>
      <c r="AR193" s="1481"/>
      <c r="AS193" s="1481"/>
      <c r="AT193" s="1481"/>
      <c r="AU193" s="1481"/>
      <c r="AV193" s="1481"/>
      <c r="AW193" s="1481"/>
      <c r="AX193" s="1481"/>
      <c r="AY193" s="1481"/>
      <c r="AZ193" s="1481"/>
      <c r="BA193" s="1481"/>
      <c r="BB193" s="1481"/>
      <c r="BC193" s="1481"/>
      <c r="BD193" s="1481"/>
      <c r="BE193" s="1481"/>
      <c r="BF193" s="1481"/>
      <c r="BG193" s="1481"/>
      <c r="BH193" s="1481"/>
      <c r="BI193" s="1481"/>
      <c r="BJ193" s="1481"/>
      <c r="BK193" s="1481"/>
      <c r="BL193" s="1481"/>
      <c r="BM193" s="1481"/>
      <c r="BN193" s="1481"/>
      <c r="BO193" s="1481"/>
      <c r="BP193" s="1481"/>
      <c r="BQ193" s="1481"/>
      <c r="BR193" s="1481"/>
      <c r="BS193" s="1481"/>
      <c r="BT193" s="1481"/>
      <c r="BU193" s="1481"/>
      <c r="BV193" s="1481"/>
      <c r="BW193" s="1481"/>
      <c r="BX193" s="1481"/>
      <c r="BY193" s="1481"/>
      <c r="BZ193" s="1481"/>
      <c r="CA193" s="1481"/>
      <c r="CB193" s="1481"/>
      <c r="CC193" s="1481"/>
      <c r="CD193" s="1481"/>
      <c r="CE193" s="1481"/>
    </row>
    <row r="194" spans="1:83" ht="15" hidden="1" customHeight="1">
      <c r="A194" s="516" t="s">
        <v>171</v>
      </c>
      <c r="B194"/>
      <c r="C194" t="s">
        <v>18</v>
      </c>
      <c r="D194" s="3621" t="s">
        <v>899</v>
      </c>
      <c r="E194" s="3618" t="s">
        <v>102</v>
      </c>
      <c r="F194" s="3619"/>
      <c r="G194" s="3620"/>
      <c r="H194" s="3614" t="str">
        <f>IF(A194="","",INDEX(DIFFERENTIATION_UNMERGE_VD,MATCH(A194,DIFFERENTIATION_ID_DIFF,0)))</f>
        <v>Производство тепловой энергии. Некомбинированная выработка</v>
      </c>
      <c r="I194" s="3614"/>
      <c r="J194" s="3614"/>
      <c r="K194" s="3614"/>
      <c r="L194" s="3614"/>
      <c r="M194" s="3614"/>
      <c r="N194" s="3614"/>
      <c r="O194" s="3614"/>
      <c r="P194" s="3614"/>
      <c r="Q194" s="3614"/>
      <c r="R194" s="3614"/>
      <c r="S194" s="609"/>
      <c r="T194" s="606"/>
      <c r="U194" s="517"/>
      <c r="V194" s="517"/>
      <c r="W194" s="518"/>
      <c r="X194" s="518"/>
      <c r="Y194" s="518"/>
      <c r="Z194" s="518"/>
      <c r="AA194" s="519"/>
      <c r="AB194" s="520"/>
      <c r="AC194" s="3617"/>
      <c r="AD194" s="521"/>
      <c r="AE194" s="522" t="s">
        <v>18</v>
      </c>
      <c r="AF194" s="522"/>
      <c r="AG194" s="523" t="s">
        <v>874</v>
      </c>
      <c r="AH194" s="524">
        <v>3</v>
      </c>
      <c r="AI194" s="517"/>
      <c r="AJ194" s="517"/>
      <c r="AK194" s="517"/>
      <c r="AL194" s="517"/>
      <c r="AM194" s="517"/>
      <c r="AN194" s="517"/>
      <c r="AO194" s="517"/>
      <c r="AP194" s="517"/>
      <c r="AQ194" s="517"/>
      <c r="AR194" s="517"/>
      <c r="AS194" s="517"/>
      <c r="AT194" s="517"/>
      <c r="AU194" s="517"/>
      <c r="AV194" s="517"/>
      <c r="AW194" s="517"/>
      <c r="AX194" s="517"/>
      <c r="AY194" s="517"/>
      <c r="AZ194" s="517"/>
      <c r="BA194" s="517"/>
      <c r="BB194" s="517"/>
      <c r="BC194" s="517"/>
      <c r="BD194" s="517"/>
      <c r="BE194" s="517"/>
      <c r="BF194" s="517"/>
      <c r="BG194" s="517"/>
      <c r="BH194" s="517"/>
      <c r="BI194" s="517"/>
      <c r="BJ194" s="517"/>
      <c r="BK194" s="517"/>
      <c r="BL194" s="517"/>
      <c r="BM194" s="517"/>
      <c r="BN194" s="517"/>
      <c r="BO194" s="517"/>
      <c r="BP194" s="517"/>
      <c r="BQ194" s="517"/>
      <c r="BR194" s="517"/>
      <c r="BS194" s="517"/>
      <c r="BT194" s="517"/>
      <c r="BU194" s="517"/>
      <c r="BV194" s="518"/>
      <c r="BW194" s="518"/>
      <c r="BX194" s="518"/>
      <c r="BY194" s="518"/>
      <c r="BZ194" s="518"/>
      <c r="CA194" s="518"/>
      <c r="CB194" s="518"/>
      <c r="CC194" s="518"/>
      <c r="CD194" s="518"/>
      <c r="CE194" s="518"/>
    </row>
    <row r="195" spans="1:83" ht="15" hidden="1" customHeight="1">
      <c r="A195" s="516"/>
      <c r="B195"/>
      <c r="C195"/>
      <c r="D195" s="3622"/>
      <c r="E195" s="3618" t="s">
        <v>829</v>
      </c>
      <c r="F195" s="3619"/>
      <c r="G195" s="3620"/>
      <c r="H195" s="3614" t="str">
        <f>IF(A194="","",INDEX(DIFFERENTIATION_UNMERGE_AREA,MATCH(A194,DIFFERENTIATION_ID_DIFF,0)))</f>
        <v>Территория 1</v>
      </c>
      <c r="I195" s="3614"/>
      <c r="J195" s="3614"/>
      <c r="K195" s="3614"/>
      <c r="L195" s="3614"/>
      <c r="M195" s="3614"/>
      <c r="N195" s="3614"/>
      <c r="O195" s="3614"/>
      <c r="P195" s="3614"/>
      <c r="Q195" s="3614"/>
      <c r="R195" s="3614"/>
      <c r="S195" s="609"/>
      <c r="T195" s="606"/>
      <c r="U195" s="517"/>
      <c r="V195" s="517"/>
      <c r="W195" s="518"/>
      <c r="X195" s="518"/>
      <c r="Y195" s="518"/>
      <c r="Z195" s="518"/>
      <c r="AA195" s="519"/>
      <c r="AB195" s="520"/>
      <c r="AC195" s="3617"/>
      <c r="AD195" s="521"/>
      <c r="AE195" s="522"/>
      <c r="AF195" s="522"/>
      <c r="AG195" s="523"/>
      <c r="AH195" s="524"/>
      <c r="AI195" s="517"/>
      <c r="AJ195" s="517"/>
      <c r="AK195" s="517"/>
      <c r="AL195" s="517"/>
      <c r="AM195" s="517"/>
      <c r="AN195" s="517"/>
      <c r="AO195" s="517"/>
      <c r="AP195" s="517"/>
      <c r="AQ195" s="517"/>
      <c r="AR195" s="517"/>
      <c r="AS195" s="517"/>
      <c r="AT195" s="517"/>
      <c r="AU195" s="517"/>
      <c r="AV195" s="517"/>
      <c r="AW195" s="517"/>
      <c r="AX195" s="517"/>
      <c r="AY195" s="517"/>
      <c r="AZ195" s="517"/>
      <c r="BA195" s="517"/>
      <c r="BB195" s="517"/>
      <c r="BC195" s="517"/>
      <c r="BD195" s="517"/>
      <c r="BE195" s="517"/>
      <c r="BF195" s="517"/>
      <c r="BG195" s="517"/>
      <c r="BH195" s="517"/>
      <c r="BI195" s="517"/>
      <c r="BJ195" s="517"/>
      <c r="BK195" s="517"/>
      <c r="BL195" s="517"/>
      <c r="BM195" s="517"/>
      <c r="BN195" s="517"/>
      <c r="BO195" s="517"/>
      <c r="BP195" s="517"/>
      <c r="BQ195" s="517"/>
      <c r="BR195" s="517"/>
      <c r="BS195" s="517"/>
      <c r="BT195" s="517"/>
      <c r="BU195" s="517"/>
      <c r="BV195" s="518"/>
      <c r="BW195" s="518"/>
      <c r="BX195" s="518"/>
      <c r="BY195" s="518"/>
      <c r="BZ195" s="518"/>
      <c r="CA195" s="518"/>
      <c r="CB195" s="518"/>
      <c r="CC195" s="518"/>
      <c r="CD195" s="518"/>
      <c r="CE195" s="518"/>
    </row>
    <row r="196" spans="1:83" ht="15" hidden="1" customHeight="1">
      <c r="A196" s="516"/>
      <c r="B196"/>
      <c r="C196"/>
      <c r="D196" s="3622"/>
      <c r="E196" s="3618" t="s">
        <v>830</v>
      </c>
      <c r="F196" s="3619"/>
      <c r="G196" s="3620"/>
      <c r="H196" s="3614" t="str">
        <f>IF(A194="","",INDEX(DIFFERENTIATION_UNMERGE_SYSTEM,MATCH(A194,DIFFERENTIATION_ID_DIFF,0)))</f>
        <v>Комсомольская, 261а</v>
      </c>
      <c r="I196" s="3614"/>
      <c r="J196" s="3614"/>
      <c r="K196" s="3614"/>
      <c r="L196" s="3614"/>
      <c r="M196" s="3614"/>
      <c r="N196" s="3614"/>
      <c r="O196" s="3614"/>
      <c r="P196" s="3614"/>
      <c r="Q196" s="3614"/>
      <c r="R196" s="3614"/>
      <c r="S196" s="609"/>
      <c r="T196" s="606"/>
      <c r="U196" s="517"/>
      <c r="V196" s="517"/>
      <c r="W196" s="518"/>
      <c r="X196" s="518"/>
      <c r="Y196" s="518"/>
      <c r="Z196" s="518"/>
      <c r="AA196" s="519"/>
      <c r="AB196" s="520"/>
      <c r="AC196" s="3617"/>
      <c r="AD196" s="521"/>
      <c r="AE196" s="522"/>
      <c r="AF196" s="522"/>
      <c r="AG196" s="523"/>
      <c r="AH196" s="524"/>
      <c r="AI196" s="517"/>
      <c r="AJ196" s="517"/>
      <c r="AK196" s="517"/>
      <c r="AL196" s="517"/>
      <c r="AM196" s="517"/>
      <c r="AN196" s="517"/>
      <c r="AO196" s="517"/>
      <c r="AP196" s="517"/>
      <c r="AQ196" s="517"/>
      <c r="AR196" s="517"/>
      <c r="AS196" s="517"/>
      <c r="AT196" s="517"/>
      <c r="AU196" s="517"/>
      <c r="AV196" s="517"/>
      <c r="AW196" s="517"/>
      <c r="AX196" s="517"/>
      <c r="AY196" s="517"/>
      <c r="AZ196" s="517"/>
      <c r="BA196" s="517"/>
      <c r="BB196" s="517"/>
      <c r="BC196" s="517"/>
      <c r="BD196" s="517"/>
      <c r="BE196" s="517"/>
      <c r="BF196" s="517"/>
      <c r="BG196" s="517"/>
      <c r="BH196" s="517"/>
      <c r="BI196" s="517"/>
      <c r="BJ196" s="517"/>
      <c r="BK196" s="517"/>
      <c r="BL196" s="517"/>
      <c r="BM196" s="517"/>
      <c r="BN196" s="517"/>
      <c r="BO196" s="517"/>
      <c r="BP196" s="517"/>
      <c r="BQ196" s="517"/>
      <c r="BR196" s="517"/>
      <c r="BS196" s="517"/>
      <c r="BT196" s="517"/>
      <c r="BU196" s="517"/>
      <c r="BV196" s="518"/>
      <c r="BW196" s="518"/>
      <c r="BX196" s="518"/>
      <c r="BY196" s="518"/>
      <c r="BZ196" s="518"/>
      <c r="CA196" s="518"/>
      <c r="CB196" s="518"/>
      <c r="CC196" s="518"/>
      <c r="CD196" s="518"/>
      <c r="CE196" s="518"/>
    </row>
    <row r="197" spans="1:83" ht="24.75" hidden="1" customHeight="1">
      <c r="A197" s="1649"/>
      <c r="B197" s="1023"/>
      <c r="C197" s="319"/>
      <c r="D197" s="3622"/>
      <c r="E197" s="3616" t="s">
        <v>875</v>
      </c>
      <c r="F197" s="3616"/>
      <c r="G197" s="3616"/>
      <c r="H197" s="3616"/>
      <c r="I197" s="3616"/>
      <c r="J197" s="3616"/>
      <c r="K197" s="3616"/>
      <c r="L197" s="3616"/>
      <c r="M197" s="3616"/>
      <c r="N197" s="3616"/>
      <c r="O197" s="3616"/>
      <c r="P197" s="3616"/>
      <c r="Q197" s="455">
        <f>SUMIF(T198:T199,"i",Q198:Q199)</f>
        <v>0</v>
      </c>
      <c r="R197" s="887"/>
      <c r="S197" s="1641" t="s">
        <v>876</v>
      </c>
      <c r="T197" s="607" t="s">
        <v>877</v>
      </c>
      <c r="U197" s="3532">
        <v>1</v>
      </c>
      <c r="V197" s="3532" t="s">
        <v>840</v>
      </c>
      <c r="W197" s="1023"/>
      <c r="X197" s="1023"/>
      <c r="Y197" s="1023"/>
      <c r="Z197" s="1023"/>
      <c r="AA197" s="1481"/>
      <c r="AB197" s="1023"/>
      <c r="AC197" s="3617"/>
      <c r="AD197" s="521"/>
      <c r="AE197" s="1023"/>
      <c r="AF197" s="1023"/>
      <c r="AG197" s="1481"/>
      <c r="AH197" s="1481"/>
      <c r="AI197" s="1481"/>
      <c r="AJ197" s="1481"/>
      <c r="AK197" s="1481"/>
      <c r="AL197" s="1481"/>
      <c r="AM197" s="1481"/>
      <c r="AN197" s="1481"/>
      <c r="AO197" s="1481"/>
      <c r="AP197" s="1481"/>
      <c r="AQ197" s="1481"/>
      <c r="AR197" s="1481"/>
      <c r="AS197" s="1481"/>
      <c r="AT197" s="1481"/>
      <c r="AU197" s="1481"/>
      <c r="AV197" s="1481"/>
      <c r="AW197" s="1481"/>
      <c r="AX197" s="1481"/>
      <c r="AY197" s="1481"/>
      <c r="AZ197" s="1481"/>
      <c r="BA197" s="1481"/>
      <c r="BB197" s="1481"/>
      <c r="BC197" s="1481"/>
      <c r="BD197" s="1481"/>
      <c r="BE197" s="1481"/>
      <c r="BF197" s="1481"/>
      <c r="BG197" s="1481"/>
      <c r="BH197" s="1481"/>
      <c r="BI197" s="1481"/>
      <c r="BJ197" s="1481"/>
      <c r="BK197" s="1481"/>
      <c r="BL197" s="1481"/>
      <c r="BM197" s="1481"/>
      <c r="BN197" s="1481"/>
      <c r="BO197" s="1481"/>
      <c r="BP197" s="1481"/>
      <c r="BQ197" s="1481"/>
      <c r="BR197" s="1481"/>
      <c r="BS197" s="1481"/>
      <c r="BT197" s="1481"/>
      <c r="BU197" s="1481"/>
      <c r="BV197" s="1023"/>
      <c r="BW197" s="1023"/>
      <c r="BX197" s="1023"/>
      <c r="BY197" s="1023"/>
      <c r="BZ197" s="1023"/>
      <c r="CA197" s="1023"/>
      <c r="CB197" s="1023"/>
      <c r="CC197" s="1023"/>
      <c r="CD197" s="1023"/>
      <c r="CE197" s="1023"/>
    </row>
    <row r="198" spans="1:83" ht="11.25" hidden="1" customHeight="1">
      <c r="A198" s="1636"/>
      <c r="B198" s="1481"/>
      <c r="C198" s="1481"/>
      <c r="D198" s="3622"/>
      <c r="E198" s="527"/>
      <c r="F198" s="527">
        <v>0</v>
      </c>
      <c r="G198" s="527"/>
      <c r="H198" s="527"/>
      <c r="I198" s="527"/>
      <c r="J198" s="527"/>
      <c r="K198" s="527"/>
      <c r="L198" s="527"/>
      <c r="M198" s="527"/>
      <c r="N198" s="527"/>
      <c r="O198" s="527"/>
      <c r="P198" s="527"/>
      <c r="Q198" s="527"/>
      <c r="R198" s="527"/>
      <c r="S198" s="528"/>
      <c r="T198" s="608"/>
      <c r="U198" s="3532"/>
      <c r="V198" s="3532"/>
      <c r="W198" s="1481"/>
      <c r="X198" s="1481"/>
      <c r="Y198" s="1481"/>
      <c r="Z198" s="1481"/>
      <c r="AA198" s="1481"/>
      <c r="AB198" s="1023"/>
      <c r="AC198" s="3617"/>
      <c r="AD198" s="521"/>
      <c r="AE198" s="1023"/>
      <c r="AF198" s="1023"/>
      <c r="AG198" s="1481"/>
      <c r="AH198" s="1481"/>
      <c r="AI198" s="1481"/>
      <c r="AJ198" s="1481"/>
      <c r="AK198" s="1481"/>
      <c r="AL198" s="1481"/>
      <c r="AM198" s="1481"/>
      <c r="AN198" s="1481"/>
      <c r="AO198" s="1481"/>
      <c r="AP198" s="1481"/>
      <c r="AQ198" s="1481"/>
      <c r="AR198" s="1481"/>
      <c r="AS198" s="1481"/>
      <c r="AT198" s="1481"/>
      <c r="AU198" s="1481"/>
      <c r="AV198" s="1481"/>
      <c r="AW198" s="1481"/>
      <c r="AX198" s="1481"/>
      <c r="AY198" s="1481"/>
      <c r="AZ198" s="1481"/>
      <c r="BA198" s="1481"/>
      <c r="BB198" s="1481"/>
      <c r="BC198" s="1481"/>
      <c r="BD198" s="1481"/>
      <c r="BE198" s="1481"/>
      <c r="BF198" s="1481"/>
      <c r="BG198" s="1481"/>
      <c r="BH198" s="1481"/>
      <c r="BI198" s="1481"/>
      <c r="BJ198" s="1481"/>
      <c r="BK198" s="1481"/>
      <c r="BL198" s="1481"/>
      <c r="BM198" s="1481"/>
      <c r="BN198" s="1481"/>
      <c r="BO198" s="1481"/>
      <c r="BP198" s="1481"/>
      <c r="BQ198" s="1481"/>
      <c r="BR198" s="1481"/>
      <c r="BS198" s="1481"/>
      <c r="BT198" s="1481"/>
      <c r="BU198" s="1481"/>
      <c r="BV198" s="1481"/>
      <c r="BW198" s="1481"/>
      <c r="BX198" s="1481"/>
      <c r="BY198" s="1481"/>
      <c r="BZ198" s="1481"/>
      <c r="CA198" s="1481"/>
      <c r="CB198" s="1481"/>
      <c r="CC198" s="1481"/>
      <c r="CD198" s="1481"/>
      <c r="CE198" s="1481"/>
    </row>
    <row r="199" spans="1:83" ht="11.25" hidden="1" customHeight="1">
      <c r="A199" s="1649"/>
      <c r="B199" s="1023"/>
      <c r="C199" s="319"/>
      <c r="D199" s="3622"/>
      <c r="E199" s="541" t="s">
        <v>18</v>
      </c>
      <c r="F199" s="1031" t="s">
        <v>18</v>
      </c>
      <c r="G199" s="1031" t="s">
        <v>880</v>
      </c>
      <c r="H199" s="543" t="s">
        <v>18</v>
      </c>
      <c r="I199" s="543"/>
      <c r="J199" s="543"/>
      <c r="K199" s="543"/>
      <c r="L199" s="543"/>
      <c r="M199" s="543"/>
      <c r="N199" s="543"/>
      <c r="O199" s="543"/>
      <c r="P199" s="543"/>
      <c r="Q199" s="543"/>
      <c r="R199" s="544"/>
      <c r="S199" s="545"/>
      <c r="T199" s="608"/>
      <c r="U199" s="3532"/>
      <c r="V199" s="3532"/>
      <c r="W199" s="1023"/>
      <c r="X199" s="1023"/>
      <c r="Y199" s="1023"/>
      <c r="Z199" s="1023"/>
      <c r="AA199" s="1481"/>
      <c r="AB199" s="1023"/>
      <c r="AC199" s="3617"/>
      <c r="AD199" s="521"/>
      <c r="AE199" s="1023"/>
      <c r="AF199" s="1023"/>
      <c r="AG199" s="1481"/>
      <c r="AH199" s="1481"/>
      <c r="AI199" s="1481"/>
      <c r="AJ199" s="1481"/>
      <c r="AK199" s="1481"/>
      <c r="AL199" s="1481"/>
      <c r="AM199" s="1481"/>
      <c r="AN199" s="1481"/>
      <c r="AO199" s="1481"/>
      <c r="AP199" s="1481"/>
      <c r="AQ199" s="1481"/>
      <c r="AR199" s="1481"/>
      <c r="AS199" s="1481"/>
      <c r="AT199" s="1481"/>
      <c r="AU199" s="1481"/>
      <c r="AV199" s="1481"/>
      <c r="AW199" s="1481"/>
      <c r="AX199" s="1481"/>
      <c r="AY199" s="1481"/>
      <c r="AZ199" s="1481"/>
      <c r="BA199" s="1481"/>
      <c r="BB199" s="1481"/>
      <c r="BC199" s="1481"/>
      <c r="BD199" s="1481"/>
      <c r="BE199" s="1481"/>
      <c r="BF199" s="1481"/>
      <c r="BG199" s="1481"/>
      <c r="BH199" s="1481"/>
      <c r="BI199" s="1481"/>
      <c r="BJ199" s="1481"/>
      <c r="BK199" s="1481"/>
      <c r="BL199" s="1481"/>
      <c r="BM199" s="1481"/>
      <c r="BN199" s="1481"/>
      <c r="BO199" s="1481"/>
      <c r="BP199" s="1481"/>
      <c r="BQ199" s="1481"/>
      <c r="BR199" s="1481"/>
      <c r="BS199" s="1481"/>
      <c r="BT199" s="1481"/>
      <c r="BU199" s="1481"/>
      <c r="BV199" s="1023"/>
      <c r="BW199" s="1023"/>
      <c r="BX199" s="1023"/>
      <c r="BY199" s="1023"/>
      <c r="BZ199" s="1023"/>
      <c r="CA199" s="1023"/>
      <c r="CB199" s="1023"/>
      <c r="CC199" s="1023"/>
      <c r="CD199" s="1023"/>
      <c r="CE199" s="1023"/>
    </row>
    <row r="200" spans="1:83" ht="5.25" hidden="1" customHeight="1">
      <c r="A200" s="1636"/>
      <c r="B200" s="1481"/>
      <c r="C200" s="1481"/>
      <c r="D200" s="3622"/>
      <c r="E200" s="909"/>
      <c r="F200" s="909"/>
      <c r="G200" s="909"/>
      <c r="H200" s="909"/>
      <c r="I200" s="909"/>
      <c r="J200" s="909"/>
      <c r="K200" s="909"/>
      <c r="L200" s="909"/>
      <c r="M200" s="909"/>
      <c r="N200" s="909"/>
      <c r="O200" s="909"/>
      <c r="P200" s="909"/>
      <c r="Q200" s="910"/>
      <c r="R200" s="911"/>
      <c r="S200" s="912"/>
      <c r="T200" s="607" t="s">
        <v>877</v>
      </c>
      <c r="U200" s="3532">
        <v>1</v>
      </c>
      <c r="V200" s="3532" t="s">
        <v>840</v>
      </c>
      <c r="W200" s="1481"/>
      <c r="X200" s="1481"/>
      <c r="Y200" s="1481"/>
      <c r="Z200" s="1481"/>
      <c r="AA200" s="1481"/>
      <c r="AB200" s="1481"/>
      <c r="AC200" s="907"/>
      <c r="AD200" s="908"/>
      <c r="AE200" s="1481"/>
      <c r="AF200" s="1481"/>
      <c r="AG200" s="1481"/>
      <c r="AH200" s="1481"/>
      <c r="AI200" s="1481"/>
      <c r="AJ200" s="1481"/>
      <c r="AK200" s="1481"/>
      <c r="AL200" s="1481"/>
      <c r="AM200" s="1481"/>
      <c r="AN200" s="1481"/>
      <c r="AO200" s="1481"/>
      <c r="AP200" s="1481"/>
      <c r="AQ200" s="1481"/>
      <c r="AR200" s="1481"/>
      <c r="AS200" s="1481"/>
      <c r="AT200" s="1481"/>
      <c r="AU200" s="1481"/>
      <c r="AV200" s="1481"/>
      <c r="AW200" s="1481"/>
      <c r="AX200" s="1481"/>
      <c r="AY200" s="1481"/>
      <c r="AZ200" s="1481"/>
      <c r="BA200" s="1481"/>
      <c r="BB200" s="1481"/>
      <c r="BC200" s="1481"/>
      <c r="BD200" s="1481"/>
      <c r="BE200" s="1481"/>
      <c r="BF200" s="1481"/>
      <c r="BG200" s="1481"/>
      <c r="BH200" s="1481"/>
      <c r="BI200" s="1481"/>
      <c r="BJ200" s="1481"/>
      <c r="BK200" s="1481"/>
      <c r="BL200" s="1481"/>
      <c r="BM200" s="1481"/>
      <c r="BN200" s="1481"/>
      <c r="BO200" s="1481"/>
      <c r="BP200" s="1481"/>
      <c r="BQ200" s="1481"/>
      <c r="BR200" s="1481"/>
      <c r="BS200" s="1481"/>
      <c r="BT200" s="1481"/>
      <c r="BU200" s="1481"/>
      <c r="BV200" s="1481"/>
      <c r="BW200" s="1481"/>
      <c r="BX200" s="1481"/>
      <c r="BY200" s="1481"/>
      <c r="BZ200" s="1481"/>
      <c r="CA200" s="1481"/>
      <c r="CB200" s="1481"/>
      <c r="CC200" s="1481"/>
      <c r="CD200" s="1481"/>
      <c r="CE200" s="1481"/>
    </row>
    <row r="201" spans="1:83" ht="5.25" hidden="1" customHeight="1">
      <c r="A201" s="1636"/>
      <c r="B201" s="1481"/>
      <c r="C201" s="1481"/>
      <c r="D201" s="3622"/>
      <c r="E201" s="527"/>
      <c r="F201" s="527"/>
      <c r="G201" s="527"/>
      <c r="H201" s="527"/>
      <c r="I201" s="527"/>
      <c r="J201" s="527"/>
      <c r="K201" s="527"/>
      <c r="L201" s="527"/>
      <c r="M201" s="527"/>
      <c r="N201" s="527"/>
      <c r="O201" s="527"/>
      <c r="P201" s="527"/>
      <c r="Q201" s="527"/>
      <c r="R201" s="527"/>
      <c r="S201" s="528"/>
      <c r="T201" s="608"/>
      <c r="U201" s="3532"/>
      <c r="V201" s="3532"/>
      <c r="W201" s="1481"/>
      <c r="X201" s="1481"/>
      <c r="Y201" s="1481"/>
      <c r="Z201" s="1481"/>
      <c r="AA201" s="1481"/>
      <c r="AB201" s="1481"/>
      <c r="AC201" s="907"/>
      <c r="AD201" s="908"/>
      <c r="AE201" s="1481"/>
      <c r="AF201" s="1481"/>
      <c r="AG201" s="1481"/>
      <c r="AH201" s="1481"/>
      <c r="AI201" s="1481"/>
      <c r="AJ201" s="1481"/>
      <c r="AK201" s="1481"/>
      <c r="AL201" s="1481"/>
      <c r="AM201" s="1481"/>
      <c r="AN201" s="1481"/>
      <c r="AO201" s="1481"/>
      <c r="AP201" s="1481"/>
      <c r="AQ201" s="1481"/>
      <c r="AR201" s="1481"/>
      <c r="AS201" s="1481"/>
      <c r="AT201" s="1481"/>
      <c r="AU201" s="1481"/>
      <c r="AV201" s="1481"/>
      <c r="AW201" s="1481"/>
      <c r="AX201" s="1481"/>
      <c r="AY201" s="1481"/>
      <c r="AZ201" s="1481"/>
      <c r="BA201" s="1481"/>
      <c r="BB201" s="1481"/>
      <c r="BC201" s="1481"/>
      <c r="BD201" s="1481"/>
      <c r="BE201" s="1481"/>
      <c r="BF201" s="1481"/>
      <c r="BG201" s="1481"/>
      <c r="BH201" s="1481"/>
      <c r="BI201" s="1481"/>
      <c r="BJ201" s="1481"/>
      <c r="BK201" s="1481"/>
      <c r="BL201" s="1481"/>
      <c r="BM201" s="1481"/>
      <c r="BN201" s="1481"/>
      <c r="BO201" s="1481"/>
      <c r="BP201" s="1481"/>
      <c r="BQ201" s="1481"/>
      <c r="BR201" s="1481"/>
      <c r="BS201" s="1481"/>
      <c r="BT201" s="1481"/>
      <c r="BU201" s="1481"/>
      <c r="BV201" s="1481"/>
      <c r="BW201" s="1481"/>
      <c r="BX201" s="1481"/>
      <c r="BY201" s="1481"/>
      <c r="BZ201" s="1481"/>
      <c r="CA201" s="1481"/>
      <c r="CB201" s="1481"/>
      <c r="CC201" s="1481"/>
      <c r="CD201" s="1481"/>
      <c r="CE201" s="1481"/>
    </row>
    <row r="202" spans="1:83" ht="5.25" hidden="1" customHeight="1">
      <c r="A202" s="1636"/>
      <c r="B202" s="1481"/>
      <c r="C202" s="1481"/>
      <c r="D202" s="3623"/>
      <c r="E202" s="913"/>
      <c r="F202" s="914"/>
      <c r="G202" s="914"/>
      <c r="H202" s="915"/>
      <c r="I202" s="915"/>
      <c r="J202" s="915"/>
      <c r="K202" s="915"/>
      <c r="L202" s="915"/>
      <c r="M202" s="915"/>
      <c r="N202" s="915"/>
      <c r="O202" s="915"/>
      <c r="P202" s="915"/>
      <c r="Q202" s="915"/>
      <c r="R202" s="818"/>
      <c r="S202" s="916"/>
      <c r="T202" s="608"/>
      <c r="U202" s="3532"/>
      <c r="V202" s="3532"/>
      <c r="W202" s="1481"/>
      <c r="X202" s="1481"/>
      <c r="Y202" s="1481"/>
      <c r="Z202" s="1481"/>
      <c r="AA202" s="1481"/>
      <c r="AB202" s="1481"/>
      <c r="AC202" s="907"/>
      <c r="AD202" s="908"/>
      <c r="AE202" s="1481"/>
      <c r="AF202" s="1481"/>
      <c r="AG202" s="1481"/>
      <c r="AH202" s="1481"/>
      <c r="AI202" s="1481"/>
      <c r="AJ202" s="1481"/>
      <c r="AK202" s="1481"/>
      <c r="AL202" s="1481"/>
      <c r="AM202" s="1481"/>
      <c r="AN202" s="1481"/>
      <c r="AO202" s="1481"/>
      <c r="AP202" s="1481"/>
      <c r="AQ202" s="1481"/>
      <c r="AR202" s="1481"/>
      <c r="AS202" s="1481"/>
      <c r="AT202" s="1481"/>
      <c r="AU202" s="1481"/>
      <c r="AV202" s="1481"/>
      <c r="AW202" s="1481"/>
      <c r="AX202" s="1481"/>
      <c r="AY202" s="1481"/>
      <c r="AZ202" s="1481"/>
      <c r="BA202" s="1481"/>
      <c r="BB202" s="1481"/>
      <c r="BC202" s="1481"/>
      <c r="BD202" s="1481"/>
      <c r="BE202" s="1481"/>
      <c r="BF202" s="1481"/>
      <c r="BG202" s="1481"/>
      <c r="BH202" s="1481"/>
      <c r="BI202" s="1481"/>
      <c r="BJ202" s="1481"/>
      <c r="BK202" s="1481"/>
      <c r="BL202" s="1481"/>
      <c r="BM202" s="1481"/>
      <c r="BN202" s="1481"/>
      <c r="BO202" s="1481"/>
      <c r="BP202" s="1481"/>
      <c r="BQ202" s="1481"/>
      <c r="BR202" s="1481"/>
      <c r="BS202" s="1481"/>
      <c r="BT202" s="1481"/>
      <c r="BU202" s="1481"/>
      <c r="BV202" s="1481"/>
      <c r="BW202" s="1481"/>
      <c r="BX202" s="1481"/>
      <c r="BY202" s="1481"/>
      <c r="BZ202" s="1481"/>
      <c r="CA202" s="1481"/>
      <c r="CB202" s="1481"/>
      <c r="CC202" s="1481"/>
      <c r="CD202" s="1481"/>
      <c r="CE202" s="1481"/>
    </row>
    <row r="203" spans="1:83" ht="15" hidden="1" customHeight="1">
      <c r="A203" s="516" t="s">
        <v>174</v>
      </c>
      <c r="B203"/>
      <c r="C203" t="s">
        <v>18</v>
      </c>
      <c r="D203" s="3621" t="s">
        <v>900</v>
      </c>
      <c r="E203" s="3618" t="s">
        <v>102</v>
      </c>
      <c r="F203" s="3619"/>
      <c r="G203" s="3620"/>
      <c r="H203" s="3614" t="str">
        <f>IF(A203="","",INDEX(DIFFERENTIATION_UNMERGE_VD,MATCH(A203,DIFFERENTIATION_ID_DIFF,0)))</f>
        <v>Производство тепловой энергии. Некомбинированная выработка</v>
      </c>
      <c r="I203" s="3614"/>
      <c r="J203" s="3614"/>
      <c r="K203" s="3614"/>
      <c r="L203" s="3614"/>
      <c r="M203" s="3614"/>
      <c r="N203" s="3614"/>
      <c r="O203" s="3614"/>
      <c r="P203" s="3614"/>
      <c r="Q203" s="3614"/>
      <c r="R203" s="3614"/>
      <c r="S203" s="609"/>
      <c r="T203" s="606"/>
      <c r="U203" s="517"/>
      <c r="V203" s="517"/>
      <c r="W203" s="518"/>
      <c r="X203" s="518"/>
      <c r="Y203" s="518"/>
      <c r="Z203" s="518"/>
      <c r="AA203" s="519"/>
      <c r="AB203" s="520"/>
      <c r="AC203" s="3617"/>
      <c r="AD203" s="521"/>
      <c r="AE203" s="522" t="s">
        <v>18</v>
      </c>
      <c r="AF203" s="522"/>
      <c r="AG203" s="523" t="s">
        <v>874</v>
      </c>
      <c r="AH203" s="524">
        <v>3</v>
      </c>
      <c r="AI203" s="517"/>
      <c r="AJ203" s="517"/>
      <c r="AK203" s="517"/>
      <c r="AL203" s="517"/>
      <c r="AM203" s="517"/>
      <c r="AN203" s="517"/>
      <c r="AO203" s="517"/>
      <c r="AP203" s="517"/>
      <c r="AQ203" s="517"/>
      <c r="AR203" s="517"/>
      <c r="AS203" s="517"/>
      <c r="AT203" s="517"/>
      <c r="AU203" s="517"/>
      <c r="AV203" s="517"/>
      <c r="AW203" s="517"/>
      <c r="AX203" s="517"/>
      <c r="AY203" s="517"/>
      <c r="AZ203" s="517"/>
      <c r="BA203" s="517"/>
      <c r="BB203" s="517"/>
      <c r="BC203" s="517"/>
      <c r="BD203" s="517"/>
      <c r="BE203" s="517"/>
      <c r="BF203" s="517"/>
      <c r="BG203" s="517"/>
      <c r="BH203" s="517"/>
      <c r="BI203" s="517"/>
      <c r="BJ203" s="517"/>
      <c r="BK203" s="517"/>
      <c r="BL203" s="517"/>
      <c r="BM203" s="517"/>
      <c r="BN203" s="517"/>
      <c r="BO203" s="517"/>
      <c r="BP203" s="517"/>
      <c r="BQ203" s="517"/>
      <c r="BR203" s="517"/>
      <c r="BS203" s="517"/>
      <c r="BT203" s="517"/>
      <c r="BU203" s="517"/>
      <c r="BV203" s="518"/>
      <c r="BW203" s="518"/>
      <c r="BX203" s="518"/>
      <c r="BY203" s="518"/>
      <c r="BZ203" s="518"/>
      <c r="CA203" s="518"/>
      <c r="CB203" s="518"/>
      <c r="CC203" s="518"/>
      <c r="CD203" s="518"/>
      <c r="CE203" s="518"/>
    </row>
    <row r="204" spans="1:83" ht="15" hidden="1" customHeight="1">
      <c r="A204" s="516"/>
      <c r="B204"/>
      <c r="C204"/>
      <c r="D204" s="3622"/>
      <c r="E204" s="3618" t="s">
        <v>829</v>
      </c>
      <c r="F204" s="3619"/>
      <c r="G204" s="3620"/>
      <c r="H204" s="3614" t="str">
        <f>IF(A203="","",INDEX(DIFFERENTIATION_UNMERGE_AREA,MATCH(A203,DIFFERENTIATION_ID_DIFF,0)))</f>
        <v>Территория 1</v>
      </c>
      <c r="I204" s="3614"/>
      <c r="J204" s="3614"/>
      <c r="K204" s="3614"/>
      <c r="L204" s="3614"/>
      <c r="M204" s="3614"/>
      <c r="N204" s="3614"/>
      <c r="O204" s="3614"/>
      <c r="P204" s="3614"/>
      <c r="Q204" s="3614"/>
      <c r="R204" s="3614"/>
      <c r="S204" s="609"/>
      <c r="T204" s="606"/>
      <c r="U204" s="517"/>
      <c r="V204" s="517"/>
      <c r="W204" s="518"/>
      <c r="X204" s="518"/>
      <c r="Y204" s="518"/>
      <c r="Z204" s="518"/>
      <c r="AA204" s="519"/>
      <c r="AB204" s="520"/>
      <c r="AC204" s="3617"/>
      <c r="AD204" s="521"/>
      <c r="AE204" s="522"/>
      <c r="AF204" s="522"/>
      <c r="AG204" s="523"/>
      <c r="AH204" s="524"/>
      <c r="AI204" s="517"/>
      <c r="AJ204" s="517"/>
      <c r="AK204" s="517"/>
      <c r="AL204" s="517"/>
      <c r="AM204" s="517"/>
      <c r="AN204" s="517"/>
      <c r="AO204" s="517"/>
      <c r="AP204" s="517"/>
      <c r="AQ204" s="517"/>
      <c r="AR204" s="517"/>
      <c r="AS204" s="517"/>
      <c r="AT204" s="517"/>
      <c r="AU204" s="517"/>
      <c r="AV204" s="517"/>
      <c r="AW204" s="517"/>
      <c r="AX204" s="517"/>
      <c r="AY204" s="517"/>
      <c r="AZ204" s="517"/>
      <c r="BA204" s="517"/>
      <c r="BB204" s="517"/>
      <c r="BC204" s="517"/>
      <c r="BD204" s="517"/>
      <c r="BE204" s="517"/>
      <c r="BF204" s="517"/>
      <c r="BG204" s="517"/>
      <c r="BH204" s="517"/>
      <c r="BI204" s="517"/>
      <c r="BJ204" s="517"/>
      <c r="BK204" s="517"/>
      <c r="BL204" s="517"/>
      <c r="BM204" s="517"/>
      <c r="BN204" s="517"/>
      <c r="BO204" s="517"/>
      <c r="BP204" s="517"/>
      <c r="BQ204" s="517"/>
      <c r="BR204" s="517"/>
      <c r="BS204" s="517"/>
      <c r="BT204" s="517"/>
      <c r="BU204" s="517"/>
      <c r="BV204" s="518"/>
      <c r="BW204" s="518"/>
      <c r="BX204" s="518"/>
      <c r="BY204" s="518"/>
      <c r="BZ204" s="518"/>
      <c r="CA204" s="518"/>
      <c r="CB204" s="518"/>
      <c r="CC204" s="518"/>
      <c r="CD204" s="518"/>
      <c r="CE204" s="518"/>
    </row>
    <row r="205" spans="1:83" ht="15" hidden="1" customHeight="1">
      <c r="A205" s="516"/>
      <c r="B205"/>
      <c r="C205"/>
      <c r="D205" s="3622"/>
      <c r="E205" s="3618" t="s">
        <v>830</v>
      </c>
      <c r="F205" s="3619"/>
      <c r="G205" s="3620"/>
      <c r="H205" s="3614" t="str">
        <f>IF(A203="","",INDEX(DIFFERENTIATION_UNMERGE_SYSTEM,MATCH(A203,DIFFERENTIATION_ID_DIFF,0)))</f>
        <v>Красина, 6а</v>
      </c>
      <c r="I205" s="3614"/>
      <c r="J205" s="3614"/>
      <c r="K205" s="3614"/>
      <c r="L205" s="3614"/>
      <c r="M205" s="3614"/>
      <c r="N205" s="3614"/>
      <c r="O205" s="3614"/>
      <c r="P205" s="3614"/>
      <c r="Q205" s="3614"/>
      <c r="R205" s="3614"/>
      <c r="S205" s="609"/>
      <c r="T205" s="606"/>
      <c r="U205" s="517"/>
      <c r="V205" s="517"/>
      <c r="W205" s="518"/>
      <c r="X205" s="518"/>
      <c r="Y205" s="518"/>
      <c r="Z205" s="518"/>
      <c r="AA205" s="519"/>
      <c r="AB205" s="520"/>
      <c r="AC205" s="3617"/>
      <c r="AD205" s="521"/>
      <c r="AE205" s="522"/>
      <c r="AF205" s="522"/>
      <c r="AG205" s="523"/>
      <c r="AH205" s="524"/>
      <c r="AI205" s="517"/>
      <c r="AJ205" s="517"/>
      <c r="AK205" s="517"/>
      <c r="AL205" s="517"/>
      <c r="AM205" s="517"/>
      <c r="AN205" s="517"/>
      <c r="AO205" s="517"/>
      <c r="AP205" s="517"/>
      <c r="AQ205" s="517"/>
      <c r="AR205" s="517"/>
      <c r="AS205" s="517"/>
      <c r="AT205" s="517"/>
      <c r="AU205" s="517"/>
      <c r="AV205" s="517"/>
      <c r="AW205" s="517"/>
      <c r="AX205" s="517"/>
      <c r="AY205" s="517"/>
      <c r="AZ205" s="517"/>
      <c r="BA205" s="517"/>
      <c r="BB205" s="517"/>
      <c r="BC205" s="517"/>
      <c r="BD205" s="517"/>
      <c r="BE205" s="517"/>
      <c r="BF205" s="517"/>
      <c r="BG205" s="517"/>
      <c r="BH205" s="517"/>
      <c r="BI205" s="517"/>
      <c r="BJ205" s="517"/>
      <c r="BK205" s="517"/>
      <c r="BL205" s="517"/>
      <c r="BM205" s="517"/>
      <c r="BN205" s="517"/>
      <c r="BO205" s="517"/>
      <c r="BP205" s="517"/>
      <c r="BQ205" s="517"/>
      <c r="BR205" s="517"/>
      <c r="BS205" s="517"/>
      <c r="BT205" s="517"/>
      <c r="BU205" s="517"/>
      <c r="BV205" s="518"/>
      <c r="BW205" s="518"/>
      <c r="BX205" s="518"/>
      <c r="BY205" s="518"/>
      <c r="BZ205" s="518"/>
      <c r="CA205" s="518"/>
      <c r="CB205" s="518"/>
      <c r="CC205" s="518"/>
      <c r="CD205" s="518"/>
      <c r="CE205" s="518"/>
    </row>
    <row r="206" spans="1:83" ht="24.75" hidden="1" customHeight="1">
      <c r="A206" s="1649"/>
      <c r="B206" s="1023"/>
      <c r="C206" s="319"/>
      <c r="D206" s="3622"/>
      <c r="E206" s="3616" t="s">
        <v>875</v>
      </c>
      <c r="F206" s="3616"/>
      <c r="G206" s="3616"/>
      <c r="H206" s="3616"/>
      <c r="I206" s="3616"/>
      <c r="J206" s="3616"/>
      <c r="K206" s="3616"/>
      <c r="L206" s="3616"/>
      <c r="M206" s="3616"/>
      <c r="N206" s="3616"/>
      <c r="O206" s="3616"/>
      <c r="P206" s="3616"/>
      <c r="Q206" s="455">
        <f>SUMIF(T207:T208,"i",Q207:Q208)</f>
        <v>0</v>
      </c>
      <c r="R206" s="887"/>
      <c r="S206" s="1641" t="s">
        <v>876</v>
      </c>
      <c r="T206" s="607" t="s">
        <v>877</v>
      </c>
      <c r="U206" s="3532">
        <v>1</v>
      </c>
      <c r="V206" s="3532" t="s">
        <v>840</v>
      </c>
      <c r="W206" s="1023"/>
      <c r="X206" s="1023"/>
      <c r="Y206" s="1023"/>
      <c r="Z206" s="1023"/>
      <c r="AA206" s="1481"/>
      <c r="AB206" s="1023"/>
      <c r="AC206" s="3617"/>
      <c r="AD206" s="521"/>
      <c r="AE206" s="1023"/>
      <c r="AF206" s="1023"/>
      <c r="AG206" s="1481"/>
      <c r="AH206" s="1481"/>
      <c r="AI206" s="1481"/>
      <c r="AJ206" s="1481"/>
      <c r="AK206" s="1481"/>
      <c r="AL206" s="1481"/>
      <c r="AM206" s="1481"/>
      <c r="AN206" s="1481"/>
      <c r="AO206" s="1481"/>
      <c r="AP206" s="1481"/>
      <c r="AQ206" s="1481"/>
      <c r="AR206" s="1481"/>
      <c r="AS206" s="1481"/>
      <c r="AT206" s="1481"/>
      <c r="AU206" s="1481"/>
      <c r="AV206" s="1481"/>
      <c r="AW206" s="1481"/>
      <c r="AX206" s="1481"/>
      <c r="AY206" s="1481"/>
      <c r="AZ206" s="1481"/>
      <c r="BA206" s="1481"/>
      <c r="BB206" s="1481"/>
      <c r="BC206" s="1481"/>
      <c r="BD206" s="1481"/>
      <c r="BE206" s="1481"/>
      <c r="BF206" s="1481"/>
      <c r="BG206" s="1481"/>
      <c r="BH206" s="1481"/>
      <c r="BI206" s="1481"/>
      <c r="BJ206" s="1481"/>
      <c r="BK206" s="1481"/>
      <c r="BL206" s="1481"/>
      <c r="BM206" s="1481"/>
      <c r="BN206" s="1481"/>
      <c r="BO206" s="1481"/>
      <c r="BP206" s="1481"/>
      <c r="BQ206" s="1481"/>
      <c r="BR206" s="1481"/>
      <c r="BS206" s="1481"/>
      <c r="BT206" s="1481"/>
      <c r="BU206" s="1481"/>
      <c r="BV206" s="1023"/>
      <c r="BW206" s="1023"/>
      <c r="BX206" s="1023"/>
      <c r="BY206" s="1023"/>
      <c r="BZ206" s="1023"/>
      <c r="CA206" s="1023"/>
      <c r="CB206" s="1023"/>
      <c r="CC206" s="1023"/>
      <c r="CD206" s="1023"/>
      <c r="CE206" s="1023"/>
    </row>
    <row r="207" spans="1:83" ht="11.25" hidden="1" customHeight="1">
      <c r="A207" s="1636"/>
      <c r="B207" s="1481"/>
      <c r="C207" s="1481"/>
      <c r="D207" s="3622"/>
      <c r="E207" s="527"/>
      <c r="F207" s="527">
        <v>0</v>
      </c>
      <c r="G207" s="527"/>
      <c r="H207" s="527"/>
      <c r="I207" s="527"/>
      <c r="J207" s="527"/>
      <c r="K207" s="527"/>
      <c r="L207" s="527"/>
      <c r="M207" s="527"/>
      <c r="N207" s="527"/>
      <c r="O207" s="527"/>
      <c r="P207" s="527"/>
      <c r="Q207" s="527"/>
      <c r="R207" s="527"/>
      <c r="S207" s="528"/>
      <c r="T207" s="608"/>
      <c r="U207" s="3532"/>
      <c r="V207" s="3532"/>
      <c r="W207" s="1481"/>
      <c r="X207" s="1481"/>
      <c r="Y207" s="1481"/>
      <c r="Z207" s="1481"/>
      <c r="AA207" s="1481"/>
      <c r="AB207" s="1023"/>
      <c r="AC207" s="3617"/>
      <c r="AD207" s="521"/>
      <c r="AE207" s="1023"/>
      <c r="AF207" s="1023"/>
      <c r="AG207" s="1481"/>
      <c r="AH207" s="1481"/>
      <c r="AI207" s="1481"/>
      <c r="AJ207" s="1481"/>
      <c r="AK207" s="1481"/>
      <c r="AL207" s="1481"/>
      <c r="AM207" s="1481"/>
      <c r="AN207" s="1481"/>
      <c r="AO207" s="1481"/>
      <c r="AP207" s="1481"/>
      <c r="AQ207" s="1481"/>
      <c r="AR207" s="1481"/>
      <c r="AS207" s="1481"/>
      <c r="AT207" s="1481"/>
      <c r="AU207" s="1481"/>
      <c r="AV207" s="1481"/>
      <c r="AW207" s="1481"/>
      <c r="AX207" s="1481"/>
      <c r="AY207" s="1481"/>
      <c r="AZ207" s="1481"/>
      <c r="BA207" s="1481"/>
      <c r="BB207" s="1481"/>
      <c r="BC207" s="1481"/>
      <c r="BD207" s="1481"/>
      <c r="BE207" s="1481"/>
      <c r="BF207" s="1481"/>
      <c r="BG207" s="1481"/>
      <c r="BH207" s="1481"/>
      <c r="BI207" s="1481"/>
      <c r="BJ207" s="1481"/>
      <c r="BK207" s="1481"/>
      <c r="BL207" s="1481"/>
      <c r="BM207" s="1481"/>
      <c r="BN207" s="1481"/>
      <c r="BO207" s="1481"/>
      <c r="BP207" s="1481"/>
      <c r="BQ207" s="1481"/>
      <c r="BR207" s="1481"/>
      <c r="BS207" s="1481"/>
      <c r="BT207" s="1481"/>
      <c r="BU207" s="1481"/>
      <c r="BV207" s="1481"/>
      <c r="BW207" s="1481"/>
      <c r="BX207" s="1481"/>
      <c r="BY207" s="1481"/>
      <c r="BZ207" s="1481"/>
      <c r="CA207" s="1481"/>
      <c r="CB207" s="1481"/>
      <c r="CC207" s="1481"/>
      <c r="CD207" s="1481"/>
      <c r="CE207" s="1481"/>
    </row>
    <row r="208" spans="1:83" ht="11.25" hidden="1" customHeight="1">
      <c r="A208" s="1649"/>
      <c r="B208" s="1023"/>
      <c r="C208" s="319"/>
      <c r="D208" s="3622"/>
      <c r="E208" s="541" t="s">
        <v>18</v>
      </c>
      <c r="F208" s="1031" t="s">
        <v>18</v>
      </c>
      <c r="G208" s="1031" t="s">
        <v>880</v>
      </c>
      <c r="H208" s="543" t="s">
        <v>18</v>
      </c>
      <c r="I208" s="543"/>
      <c r="J208" s="543"/>
      <c r="K208" s="543"/>
      <c r="L208" s="543"/>
      <c r="M208" s="543"/>
      <c r="N208" s="543"/>
      <c r="O208" s="543"/>
      <c r="P208" s="543"/>
      <c r="Q208" s="543"/>
      <c r="R208" s="544"/>
      <c r="S208" s="545"/>
      <c r="T208" s="608"/>
      <c r="U208" s="3532"/>
      <c r="V208" s="3532"/>
      <c r="W208" s="1023"/>
      <c r="X208" s="1023"/>
      <c r="Y208" s="1023"/>
      <c r="Z208" s="1023"/>
      <c r="AA208" s="1481"/>
      <c r="AB208" s="1023"/>
      <c r="AC208" s="3617"/>
      <c r="AD208" s="521"/>
      <c r="AE208" s="1023"/>
      <c r="AF208" s="1023"/>
      <c r="AG208" s="1481"/>
      <c r="AH208" s="1481"/>
      <c r="AI208" s="1481"/>
      <c r="AJ208" s="1481"/>
      <c r="AK208" s="1481"/>
      <c r="AL208" s="1481"/>
      <c r="AM208" s="1481"/>
      <c r="AN208" s="1481"/>
      <c r="AO208" s="1481"/>
      <c r="AP208" s="1481"/>
      <c r="AQ208" s="1481"/>
      <c r="AR208" s="1481"/>
      <c r="AS208" s="1481"/>
      <c r="AT208" s="1481"/>
      <c r="AU208" s="1481"/>
      <c r="AV208" s="1481"/>
      <c r="AW208" s="1481"/>
      <c r="AX208" s="1481"/>
      <c r="AY208" s="1481"/>
      <c r="AZ208" s="1481"/>
      <c r="BA208" s="1481"/>
      <c r="BB208" s="1481"/>
      <c r="BC208" s="1481"/>
      <c r="BD208" s="1481"/>
      <c r="BE208" s="1481"/>
      <c r="BF208" s="1481"/>
      <c r="BG208" s="1481"/>
      <c r="BH208" s="1481"/>
      <c r="BI208" s="1481"/>
      <c r="BJ208" s="1481"/>
      <c r="BK208" s="1481"/>
      <c r="BL208" s="1481"/>
      <c r="BM208" s="1481"/>
      <c r="BN208" s="1481"/>
      <c r="BO208" s="1481"/>
      <c r="BP208" s="1481"/>
      <c r="BQ208" s="1481"/>
      <c r="BR208" s="1481"/>
      <c r="BS208" s="1481"/>
      <c r="BT208" s="1481"/>
      <c r="BU208" s="1481"/>
      <c r="BV208" s="1023"/>
      <c r="BW208" s="1023"/>
      <c r="BX208" s="1023"/>
      <c r="BY208" s="1023"/>
      <c r="BZ208" s="1023"/>
      <c r="CA208" s="1023"/>
      <c r="CB208" s="1023"/>
      <c r="CC208" s="1023"/>
      <c r="CD208" s="1023"/>
      <c r="CE208" s="1023"/>
    </row>
    <row r="209" spans="1:83" ht="5.25" hidden="1" customHeight="1">
      <c r="A209" s="1636"/>
      <c r="B209" s="1481"/>
      <c r="C209" s="1481"/>
      <c r="D209" s="3622"/>
      <c r="E209" s="909"/>
      <c r="F209" s="909"/>
      <c r="G209" s="909"/>
      <c r="H209" s="909"/>
      <c r="I209" s="909"/>
      <c r="J209" s="909"/>
      <c r="K209" s="909"/>
      <c r="L209" s="909"/>
      <c r="M209" s="909"/>
      <c r="N209" s="909"/>
      <c r="O209" s="909"/>
      <c r="P209" s="909"/>
      <c r="Q209" s="910"/>
      <c r="R209" s="911"/>
      <c r="S209" s="912"/>
      <c r="T209" s="607" t="s">
        <v>877</v>
      </c>
      <c r="U209" s="3532">
        <v>1</v>
      </c>
      <c r="V209" s="3532" t="s">
        <v>840</v>
      </c>
      <c r="W209" s="1481"/>
      <c r="X209" s="1481"/>
      <c r="Y209" s="1481"/>
      <c r="Z209" s="1481"/>
      <c r="AA209" s="1481"/>
      <c r="AB209" s="1481"/>
      <c r="AC209" s="907"/>
      <c r="AD209" s="908"/>
      <c r="AE209" s="1481"/>
      <c r="AF209" s="1481"/>
      <c r="AG209" s="1481"/>
      <c r="AH209" s="1481"/>
      <c r="AI209" s="1481"/>
      <c r="AJ209" s="1481"/>
      <c r="AK209" s="1481"/>
      <c r="AL209" s="1481"/>
      <c r="AM209" s="1481"/>
      <c r="AN209" s="1481"/>
      <c r="AO209" s="1481"/>
      <c r="AP209" s="1481"/>
      <c r="AQ209" s="1481"/>
      <c r="AR209" s="1481"/>
      <c r="AS209" s="1481"/>
      <c r="AT209" s="1481"/>
      <c r="AU209" s="1481"/>
      <c r="AV209" s="1481"/>
      <c r="AW209" s="1481"/>
      <c r="AX209" s="1481"/>
      <c r="AY209" s="1481"/>
      <c r="AZ209" s="1481"/>
      <c r="BA209" s="1481"/>
      <c r="BB209" s="1481"/>
      <c r="BC209" s="1481"/>
      <c r="BD209" s="1481"/>
      <c r="BE209" s="1481"/>
      <c r="BF209" s="1481"/>
      <c r="BG209" s="1481"/>
      <c r="BH209" s="1481"/>
      <c r="BI209" s="1481"/>
      <c r="BJ209" s="1481"/>
      <c r="BK209" s="1481"/>
      <c r="BL209" s="1481"/>
      <c r="BM209" s="1481"/>
      <c r="BN209" s="1481"/>
      <c r="BO209" s="1481"/>
      <c r="BP209" s="1481"/>
      <c r="BQ209" s="1481"/>
      <c r="BR209" s="1481"/>
      <c r="BS209" s="1481"/>
      <c r="BT209" s="1481"/>
      <c r="BU209" s="1481"/>
      <c r="BV209" s="1481"/>
      <c r="BW209" s="1481"/>
      <c r="BX209" s="1481"/>
      <c r="BY209" s="1481"/>
      <c r="BZ209" s="1481"/>
      <c r="CA209" s="1481"/>
      <c r="CB209" s="1481"/>
      <c r="CC209" s="1481"/>
      <c r="CD209" s="1481"/>
      <c r="CE209" s="1481"/>
    </row>
    <row r="210" spans="1:83" ht="5.25" hidden="1" customHeight="1">
      <c r="A210" s="1636"/>
      <c r="B210" s="1481"/>
      <c r="C210" s="1481"/>
      <c r="D210" s="3622"/>
      <c r="E210" s="527"/>
      <c r="F210" s="527"/>
      <c r="G210" s="527"/>
      <c r="H210" s="527"/>
      <c r="I210" s="527"/>
      <c r="J210" s="527"/>
      <c r="K210" s="527"/>
      <c r="L210" s="527"/>
      <c r="M210" s="527"/>
      <c r="N210" s="527"/>
      <c r="O210" s="527"/>
      <c r="P210" s="527"/>
      <c r="Q210" s="527"/>
      <c r="R210" s="527"/>
      <c r="S210" s="528"/>
      <c r="T210" s="608"/>
      <c r="U210" s="3532"/>
      <c r="V210" s="3532"/>
      <c r="W210" s="1481"/>
      <c r="X210" s="1481"/>
      <c r="Y210" s="1481"/>
      <c r="Z210" s="1481"/>
      <c r="AA210" s="1481"/>
      <c r="AB210" s="1481"/>
      <c r="AC210" s="907"/>
      <c r="AD210" s="908"/>
      <c r="AE210" s="1481"/>
      <c r="AF210" s="1481"/>
      <c r="AG210" s="1481"/>
      <c r="AH210" s="1481"/>
      <c r="AI210" s="1481"/>
      <c r="AJ210" s="1481"/>
      <c r="AK210" s="1481"/>
      <c r="AL210" s="1481"/>
      <c r="AM210" s="1481"/>
      <c r="AN210" s="1481"/>
      <c r="AO210" s="1481"/>
      <c r="AP210" s="1481"/>
      <c r="AQ210" s="1481"/>
      <c r="AR210" s="1481"/>
      <c r="AS210" s="1481"/>
      <c r="AT210" s="1481"/>
      <c r="AU210" s="1481"/>
      <c r="AV210" s="1481"/>
      <c r="AW210" s="1481"/>
      <c r="AX210" s="1481"/>
      <c r="AY210" s="1481"/>
      <c r="AZ210" s="1481"/>
      <c r="BA210" s="1481"/>
      <c r="BB210" s="1481"/>
      <c r="BC210" s="1481"/>
      <c r="BD210" s="1481"/>
      <c r="BE210" s="1481"/>
      <c r="BF210" s="1481"/>
      <c r="BG210" s="1481"/>
      <c r="BH210" s="1481"/>
      <c r="BI210" s="1481"/>
      <c r="BJ210" s="1481"/>
      <c r="BK210" s="1481"/>
      <c r="BL210" s="1481"/>
      <c r="BM210" s="1481"/>
      <c r="BN210" s="1481"/>
      <c r="BO210" s="1481"/>
      <c r="BP210" s="1481"/>
      <c r="BQ210" s="1481"/>
      <c r="BR210" s="1481"/>
      <c r="BS210" s="1481"/>
      <c r="BT210" s="1481"/>
      <c r="BU210" s="1481"/>
      <c r="BV210" s="1481"/>
      <c r="BW210" s="1481"/>
      <c r="BX210" s="1481"/>
      <c r="BY210" s="1481"/>
      <c r="BZ210" s="1481"/>
      <c r="CA210" s="1481"/>
      <c r="CB210" s="1481"/>
      <c r="CC210" s="1481"/>
      <c r="CD210" s="1481"/>
      <c r="CE210" s="1481"/>
    </row>
    <row r="211" spans="1:83" ht="5.25" hidden="1" customHeight="1">
      <c r="A211" s="1636"/>
      <c r="B211" s="1481"/>
      <c r="C211" s="1481"/>
      <c r="D211" s="3623"/>
      <c r="E211" s="913"/>
      <c r="F211" s="914"/>
      <c r="G211" s="914"/>
      <c r="H211" s="915"/>
      <c r="I211" s="915"/>
      <c r="J211" s="915"/>
      <c r="K211" s="915"/>
      <c r="L211" s="915"/>
      <c r="M211" s="915"/>
      <c r="N211" s="915"/>
      <c r="O211" s="915"/>
      <c r="P211" s="915"/>
      <c r="Q211" s="915"/>
      <c r="R211" s="818"/>
      <c r="S211" s="916"/>
      <c r="T211" s="608"/>
      <c r="U211" s="3532"/>
      <c r="V211" s="3532"/>
      <c r="W211" s="1481"/>
      <c r="X211" s="1481"/>
      <c r="Y211" s="1481"/>
      <c r="Z211" s="1481"/>
      <c r="AA211" s="1481"/>
      <c r="AB211" s="1481"/>
      <c r="AC211" s="907"/>
      <c r="AD211" s="908"/>
      <c r="AE211" s="1481"/>
      <c r="AF211" s="1481"/>
      <c r="AG211" s="1481"/>
      <c r="AH211" s="1481"/>
      <c r="AI211" s="1481"/>
      <c r="AJ211" s="1481"/>
      <c r="AK211" s="1481"/>
      <c r="AL211" s="1481"/>
      <c r="AM211" s="1481"/>
      <c r="AN211" s="1481"/>
      <c r="AO211" s="1481"/>
      <c r="AP211" s="1481"/>
      <c r="AQ211" s="1481"/>
      <c r="AR211" s="1481"/>
      <c r="AS211" s="1481"/>
      <c r="AT211" s="1481"/>
      <c r="AU211" s="1481"/>
      <c r="AV211" s="1481"/>
      <c r="AW211" s="1481"/>
      <c r="AX211" s="1481"/>
      <c r="AY211" s="1481"/>
      <c r="AZ211" s="1481"/>
      <c r="BA211" s="1481"/>
      <c r="BB211" s="1481"/>
      <c r="BC211" s="1481"/>
      <c r="BD211" s="1481"/>
      <c r="BE211" s="1481"/>
      <c r="BF211" s="1481"/>
      <c r="BG211" s="1481"/>
      <c r="BH211" s="1481"/>
      <c r="BI211" s="1481"/>
      <c r="BJ211" s="1481"/>
      <c r="BK211" s="1481"/>
      <c r="BL211" s="1481"/>
      <c r="BM211" s="1481"/>
      <c r="BN211" s="1481"/>
      <c r="BO211" s="1481"/>
      <c r="BP211" s="1481"/>
      <c r="BQ211" s="1481"/>
      <c r="BR211" s="1481"/>
      <c r="BS211" s="1481"/>
      <c r="BT211" s="1481"/>
      <c r="BU211" s="1481"/>
      <c r="BV211" s="1481"/>
      <c r="BW211" s="1481"/>
      <c r="BX211" s="1481"/>
      <c r="BY211" s="1481"/>
      <c r="BZ211" s="1481"/>
      <c r="CA211" s="1481"/>
      <c r="CB211" s="1481"/>
      <c r="CC211" s="1481"/>
      <c r="CD211" s="1481"/>
      <c r="CE211" s="1481"/>
    </row>
    <row r="212" spans="1:83" ht="15" hidden="1" customHeight="1">
      <c r="A212" s="516" t="s">
        <v>177</v>
      </c>
      <c r="B212"/>
      <c r="C212" t="s">
        <v>18</v>
      </c>
      <c r="D212" s="3621" t="s">
        <v>901</v>
      </c>
      <c r="E212" s="3618" t="s">
        <v>102</v>
      </c>
      <c r="F212" s="3619"/>
      <c r="G212" s="3620"/>
      <c r="H212" s="3614" t="str">
        <f>IF(A212="","",INDEX(DIFFERENTIATION_UNMERGE_VD,MATCH(A212,DIFFERENTIATION_ID_DIFF,0)))</f>
        <v>Производство тепловой энергии. Некомбинированная выработка</v>
      </c>
      <c r="I212" s="3614"/>
      <c r="J212" s="3614"/>
      <c r="K212" s="3614"/>
      <c r="L212" s="3614"/>
      <c r="M212" s="3614"/>
      <c r="N212" s="3614"/>
      <c r="O212" s="3614"/>
      <c r="P212" s="3614"/>
      <c r="Q212" s="3614"/>
      <c r="R212" s="3614"/>
      <c r="S212" s="609"/>
      <c r="T212" s="606"/>
      <c r="U212" s="517"/>
      <c r="V212" s="517"/>
      <c r="W212" s="518"/>
      <c r="X212" s="518"/>
      <c r="Y212" s="518"/>
      <c r="Z212" s="518"/>
      <c r="AA212" s="519"/>
      <c r="AB212" s="520"/>
      <c r="AC212" s="3617"/>
      <c r="AD212" s="521"/>
      <c r="AE212" s="522" t="s">
        <v>18</v>
      </c>
      <c r="AF212" s="522"/>
      <c r="AG212" s="523" t="s">
        <v>874</v>
      </c>
      <c r="AH212" s="524">
        <v>3</v>
      </c>
      <c r="AI212" s="517"/>
      <c r="AJ212" s="517"/>
      <c r="AK212" s="517"/>
      <c r="AL212" s="517"/>
      <c r="AM212" s="517"/>
      <c r="AN212" s="517"/>
      <c r="AO212" s="517"/>
      <c r="AP212" s="517"/>
      <c r="AQ212" s="517"/>
      <c r="AR212" s="517"/>
      <c r="AS212" s="517"/>
      <c r="AT212" s="517"/>
      <c r="AU212" s="517"/>
      <c r="AV212" s="517"/>
      <c r="AW212" s="517"/>
      <c r="AX212" s="517"/>
      <c r="AY212" s="517"/>
      <c r="AZ212" s="517"/>
      <c r="BA212" s="517"/>
      <c r="BB212" s="517"/>
      <c r="BC212" s="517"/>
      <c r="BD212" s="517"/>
      <c r="BE212" s="517"/>
      <c r="BF212" s="517"/>
      <c r="BG212" s="517"/>
      <c r="BH212" s="517"/>
      <c r="BI212" s="517"/>
      <c r="BJ212" s="517"/>
      <c r="BK212" s="517"/>
      <c r="BL212" s="517"/>
      <c r="BM212" s="517"/>
      <c r="BN212" s="517"/>
      <c r="BO212" s="517"/>
      <c r="BP212" s="517"/>
      <c r="BQ212" s="517"/>
      <c r="BR212" s="517"/>
      <c r="BS212" s="517"/>
      <c r="BT212" s="517"/>
      <c r="BU212" s="517"/>
      <c r="BV212" s="518"/>
      <c r="BW212" s="518"/>
      <c r="BX212" s="518"/>
      <c r="BY212" s="518"/>
      <c r="BZ212" s="518"/>
      <c r="CA212" s="518"/>
      <c r="CB212" s="518"/>
      <c r="CC212" s="518"/>
      <c r="CD212" s="518"/>
      <c r="CE212" s="518"/>
    </row>
    <row r="213" spans="1:83" ht="15" hidden="1" customHeight="1">
      <c r="A213" s="516"/>
      <c r="B213"/>
      <c r="C213"/>
      <c r="D213" s="3622"/>
      <c r="E213" s="3618" t="s">
        <v>829</v>
      </c>
      <c r="F213" s="3619"/>
      <c r="G213" s="3620"/>
      <c r="H213" s="3614" t="str">
        <f>IF(A212="","",INDEX(DIFFERENTIATION_UNMERGE_AREA,MATCH(A212,DIFFERENTIATION_ID_DIFF,0)))</f>
        <v>Территория 1</v>
      </c>
      <c r="I213" s="3614"/>
      <c r="J213" s="3614"/>
      <c r="K213" s="3614"/>
      <c r="L213" s="3614"/>
      <c r="M213" s="3614"/>
      <c r="N213" s="3614"/>
      <c r="O213" s="3614"/>
      <c r="P213" s="3614"/>
      <c r="Q213" s="3614"/>
      <c r="R213" s="3614"/>
      <c r="S213" s="609"/>
      <c r="T213" s="606"/>
      <c r="U213" s="517"/>
      <c r="V213" s="517"/>
      <c r="W213" s="518"/>
      <c r="X213" s="518"/>
      <c r="Y213" s="518"/>
      <c r="Z213" s="518"/>
      <c r="AA213" s="519"/>
      <c r="AB213" s="520"/>
      <c r="AC213" s="3617"/>
      <c r="AD213" s="521"/>
      <c r="AE213" s="522"/>
      <c r="AF213" s="522"/>
      <c r="AG213" s="523"/>
      <c r="AH213" s="524"/>
      <c r="AI213" s="517"/>
      <c r="AJ213" s="517"/>
      <c r="AK213" s="517"/>
      <c r="AL213" s="517"/>
      <c r="AM213" s="517"/>
      <c r="AN213" s="517"/>
      <c r="AO213" s="517"/>
      <c r="AP213" s="517"/>
      <c r="AQ213" s="517"/>
      <c r="AR213" s="517"/>
      <c r="AS213" s="517"/>
      <c r="AT213" s="517"/>
      <c r="AU213" s="517"/>
      <c r="AV213" s="517"/>
      <c r="AW213" s="517"/>
      <c r="AX213" s="517"/>
      <c r="AY213" s="517"/>
      <c r="AZ213" s="517"/>
      <c r="BA213" s="517"/>
      <c r="BB213" s="517"/>
      <c r="BC213" s="517"/>
      <c r="BD213" s="517"/>
      <c r="BE213" s="517"/>
      <c r="BF213" s="517"/>
      <c r="BG213" s="517"/>
      <c r="BH213" s="517"/>
      <c r="BI213" s="517"/>
      <c r="BJ213" s="517"/>
      <c r="BK213" s="517"/>
      <c r="BL213" s="517"/>
      <c r="BM213" s="517"/>
      <c r="BN213" s="517"/>
      <c r="BO213" s="517"/>
      <c r="BP213" s="517"/>
      <c r="BQ213" s="517"/>
      <c r="BR213" s="517"/>
      <c r="BS213" s="517"/>
      <c r="BT213" s="517"/>
      <c r="BU213" s="517"/>
      <c r="BV213" s="518"/>
      <c r="BW213" s="518"/>
      <c r="BX213" s="518"/>
      <c r="BY213" s="518"/>
      <c r="BZ213" s="518"/>
      <c r="CA213" s="518"/>
      <c r="CB213" s="518"/>
      <c r="CC213" s="518"/>
      <c r="CD213" s="518"/>
      <c r="CE213" s="518"/>
    </row>
    <row r="214" spans="1:83" ht="15" hidden="1" customHeight="1">
      <c r="A214" s="516"/>
      <c r="B214"/>
      <c r="C214"/>
      <c r="D214" s="3622"/>
      <c r="E214" s="3618" t="s">
        <v>830</v>
      </c>
      <c r="F214" s="3619"/>
      <c r="G214" s="3620"/>
      <c r="H214" s="3614" t="str">
        <f>IF(A212="","",INDEX(DIFFERENTIATION_UNMERGE_SYSTEM,MATCH(A212,DIFFERENTIATION_ID_DIFF,0)))</f>
        <v>Красина, 7а</v>
      </c>
      <c r="I214" s="3614"/>
      <c r="J214" s="3614"/>
      <c r="K214" s="3614"/>
      <c r="L214" s="3614"/>
      <c r="M214" s="3614"/>
      <c r="N214" s="3614"/>
      <c r="O214" s="3614"/>
      <c r="P214" s="3614"/>
      <c r="Q214" s="3614"/>
      <c r="R214" s="3614"/>
      <c r="S214" s="609"/>
      <c r="T214" s="606"/>
      <c r="U214" s="517"/>
      <c r="V214" s="517"/>
      <c r="W214" s="518"/>
      <c r="X214" s="518"/>
      <c r="Y214" s="518"/>
      <c r="Z214" s="518"/>
      <c r="AA214" s="519"/>
      <c r="AB214" s="520"/>
      <c r="AC214" s="3617"/>
      <c r="AD214" s="521"/>
      <c r="AE214" s="522"/>
      <c r="AF214" s="522"/>
      <c r="AG214" s="523"/>
      <c r="AH214" s="524"/>
      <c r="AI214" s="517"/>
      <c r="AJ214" s="517"/>
      <c r="AK214" s="517"/>
      <c r="AL214" s="517"/>
      <c r="AM214" s="517"/>
      <c r="AN214" s="517"/>
      <c r="AO214" s="517"/>
      <c r="AP214" s="517"/>
      <c r="AQ214" s="517"/>
      <c r="AR214" s="517"/>
      <c r="AS214" s="517"/>
      <c r="AT214" s="517"/>
      <c r="AU214" s="517"/>
      <c r="AV214" s="517"/>
      <c r="AW214" s="517"/>
      <c r="AX214" s="517"/>
      <c r="AY214" s="517"/>
      <c r="AZ214" s="517"/>
      <c r="BA214" s="517"/>
      <c r="BB214" s="517"/>
      <c r="BC214" s="517"/>
      <c r="BD214" s="517"/>
      <c r="BE214" s="517"/>
      <c r="BF214" s="517"/>
      <c r="BG214" s="517"/>
      <c r="BH214" s="517"/>
      <c r="BI214" s="517"/>
      <c r="BJ214" s="517"/>
      <c r="BK214" s="517"/>
      <c r="BL214" s="517"/>
      <c r="BM214" s="517"/>
      <c r="BN214" s="517"/>
      <c r="BO214" s="517"/>
      <c r="BP214" s="517"/>
      <c r="BQ214" s="517"/>
      <c r="BR214" s="517"/>
      <c r="BS214" s="517"/>
      <c r="BT214" s="517"/>
      <c r="BU214" s="517"/>
      <c r="BV214" s="518"/>
      <c r="BW214" s="518"/>
      <c r="BX214" s="518"/>
      <c r="BY214" s="518"/>
      <c r="BZ214" s="518"/>
      <c r="CA214" s="518"/>
      <c r="CB214" s="518"/>
      <c r="CC214" s="518"/>
      <c r="CD214" s="518"/>
      <c r="CE214" s="518"/>
    </row>
    <row r="215" spans="1:83" ht="24.75" hidden="1" customHeight="1">
      <c r="A215" s="1649"/>
      <c r="B215" s="1023"/>
      <c r="C215" s="319"/>
      <c r="D215" s="3622"/>
      <c r="E215" s="3616" t="s">
        <v>875</v>
      </c>
      <c r="F215" s="3616"/>
      <c r="G215" s="3616"/>
      <c r="H215" s="3616"/>
      <c r="I215" s="3616"/>
      <c r="J215" s="3616"/>
      <c r="K215" s="3616"/>
      <c r="L215" s="3616"/>
      <c r="M215" s="3616"/>
      <c r="N215" s="3616"/>
      <c r="O215" s="3616"/>
      <c r="P215" s="3616"/>
      <c r="Q215" s="455">
        <f>SUMIF(T216:T217,"i",Q216:Q217)</f>
        <v>0</v>
      </c>
      <c r="R215" s="887"/>
      <c r="S215" s="1641" t="s">
        <v>876</v>
      </c>
      <c r="T215" s="607" t="s">
        <v>877</v>
      </c>
      <c r="U215" s="3532">
        <v>1</v>
      </c>
      <c r="V215" s="3532" t="s">
        <v>840</v>
      </c>
      <c r="W215" s="1023"/>
      <c r="X215" s="1023"/>
      <c r="Y215" s="1023"/>
      <c r="Z215" s="1023"/>
      <c r="AA215" s="1481"/>
      <c r="AB215" s="1023"/>
      <c r="AC215" s="3617"/>
      <c r="AD215" s="521"/>
      <c r="AE215" s="1023"/>
      <c r="AF215" s="1023"/>
      <c r="AG215" s="1481"/>
      <c r="AH215" s="1481"/>
      <c r="AI215" s="1481"/>
      <c r="AJ215" s="1481"/>
      <c r="AK215" s="1481"/>
      <c r="AL215" s="1481"/>
      <c r="AM215" s="1481"/>
      <c r="AN215" s="1481"/>
      <c r="AO215" s="1481"/>
      <c r="AP215" s="1481"/>
      <c r="AQ215" s="1481"/>
      <c r="AR215" s="1481"/>
      <c r="AS215" s="1481"/>
      <c r="AT215" s="1481"/>
      <c r="AU215" s="1481"/>
      <c r="AV215" s="1481"/>
      <c r="AW215" s="1481"/>
      <c r="AX215" s="1481"/>
      <c r="AY215" s="1481"/>
      <c r="AZ215" s="1481"/>
      <c r="BA215" s="1481"/>
      <c r="BB215" s="1481"/>
      <c r="BC215" s="1481"/>
      <c r="BD215" s="1481"/>
      <c r="BE215" s="1481"/>
      <c r="BF215" s="1481"/>
      <c r="BG215" s="1481"/>
      <c r="BH215" s="1481"/>
      <c r="BI215" s="1481"/>
      <c r="BJ215" s="1481"/>
      <c r="BK215" s="1481"/>
      <c r="BL215" s="1481"/>
      <c r="BM215" s="1481"/>
      <c r="BN215" s="1481"/>
      <c r="BO215" s="1481"/>
      <c r="BP215" s="1481"/>
      <c r="BQ215" s="1481"/>
      <c r="BR215" s="1481"/>
      <c r="BS215" s="1481"/>
      <c r="BT215" s="1481"/>
      <c r="BU215" s="1481"/>
      <c r="BV215" s="1023"/>
      <c r="BW215" s="1023"/>
      <c r="BX215" s="1023"/>
      <c r="BY215" s="1023"/>
      <c r="BZ215" s="1023"/>
      <c r="CA215" s="1023"/>
      <c r="CB215" s="1023"/>
      <c r="CC215" s="1023"/>
      <c r="CD215" s="1023"/>
      <c r="CE215" s="1023"/>
    </row>
    <row r="216" spans="1:83" ht="11.25" hidden="1" customHeight="1">
      <c r="A216" s="1636"/>
      <c r="B216" s="1481"/>
      <c r="C216" s="1481"/>
      <c r="D216" s="3622"/>
      <c r="E216" s="527"/>
      <c r="F216" s="527">
        <v>0</v>
      </c>
      <c r="G216" s="527"/>
      <c r="H216" s="527"/>
      <c r="I216" s="527"/>
      <c r="J216" s="527"/>
      <c r="K216" s="527"/>
      <c r="L216" s="527"/>
      <c r="M216" s="527"/>
      <c r="N216" s="527"/>
      <c r="O216" s="527"/>
      <c r="P216" s="527"/>
      <c r="Q216" s="527"/>
      <c r="R216" s="527"/>
      <c r="S216" s="528"/>
      <c r="T216" s="608"/>
      <c r="U216" s="3532"/>
      <c r="V216" s="3532"/>
      <c r="W216" s="1481"/>
      <c r="X216" s="1481"/>
      <c r="Y216" s="1481"/>
      <c r="Z216" s="1481"/>
      <c r="AA216" s="1481"/>
      <c r="AB216" s="1023"/>
      <c r="AC216" s="3617"/>
      <c r="AD216" s="521"/>
      <c r="AE216" s="1023"/>
      <c r="AF216" s="1023"/>
      <c r="AG216" s="1481"/>
      <c r="AH216" s="1481"/>
      <c r="AI216" s="1481"/>
      <c r="AJ216" s="1481"/>
      <c r="AK216" s="1481"/>
      <c r="AL216" s="1481"/>
      <c r="AM216" s="1481"/>
      <c r="AN216" s="1481"/>
      <c r="AO216" s="1481"/>
      <c r="AP216" s="1481"/>
      <c r="AQ216" s="1481"/>
      <c r="AR216" s="1481"/>
      <c r="AS216" s="1481"/>
      <c r="AT216" s="1481"/>
      <c r="AU216" s="1481"/>
      <c r="AV216" s="1481"/>
      <c r="AW216" s="1481"/>
      <c r="AX216" s="1481"/>
      <c r="AY216" s="1481"/>
      <c r="AZ216" s="1481"/>
      <c r="BA216" s="1481"/>
      <c r="BB216" s="1481"/>
      <c r="BC216" s="1481"/>
      <c r="BD216" s="1481"/>
      <c r="BE216" s="1481"/>
      <c r="BF216" s="1481"/>
      <c r="BG216" s="1481"/>
      <c r="BH216" s="1481"/>
      <c r="BI216" s="1481"/>
      <c r="BJ216" s="1481"/>
      <c r="BK216" s="1481"/>
      <c r="BL216" s="1481"/>
      <c r="BM216" s="1481"/>
      <c r="BN216" s="1481"/>
      <c r="BO216" s="1481"/>
      <c r="BP216" s="1481"/>
      <c r="BQ216" s="1481"/>
      <c r="BR216" s="1481"/>
      <c r="BS216" s="1481"/>
      <c r="BT216" s="1481"/>
      <c r="BU216" s="1481"/>
      <c r="BV216" s="1481"/>
      <c r="BW216" s="1481"/>
      <c r="BX216" s="1481"/>
      <c r="BY216" s="1481"/>
      <c r="BZ216" s="1481"/>
      <c r="CA216" s="1481"/>
      <c r="CB216" s="1481"/>
      <c r="CC216" s="1481"/>
      <c r="CD216" s="1481"/>
      <c r="CE216" s="1481"/>
    </row>
    <row r="217" spans="1:83" ht="11.25" hidden="1" customHeight="1">
      <c r="A217" s="1649"/>
      <c r="B217" s="1023"/>
      <c r="C217" s="319"/>
      <c r="D217" s="3622"/>
      <c r="E217" s="541" t="s">
        <v>18</v>
      </c>
      <c r="F217" s="1031" t="s">
        <v>18</v>
      </c>
      <c r="G217" s="1031" t="s">
        <v>880</v>
      </c>
      <c r="H217" s="543" t="s">
        <v>18</v>
      </c>
      <c r="I217" s="543"/>
      <c r="J217" s="543"/>
      <c r="K217" s="543"/>
      <c r="L217" s="543"/>
      <c r="M217" s="543"/>
      <c r="N217" s="543"/>
      <c r="O217" s="543"/>
      <c r="P217" s="543"/>
      <c r="Q217" s="543"/>
      <c r="R217" s="544"/>
      <c r="S217" s="545"/>
      <c r="T217" s="608"/>
      <c r="U217" s="3532"/>
      <c r="V217" s="3532"/>
      <c r="W217" s="1023"/>
      <c r="X217" s="1023"/>
      <c r="Y217" s="1023"/>
      <c r="Z217" s="1023"/>
      <c r="AA217" s="1481"/>
      <c r="AB217" s="1023"/>
      <c r="AC217" s="3617"/>
      <c r="AD217" s="521"/>
      <c r="AE217" s="1023"/>
      <c r="AF217" s="1023"/>
      <c r="AG217" s="1481"/>
      <c r="AH217" s="1481"/>
      <c r="AI217" s="1481"/>
      <c r="AJ217" s="1481"/>
      <c r="AK217" s="1481"/>
      <c r="AL217" s="1481"/>
      <c r="AM217" s="1481"/>
      <c r="AN217" s="1481"/>
      <c r="AO217" s="1481"/>
      <c r="AP217" s="1481"/>
      <c r="AQ217" s="1481"/>
      <c r="AR217" s="1481"/>
      <c r="AS217" s="1481"/>
      <c r="AT217" s="1481"/>
      <c r="AU217" s="1481"/>
      <c r="AV217" s="1481"/>
      <c r="AW217" s="1481"/>
      <c r="AX217" s="1481"/>
      <c r="AY217" s="1481"/>
      <c r="AZ217" s="1481"/>
      <c r="BA217" s="1481"/>
      <c r="BB217" s="1481"/>
      <c r="BC217" s="1481"/>
      <c r="BD217" s="1481"/>
      <c r="BE217" s="1481"/>
      <c r="BF217" s="1481"/>
      <c r="BG217" s="1481"/>
      <c r="BH217" s="1481"/>
      <c r="BI217" s="1481"/>
      <c r="BJ217" s="1481"/>
      <c r="BK217" s="1481"/>
      <c r="BL217" s="1481"/>
      <c r="BM217" s="1481"/>
      <c r="BN217" s="1481"/>
      <c r="BO217" s="1481"/>
      <c r="BP217" s="1481"/>
      <c r="BQ217" s="1481"/>
      <c r="BR217" s="1481"/>
      <c r="BS217" s="1481"/>
      <c r="BT217" s="1481"/>
      <c r="BU217" s="1481"/>
      <c r="BV217" s="1023"/>
      <c r="BW217" s="1023"/>
      <c r="BX217" s="1023"/>
      <c r="BY217" s="1023"/>
      <c r="BZ217" s="1023"/>
      <c r="CA217" s="1023"/>
      <c r="CB217" s="1023"/>
      <c r="CC217" s="1023"/>
      <c r="CD217" s="1023"/>
      <c r="CE217" s="1023"/>
    </row>
    <row r="218" spans="1:83" ht="5.25" hidden="1" customHeight="1">
      <c r="A218" s="1636"/>
      <c r="B218" s="1481"/>
      <c r="C218" s="1481"/>
      <c r="D218" s="3622"/>
      <c r="E218" s="909"/>
      <c r="F218" s="909"/>
      <c r="G218" s="909"/>
      <c r="H218" s="909"/>
      <c r="I218" s="909"/>
      <c r="J218" s="909"/>
      <c r="K218" s="909"/>
      <c r="L218" s="909"/>
      <c r="M218" s="909"/>
      <c r="N218" s="909"/>
      <c r="O218" s="909"/>
      <c r="P218" s="909"/>
      <c r="Q218" s="910"/>
      <c r="R218" s="911"/>
      <c r="S218" s="912"/>
      <c r="T218" s="607" t="s">
        <v>877</v>
      </c>
      <c r="U218" s="3532">
        <v>1</v>
      </c>
      <c r="V218" s="3532" t="s">
        <v>840</v>
      </c>
      <c r="W218" s="1481"/>
      <c r="X218" s="1481"/>
      <c r="Y218" s="1481"/>
      <c r="Z218" s="1481"/>
      <c r="AA218" s="1481"/>
      <c r="AB218" s="1481"/>
      <c r="AC218" s="907"/>
      <c r="AD218" s="908"/>
      <c r="AE218" s="1481"/>
      <c r="AF218" s="1481"/>
      <c r="AG218" s="1481"/>
      <c r="AH218" s="1481"/>
      <c r="AI218" s="1481"/>
      <c r="AJ218" s="1481"/>
      <c r="AK218" s="1481"/>
      <c r="AL218" s="1481"/>
      <c r="AM218" s="1481"/>
      <c r="AN218" s="1481"/>
      <c r="AO218" s="1481"/>
      <c r="AP218" s="1481"/>
      <c r="AQ218" s="1481"/>
      <c r="AR218" s="1481"/>
      <c r="AS218" s="1481"/>
      <c r="AT218" s="1481"/>
      <c r="AU218" s="1481"/>
      <c r="AV218" s="1481"/>
      <c r="AW218" s="1481"/>
      <c r="AX218" s="1481"/>
      <c r="AY218" s="1481"/>
      <c r="AZ218" s="1481"/>
      <c r="BA218" s="1481"/>
      <c r="BB218" s="1481"/>
      <c r="BC218" s="1481"/>
      <c r="BD218" s="1481"/>
      <c r="BE218" s="1481"/>
      <c r="BF218" s="1481"/>
      <c r="BG218" s="1481"/>
      <c r="BH218" s="1481"/>
      <c r="BI218" s="1481"/>
      <c r="BJ218" s="1481"/>
      <c r="BK218" s="1481"/>
      <c r="BL218" s="1481"/>
      <c r="BM218" s="1481"/>
      <c r="BN218" s="1481"/>
      <c r="BO218" s="1481"/>
      <c r="BP218" s="1481"/>
      <c r="BQ218" s="1481"/>
      <c r="BR218" s="1481"/>
      <c r="BS218" s="1481"/>
      <c r="BT218" s="1481"/>
      <c r="BU218" s="1481"/>
      <c r="BV218" s="1481"/>
      <c r="BW218" s="1481"/>
      <c r="BX218" s="1481"/>
      <c r="BY218" s="1481"/>
      <c r="BZ218" s="1481"/>
      <c r="CA218" s="1481"/>
      <c r="CB218" s="1481"/>
      <c r="CC218" s="1481"/>
      <c r="CD218" s="1481"/>
      <c r="CE218" s="1481"/>
    </row>
    <row r="219" spans="1:83" ht="5.25" hidden="1" customHeight="1">
      <c r="A219" s="1636"/>
      <c r="B219" s="1481"/>
      <c r="C219" s="1481"/>
      <c r="D219" s="3622"/>
      <c r="E219" s="527"/>
      <c r="F219" s="527"/>
      <c r="G219" s="527"/>
      <c r="H219" s="527"/>
      <c r="I219" s="527"/>
      <c r="J219" s="527"/>
      <c r="K219" s="527"/>
      <c r="L219" s="527"/>
      <c r="M219" s="527"/>
      <c r="N219" s="527"/>
      <c r="O219" s="527"/>
      <c r="P219" s="527"/>
      <c r="Q219" s="527"/>
      <c r="R219" s="527"/>
      <c r="S219" s="528"/>
      <c r="T219" s="608"/>
      <c r="U219" s="3532"/>
      <c r="V219" s="3532"/>
      <c r="W219" s="1481"/>
      <c r="X219" s="1481"/>
      <c r="Y219" s="1481"/>
      <c r="Z219" s="1481"/>
      <c r="AA219" s="1481"/>
      <c r="AB219" s="1481"/>
      <c r="AC219" s="907"/>
      <c r="AD219" s="908"/>
      <c r="AE219" s="1481"/>
      <c r="AF219" s="1481"/>
      <c r="AG219" s="1481"/>
      <c r="AH219" s="1481"/>
      <c r="AI219" s="1481"/>
      <c r="AJ219" s="1481"/>
      <c r="AK219" s="1481"/>
      <c r="AL219" s="1481"/>
      <c r="AM219" s="1481"/>
      <c r="AN219" s="1481"/>
      <c r="AO219" s="1481"/>
      <c r="AP219" s="1481"/>
      <c r="AQ219" s="1481"/>
      <c r="AR219" s="1481"/>
      <c r="AS219" s="1481"/>
      <c r="AT219" s="1481"/>
      <c r="AU219" s="1481"/>
      <c r="AV219" s="1481"/>
      <c r="AW219" s="1481"/>
      <c r="AX219" s="1481"/>
      <c r="AY219" s="1481"/>
      <c r="AZ219" s="1481"/>
      <c r="BA219" s="1481"/>
      <c r="BB219" s="1481"/>
      <c r="BC219" s="1481"/>
      <c r="BD219" s="1481"/>
      <c r="BE219" s="1481"/>
      <c r="BF219" s="1481"/>
      <c r="BG219" s="1481"/>
      <c r="BH219" s="1481"/>
      <c r="BI219" s="1481"/>
      <c r="BJ219" s="1481"/>
      <c r="BK219" s="1481"/>
      <c r="BL219" s="1481"/>
      <c r="BM219" s="1481"/>
      <c r="BN219" s="1481"/>
      <c r="BO219" s="1481"/>
      <c r="BP219" s="1481"/>
      <c r="BQ219" s="1481"/>
      <c r="BR219" s="1481"/>
      <c r="BS219" s="1481"/>
      <c r="BT219" s="1481"/>
      <c r="BU219" s="1481"/>
      <c r="BV219" s="1481"/>
      <c r="BW219" s="1481"/>
      <c r="BX219" s="1481"/>
      <c r="BY219" s="1481"/>
      <c r="BZ219" s="1481"/>
      <c r="CA219" s="1481"/>
      <c r="CB219" s="1481"/>
      <c r="CC219" s="1481"/>
      <c r="CD219" s="1481"/>
      <c r="CE219" s="1481"/>
    </row>
    <row r="220" spans="1:83" ht="5.25" hidden="1" customHeight="1">
      <c r="A220" s="1636"/>
      <c r="B220" s="1481"/>
      <c r="C220" s="1481"/>
      <c r="D220" s="3623"/>
      <c r="E220" s="913"/>
      <c r="F220" s="914"/>
      <c r="G220" s="914"/>
      <c r="H220" s="915"/>
      <c r="I220" s="915"/>
      <c r="J220" s="915"/>
      <c r="K220" s="915"/>
      <c r="L220" s="915"/>
      <c r="M220" s="915"/>
      <c r="N220" s="915"/>
      <c r="O220" s="915"/>
      <c r="P220" s="915"/>
      <c r="Q220" s="915"/>
      <c r="R220" s="818"/>
      <c r="S220" s="916"/>
      <c r="T220" s="608"/>
      <c r="U220" s="3532"/>
      <c r="V220" s="3532"/>
      <c r="W220" s="1481"/>
      <c r="X220" s="1481"/>
      <c r="Y220" s="1481"/>
      <c r="Z220" s="1481"/>
      <c r="AA220" s="1481"/>
      <c r="AB220" s="1481"/>
      <c r="AC220" s="907"/>
      <c r="AD220" s="908"/>
      <c r="AE220" s="1481"/>
      <c r="AF220" s="1481"/>
      <c r="AG220" s="1481"/>
      <c r="AH220" s="1481"/>
      <c r="AI220" s="1481"/>
      <c r="AJ220" s="1481"/>
      <c r="AK220" s="1481"/>
      <c r="AL220" s="1481"/>
      <c r="AM220" s="1481"/>
      <c r="AN220" s="1481"/>
      <c r="AO220" s="1481"/>
      <c r="AP220" s="1481"/>
      <c r="AQ220" s="1481"/>
      <c r="AR220" s="1481"/>
      <c r="AS220" s="1481"/>
      <c r="AT220" s="1481"/>
      <c r="AU220" s="1481"/>
      <c r="AV220" s="1481"/>
      <c r="AW220" s="1481"/>
      <c r="AX220" s="1481"/>
      <c r="AY220" s="1481"/>
      <c r="AZ220" s="1481"/>
      <c r="BA220" s="1481"/>
      <c r="BB220" s="1481"/>
      <c r="BC220" s="1481"/>
      <c r="BD220" s="1481"/>
      <c r="BE220" s="1481"/>
      <c r="BF220" s="1481"/>
      <c r="BG220" s="1481"/>
      <c r="BH220" s="1481"/>
      <c r="BI220" s="1481"/>
      <c r="BJ220" s="1481"/>
      <c r="BK220" s="1481"/>
      <c r="BL220" s="1481"/>
      <c r="BM220" s="1481"/>
      <c r="BN220" s="1481"/>
      <c r="BO220" s="1481"/>
      <c r="BP220" s="1481"/>
      <c r="BQ220" s="1481"/>
      <c r="BR220" s="1481"/>
      <c r="BS220" s="1481"/>
      <c r="BT220" s="1481"/>
      <c r="BU220" s="1481"/>
      <c r="BV220" s="1481"/>
      <c r="BW220" s="1481"/>
      <c r="BX220" s="1481"/>
      <c r="BY220" s="1481"/>
      <c r="BZ220" s="1481"/>
      <c r="CA220" s="1481"/>
      <c r="CB220" s="1481"/>
      <c r="CC220" s="1481"/>
      <c r="CD220" s="1481"/>
      <c r="CE220" s="1481"/>
    </row>
    <row r="221" spans="1:83" ht="15" hidden="1" customHeight="1">
      <c r="A221" s="516" t="s">
        <v>180</v>
      </c>
      <c r="B221"/>
      <c r="C221" t="s">
        <v>18</v>
      </c>
      <c r="D221" s="3621" t="s">
        <v>902</v>
      </c>
      <c r="E221" s="3618" t="s">
        <v>102</v>
      </c>
      <c r="F221" s="3619"/>
      <c r="G221" s="3620"/>
      <c r="H221" s="3614" t="str">
        <f>IF(A221="","",INDEX(DIFFERENTIATION_UNMERGE_VD,MATCH(A221,DIFFERENTIATION_ID_DIFF,0)))</f>
        <v>Производство тепловой энергии. Некомбинированная выработка</v>
      </c>
      <c r="I221" s="3614"/>
      <c r="J221" s="3614"/>
      <c r="K221" s="3614"/>
      <c r="L221" s="3614"/>
      <c r="M221" s="3614"/>
      <c r="N221" s="3614"/>
      <c r="O221" s="3614"/>
      <c r="P221" s="3614"/>
      <c r="Q221" s="3614"/>
      <c r="R221" s="3614"/>
      <c r="S221" s="609"/>
      <c r="T221" s="606"/>
      <c r="U221" s="517"/>
      <c r="V221" s="517"/>
      <c r="W221" s="518"/>
      <c r="X221" s="518"/>
      <c r="Y221" s="518"/>
      <c r="Z221" s="518"/>
      <c r="AA221" s="519"/>
      <c r="AB221" s="520"/>
      <c r="AC221" s="3617"/>
      <c r="AD221" s="521"/>
      <c r="AE221" s="522" t="s">
        <v>18</v>
      </c>
      <c r="AF221" s="522"/>
      <c r="AG221" s="523" t="s">
        <v>874</v>
      </c>
      <c r="AH221" s="524">
        <v>3</v>
      </c>
      <c r="AI221" s="517"/>
      <c r="AJ221" s="517"/>
      <c r="AK221" s="517"/>
      <c r="AL221" s="517"/>
      <c r="AM221" s="517"/>
      <c r="AN221" s="517"/>
      <c r="AO221" s="517"/>
      <c r="AP221" s="517"/>
      <c r="AQ221" s="517"/>
      <c r="AR221" s="517"/>
      <c r="AS221" s="517"/>
      <c r="AT221" s="517"/>
      <c r="AU221" s="517"/>
      <c r="AV221" s="517"/>
      <c r="AW221" s="517"/>
      <c r="AX221" s="517"/>
      <c r="AY221" s="517"/>
      <c r="AZ221" s="517"/>
      <c r="BA221" s="517"/>
      <c r="BB221" s="517"/>
      <c r="BC221" s="517"/>
      <c r="BD221" s="517"/>
      <c r="BE221" s="517"/>
      <c r="BF221" s="517"/>
      <c r="BG221" s="517"/>
      <c r="BH221" s="517"/>
      <c r="BI221" s="517"/>
      <c r="BJ221" s="517"/>
      <c r="BK221" s="517"/>
      <c r="BL221" s="517"/>
      <c r="BM221" s="517"/>
      <c r="BN221" s="517"/>
      <c r="BO221" s="517"/>
      <c r="BP221" s="517"/>
      <c r="BQ221" s="517"/>
      <c r="BR221" s="517"/>
      <c r="BS221" s="517"/>
      <c r="BT221" s="517"/>
      <c r="BU221" s="517"/>
      <c r="BV221" s="518"/>
      <c r="BW221" s="518"/>
      <c r="BX221" s="518"/>
      <c r="BY221" s="518"/>
      <c r="BZ221" s="518"/>
      <c r="CA221" s="518"/>
      <c r="CB221" s="518"/>
      <c r="CC221" s="518"/>
      <c r="CD221" s="518"/>
      <c r="CE221" s="518"/>
    </row>
    <row r="222" spans="1:83" ht="15" hidden="1" customHeight="1">
      <c r="A222" s="516"/>
      <c r="B222"/>
      <c r="C222"/>
      <c r="D222" s="3622"/>
      <c r="E222" s="3618" t="s">
        <v>829</v>
      </c>
      <c r="F222" s="3619"/>
      <c r="G222" s="3620"/>
      <c r="H222" s="3614" t="str">
        <f>IF(A221="","",INDEX(DIFFERENTIATION_UNMERGE_AREA,MATCH(A221,DIFFERENTIATION_ID_DIFF,0)))</f>
        <v>Территория 1</v>
      </c>
      <c r="I222" s="3614"/>
      <c r="J222" s="3614"/>
      <c r="K222" s="3614"/>
      <c r="L222" s="3614"/>
      <c r="M222" s="3614"/>
      <c r="N222" s="3614"/>
      <c r="O222" s="3614"/>
      <c r="P222" s="3614"/>
      <c r="Q222" s="3614"/>
      <c r="R222" s="3614"/>
      <c r="S222" s="609"/>
      <c r="T222" s="606"/>
      <c r="U222" s="517"/>
      <c r="V222" s="517"/>
      <c r="W222" s="518"/>
      <c r="X222" s="518"/>
      <c r="Y222" s="518"/>
      <c r="Z222" s="518"/>
      <c r="AA222" s="519"/>
      <c r="AB222" s="520"/>
      <c r="AC222" s="3617"/>
      <c r="AD222" s="521"/>
      <c r="AE222" s="522"/>
      <c r="AF222" s="522"/>
      <c r="AG222" s="523"/>
      <c r="AH222" s="524"/>
      <c r="AI222" s="517"/>
      <c r="AJ222" s="517"/>
      <c r="AK222" s="517"/>
      <c r="AL222" s="517"/>
      <c r="AM222" s="517"/>
      <c r="AN222" s="517"/>
      <c r="AO222" s="517"/>
      <c r="AP222" s="517"/>
      <c r="AQ222" s="517"/>
      <c r="AR222" s="517"/>
      <c r="AS222" s="517"/>
      <c r="AT222" s="517"/>
      <c r="AU222" s="517"/>
      <c r="AV222" s="517"/>
      <c r="AW222" s="517"/>
      <c r="AX222" s="517"/>
      <c r="AY222" s="517"/>
      <c r="AZ222" s="517"/>
      <c r="BA222" s="517"/>
      <c r="BB222" s="517"/>
      <c r="BC222" s="517"/>
      <c r="BD222" s="517"/>
      <c r="BE222" s="517"/>
      <c r="BF222" s="517"/>
      <c r="BG222" s="517"/>
      <c r="BH222" s="517"/>
      <c r="BI222" s="517"/>
      <c r="BJ222" s="517"/>
      <c r="BK222" s="517"/>
      <c r="BL222" s="517"/>
      <c r="BM222" s="517"/>
      <c r="BN222" s="517"/>
      <c r="BO222" s="517"/>
      <c r="BP222" s="517"/>
      <c r="BQ222" s="517"/>
      <c r="BR222" s="517"/>
      <c r="BS222" s="517"/>
      <c r="BT222" s="517"/>
      <c r="BU222" s="517"/>
      <c r="BV222" s="518"/>
      <c r="BW222" s="518"/>
      <c r="BX222" s="518"/>
      <c r="BY222" s="518"/>
      <c r="BZ222" s="518"/>
      <c r="CA222" s="518"/>
      <c r="CB222" s="518"/>
      <c r="CC222" s="518"/>
      <c r="CD222" s="518"/>
      <c r="CE222" s="518"/>
    </row>
    <row r="223" spans="1:83" ht="15" hidden="1" customHeight="1">
      <c r="A223" s="516"/>
      <c r="B223"/>
      <c r="C223"/>
      <c r="D223" s="3622"/>
      <c r="E223" s="3618" t="s">
        <v>830</v>
      </c>
      <c r="F223" s="3619"/>
      <c r="G223" s="3620"/>
      <c r="H223" s="3614" t="str">
        <f>IF(A221="","",INDEX(DIFFERENTIATION_UNMERGE_SYSTEM,MATCH(A221,DIFFERENTIATION_ID_DIFF,0)))</f>
        <v>Красина, 52</v>
      </c>
      <c r="I223" s="3614"/>
      <c r="J223" s="3614"/>
      <c r="K223" s="3614"/>
      <c r="L223" s="3614"/>
      <c r="M223" s="3614"/>
      <c r="N223" s="3614"/>
      <c r="O223" s="3614"/>
      <c r="P223" s="3614"/>
      <c r="Q223" s="3614"/>
      <c r="R223" s="3614"/>
      <c r="S223" s="609"/>
      <c r="T223" s="606"/>
      <c r="U223" s="517"/>
      <c r="V223" s="517"/>
      <c r="W223" s="518"/>
      <c r="X223" s="518"/>
      <c r="Y223" s="518"/>
      <c r="Z223" s="518"/>
      <c r="AA223" s="519"/>
      <c r="AB223" s="520"/>
      <c r="AC223" s="3617"/>
      <c r="AD223" s="521"/>
      <c r="AE223" s="522"/>
      <c r="AF223" s="522"/>
      <c r="AG223" s="523"/>
      <c r="AH223" s="524"/>
      <c r="AI223" s="517"/>
      <c r="AJ223" s="517"/>
      <c r="AK223" s="517"/>
      <c r="AL223" s="517"/>
      <c r="AM223" s="517"/>
      <c r="AN223" s="517"/>
      <c r="AO223" s="517"/>
      <c r="AP223" s="517"/>
      <c r="AQ223" s="517"/>
      <c r="AR223" s="517"/>
      <c r="AS223" s="517"/>
      <c r="AT223" s="517"/>
      <c r="AU223" s="517"/>
      <c r="AV223" s="517"/>
      <c r="AW223" s="517"/>
      <c r="AX223" s="517"/>
      <c r="AY223" s="517"/>
      <c r="AZ223" s="517"/>
      <c r="BA223" s="517"/>
      <c r="BB223" s="517"/>
      <c r="BC223" s="517"/>
      <c r="BD223" s="517"/>
      <c r="BE223" s="517"/>
      <c r="BF223" s="517"/>
      <c r="BG223" s="517"/>
      <c r="BH223" s="517"/>
      <c r="BI223" s="517"/>
      <c r="BJ223" s="517"/>
      <c r="BK223" s="517"/>
      <c r="BL223" s="517"/>
      <c r="BM223" s="517"/>
      <c r="BN223" s="517"/>
      <c r="BO223" s="517"/>
      <c r="BP223" s="517"/>
      <c r="BQ223" s="517"/>
      <c r="BR223" s="517"/>
      <c r="BS223" s="517"/>
      <c r="BT223" s="517"/>
      <c r="BU223" s="517"/>
      <c r="BV223" s="518"/>
      <c r="BW223" s="518"/>
      <c r="BX223" s="518"/>
      <c r="BY223" s="518"/>
      <c r="BZ223" s="518"/>
      <c r="CA223" s="518"/>
      <c r="CB223" s="518"/>
      <c r="CC223" s="518"/>
      <c r="CD223" s="518"/>
      <c r="CE223" s="518"/>
    </row>
    <row r="224" spans="1:83" ht="24.75" hidden="1" customHeight="1">
      <c r="A224" s="1649"/>
      <c r="B224" s="1023"/>
      <c r="C224" s="319"/>
      <c r="D224" s="3622"/>
      <c r="E224" s="3616" t="s">
        <v>875</v>
      </c>
      <c r="F224" s="3616"/>
      <c r="G224" s="3616"/>
      <c r="H224" s="3616"/>
      <c r="I224" s="3616"/>
      <c r="J224" s="3616"/>
      <c r="K224" s="3616"/>
      <c r="L224" s="3616"/>
      <c r="M224" s="3616"/>
      <c r="N224" s="3616"/>
      <c r="O224" s="3616"/>
      <c r="P224" s="3616"/>
      <c r="Q224" s="455">
        <f>SUMIF(T225:T226,"i",Q225:Q226)</f>
        <v>0</v>
      </c>
      <c r="R224" s="887"/>
      <c r="S224" s="1641" t="s">
        <v>876</v>
      </c>
      <c r="T224" s="607" t="s">
        <v>877</v>
      </c>
      <c r="U224" s="3532">
        <v>1</v>
      </c>
      <c r="V224" s="3532" t="s">
        <v>840</v>
      </c>
      <c r="W224" s="1023"/>
      <c r="X224" s="1023"/>
      <c r="Y224" s="1023"/>
      <c r="Z224" s="1023"/>
      <c r="AA224" s="1481"/>
      <c r="AB224" s="1023"/>
      <c r="AC224" s="3617"/>
      <c r="AD224" s="521"/>
      <c r="AE224" s="1023"/>
      <c r="AF224" s="1023"/>
      <c r="AG224" s="1481"/>
      <c r="AH224" s="1481"/>
      <c r="AI224" s="1481"/>
      <c r="AJ224" s="1481"/>
      <c r="AK224" s="1481"/>
      <c r="AL224" s="1481"/>
      <c r="AM224" s="1481"/>
      <c r="AN224" s="1481"/>
      <c r="AO224" s="1481"/>
      <c r="AP224" s="1481"/>
      <c r="AQ224" s="1481"/>
      <c r="AR224" s="1481"/>
      <c r="AS224" s="1481"/>
      <c r="AT224" s="1481"/>
      <c r="AU224" s="1481"/>
      <c r="AV224" s="1481"/>
      <c r="AW224" s="1481"/>
      <c r="AX224" s="1481"/>
      <c r="AY224" s="1481"/>
      <c r="AZ224" s="1481"/>
      <c r="BA224" s="1481"/>
      <c r="BB224" s="1481"/>
      <c r="BC224" s="1481"/>
      <c r="BD224" s="1481"/>
      <c r="BE224" s="1481"/>
      <c r="BF224" s="1481"/>
      <c r="BG224" s="1481"/>
      <c r="BH224" s="1481"/>
      <c r="BI224" s="1481"/>
      <c r="BJ224" s="1481"/>
      <c r="BK224" s="1481"/>
      <c r="BL224" s="1481"/>
      <c r="BM224" s="1481"/>
      <c r="BN224" s="1481"/>
      <c r="BO224" s="1481"/>
      <c r="BP224" s="1481"/>
      <c r="BQ224" s="1481"/>
      <c r="BR224" s="1481"/>
      <c r="BS224" s="1481"/>
      <c r="BT224" s="1481"/>
      <c r="BU224" s="1481"/>
      <c r="BV224" s="1023"/>
      <c r="BW224" s="1023"/>
      <c r="BX224" s="1023"/>
      <c r="BY224" s="1023"/>
      <c r="BZ224" s="1023"/>
      <c r="CA224" s="1023"/>
      <c r="CB224" s="1023"/>
      <c r="CC224" s="1023"/>
      <c r="CD224" s="1023"/>
      <c r="CE224" s="1023"/>
    </row>
    <row r="225" spans="1:83" ht="11.25" hidden="1" customHeight="1">
      <c r="A225" s="1636"/>
      <c r="B225" s="1481"/>
      <c r="C225" s="1481"/>
      <c r="D225" s="3622"/>
      <c r="E225" s="527"/>
      <c r="F225" s="527">
        <v>0</v>
      </c>
      <c r="G225" s="527"/>
      <c r="H225" s="527"/>
      <c r="I225" s="527"/>
      <c r="J225" s="527"/>
      <c r="K225" s="527"/>
      <c r="L225" s="527"/>
      <c r="M225" s="527"/>
      <c r="N225" s="527"/>
      <c r="O225" s="527"/>
      <c r="P225" s="527"/>
      <c r="Q225" s="527"/>
      <c r="R225" s="527"/>
      <c r="S225" s="528"/>
      <c r="T225" s="608"/>
      <c r="U225" s="3532"/>
      <c r="V225" s="3532"/>
      <c r="W225" s="1481"/>
      <c r="X225" s="1481"/>
      <c r="Y225" s="1481"/>
      <c r="Z225" s="1481"/>
      <c r="AA225" s="1481"/>
      <c r="AB225" s="1023"/>
      <c r="AC225" s="3617"/>
      <c r="AD225" s="521"/>
      <c r="AE225" s="1023"/>
      <c r="AF225" s="1023"/>
      <c r="AG225" s="1481"/>
      <c r="AH225" s="1481"/>
      <c r="AI225" s="1481"/>
      <c r="AJ225" s="1481"/>
      <c r="AK225" s="1481"/>
      <c r="AL225" s="1481"/>
      <c r="AM225" s="1481"/>
      <c r="AN225" s="1481"/>
      <c r="AO225" s="1481"/>
      <c r="AP225" s="1481"/>
      <c r="AQ225" s="1481"/>
      <c r="AR225" s="1481"/>
      <c r="AS225" s="1481"/>
      <c r="AT225" s="1481"/>
      <c r="AU225" s="1481"/>
      <c r="AV225" s="1481"/>
      <c r="AW225" s="1481"/>
      <c r="AX225" s="1481"/>
      <c r="AY225" s="1481"/>
      <c r="AZ225" s="1481"/>
      <c r="BA225" s="1481"/>
      <c r="BB225" s="1481"/>
      <c r="BC225" s="1481"/>
      <c r="BD225" s="1481"/>
      <c r="BE225" s="1481"/>
      <c r="BF225" s="1481"/>
      <c r="BG225" s="1481"/>
      <c r="BH225" s="1481"/>
      <c r="BI225" s="1481"/>
      <c r="BJ225" s="1481"/>
      <c r="BK225" s="1481"/>
      <c r="BL225" s="1481"/>
      <c r="BM225" s="1481"/>
      <c r="BN225" s="1481"/>
      <c r="BO225" s="1481"/>
      <c r="BP225" s="1481"/>
      <c r="BQ225" s="1481"/>
      <c r="BR225" s="1481"/>
      <c r="BS225" s="1481"/>
      <c r="BT225" s="1481"/>
      <c r="BU225" s="1481"/>
      <c r="BV225" s="1481"/>
      <c r="BW225" s="1481"/>
      <c r="BX225" s="1481"/>
      <c r="BY225" s="1481"/>
      <c r="BZ225" s="1481"/>
      <c r="CA225" s="1481"/>
      <c r="CB225" s="1481"/>
      <c r="CC225" s="1481"/>
      <c r="CD225" s="1481"/>
      <c r="CE225" s="1481"/>
    </row>
    <row r="226" spans="1:83" ht="11.25" hidden="1" customHeight="1">
      <c r="A226" s="1649"/>
      <c r="B226" s="1023"/>
      <c r="C226" s="319"/>
      <c r="D226" s="3622"/>
      <c r="E226" s="541" t="s">
        <v>18</v>
      </c>
      <c r="F226" s="1031" t="s">
        <v>18</v>
      </c>
      <c r="G226" s="1031" t="s">
        <v>880</v>
      </c>
      <c r="H226" s="543" t="s">
        <v>18</v>
      </c>
      <c r="I226" s="543"/>
      <c r="J226" s="543"/>
      <c r="K226" s="543"/>
      <c r="L226" s="543"/>
      <c r="M226" s="543"/>
      <c r="N226" s="543"/>
      <c r="O226" s="543"/>
      <c r="P226" s="543"/>
      <c r="Q226" s="543"/>
      <c r="R226" s="544"/>
      <c r="S226" s="545"/>
      <c r="T226" s="608"/>
      <c r="U226" s="3532"/>
      <c r="V226" s="3532"/>
      <c r="W226" s="1023"/>
      <c r="X226" s="1023"/>
      <c r="Y226" s="1023"/>
      <c r="Z226" s="1023"/>
      <c r="AA226" s="1481"/>
      <c r="AB226" s="1023"/>
      <c r="AC226" s="3617"/>
      <c r="AD226" s="521"/>
      <c r="AE226" s="1023"/>
      <c r="AF226" s="1023"/>
      <c r="AG226" s="1481"/>
      <c r="AH226" s="1481"/>
      <c r="AI226" s="1481"/>
      <c r="AJ226" s="1481"/>
      <c r="AK226" s="1481"/>
      <c r="AL226" s="1481"/>
      <c r="AM226" s="1481"/>
      <c r="AN226" s="1481"/>
      <c r="AO226" s="1481"/>
      <c r="AP226" s="1481"/>
      <c r="AQ226" s="1481"/>
      <c r="AR226" s="1481"/>
      <c r="AS226" s="1481"/>
      <c r="AT226" s="1481"/>
      <c r="AU226" s="1481"/>
      <c r="AV226" s="1481"/>
      <c r="AW226" s="1481"/>
      <c r="AX226" s="1481"/>
      <c r="AY226" s="1481"/>
      <c r="AZ226" s="1481"/>
      <c r="BA226" s="1481"/>
      <c r="BB226" s="1481"/>
      <c r="BC226" s="1481"/>
      <c r="BD226" s="1481"/>
      <c r="BE226" s="1481"/>
      <c r="BF226" s="1481"/>
      <c r="BG226" s="1481"/>
      <c r="BH226" s="1481"/>
      <c r="BI226" s="1481"/>
      <c r="BJ226" s="1481"/>
      <c r="BK226" s="1481"/>
      <c r="BL226" s="1481"/>
      <c r="BM226" s="1481"/>
      <c r="BN226" s="1481"/>
      <c r="BO226" s="1481"/>
      <c r="BP226" s="1481"/>
      <c r="BQ226" s="1481"/>
      <c r="BR226" s="1481"/>
      <c r="BS226" s="1481"/>
      <c r="BT226" s="1481"/>
      <c r="BU226" s="1481"/>
      <c r="BV226" s="1023"/>
      <c r="BW226" s="1023"/>
      <c r="BX226" s="1023"/>
      <c r="BY226" s="1023"/>
      <c r="BZ226" s="1023"/>
      <c r="CA226" s="1023"/>
      <c r="CB226" s="1023"/>
      <c r="CC226" s="1023"/>
      <c r="CD226" s="1023"/>
      <c r="CE226" s="1023"/>
    </row>
    <row r="227" spans="1:83" ht="5.25" hidden="1" customHeight="1">
      <c r="A227" s="1636"/>
      <c r="B227" s="1481"/>
      <c r="C227" s="1481"/>
      <c r="D227" s="3622"/>
      <c r="E227" s="909"/>
      <c r="F227" s="909"/>
      <c r="G227" s="909"/>
      <c r="H227" s="909"/>
      <c r="I227" s="909"/>
      <c r="J227" s="909"/>
      <c r="K227" s="909"/>
      <c r="L227" s="909"/>
      <c r="M227" s="909"/>
      <c r="N227" s="909"/>
      <c r="O227" s="909"/>
      <c r="P227" s="909"/>
      <c r="Q227" s="910"/>
      <c r="R227" s="911"/>
      <c r="S227" s="912"/>
      <c r="T227" s="607" t="s">
        <v>877</v>
      </c>
      <c r="U227" s="3532">
        <v>1</v>
      </c>
      <c r="V227" s="3532" t="s">
        <v>840</v>
      </c>
      <c r="W227" s="1481"/>
      <c r="X227" s="1481"/>
      <c r="Y227" s="1481"/>
      <c r="Z227" s="1481"/>
      <c r="AA227" s="1481"/>
      <c r="AB227" s="1481"/>
      <c r="AC227" s="907"/>
      <c r="AD227" s="908"/>
      <c r="AE227" s="1481"/>
      <c r="AF227" s="1481"/>
      <c r="AG227" s="1481"/>
      <c r="AH227" s="1481"/>
      <c r="AI227" s="1481"/>
      <c r="AJ227" s="1481"/>
      <c r="AK227" s="1481"/>
      <c r="AL227" s="1481"/>
      <c r="AM227" s="1481"/>
      <c r="AN227" s="1481"/>
      <c r="AO227" s="1481"/>
      <c r="AP227" s="1481"/>
      <c r="AQ227" s="1481"/>
      <c r="AR227" s="1481"/>
      <c r="AS227" s="1481"/>
      <c r="AT227" s="1481"/>
      <c r="AU227" s="1481"/>
      <c r="AV227" s="1481"/>
      <c r="AW227" s="1481"/>
      <c r="AX227" s="1481"/>
      <c r="AY227" s="1481"/>
      <c r="AZ227" s="1481"/>
      <c r="BA227" s="1481"/>
      <c r="BB227" s="1481"/>
      <c r="BC227" s="1481"/>
      <c r="BD227" s="1481"/>
      <c r="BE227" s="1481"/>
      <c r="BF227" s="1481"/>
      <c r="BG227" s="1481"/>
      <c r="BH227" s="1481"/>
      <c r="BI227" s="1481"/>
      <c r="BJ227" s="1481"/>
      <c r="BK227" s="1481"/>
      <c r="BL227" s="1481"/>
      <c r="BM227" s="1481"/>
      <c r="BN227" s="1481"/>
      <c r="BO227" s="1481"/>
      <c r="BP227" s="1481"/>
      <c r="BQ227" s="1481"/>
      <c r="BR227" s="1481"/>
      <c r="BS227" s="1481"/>
      <c r="BT227" s="1481"/>
      <c r="BU227" s="1481"/>
      <c r="BV227" s="1481"/>
      <c r="BW227" s="1481"/>
      <c r="BX227" s="1481"/>
      <c r="BY227" s="1481"/>
      <c r="BZ227" s="1481"/>
      <c r="CA227" s="1481"/>
      <c r="CB227" s="1481"/>
      <c r="CC227" s="1481"/>
      <c r="CD227" s="1481"/>
      <c r="CE227" s="1481"/>
    </row>
    <row r="228" spans="1:83" ht="5.25" hidden="1" customHeight="1">
      <c r="A228" s="1636"/>
      <c r="B228" s="1481"/>
      <c r="C228" s="1481"/>
      <c r="D228" s="3622"/>
      <c r="E228" s="527"/>
      <c r="F228" s="527"/>
      <c r="G228" s="527"/>
      <c r="H228" s="527"/>
      <c r="I228" s="527"/>
      <c r="J228" s="527"/>
      <c r="K228" s="527"/>
      <c r="L228" s="527"/>
      <c r="M228" s="527"/>
      <c r="N228" s="527"/>
      <c r="O228" s="527"/>
      <c r="P228" s="527"/>
      <c r="Q228" s="527"/>
      <c r="R228" s="527"/>
      <c r="S228" s="528"/>
      <c r="T228" s="608"/>
      <c r="U228" s="3532"/>
      <c r="V228" s="3532"/>
      <c r="W228" s="1481"/>
      <c r="X228" s="1481"/>
      <c r="Y228" s="1481"/>
      <c r="Z228" s="1481"/>
      <c r="AA228" s="1481"/>
      <c r="AB228" s="1481"/>
      <c r="AC228" s="907"/>
      <c r="AD228" s="908"/>
      <c r="AE228" s="1481"/>
      <c r="AF228" s="1481"/>
      <c r="AG228" s="1481"/>
      <c r="AH228" s="1481"/>
      <c r="AI228" s="1481"/>
      <c r="AJ228" s="1481"/>
      <c r="AK228" s="1481"/>
      <c r="AL228" s="1481"/>
      <c r="AM228" s="1481"/>
      <c r="AN228" s="1481"/>
      <c r="AO228" s="1481"/>
      <c r="AP228" s="1481"/>
      <c r="AQ228" s="1481"/>
      <c r="AR228" s="1481"/>
      <c r="AS228" s="1481"/>
      <c r="AT228" s="1481"/>
      <c r="AU228" s="1481"/>
      <c r="AV228" s="1481"/>
      <c r="AW228" s="1481"/>
      <c r="AX228" s="1481"/>
      <c r="AY228" s="1481"/>
      <c r="AZ228" s="1481"/>
      <c r="BA228" s="1481"/>
      <c r="BB228" s="1481"/>
      <c r="BC228" s="1481"/>
      <c r="BD228" s="1481"/>
      <c r="BE228" s="1481"/>
      <c r="BF228" s="1481"/>
      <c r="BG228" s="1481"/>
      <c r="BH228" s="1481"/>
      <c r="BI228" s="1481"/>
      <c r="BJ228" s="1481"/>
      <c r="BK228" s="1481"/>
      <c r="BL228" s="1481"/>
      <c r="BM228" s="1481"/>
      <c r="BN228" s="1481"/>
      <c r="BO228" s="1481"/>
      <c r="BP228" s="1481"/>
      <c r="BQ228" s="1481"/>
      <c r="BR228" s="1481"/>
      <c r="BS228" s="1481"/>
      <c r="BT228" s="1481"/>
      <c r="BU228" s="1481"/>
      <c r="BV228" s="1481"/>
      <c r="BW228" s="1481"/>
      <c r="BX228" s="1481"/>
      <c r="BY228" s="1481"/>
      <c r="BZ228" s="1481"/>
      <c r="CA228" s="1481"/>
      <c r="CB228" s="1481"/>
      <c r="CC228" s="1481"/>
      <c r="CD228" s="1481"/>
      <c r="CE228" s="1481"/>
    </row>
    <row r="229" spans="1:83" ht="5.25" hidden="1" customHeight="1">
      <c r="A229" s="1636"/>
      <c r="B229" s="1481"/>
      <c r="C229" s="1481"/>
      <c r="D229" s="3623"/>
      <c r="E229" s="913"/>
      <c r="F229" s="914"/>
      <c r="G229" s="914"/>
      <c r="H229" s="915"/>
      <c r="I229" s="915"/>
      <c r="J229" s="915"/>
      <c r="K229" s="915"/>
      <c r="L229" s="915"/>
      <c r="M229" s="915"/>
      <c r="N229" s="915"/>
      <c r="O229" s="915"/>
      <c r="P229" s="915"/>
      <c r="Q229" s="915"/>
      <c r="R229" s="818"/>
      <c r="S229" s="916"/>
      <c r="T229" s="608"/>
      <c r="U229" s="3532"/>
      <c r="V229" s="3532"/>
      <c r="W229" s="1481"/>
      <c r="X229" s="1481"/>
      <c r="Y229" s="1481"/>
      <c r="Z229" s="1481"/>
      <c r="AA229" s="1481"/>
      <c r="AB229" s="1481"/>
      <c r="AC229" s="907"/>
      <c r="AD229" s="908"/>
      <c r="AE229" s="1481"/>
      <c r="AF229" s="1481"/>
      <c r="AG229" s="1481"/>
      <c r="AH229" s="1481"/>
      <c r="AI229" s="1481"/>
      <c r="AJ229" s="1481"/>
      <c r="AK229" s="1481"/>
      <c r="AL229" s="1481"/>
      <c r="AM229" s="1481"/>
      <c r="AN229" s="1481"/>
      <c r="AO229" s="1481"/>
      <c r="AP229" s="1481"/>
      <c r="AQ229" s="1481"/>
      <c r="AR229" s="1481"/>
      <c r="AS229" s="1481"/>
      <c r="AT229" s="1481"/>
      <c r="AU229" s="1481"/>
      <c r="AV229" s="1481"/>
      <c r="AW229" s="1481"/>
      <c r="AX229" s="1481"/>
      <c r="AY229" s="1481"/>
      <c r="AZ229" s="1481"/>
      <c r="BA229" s="1481"/>
      <c r="BB229" s="1481"/>
      <c r="BC229" s="1481"/>
      <c r="BD229" s="1481"/>
      <c r="BE229" s="1481"/>
      <c r="BF229" s="1481"/>
      <c r="BG229" s="1481"/>
      <c r="BH229" s="1481"/>
      <c r="BI229" s="1481"/>
      <c r="BJ229" s="1481"/>
      <c r="BK229" s="1481"/>
      <c r="BL229" s="1481"/>
      <c r="BM229" s="1481"/>
      <c r="BN229" s="1481"/>
      <c r="BO229" s="1481"/>
      <c r="BP229" s="1481"/>
      <c r="BQ229" s="1481"/>
      <c r="BR229" s="1481"/>
      <c r="BS229" s="1481"/>
      <c r="BT229" s="1481"/>
      <c r="BU229" s="1481"/>
      <c r="BV229" s="1481"/>
      <c r="BW229" s="1481"/>
      <c r="BX229" s="1481"/>
      <c r="BY229" s="1481"/>
      <c r="BZ229" s="1481"/>
      <c r="CA229" s="1481"/>
      <c r="CB229" s="1481"/>
      <c r="CC229" s="1481"/>
      <c r="CD229" s="1481"/>
      <c r="CE229" s="1481"/>
    </row>
    <row r="230" spans="1:83" ht="15" hidden="1" customHeight="1">
      <c r="A230" s="516" t="s">
        <v>183</v>
      </c>
      <c r="B230"/>
      <c r="C230" t="s">
        <v>18</v>
      </c>
      <c r="D230" s="3621" t="s">
        <v>903</v>
      </c>
      <c r="E230" s="3618" t="s">
        <v>102</v>
      </c>
      <c r="F230" s="3619"/>
      <c r="G230" s="3620"/>
      <c r="H230" s="3614" t="str">
        <f>IF(A230="","",INDEX(DIFFERENTIATION_UNMERGE_VD,MATCH(A230,DIFFERENTIATION_ID_DIFF,0)))</f>
        <v>Производство тепловой энергии. Некомбинированная выработка</v>
      </c>
      <c r="I230" s="3614"/>
      <c r="J230" s="3614"/>
      <c r="K230" s="3614"/>
      <c r="L230" s="3614"/>
      <c r="M230" s="3614"/>
      <c r="N230" s="3614"/>
      <c r="O230" s="3614"/>
      <c r="P230" s="3614"/>
      <c r="Q230" s="3614"/>
      <c r="R230" s="3614"/>
      <c r="S230" s="609"/>
      <c r="T230" s="606"/>
      <c r="U230" s="517"/>
      <c r="V230" s="517"/>
      <c r="W230" s="518"/>
      <c r="X230" s="518"/>
      <c r="Y230" s="518"/>
      <c r="Z230" s="518"/>
      <c r="AA230" s="519"/>
      <c r="AB230" s="520"/>
      <c r="AC230" s="3617"/>
      <c r="AD230" s="521"/>
      <c r="AE230" s="522" t="s">
        <v>18</v>
      </c>
      <c r="AF230" s="522"/>
      <c r="AG230" s="523" t="s">
        <v>874</v>
      </c>
      <c r="AH230" s="524">
        <v>3</v>
      </c>
      <c r="AI230" s="517"/>
      <c r="AJ230" s="517"/>
      <c r="AK230" s="517"/>
      <c r="AL230" s="517"/>
      <c r="AM230" s="517"/>
      <c r="AN230" s="517"/>
      <c r="AO230" s="517"/>
      <c r="AP230" s="517"/>
      <c r="AQ230" s="517"/>
      <c r="AR230" s="517"/>
      <c r="AS230" s="517"/>
      <c r="AT230" s="517"/>
      <c r="AU230" s="517"/>
      <c r="AV230" s="517"/>
      <c r="AW230" s="517"/>
      <c r="AX230" s="517"/>
      <c r="AY230" s="517"/>
      <c r="AZ230" s="517"/>
      <c r="BA230" s="517"/>
      <c r="BB230" s="517"/>
      <c r="BC230" s="517"/>
      <c r="BD230" s="517"/>
      <c r="BE230" s="517"/>
      <c r="BF230" s="517"/>
      <c r="BG230" s="517"/>
      <c r="BH230" s="517"/>
      <c r="BI230" s="517"/>
      <c r="BJ230" s="517"/>
      <c r="BK230" s="517"/>
      <c r="BL230" s="517"/>
      <c r="BM230" s="517"/>
      <c r="BN230" s="517"/>
      <c r="BO230" s="517"/>
      <c r="BP230" s="517"/>
      <c r="BQ230" s="517"/>
      <c r="BR230" s="517"/>
      <c r="BS230" s="517"/>
      <c r="BT230" s="517"/>
      <c r="BU230" s="517"/>
      <c r="BV230" s="518"/>
      <c r="BW230" s="518"/>
      <c r="BX230" s="518"/>
      <c r="BY230" s="518"/>
      <c r="BZ230" s="518"/>
      <c r="CA230" s="518"/>
      <c r="CB230" s="518"/>
      <c r="CC230" s="518"/>
      <c r="CD230" s="518"/>
      <c r="CE230" s="518"/>
    </row>
    <row r="231" spans="1:83" ht="15" hidden="1" customHeight="1">
      <c r="A231" s="516"/>
      <c r="B231"/>
      <c r="C231"/>
      <c r="D231" s="3622"/>
      <c r="E231" s="3618" t="s">
        <v>829</v>
      </c>
      <c r="F231" s="3619"/>
      <c r="G231" s="3620"/>
      <c r="H231" s="3614" t="str">
        <f>IF(A230="","",INDEX(DIFFERENTIATION_UNMERGE_AREA,MATCH(A230,DIFFERENTIATION_ID_DIFF,0)))</f>
        <v>Территория 1</v>
      </c>
      <c r="I231" s="3614"/>
      <c r="J231" s="3614"/>
      <c r="K231" s="3614"/>
      <c r="L231" s="3614"/>
      <c r="M231" s="3614"/>
      <c r="N231" s="3614"/>
      <c r="O231" s="3614"/>
      <c r="P231" s="3614"/>
      <c r="Q231" s="3614"/>
      <c r="R231" s="3614"/>
      <c r="S231" s="609"/>
      <c r="T231" s="606"/>
      <c r="U231" s="517"/>
      <c r="V231" s="517"/>
      <c r="W231" s="518"/>
      <c r="X231" s="518"/>
      <c r="Y231" s="518"/>
      <c r="Z231" s="518"/>
      <c r="AA231" s="519"/>
      <c r="AB231" s="520"/>
      <c r="AC231" s="3617"/>
      <c r="AD231" s="521"/>
      <c r="AE231" s="522"/>
      <c r="AF231" s="522"/>
      <c r="AG231" s="523"/>
      <c r="AH231" s="524"/>
      <c r="AI231" s="517"/>
      <c r="AJ231" s="517"/>
      <c r="AK231" s="517"/>
      <c r="AL231" s="517"/>
      <c r="AM231" s="517"/>
      <c r="AN231" s="517"/>
      <c r="AO231" s="517"/>
      <c r="AP231" s="517"/>
      <c r="AQ231" s="517"/>
      <c r="AR231" s="517"/>
      <c r="AS231" s="517"/>
      <c r="AT231" s="517"/>
      <c r="AU231" s="517"/>
      <c r="AV231" s="517"/>
      <c r="AW231" s="517"/>
      <c r="AX231" s="517"/>
      <c r="AY231" s="517"/>
      <c r="AZ231" s="517"/>
      <c r="BA231" s="517"/>
      <c r="BB231" s="517"/>
      <c r="BC231" s="517"/>
      <c r="BD231" s="517"/>
      <c r="BE231" s="517"/>
      <c r="BF231" s="517"/>
      <c r="BG231" s="517"/>
      <c r="BH231" s="517"/>
      <c r="BI231" s="517"/>
      <c r="BJ231" s="517"/>
      <c r="BK231" s="517"/>
      <c r="BL231" s="517"/>
      <c r="BM231" s="517"/>
      <c r="BN231" s="517"/>
      <c r="BO231" s="517"/>
      <c r="BP231" s="517"/>
      <c r="BQ231" s="517"/>
      <c r="BR231" s="517"/>
      <c r="BS231" s="517"/>
      <c r="BT231" s="517"/>
      <c r="BU231" s="517"/>
      <c r="BV231" s="518"/>
      <c r="BW231" s="518"/>
      <c r="BX231" s="518"/>
      <c r="BY231" s="518"/>
      <c r="BZ231" s="518"/>
      <c r="CA231" s="518"/>
      <c r="CB231" s="518"/>
      <c r="CC231" s="518"/>
      <c r="CD231" s="518"/>
      <c r="CE231" s="518"/>
    </row>
    <row r="232" spans="1:83" ht="15" hidden="1" customHeight="1">
      <c r="A232" s="516"/>
      <c r="B232"/>
      <c r="C232"/>
      <c r="D232" s="3622"/>
      <c r="E232" s="3618" t="s">
        <v>830</v>
      </c>
      <c r="F232" s="3619"/>
      <c r="G232" s="3620"/>
      <c r="H232" s="3614" t="str">
        <f>IF(A230="","",INDEX(DIFFERENTIATION_UNMERGE_SYSTEM,MATCH(A230,DIFFERENTIATION_ID_DIFF,0)))</f>
        <v>Кромская, 7а(908кв)</v>
      </c>
      <c r="I232" s="3614"/>
      <c r="J232" s="3614"/>
      <c r="K232" s="3614"/>
      <c r="L232" s="3614"/>
      <c r="M232" s="3614"/>
      <c r="N232" s="3614"/>
      <c r="O232" s="3614"/>
      <c r="P232" s="3614"/>
      <c r="Q232" s="3614"/>
      <c r="R232" s="3614"/>
      <c r="S232" s="609"/>
      <c r="T232" s="606"/>
      <c r="U232" s="517"/>
      <c r="V232" s="517"/>
      <c r="W232" s="518"/>
      <c r="X232" s="518"/>
      <c r="Y232" s="518"/>
      <c r="Z232" s="518"/>
      <c r="AA232" s="519"/>
      <c r="AB232" s="520"/>
      <c r="AC232" s="3617"/>
      <c r="AD232" s="521"/>
      <c r="AE232" s="522"/>
      <c r="AF232" s="522"/>
      <c r="AG232" s="523"/>
      <c r="AH232" s="524"/>
      <c r="AI232" s="517"/>
      <c r="AJ232" s="517"/>
      <c r="AK232" s="517"/>
      <c r="AL232" s="517"/>
      <c r="AM232" s="517"/>
      <c r="AN232" s="517"/>
      <c r="AO232" s="517"/>
      <c r="AP232" s="517"/>
      <c r="AQ232" s="517"/>
      <c r="AR232" s="517"/>
      <c r="AS232" s="517"/>
      <c r="AT232" s="517"/>
      <c r="AU232" s="517"/>
      <c r="AV232" s="517"/>
      <c r="AW232" s="517"/>
      <c r="AX232" s="517"/>
      <c r="AY232" s="517"/>
      <c r="AZ232" s="517"/>
      <c r="BA232" s="517"/>
      <c r="BB232" s="517"/>
      <c r="BC232" s="517"/>
      <c r="BD232" s="517"/>
      <c r="BE232" s="517"/>
      <c r="BF232" s="517"/>
      <c r="BG232" s="517"/>
      <c r="BH232" s="517"/>
      <c r="BI232" s="517"/>
      <c r="BJ232" s="517"/>
      <c r="BK232" s="517"/>
      <c r="BL232" s="517"/>
      <c r="BM232" s="517"/>
      <c r="BN232" s="517"/>
      <c r="BO232" s="517"/>
      <c r="BP232" s="517"/>
      <c r="BQ232" s="517"/>
      <c r="BR232" s="517"/>
      <c r="BS232" s="517"/>
      <c r="BT232" s="517"/>
      <c r="BU232" s="517"/>
      <c r="BV232" s="518"/>
      <c r="BW232" s="518"/>
      <c r="BX232" s="518"/>
      <c r="BY232" s="518"/>
      <c r="BZ232" s="518"/>
      <c r="CA232" s="518"/>
      <c r="CB232" s="518"/>
      <c r="CC232" s="518"/>
      <c r="CD232" s="518"/>
      <c r="CE232" s="518"/>
    </row>
    <row r="233" spans="1:83" ht="24.75" hidden="1" customHeight="1">
      <c r="A233" s="1649"/>
      <c r="B233" s="1023"/>
      <c r="C233" s="319"/>
      <c r="D233" s="3622"/>
      <c r="E233" s="3616" t="s">
        <v>875</v>
      </c>
      <c r="F233" s="3616"/>
      <c r="G233" s="3616"/>
      <c r="H233" s="3616"/>
      <c r="I233" s="3616"/>
      <c r="J233" s="3616"/>
      <c r="K233" s="3616"/>
      <c r="L233" s="3616"/>
      <c r="M233" s="3616"/>
      <c r="N233" s="3616"/>
      <c r="O233" s="3616"/>
      <c r="P233" s="3616"/>
      <c r="Q233" s="455">
        <f>SUMIF(T234:T235,"i",Q234:Q235)</f>
        <v>0</v>
      </c>
      <c r="R233" s="887"/>
      <c r="S233" s="1641" t="s">
        <v>876</v>
      </c>
      <c r="T233" s="607" t="s">
        <v>877</v>
      </c>
      <c r="U233" s="3532">
        <v>1</v>
      </c>
      <c r="V233" s="3532" t="s">
        <v>840</v>
      </c>
      <c r="W233" s="1023"/>
      <c r="X233" s="1023"/>
      <c r="Y233" s="1023"/>
      <c r="Z233" s="1023"/>
      <c r="AA233" s="1481"/>
      <c r="AB233" s="1023"/>
      <c r="AC233" s="3617"/>
      <c r="AD233" s="521"/>
      <c r="AE233" s="1023"/>
      <c r="AF233" s="1023"/>
      <c r="AG233" s="1481"/>
      <c r="AH233" s="1481"/>
      <c r="AI233" s="1481"/>
      <c r="AJ233" s="1481"/>
      <c r="AK233" s="1481"/>
      <c r="AL233" s="1481"/>
      <c r="AM233" s="1481"/>
      <c r="AN233" s="1481"/>
      <c r="AO233" s="1481"/>
      <c r="AP233" s="1481"/>
      <c r="AQ233" s="1481"/>
      <c r="AR233" s="1481"/>
      <c r="AS233" s="1481"/>
      <c r="AT233" s="1481"/>
      <c r="AU233" s="1481"/>
      <c r="AV233" s="1481"/>
      <c r="AW233" s="1481"/>
      <c r="AX233" s="1481"/>
      <c r="AY233" s="1481"/>
      <c r="AZ233" s="1481"/>
      <c r="BA233" s="1481"/>
      <c r="BB233" s="1481"/>
      <c r="BC233" s="1481"/>
      <c r="BD233" s="1481"/>
      <c r="BE233" s="1481"/>
      <c r="BF233" s="1481"/>
      <c r="BG233" s="1481"/>
      <c r="BH233" s="1481"/>
      <c r="BI233" s="1481"/>
      <c r="BJ233" s="1481"/>
      <c r="BK233" s="1481"/>
      <c r="BL233" s="1481"/>
      <c r="BM233" s="1481"/>
      <c r="BN233" s="1481"/>
      <c r="BO233" s="1481"/>
      <c r="BP233" s="1481"/>
      <c r="BQ233" s="1481"/>
      <c r="BR233" s="1481"/>
      <c r="BS233" s="1481"/>
      <c r="BT233" s="1481"/>
      <c r="BU233" s="1481"/>
      <c r="BV233" s="1023"/>
      <c r="BW233" s="1023"/>
      <c r="BX233" s="1023"/>
      <c r="BY233" s="1023"/>
      <c r="BZ233" s="1023"/>
      <c r="CA233" s="1023"/>
      <c r="CB233" s="1023"/>
      <c r="CC233" s="1023"/>
      <c r="CD233" s="1023"/>
      <c r="CE233" s="1023"/>
    </row>
    <row r="234" spans="1:83" ht="11.25" hidden="1" customHeight="1">
      <c r="A234" s="1636"/>
      <c r="B234" s="1481"/>
      <c r="C234" s="1481"/>
      <c r="D234" s="3622"/>
      <c r="E234" s="527"/>
      <c r="F234" s="527">
        <v>0</v>
      </c>
      <c r="G234" s="527"/>
      <c r="H234" s="527"/>
      <c r="I234" s="527"/>
      <c r="J234" s="527"/>
      <c r="K234" s="527"/>
      <c r="L234" s="527"/>
      <c r="M234" s="527"/>
      <c r="N234" s="527"/>
      <c r="O234" s="527"/>
      <c r="P234" s="527"/>
      <c r="Q234" s="527"/>
      <c r="R234" s="527"/>
      <c r="S234" s="528"/>
      <c r="T234" s="608"/>
      <c r="U234" s="3532"/>
      <c r="V234" s="3532"/>
      <c r="W234" s="1481"/>
      <c r="X234" s="1481"/>
      <c r="Y234" s="1481"/>
      <c r="Z234" s="1481"/>
      <c r="AA234" s="1481"/>
      <c r="AB234" s="1023"/>
      <c r="AC234" s="3617"/>
      <c r="AD234" s="521"/>
      <c r="AE234" s="1023"/>
      <c r="AF234" s="1023"/>
      <c r="AG234" s="1481"/>
      <c r="AH234" s="1481"/>
      <c r="AI234" s="1481"/>
      <c r="AJ234" s="1481"/>
      <c r="AK234" s="1481"/>
      <c r="AL234" s="1481"/>
      <c r="AM234" s="1481"/>
      <c r="AN234" s="1481"/>
      <c r="AO234" s="1481"/>
      <c r="AP234" s="1481"/>
      <c r="AQ234" s="1481"/>
      <c r="AR234" s="1481"/>
      <c r="AS234" s="1481"/>
      <c r="AT234" s="1481"/>
      <c r="AU234" s="1481"/>
      <c r="AV234" s="1481"/>
      <c r="AW234" s="1481"/>
      <c r="AX234" s="1481"/>
      <c r="AY234" s="1481"/>
      <c r="AZ234" s="1481"/>
      <c r="BA234" s="1481"/>
      <c r="BB234" s="1481"/>
      <c r="BC234" s="1481"/>
      <c r="BD234" s="1481"/>
      <c r="BE234" s="1481"/>
      <c r="BF234" s="1481"/>
      <c r="BG234" s="1481"/>
      <c r="BH234" s="1481"/>
      <c r="BI234" s="1481"/>
      <c r="BJ234" s="1481"/>
      <c r="BK234" s="1481"/>
      <c r="BL234" s="1481"/>
      <c r="BM234" s="1481"/>
      <c r="BN234" s="1481"/>
      <c r="BO234" s="1481"/>
      <c r="BP234" s="1481"/>
      <c r="BQ234" s="1481"/>
      <c r="BR234" s="1481"/>
      <c r="BS234" s="1481"/>
      <c r="BT234" s="1481"/>
      <c r="BU234" s="1481"/>
      <c r="BV234" s="1481"/>
      <c r="BW234" s="1481"/>
      <c r="BX234" s="1481"/>
      <c r="BY234" s="1481"/>
      <c r="BZ234" s="1481"/>
      <c r="CA234" s="1481"/>
      <c r="CB234" s="1481"/>
      <c r="CC234" s="1481"/>
      <c r="CD234" s="1481"/>
      <c r="CE234" s="1481"/>
    </row>
    <row r="235" spans="1:83" ht="11.25" hidden="1" customHeight="1">
      <c r="A235" s="1649"/>
      <c r="B235" s="1023"/>
      <c r="C235" s="319"/>
      <c r="D235" s="3622"/>
      <c r="E235" s="541" t="s">
        <v>18</v>
      </c>
      <c r="F235" s="1031" t="s">
        <v>18</v>
      </c>
      <c r="G235" s="1031" t="s">
        <v>880</v>
      </c>
      <c r="H235" s="543" t="s">
        <v>18</v>
      </c>
      <c r="I235" s="543"/>
      <c r="J235" s="543"/>
      <c r="K235" s="543"/>
      <c r="L235" s="543"/>
      <c r="M235" s="543"/>
      <c r="N235" s="543"/>
      <c r="O235" s="543"/>
      <c r="P235" s="543"/>
      <c r="Q235" s="543"/>
      <c r="R235" s="544"/>
      <c r="S235" s="545"/>
      <c r="T235" s="608"/>
      <c r="U235" s="3532"/>
      <c r="V235" s="3532"/>
      <c r="W235" s="1023"/>
      <c r="X235" s="1023"/>
      <c r="Y235" s="1023"/>
      <c r="Z235" s="1023"/>
      <c r="AA235" s="1481"/>
      <c r="AB235" s="1023"/>
      <c r="AC235" s="3617"/>
      <c r="AD235" s="521"/>
      <c r="AE235" s="1023"/>
      <c r="AF235" s="1023"/>
      <c r="AG235" s="1481"/>
      <c r="AH235" s="1481"/>
      <c r="AI235" s="1481"/>
      <c r="AJ235" s="1481"/>
      <c r="AK235" s="1481"/>
      <c r="AL235" s="1481"/>
      <c r="AM235" s="1481"/>
      <c r="AN235" s="1481"/>
      <c r="AO235" s="1481"/>
      <c r="AP235" s="1481"/>
      <c r="AQ235" s="1481"/>
      <c r="AR235" s="1481"/>
      <c r="AS235" s="1481"/>
      <c r="AT235" s="1481"/>
      <c r="AU235" s="1481"/>
      <c r="AV235" s="1481"/>
      <c r="AW235" s="1481"/>
      <c r="AX235" s="1481"/>
      <c r="AY235" s="1481"/>
      <c r="AZ235" s="1481"/>
      <c r="BA235" s="1481"/>
      <c r="BB235" s="1481"/>
      <c r="BC235" s="1481"/>
      <c r="BD235" s="1481"/>
      <c r="BE235" s="1481"/>
      <c r="BF235" s="1481"/>
      <c r="BG235" s="1481"/>
      <c r="BH235" s="1481"/>
      <c r="BI235" s="1481"/>
      <c r="BJ235" s="1481"/>
      <c r="BK235" s="1481"/>
      <c r="BL235" s="1481"/>
      <c r="BM235" s="1481"/>
      <c r="BN235" s="1481"/>
      <c r="BO235" s="1481"/>
      <c r="BP235" s="1481"/>
      <c r="BQ235" s="1481"/>
      <c r="BR235" s="1481"/>
      <c r="BS235" s="1481"/>
      <c r="BT235" s="1481"/>
      <c r="BU235" s="1481"/>
      <c r="BV235" s="1023"/>
      <c r="BW235" s="1023"/>
      <c r="BX235" s="1023"/>
      <c r="BY235" s="1023"/>
      <c r="BZ235" s="1023"/>
      <c r="CA235" s="1023"/>
      <c r="CB235" s="1023"/>
      <c r="CC235" s="1023"/>
      <c r="CD235" s="1023"/>
      <c r="CE235" s="1023"/>
    </row>
    <row r="236" spans="1:83" ht="5.25" hidden="1" customHeight="1">
      <c r="A236" s="1636"/>
      <c r="B236" s="1481"/>
      <c r="C236" s="1481"/>
      <c r="D236" s="3622"/>
      <c r="E236" s="909"/>
      <c r="F236" s="909"/>
      <c r="G236" s="909"/>
      <c r="H236" s="909"/>
      <c r="I236" s="909"/>
      <c r="J236" s="909"/>
      <c r="K236" s="909"/>
      <c r="L236" s="909"/>
      <c r="M236" s="909"/>
      <c r="N236" s="909"/>
      <c r="O236" s="909"/>
      <c r="P236" s="909"/>
      <c r="Q236" s="910"/>
      <c r="R236" s="911"/>
      <c r="S236" s="912"/>
      <c r="T236" s="607" t="s">
        <v>877</v>
      </c>
      <c r="U236" s="3532">
        <v>1</v>
      </c>
      <c r="V236" s="3532" t="s">
        <v>840</v>
      </c>
      <c r="W236" s="1481"/>
      <c r="X236" s="1481"/>
      <c r="Y236" s="1481"/>
      <c r="Z236" s="1481"/>
      <c r="AA236" s="1481"/>
      <c r="AB236" s="1481"/>
      <c r="AC236" s="907"/>
      <c r="AD236" s="908"/>
      <c r="AE236" s="1481"/>
      <c r="AF236" s="1481"/>
      <c r="AG236" s="1481"/>
      <c r="AH236" s="1481"/>
      <c r="AI236" s="1481"/>
      <c r="AJ236" s="1481"/>
      <c r="AK236" s="1481"/>
      <c r="AL236" s="1481"/>
      <c r="AM236" s="1481"/>
      <c r="AN236" s="1481"/>
      <c r="AO236" s="1481"/>
      <c r="AP236" s="1481"/>
      <c r="AQ236" s="1481"/>
      <c r="AR236" s="1481"/>
      <c r="AS236" s="1481"/>
      <c r="AT236" s="1481"/>
      <c r="AU236" s="1481"/>
      <c r="AV236" s="1481"/>
      <c r="AW236" s="1481"/>
      <c r="AX236" s="1481"/>
      <c r="AY236" s="1481"/>
      <c r="AZ236" s="1481"/>
      <c r="BA236" s="1481"/>
      <c r="BB236" s="1481"/>
      <c r="BC236" s="1481"/>
      <c r="BD236" s="1481"/>
      <c r="BE236" s="1481"/>
      <c r="BF236" s="1481"/>
      <c r="BG236" s="1481"/>
      <c r="BH236" s="1481"/>
      <c r="BI236" s="1481"/>
      <c r="BJ236" s="1481"/>
      <c r="BK236" s="1481"/>
      <c r="BL236" s="1481"/>
      <c r="BM236" s="1481"/>
      <c r="BN236" s="1481"/>
      <c r="BO236" s="1481"/>
      <c r="BP236" s="1481"/>
      <c r="BQ236" s="1481"/>
      <c r="BR236" s="1481"/>
      <c r="BS236" s="1481"/>
      <c r="BT236" s="1481"/>
      <c r="BU236" s="1481"/>
      <c r="BV236" s="1481"/>
      <c r="BW236" s="1481"/>
      <c r="BX236" s="1481"/>
      <c r="BY236" s="1481"/>
      <c r="BZ236" s="1481"/>
      <c r="CA236" s="1481"/>
      <c r="CB236" s="1481"/>
      <c r="CC236" s="1481"/>
      <c r="CD236" s="1481"/>
      <c r="CE236" s="1481"/>
    </row>
    <row r="237" spans="1:83" ht="5.25" hidden="1" customHeight="1">
      <c r="A237" s="1636"/>
      <c r="B237" s="1481"/>
      <c r="C237" s="1481"/>
      <c r="D237" s="3622"/>
      <c r="E237" s="527"/>
      <c r="F237" s="527"/>
      <c r="G237" s="527"/>
      <c r="H237" s="527"/>
      <c r="I237" s="527"/>
      <c r="J237" s="527"/>
      <c r="K237" s="527"/>
      <c r="L237" s="527"/>
      <c r="M237" s="527"/>
      <c r="N237" s="527"/>
      <c r="O237" s="527"/>
      <c r="P237" s="527"/>
      <c r="Q237" s="527"/>
      <c r="R237" s="527"/>
      <c r="S237" s="528"/>
      <c r="T237" s="608"/>
      <c r="U237" s="3532"/>
      <c r="V237" s="3532"/>
      <c r="W237" s="1481"/>
      <c r="X237" s="1481"/>
      <c r="Y237" s="1481"/>
      <c r="Z237" s="1481"/>
      <c r="AA237" s="1481"/>
      <c r="AB237" s="1481"/>
      <c r="AC237" s="907"/>
      <c r="AD237" s="908"/>
      <c r="AE237" s="1481"/>
      <c r="AF237" s="1481"/>
      <c r="AG237" s="1481"/>
      <c r="AH237" s="1481"/>
      <c r="AI237" s="1481"/>
      <c r="AJ237" s="1481"/>
      <c r="AK237" s="1481"/>
      <c r="AL237" s="1481"/>
      <c r="AM237" s="1481"/>
      <c r="AN237" s="1481"/>
      <c r="AO237" s="1481"/>
      <c r="AP237" s="1481"/>
      <c r="AQ237" s="1481"/>
      <c r="AR237" s="1481"/>
      <c r="AS237" s="1481"/>
      <c r="AT237" s="1481"/>
      <c r="AU237" s="1481"/>
      <c r="AV237" s="1481"/>
      <c r="AW237" s="1481"/>
      <c r="AX237" s="1481"/>
      <c r="AY237" s="1481"/>
      <c r="AZ237" s="1481"/>
      <c r="BA237" s="1481"/>
      <c r="BB237" s="1481"/>
      <c r="BC237" s="1481"/>
      <c r="BD237" s="1481"/>
      <c r="BE237" s="1481"/>
      <c r="BF237" s="1481"/>
      <c r="BG237" s="1481"/>
      <c r="BH237" s="1481"/>
      <c r="BI237" s="1481"/>
      <c r="BJ237" s="1481"/>
      <c r="BK237" s="1481"/>
      <c r="BL237" s="1481"/>
      <c r="BM237" s="1481"/>
      <c r="BN237" s="1481"/>
      <c r="BO237" s="1481"/>
      <c r="BP237" s="1481"/>
      <c r="BQ237" s="1481"/>
      <c r="BR237" s="1481"/>
      <c r="BS237" s="1481"/>
      <c r="BT237" s="1481"/>
      <c r="BU237" s="1481"/>
      <c r="BV237" s="1481"/>
      <c r="BW237" s="1481"/>
      <c r="BX237" s="1481"/>
      <c r="BY237" s="1481"/>
      <c r="BZ237" s="1481"/>
      <c r="CA237" s="1481"/>
      <c r="CB237" s="1481"/>
      <c r="CC237" s="1481"/>
      <c r="CD237" s="1481"/>
      <c r="CE237" s="1481"/>
    </row>
    <row r="238" spans="1:83" ht="5.25" hidden="1" customHeight="1">
      <c r="A238" s="1636"/>
      <c r="B238" s="1481"/>
      <c r="C238" s="1481"/>
      <c r="D238" s="3623"/>
      <c r="E238" s="913"/>
      <c r="F238" s="914"/>
      <c r="G238" s="914"/>
      <c r="H238" s="915"/>
      <c r="I238" s="915"/>
      <c r="J238" s="915"/>
      <c r="K238" s="915"/>
      <c r="L238" s="915"/>
      <c r="M238" s="915"/>
      <c r="N238" s="915"/>
      <c r="O238" s="915"/>
      <c r="P238" s="915"/>
      <c r="Q238" s="915"/>
      <c r="R238" s="818"/>
      <c r="S238" s="916"/>
      <c r="T238" s="608"/>
      <c r="U238" s="3532"/>
      <c r="V238" s="3532"/>
      <c r="W238" s="1481"/>
      <c r="X238" s="1481"/>
      <c r="Y238" s="1481"/>
      <c r="Z238" s="1481"/>
      <c r="AA238" s="1481"/>
      <c r="AB238" s="1481"/>
      <c r="AC238" s="907"/>
      <c r="AD238" s="908"/>
      <c r="AE238" s="1481"/>
      <c r="AF238" s="1481"/>
      <c r="AG238" s="1481"/>
      <c r="AH238" s="1481"/>
      <c r="AI238" s="1481"/>
      <c r="AJ238" s="1481"/>
      <c r="AK238" s="1481"/>
      <c r="AL238" s="1481"/>
      <c r="AM238" s="1481"/>
      <c r="AN238" s="1481"/>
      <c r="AO238" s="1481"/>
      <c r="AP238" s="1481"/>
      <c r="AQ238" s="1481"/>
      <c r="AR238" s="1481"/>
      <c r="AS238" s="1481"/>
      <c r="AT238" s="1481"/>
      <c r="AU238" s="1481"/>
      <c r="AV238" s="1481"/>
      <c r="AW238" s="1481"/>
      <c r="AX238" s="1481"/>
      <c r="AY238" s="1481"/>
      <c r="AZ238" s="1481"/>
      <c r="BA238" s="1481"/>
      <c r="BB238" s="1481"/>
      <c r="BC238" s="1481"/>
      <c r="BD238" s="1481"/>
      <c r="BE238" s="1481"/>
      <c r="BF238" s="1481"/>
      <c r="BG238" s="1481"/>
      <c r="BH238" s="1481"/>
      <c r="BI238" s="1481"/>
      <c r="BJ238" s="1481"/>
      <c r="BK238" s="1481"/>
      <c r="BL238" s="1481"/>
      <c r="BM238" s="1481"/>
      <c r="BN238" s="1481"/>
      <c r="BO238" s="1481"/>
      <c r="BP238" s="1481"/>
      <c r="BQ238" s="1481"/>
      <c r="BR238" s="1481"/>
      <c r="BS238" s="1481"/>
      <c r="BT238" s="1481"/>
      <c r="BU238" s="1481"/>
      <c r="BV238" s="1481"/>
      <c r="BW238" s="1481"/>
      <c r="BX238" s="1481"/>
      <c r="BY238" s="1481"/>
      <c r="BZ238" s="1481"/>
      <c r="CA238" s="1481"/>
      <c r="CB238" s="1481"/>
      <c r="CC238" s="1481"/>
      <c r="CD238" s="1481"/>
      <c r="CE238" s="1481"/>
    </row>
    <row r="239" spans="1:83" ht="15" hidden="1" customHeight="1">
      <c r="A239" s="516" t="s">
        <v>186</v>
      </c>
      <c r="B239"/>
      <c r="C239" t="s">
        <v>18</v>
      </c>
      <c r="D239" s="3621" t="s">
        <v>904</v>
      </c>
      <c r="E239" s="3618" t="s">
        <v>102</v>
      </c>
      <c r="F239" s="3619"/>
      <c r="G239" s="3620"/>
      <c r="H239" s="3614" t="str">
        <f>IF(A239="","",INDEX(DIFFERENTIATION_UNMERGE_VD,MATCH(A239,DIFFERENTIATION_ID_DIFF,0)))</f>
        <v>Производство тепловой энергии. Некомбинированная выработка</v>
      </c>
      <c r="I239" s="3614"/>
      <c r="J239" s="3614"/>
      <c r="K239" s="3614"/>
      <c r="L239" s="3614"/>
      <c r="M239" s="3614"/>
      <c r="N239" s="3614"/>
      <c r="O239" s="3614"/>
      <c r="P239" s="3614"/>
      <c r="Q239" s="3614"/>
      <c r="R239" s="3614"/>
      <c r="S239" s="609"/>
      <c r="T239" s="606"/>
      <c r="U239" s="517"/>
      <c r="V239" s="517"/>
      <c r="W239" s="518"/>
      <c r="X239" s="518"/>
      <c r="Y239" s="518"/>
      <c r="Z239" s="518"/>
      <c r="AA239" s="519"/>
      <c r="AB239" s="520"/>
      <c r="AC239" s="3617"/>
      <c r="AD239" s="521"/>
      <c r="AE239" s="522" t="s">
        <v>18</v>
      </c>
      <c r="AF239" s="522"/>
      <c r="AG239" s="523" t="s">
        <v>874</v>
      </c>
      <c r="AH239" s="524">
        <v>3</v>
      </c>
      <c r="AI239" s="517"/>
      <c r="AJ239" s="517"/>
      <c r="AK239" s="517"/>
      <c r="AL239" s="517"/>
      <c r="AM239" s="517"/>
      <c r="AN239" s="517"/>
      <c r="AO239" s="517"/>
      <c r="AP239" s="517"/>
      <c r="AQ239" s="517"/>
      <c r="AR239" s="517"/>
      <c r="AS239" s="517"/>
      <c r="AT239" s="517"/>
      <c r="AU239" s="517"/>
      <c r="AV239" s="517"/>
      <c r="AW239" s="517"/>
      <c r="AX239" s="517"/>
      <c r="AY239" s="517"/>
      <c r="AZ239" s="517"/>
      <c r="BA239" s="517"/>
      <c r="BB239" s="517"/>
      <c r="BC239" s="517"/>
      <c r="BD239" s="517"/>
      <c r="BE239" s="517"/>
      <c r="BF239" s="517"/>
      <c r="BG239" s="517"/>
      <c r="BH239" s="517"/>
      <c r="BI239" s="517"/>
      <c r="BJ239" s="517"/>
      <c r="BK239" s="517"/>
      <c r="BL239" s="517"/>
      <c r="BM239" s="517"/>
      <c r="BN239" s="517"/>
      <c r="BO239" s="517"/>
      <c r="BP239" s="517"/>
      <c r="BQ239" s="517"/>
      <c r="BR239" s="517"/>
      <c r="BS239" s="517"/>
      <c r="BT239" s="517"/>
      <c r="BU239" s="517"/>
      <c r="BV239" s="518"/>
      <c r="BW239" s="518"/>
      <c r="BX239" s="518"/>
      <c r="BY239" s="518"/>
      <c r="BZ239" s="518"/>
      <c r="CA239" s="518"/>
      <c r="CB239" s="518"/>
      <c r="CC239" s="518"/>
      <c r="CD239" s="518"/>
      <c r="CE239" s="518"/>
    </row>
    <row r="240" spans="1:83" ht="15" hidden="1" customHeight="1">
      <c r="A240" s="516"/>
      <c r="B240"/>
      <c r="C240"/>
      <c r="D240" s="3622"/>
      <c r="E240" s="3618" t="s">
        <v>829</v>
      </c>
      <c r="F240" s="3619"/>
      <c r="G240" s="3620"/>
      <c r="H240" s="3614" t="str">
        <f>IF(A239="","",INDEX(DIFFERENTIATION_UNMERGE_AREA,MATCH(A239,DIFFERENTIATION_ID_DIFF,0)))</f>
        <v>Территория 1</v>
      </c>
      <c r="I240" s="3614"/>
      <c r="J240" s="3614"/>
      <c r="K240" s="3614"/>
      <c r="L240" s="3614"/>
      <c r="M240" s="3614"/>
      <c r="N240" s="3614"/>
      <c r="O240" s="3614"/>
      <c r="P240" s="3614"/>
      <c r="Q240" s="3614"/>
      <c r="R240" s="3614"/>
      <c r="S240" s="609"/>
      <c r="T240" s="606"/>
      <c r="U240" s="517"/>
      <c r="V240" s="517"/>
      <c r="W240" s="518"/>
      <c r="X240" s="518"/>
      <c r="Y240" s="518"/>
      <c r="Z240" s="518"/>
      <c r="AA240" s="519"/>
      <c r="AB240" s="520"/>
      <c r="AC240" s="3617"/>
      <c r="AD240" s="521"/>
      <c r="AE240" s="522"/>
      <c r="AF240" s="522"/>
      <c r="AG240" s="523"/>
      <c r="AH240" s="524"/>
      <c r="AI240" s="517"/>
      <c r="AJ240" s="517"/>
      <c r="AK240" s="517"/>
      <c r="AL240" s="517"/>
      <c r="AM240" s="517"/>
      <c r="AN240" s="517"/>
      <c r="AO240" s="517"/>
      <c r="AP240" s="517"/>
      <c r="AQ240" s="517"/>
      <c r="AR240" s="517"/>
      <c r="AS240" s="517"/>
      <c r="AT240" s="517"/>
      <c r="AU240" s="517"/>
      <c r="AV240" s="517"/>
      <c r="AW240" s="517"/>
      <c r="AX240" s="517"/>
      <c r="AY240" s="517"/>
      <c r="AZ240" s="517"/>
      <c r="BA240" s="517"/>
      <c r="BB240" s="517"/>
      <c r="BC240" s="517"/>
      <c r="BD240" s="517"/>
      <c r="BE240" s="517"/>
      <c r="BF240" s="517"/>
      <c r="BG240" s="517"/>
      <c r="BH240" s="517"/>
      <c r="BI240" s="517"/>
      <c r="BJ240" s="517"/>
      <c r="BK240" s="517"/>
      <c r="BL240" s="517"/>
      <c r="BM240" s="517"/>
      <c r="BN240" s="517"/>
      <c r="BO240" s="517"/>
      <c r="BP240" s="517"/>
      <c r="BQ240" s="517"/>
      <c r="BR240" s="517"/>
      <c r="BS240" s="517"/>
      <c r="BT240" s="517"/>
      <c r="BU240" s="517"/>
      <c r="BV240" s="518"/>
      <c r="BW240" s="518"/>
      <c r="BX240" s="518"/>
      <c r="BY240" s="518"/>
      <c r="BZ240" s="518"/>
      <c r="CA240" s="518"/>
      <c r="CB240" s="518"/>
      <c r="CC240" s="518"/>
      <c r="CD240" s="518"/>
      <c r="CE240" s="518"/>
    </row>
    <row r="241" spans="1:83" ht="15" hidden="1" customHeight="1">
      <c r="A241" s="516"/>
      <c r="B241"/>
      <c r="C241"/>
      <c r="D241" s="3622"/>
      <c r="E241" s="3618" t="s">
        <v>830</v>
      </c>
      <c r="F241" s="3619"/>
      <c r="G241" s="3620"/>
      <c r="H241" s="3614" t="str">
        <f>IF(A239="","",INDEX(DIFFERENTIATION_UNMERGE_SYSTEM,MATCH(A239,DIFFERENTIATION_ID_DIFF,0)))</f>
        <v>Кромская, 7а(909кв)</v>
      </c>
      <c r="I241" s="3614"/>
      <c r="J241" s="3614"/>
      <c r="K241" s="3614"/>
      <c r="L241" s="3614"/>
      <c r="M241" s="3614"/>
      <c r="N241" s="3614"/>
      <c r="O241" s="3614"/>
      <c r="P241" s="3614"/>
      <c r="Q241" s="3614"/>
      <c r="R241" s="3614"/>
      <c r="S241" s="609"/>
      <c r="T241" s="606"/>
      <c r="U241" s="517"/>
      <c r="V241" s="517"/>
      <c r="W241" s="518"/>
      <c r="X241" s="518"/>
      <c r="Y241" s="518"/>
      <c r="Z241" s="518"/>
      <c r="AA241" s="519"/>
      <c r="AB241" s="520"/>
      <c r="AC241" s="3617"/>
      <c r="AD241" s="521"/>
      <c r="AE241" s="522"/>
      <c r="AF241" s="522"/>
      <c r="AG241" s="523"/>
      <c r="AH241" s="524"/>
      <c r="AI241" s="517"/>
      <c r="AJ241" s="517"/>
      <c r="AK241" s="517"/>
      <c r="AL241" s="517"/>
      <c r="AM241" s="517"/>
      <c r="AN241" s="517"/>
      <c r="AO241" s="517"/>
      <c r="AP241" s="517"/>
      <c r="AQ241" s="517"/>
      <c r="AR241" s="517"/>
      <c r="AS241" s="517"/>
      <c r="AT241" s="517"/>
      <c r="AU241" s="517"/>
      <c r="AV241" s="517"/>
      <c r="AW241" s="517"/>
      <c r="AX241" s="517"/>
      <c r="AY241" s="517"/>
      <c r="AZ241" s="517"/>
      <c r="BA241" s="517"/>
      <c r="BB241" s="517"/>
      <c r="BC241" s="517"/>
      <c r="BD241" s="517"/>
      <c r="BE241" s="517"/>
      <c r="BF241" s="517"/>
      <c r="BG241" s="517"/>
      <c r="BH241" s="517"/>
      <c r="BI241" s="517"/>
      <c r="BJ241" s="517"/>
      <c r="BK241" s="517"/>
      <c r="BL241" s="517"/>
      <c r="BM241" s="517"/>
      <c r="BN241" s="517"/>
      <c r="BO241" s="517"/>
      <c r="BP241" s="517"/>
      <c r="BQ241" s="517"/>
      <c r="BR241" s="517"/>
      <c r="BS241" s="517"/>
      <c r="BT241" s="517"/>
      <c r="BU241" s="517"/>
      <c r="BV241" s="518"/>
      <c r="BW241" s="518"/>
      <c r="BX241" s="518"/>
      <c r="BY241" s="518"/>
      <c r="BZ241" s="518"/>
      <c r="CA241" s="518"/>
      <c r="CB241" s="518"/>
      <c r="CC241" s="518"/>
      <c r="CD241" s="518"/>
      <c r="CE241" s="518"/>
    </row>
    <row r="242" spans="1:83" ht="24.75" hidden="1" customHeight="1">
      <c r="A242" s="1649"/>
      <c r="B242" s="1023"/>
      <c r="C242" s="319"/>
      <c r="D242" s="3622"/>
      <c r="E242" s="3616" t="s">
        <v>875</v>
      </c>
      <c r="F242" s="3616"/>
      <c r="G242" s="3616"/>
      <c r="H242" s="3616"/>
      <c r="I242" s="3616"/>
      <c r="J242" s="3616"/>
      <c r="K242" s="3616"/>
      <c r="L242" s="3616"/>
      <c r="M242" s="3616"/>
      <c r="N242" s="3616"/>
      <c r="O242" s="3616"/>
      <c r="P242" s="3616"/>
      <c r="Q242" s="455">
        <f>SUMIF(T243:T244,"i",Q243:Q244)</f>
        <v>0</v>
      </c>
      <c r="R242" s="887"/>
      <c r="S242" s="1641" t="s">
        <v>876</v>
      </c>
      <c r="T242" s="607" t="s">
        <v>877</v>
      </c>
      <c r="U242" s="3532">
        <v>1</v>
      </c>
      <c r="V242" s="3532" t="s">
        <v>840</v>
      </c>
      <c r="W242" s="1023"/>
      <c r="X242" s="1023"/>
      <c r="Y242" s="1023"/>
      <c r="Z242" s="1023"/>
      <c r="AA242" s="1481"/>
      <c r="AB242" s="1023"/>
      <c r="AC242" s="3617"/>
      <c r="AD242" s="521"/>
      <c r="AE242" s="1023"/>
      <c r="AF242" s="1023"/>
      <c r="AG242" s="1481"/>
      <c r="AH242" s="1481"/>
      <c r="AI242" s="1481"/>
      <c r="AJ242" s="1481"/>
      <c r="AK242" s="1481"/>
      <c r="AL242" s="1481"/>
      <c r="AM242" s="1481"/>
      <c r="AN242" s="1481"/>
      <c r="AO242" s="1481"/>
      <c r="AP242" s="1481"/>
      <c r="AQ242" s="1481"/>
      <c r="AR242" s="1481"/>
      <c r="AS242" s="1481"/>
      <c r="AT242" s="1481"/>
      <c r="AU242" s="1481"/>
      <c r="AV242" s="1481"/>
      <c r="AW242" s="1481"/>
      <c r="AX242" s="1481"/>
      <c r="AY242" s="1481"/>
      <c r="AZ242" s="1481"/>
      <c r="BA242" s="1481"/>
      <c r="BB242" s="1481"/>
      <c r="BC242" s="1481"/>
      <c r="BD242" s="1481"/>
      <c r="BE242" s="1481"/>
      <c r="BF242" s="1481"/>
      <c r="BG242" s="1481"/>
      <c r="BH242" s="1481"/>
      <c r="BI242" s="1481"/>
      <c r="BJ242" s="1481"/>
      <c r="BK242" s="1481"/>
      <c r="BL242" s="1481"/>
      <c r="BM242" s="1481"/>
      <c r="BN242" s="1481"/>
      <c r="BO242" s="1481"/>
      <c r="BP242" s="1481"/>
      <c r="BQ242" s="1481"/>
      <c r="BR242" s="1481"/>
      <c r="BS242" s="1481"/>
      <c r="BT242" s="1481"/>
      <c r="BU242" s="1481"/>
      <c r="BV242" s="1023"/>
      <c r="BW242" s="1023"/>
      <c r="BX242" s="1023"/>
      <c r="BY242" s="1023"/>
      <c r="BZ242" s="1023"/>
      <c r="CA242" s="1023"/>
      <c r="CB242" s="1023"/>
      <c r="CC242" s="1023"/>
      <c r="CD242" s="1023"/>
      <c r="CE242" s="1023"/>
    </row>
    <row r="243" spans="1:83" ht="11.25" hidden="1" customHeight="1">
      <c r="A243" s="1636"/>
      <c r="B243" s="1481"/>
      <c r="C243" s="1481"/>
      <c r="D243" s="3622"/>
      <c r="E243" s="527"/>
      <c r="F243" s="527">
        <v>0</v>
      </c>
      <c r="G243" s="527"/>
      <c r="H243" s="527"/>
      <c r="I243" s="527"/>
      <c r="J243" s="527"/>
      <c r="K243" s="527"/>
      <c r="L243" s="527"/>
      <c r="M243" s="527"/>
      <c r="N243" s="527"/>
      <c r="O243" s="527"/>
      <c r="P243" s="527"/>
      <c r="Q243" s="527"/>
      <c r="R243" s="527"/>
      <c r="S243" s="528"/>
      <c r="T243" s="608"/>
      <c r="U243" s="3532"/>
      <c r="V243" s="3532"/>
      <c r="W243" s="1481"/>
      <c r="X243" s="1481"/>
      <c r="Y243" s="1481"/>
      <c r="Z243" s="1481"/>
      <c r="AA243" s="1481"/>
      <c r="AB243" s="1023"/>
      <c r="AC243" s="3617"/>
      <c r="AD243" s="521"/>
      <c r="AE243" s="1023"/>
      <c r="AF243" s="1023"/>
      <c r="AG243" s="1481"/>
      <c r="AH243" s="1481"/>
      <c r="AI243" s="1481"/>
      <c r="AJ243" s="1481"/>
      <c r="AK243" s="1481"/>
      <c r="AL243" s="1481"/>
      <c r="AM243" s="1481"/>
      <c r="AN243" s="1481"/>
      <c r="AO243" s="1481"/>
      <c r="AP243" s="1481"/>
      <c r="AQ243" s="1481"/>
      <c r="AR243" s="1481"/>
      <c r="AS243" s="1481"/>
      <c r="AT243" s="1481"/>
      <c r="AU243" s="1481"/>
      <c r="AV243" s="1481"/>
      <c r="AW243" s="1481"/>
      <c r="AX243" s="1481"/>
      <c r="AY243" s="1481"/>
      <c r="AZ243" s="1481"/>
      <c r="BA243" s="1481"/>
      <c r="BB243" s="1481"/>
      <c r="BC243" s="1481"/>
      <c r="BD243" s="1481"/>
      <c r="BE243" s="1481"/>
      <c r="BF243" s="1481"/>
      <c r="BG243" s="1481"/>
      <c r="BH243" s="1481"/>
      <c r="BI243" s="1481"/>
      <c r="BJ243" s="1481"/>
      <c r="BK243" s="1481"/>
      <c r="BL243" s="1481"/>
      <c r="BM243" s="1481"/>
      <c r="BN243" s="1481"/>
      <c r="BO243" s="1481"/>
      <c r="BP243" s="1481"/>
      <c r="BQ243" s="1481"/>
      <c r="BR243" s="1481"/>
      <c r="BS243" s="1481"/>
      <c r="BT243" s="1481"/>
      <c r="BU243" s="1481"/>
      <c r="BV243" s="1481"/>
      <c r="BW243" s="1481"/>
      <c r="BX243" s="1481"/>
      <c r="BY243" s="1481"/>
      <c r="BZ243" s="1481"/>
      <c r="CA243" s="1481"/>
      <c r="CB243" s="1481"/>
      <c r="CC243" s="1481"/>
      <c r="CD243" s="1481"/>
      <c r="CE243" s="1481"/>
    </row>
    <row r="244" spans="1:83" ht="11.25" hidden="1" customHeight="1">
      <c r="A244" s="1649"/>
      <c r="B244" s="1023"/>
      <c r="C244" s="319"/>
      <c r="D244" s="3622"/>
      <c r="E244" s="541" t="s">
        <v>18</v>
      </c>
      <c r="F244" s="1031" t="s">
        <v>18</v>
      </c>
      <c r="G244" s="1031" t="s">
        <v>880</v>
      </c>
      <c r="H244" s="543" t="s">
        <v>18</v>
      </c>
      <c r="I244" s="543"/>
      <c r="J244" s="543"/>
      <c r="K244" s="543"/>
      <c r="L244" s="543"/>
      <c r="M244" s="543"/>
      <c r="N244" s="543"/>
      <c r="O244" s="543"/>
      <c r="P244" s="543"/>
      <c r="Q244" s="543"/>
      <c r="R244" s="544"/>
      <c r="S244" s="545"/>
      <c r="T244" s="608"/>
      <c r="U244" s="3532"/>
      <c r="V244" s="3532"/>
      <c r="W244" s="1023"/>
      <c r="X244" s="1023"/>
      <c r="Y244" s="1023"/>
      <c r="Z244" s="1023"/>
      <c r="AA244" s="1481"/>
      <c r="AB244" s="1023"/>
      <c r="AC244" s="3617"/>
      <c r="AD244" s="521"/>
      <c r="AE244" s="1023"/>
      <c r="AF244" s="1023"/>
      <c r="AG244" s="1481"/>
      <c r="AH244" s="1481"/>
      <c r="AI244" s="1481"/>
      <c r="AJ244" s="1481"/>
      <c r="AK244" s="1481"/>
      <c r="AL244" s="1481"/>
      <c r="AM244" s="1481"/>
      <c r="AN244" s="1481"/>
      <c r="AO244" s="1481"/>
      <c r="AP244" s="1481"/>
      <c r="AQ244" s="1481"/>
      <c r="AR244" s="1481"/>
      <c r="AS244" s="1481"/>
      <c r="AT244" s="1481"/>
      <c r="AU244" s="1481"/>
      <c r="AV244" s="1481"/>
      <c r="AW244" s="1481"/>
      <c r="AX244" s="1481"/>
      <c r="AY244" s="1481"/>
      <c r="AZ244" s="1481"/>
      <c r="BA244" s="1481"/>
      <c r="BB244" s="1481"/>
      <c r="BC244" s="1481"/>
      <c r="BD244" s="1481"/>
      <c r="BE244" s="1481"/>
      <c r="BF244" s="1481"/>
      <c r="BG244" s="1481"/>
      <c r="BH244" s="1481"/>
      <c r="BI244" s="1481"/>
      <c r="BJ244" s="1481"/>
      <c r="BK244" s="1481"/>
      <c r="BL244" s="1481"/>
      <c r="BM244" s="1481"/>
      <c r="BN244" s="1481"/>
      <c r="BO244" s="1481"/>
      <c r="BP244" s="1481"/>
      <c r="BQ244" s="1481"/>
      <c r="BR244" s="1481"/>
      <c r="BS244" s="1481"/>
      <c r="BT244" s="1481"/>
      <c r="BU244" s="1481"/>
      <c r="BV244" s="1023"/>
      <c r="BW244" s="1023"/>
      <c r="BX244" s="1023"/>
      <c r="BY244" s="1023"/>
      <c r="BZ244" s="1023"/>
      <c r="CA244" s="1023"/>
      <c r="CB244" s="1023"/>
      <c r="CC244" s="1023"/>
      <c r="CD244" s="1023"/>
      <c r="CE244" s="1023"/>
    </row>
    <row r="245" spans="1:83" ht="5.25" hidden="1" customHeight="1">
      <c r="A245" s="1636"/>
      <c r="B245" s="1481"/>
      <c r="C245" s="1481"/>
      <c r="D245" s="3622"/>
      <c r="E245" s="909"/>
      <c r="F245" s="909"/>
      <c r="G245" s="909"/>
      <c r="H245" s="909"/>
      <c r="I245" s="909"/>
      <c r="J245" s="909"/>
      <c r="K245" s="909"/>
      <c r="L245" s="909"/>
      <c r="M245" s="909"/>
      <c r="N245" s="909"/>
      <c r="O245" s="909"/>
      <c r="P245" s="909"/>
      <c r="Q245" s="910"/>
      <c r="R245" s="911"/>
      <c r="S245" s="912"/>
      <c r="T245" s="607" t="s">
        <v>877</v>
      </c>
      <c r="U245" s="3532">
        <v>1</v>
      </c>
      <c r="V245" s="3532" t="s">
        <v>840</v>
      </c>
      <c r="W245" s="1481"/>
      <c r="X245" s="1481"/>
      <c r="Y245" s="1481"/>
      <c r="Z245" s="1481"/>
      <c r="AA245" s="1481"/>
      <c r="AB245" s="1481"/>
      <c r="AC245" s="907"/>
      <c r="AD245" s="908"/>
      <c r="AE245" s="1481"/>
      <c r="AF245" s="1481"/>
      <c r="AG245" s="1481"/>
      <c r="AH245" s="1481"/>
      <c r="AI245" s="1481"/>
      <c r="AJ245" s="1481"/>
      <c r="AK245" s="1481"/>
      <c r="AL245" s="1481"/>
      <c r="AM245" s="1481"/>
      <c r="AN245" s="1481"/>
      <c r="AO245" s="1481"/>
      <c r="AP245" s="1481"/>
      <c r="AQ245" s="1481"/>
      <c r="AR245" s="1481"/>
      <c r="AS245" s="1481"/>
      <c r="AT245" s="1481"/>
      <c r="AU245" s="1481"/>
      <c r="AV245" s="1481"/>
      <c r="AW245" s="1481"/>
      <c r="AX245" s="1481"/>
      <c r="AY245" s="1481"/>
      <c r="AZ245" s="1481"/>
      <c r="BA245" s="1481"/>
      <c r="BB245" s="1481"/>
      <c r="BC245" s="1481"/>
      <c r="BD245" s="1481"/>
      <c r="BE245" s="1481"/>
      <c r="BF245" s="1481"/>
      <c r="BG245" s="1481"/>
      <c r="BH245" s="1481"/>
      <c r="BI245" s="1481"/>
      <c r="BJ245" s="1481"/>
      <c r="BK245" s="1481"/>
      <c r="BL245" s="1481"/>
      <c r="BM245" s="1481"/>
      <c r="BN245" s="1481"/>
      <c r="BO245" s="1481"/>
      <c r="BP245" s="1481"/>
      <c r="BQ245" s="1481"/>
      <c r="BR245" s="1481"/>
      <c r="BS245" s="1481"/>
      <c r="BT245" s="1481"/>
      <c r="BU245" s="1481"/>
      <c r="BV245" s="1481"/>
      <c r="BW245" s="1481"/>
      <c r="BX245" s="1481"/>
      <c r="BY245" s="1481"/>
      <c r="BZ245" s="1481"/>
      <c r="CA245" s="1481"/>
      <c r="CB245" s="1481"/>
      <c r="CC245" s="1481"/>
      <c r="CD245" s="1481"/>
      <c r="CE245" s="1481"/>
    </row>
    <row r="246" spans="1:83" ht="5.25" hidden="1" customHeight="1">
      <c r="A246" s="1636"/>
      <c r="B246" s="1481"/>
      <c r="C246" s="1481"/>
      <c r="D246" s="3622"/>
      <c r="E246" s="527"/>
      <c r="F246" s="527"/>
      <c r="G246" s="527"/>
      <c r="H246" s="527"/>
      <c r="I246" s="527"/>
      <c r="J246" s="527"/>
      <c r="K246" s="527"/>
      <c r="L246" s="527"/>
      <c r="M246" s="527"/>
      <c r="N246" s="527"/>
      <c r="O246" s="527"/>
      <c r="P246" s="527"/>
      <c r="Q246" s="527"/>
      <c r="R246" s="527"/>
      <c r="S246" s="528"/>
      <c r="T246" s="608"/>
      <c r="U246" s="3532"/>
      <c r="V246" s="3532"/>
      <c r="W246" s="1481"/>
      <c r="X246" s="1481"/>
      <c r="Y246" s="1481"/>
      <c r="Z246" s="1481"/>
      <c r="AA246" s="1481"/>
      <c r="AB246" s="1481"/>
      <c r="AC246" s="907"/>
      <c r="AD246" s="908"/>
      <c r="AE246" s="1481"/>
      <c r="AF246" s="1481"/>
      <c r="AG246" s="1481"/>
      <c r="AH246" s="1481"/>
      <c r="AI246" s="1481"/>
      <c r="AJ246" s="1481"/>
      <c r="AK246" s="1481"/>
      <c r="AL246" s="1481"/>
      <c r="AM246" s="1481"/>
      <c r="AN246" s="1481"/>
      <c r="AO246" s="1481"/>
      <c r="AP246" s="1481"/>
      <c r="AQ246" s="1481"/>
      <c r="AR246" s="1481"/>
      <c r="AS246" s="1481"/>
      <c r="AT246" s="1481"/>
      <c r="AU246" s="1481"/>
      <c r="AV246" s="1481"/>
      <c r="AW246" s="1481"/>
      <c r="AX246" s="1481"/>
      <c r="AY246" s="1481"/>
      <c r="AZ246" s="1481"/>
      <c r="BA246" s="1481"/>
      <c r="BB246" s="1481"/>
      <c r="BC246" s="1481"/>
      <c r="BD246" s="1481"/>
      <c r="BE246" s="1481"/>
      <c r="BF246" s="1481"/>
      <c r="BG246" s="1481"/>
      <c r="BH246" s="1481"/>
      <c r="BI246" s="1481"/>
      <c r="BJ246" s="1481"/>
      <c r="BK246" s="1481"/>
      <c r="BL246" s="1481"/>
      <c r="BM246" s="1481"/>
      <c r="BN246" s="1481"/>
      <c r="BO246" s="1481"/>
      <c r="BP246" s="1481"/>
      <c r="BQ246" s="1481"/>
      <c r="BR246" s="1481"/>
      <c r="BS246" s="1481"/>
      <c r="BT246" s="1481"/>
      <c r="BU246" s="1481"/>
      <c r="BV246" s="1481"/>
      <c r="BW246" s="1481"/>
      <c r="BX246" s="1481"/>
      <c r="BY246" s="1481"/>
      <c r="BZ246" s="1481"/>
      <c r="CA246" s="1481"/>
      <c r="CB246" s="1481"/>
      <c r="CC246" s="1481"/>
      <c r="CD246" s="1481"/>
      <c r="CE246" s="1481"/>
    </row>
    <row r="247" spans="1:83" ht="5.25" hidden="1" customHeight="1">
      <c r="A247" s="1636"/>
      <c r="B247" s="1481"/>
      <c r="C247" s="1481"/>
      <c r="D247" s="3623"/>
      <c r="E247" s="913"/>
      <c r="F247" s="914"/>
      <c r="G247" s="914"/>
      <c r="H247" s="915"/>
      <c r="I247" s="915"/>
      <c r="J247" s="915"/>
      <c r="K247" s="915"/>
      <c r="L247" s="915"/>
      <c r="M247" s="915"/>
      <c r="N247" s="915"/>
      <c r="O247" s="915"/>
      <c r="P247" s="915"/>
      <c r="Q247" s="915"/>
      <c r="R247" s="818"/>
      <c r="S247" s="916"/>
      <c r="T247" s="608"/>
      <c r="U247" s="3532"/>
      <c r="V247" s="3532"/>
      <c r="W247" s="1481"/>
      <c r="X247" s="1481"/>
      <c r="Y247" s="1481"/>
      <c r="Z247" s="1481"/>
      <c r="AA247" s="1481"/>
      <c r="AB247" s="1481"/>
      <c r="AC247" s="907"/>
      <c r="AD247" s="908"/>
      <c r="AE247" s="1481"/>
      <c r="AF247" s="1481"/>
      <c r="AG247" s="1481"/>
      <c r="AH247" s="1481"/>
      <c r="AI247" s="1481"/>
      <c r="AJ247" s="1481"/>
      <c r="AK247" s="1481"/>
      <c r="AL247" s="1481"/>
      <c r="AM247" s="1481"/>
      <c r="AN247" s="1481"/>
      <c r="AO247" s="1481"/>
      <c r="AP247" s="1481"/>
      <c r="AQ247" s="1481"/>
      <c r="AR247" s="1481"/>
      <c r="AS247" s="1481"/>
      <c r="AT247" s="1481"/>
      <c r="AU247" s="1481"/>
      <c r="AV247" s="1481"/>
      <c r="AW247" s="1481"/>
      <c r="AX247" s="1481"/>
      <c r="AY247" s="1481"/>
      <c r="AZ247" s="1481"/>
      <c r="BA247" s="1481"/>
      <c r="BB247" s="1481"/>
      <c r="BC247" s="1481"/>
      <c r="BD247" s="1481"/>
      <c r="BE247" s="1481"/>
      <c r="BF247" s="1481"/>
      <c r="BG247" s="1481"/>
      <c r="BH247" s="1481"/>
      <c r="BI247" s="1481"/>
      <c r="BJ247" s="1481"/>
      <c r="BK247" s="1481"/>
      <c r="BL247" s="1481"/>
      <c r="BM247" s="1481"/>
      <c r="BN247" s="1481"/>
      <c r="BO247" s="1481"/>
      <c r="BP247" s="1481"/>
      <c r="BQ247" s="1481"/>
      <c r="BR247" s="1481"/>
      <c r="BS247" s="1481"/>
      <c r="BT247" s="1481"/>
      <c r="BU247" s="1481"/>
      <c r="BV247" s="1481"/>
      <c r="BW247" s="1481"/>
      <c r="BX247" s="1481"/>
      <c r="BY247" s="1481"/>
      <c r="BZ247" s="1481"/>
      <c r="CA247" s="1481"/>
      <c r="CB247" s="1481"/>
      <c r="CC247" s="1481"/>
      <c r="CD247" s="1481"/>
      <c r="CE247" s="1481"/>
    </row>
    <row r="248" spans="1:83" ht="15" hidden="1" customHeight="1">
      <c r="A248" s="516" t="s">
        <v>189</v>
      </c>
      <c r="B248"/>
      <c r="C248" t="s">
        <v>18</v>
      </c>
      <c r="D248" s="3621" t="s">
        <v>905</v>
      </c>
      <c r="E248" s="3618" t="s">
        <v>102</v>
      </c>
      <c r="F248" s="3619"/>
      <c r="G248" s="3620"/>
      <c r="H248" s="3614" t="str">
        <f>IF(A248="","",INDEX(DIFFERENTIATION_UNMERGE_VD,MATCH(A248,DIFFERENTIATION_ID_DIFF,0)))</f>
        <v>Производство тепловой энергии. Некомбинированная выработка</v>
      </c>
      <c r="I248" s="3614"/>
      <c r="J248" s="3614"/>
      <c r="K248" s="3614"/>
      <c r="L248" s="3614"/>
      <c r="M248" s="3614"/>
      <c r="N248" s="3614"/>
      <c r="O248" s="3614"/>
      <c r="P248" s="3614"/>
      <c r="Q248" s="3614"/>
      <c r="R248" s="3614"/>
      <c r="S248" s="609"/>
      <c r="T248" s="606"/>
      <c r="U248" s="517"/>
      <c r="V248" s="517"/>
      <c r="W248" s="518"/>
      <c r="X248" s="518"/>
      <c r="Y248" s="518"/>
      <c r="Z248" s="518"/>
      <c r="AA248" s="519"/>
      <c r="AB248" s="520"/>
      <c r="AC248" s="3617"/>
      <c r="AD248" s="521"/>
      <c r="AE248" s="522" t="s">
        <v>18</v>
      </c>
      <c r="AF248" s="522"/>
      <c r="AG248" s="523" t="s">
        <v>874</v>
      </c>
      <c r="AH248" s="524">
        <v>3</v>
      </c>
      <c r="AI248" s="517"/>
      <c r="AJ248" s="517"/>
      <c r="AK248" s="517"/>
      <c r="AL248" s="517"/>
      <c r="AM248" s="517"/>
      <c r="AN248" s="517"/>
      <c r="AO248" s="517"/>
      <c r="AP248" s="517"/>
      <c r="AQ248" s="517"/>
      <c r="AR248" s="517"/>
      <c r="AS248" s="517"/>
      <c r="AT248" s="517"/>
      <c r="AU248" s="517"/>
      <c r="AV248" s="517"/>
      <c r="AW248" s="517"/>
      <c r="AX248" s="517"/>
      <c r="AY248" s="517"/>
      <c r="AZ248" s="517"/>
      <c r="BA248" s="517"/>
      <c r="BB248" s="517"/>
      <c r="BC248" s="517"/>
      <c r="BD248" s="517"/>
      <c r="BE248" s="517"/>
      <c r="BF248" s="517"/>
      <c r="BG248" s="517"/>
      <c r="BH248" s="517"/>
      <c r="BI248" s="517"/>
      <c r="BJ248" s="517"/>
      <c r="BK248" s="517"/>
      <c r="BL248" s="517"/>
      <c r="BM248" s="517"/>
      <c r="BN248" s="517"/>
      <c r="BO248" s="517"/>
      <c r="BP248" s="517"/>
      <c r="BQ248" s="517"/>
      <c r="BR248" s="517"/>
      <c r="BS248" s="517"/>
      <c r="BT248" s="517"/>
      <c r="BU248" s="517"/>
      <c r="BV248" s="518"/>
      <c r="BW248" s="518"/>
      <c r="BX248" s="518"/>
      <c r="BY248" s="518"/>
      <c r="BZ248" s="518"/>
      <c r="CA248" s="518"/>
      <c r="CB248" s="518"/>
      <c r="CC248" s="518"/>
      <c r="CD248" s="518"/>
      <c r="CE248" s="518"/>
    </row>
    <row r="249" spans="1:83" ht="15" hidden="1" customHeight="1">
      <c r="A249" s="516"/>
      <c r="B249"/>
      <c r="C249"/>
      <c r="D249" s="3622"/>
      <c r="E249" s="3618" t="s">
        <v>829</v>
      </c>
      <c r="F249" s="3619"/>
      <c r="G249" s="3620"/>
      <c r="H249" s="3614" t="str">
        <f>IF(A248="","",INDEX(DIFFERENTIATION_UNMERGE_AREA,MATCH(A248,DIFFERENTIATION_ID_DIFF,0)))</f>
        <v>Территория 1</v>
      </c>
      <c r="I249" s="3614"/>
      <c r="J249" s="3614"/>
      <c r="K249" s="3614"/>
      <c r="L249" s="3614"/>
      <c r="M249" s="3614"/>
      <c r="N249" s="3614"/>
      <c r="O249" s="3614"/>
      <c r="P249" s="3614"/>
      <c r="Q249" s="3614"/>
      <c r="R249" s="3614"/>
      <c r="S249" s="609"/>
      <c r="T249" s="606"/>
      <c r="U249" s="517"/>
      <c r="V249" s="517"/>
      <c r="W249" s="518"/>
      <c r="X249" s="518"/>
      <c r="Y249" s="518"/>
      <c r="Z249" s="518"/>
      <c r="AA249" s="519"/>
      <c r="AB249" s="520"/>
      <c r="AC249" s="3617"/>
      <c r="AD249" s="521"/>
      <c r="AE249" s="522"/>
      <c r="AF249" s="522"/>
      <c r="AG249" s="523"/>
      <c r="AH249" s="524"/>
      <c r="AI249" s="517"/>
      <c r="AJ249" s="517"/>
      <c r="AK249" s="517"/>
      <c r="AL249" s="517"/>
      <c r="AM249" s="517"/>
      <c r="AN249" s="517"/>
      <c r="AO249" s="517"/>
      <c r="AP249" s="517"/>
      <c r="AQ249" s="517"/>
      <c r="AR249" s="517"/>
      <c r="AS249" s="517"/>
      <c r="AT249" s="517"/>
      <c r="AU249" s="517"/>
      <c r="AV249" s="517"/>
      <c r="AW249" s="517"/>
      <c r="AX249" s="517"/>
      <c r="AY249" s="517"/>
      <c r="AZ249" s="517"/>
      <c r="BA249" s="517"/>
      <c r="BB249" s="517"/>
      <c r="BC249" s="517"/>
      <c r="BD249" s="517"/>
      <c r="BE249" s="517"/>
      <c r="BF249" s="517"/>
      <c r="BG249" s="517"/>
      <c r="BH249" s="517"/>
      <c r="BI249" s="517"/>
      <c r="BJ249" s="517"/>
      <c r="BK249" s="517"/>
      <c r="BL249" s="517"/>
      <c r="BM249" s="517"/>
      <c r="BN249" s="517"/>
      <c r="BO249" s="517"/>
      <c r="BP249" s="517"/>
      <c r="BQ249" s="517"/>
      <c r="BR249" s="517"/>
      <c r="BS249" s="517"/>
      <c r="BT249" s="517"/>
      <c r="BU249" s="517"/>
      <c r="BV249" s="518"/>
      <c r="BW249" s="518"/>
      <c r="BX249" s="518"/>
      <c r="BY249" s="518"/>
      <c r="BZ249" s="518"/>
      <c r="CA249" s="518"/>
      <c r="CB249" s="518"/>
      <c r="CC249" s="518"/>
      <c r="CD249" s="518"/>
      <c r="CE249" s="518"/>
    </row>
    <row r="250" spans="1:83" ht="15" hidden="1" customHeight="1">
      <c r="A250" s="516"/>
      <c r="B250"/>
      <c r="C250"/>
      <c r="D250" s="3622"/>
      <c r="E250" s="3618" t="s">
        <v>830</v>
      </c>
      <c r="F250" s="3619"/>
      <c r="G250" s="3620"/>
      <c r="H250" s="3614" t="str">
        <f>IF(A248="","",INDEX(DIFFERENTIATION_UNMERGE_SYSTEM,MATCH(A248,DIFFERENTIATION_ID_DIFF,0)))</f>
        <v>Кромское шоссе, 13а</v>
      </c>
      <c r="I250" s="3614"/>
      <c r="J250" s="3614"/>
      <c r="K250" s="3614"/>
      <c r="L250" s="3614"/>
      <c r="M250" s="3614"/>
      <c r="N250" s="3614"/>
      <c r="O250" s="3614"/>
      <c r="P250" s="3614"/>
      <c r="Q250" s="3614"/>
      <c r="R250" s="3614"/>
      <c r="S250" s="609"/>
      <c r="T250" s="606"/>
      <c r="U250" s="517"/>
      <c r="V250" s="517"/>
      <c r="W250" s="518"/>
      <c r="X250" s="518"/>
      <c r="Y250" s="518"/>
      <c r="Z250" s="518"/>
      <c r="AA250" s="519"/>
      <c r="AB250" s="520"/>
      <c r="AC250" s="3617"/>
      <c r="AD250" s="521"/>
      <c r="AE250" s="522"/>
      <c r="AF250" s="522"/>
      <c r="AG250" s="523"/>
      <c r="AH250" s="524"/>
      <c r="AI250" s="517"/>
      <c r="AJ250" s="517"/>
      <c r="AK250" s="517"/>
      <c r="AL250" s="517"/>
      <c r="AM250" s="517"/>
      <c r="AN250" s="517"/>
      <c r="AO250" s="517"/>
      <c r="AP250" s="517"/>
      <c r="AQ250" s="517"/>
      <c r="AR250" s="517"/>
      <c r="AS250" s="517"/>
      <c r="AT250" s="517"/>
      <c r="AU250" s="517"/>
      <c r="AV250" s="517"/>
      <c r="AW250" s="517"/>
      <c r="AX250" s="517"/>
      <c r="AY250" s="517"/>
      <c r="AZ250" s="517"/>
      <c r="BA250" s="517"/>
      <c r="BB250" s="517"/>
      <c r="BC250" s="517"/>
      <c r="BD250" s="517"/>
      <c r="BE250" s="517"/>
      <c r="BF250" s="517"/>
      <c r="BG250" s="517"/>
      <c r="BH250" s="517"/>
      <c r="BI250" s="517"/>
      <c r="BJ250" s="517"/>
      <c r="BK250" s="517"/>
      <c r="BL250" s="517"/>
      <c r="BM250" s="517"/>
      <c r="BN250" s="517"/>
      <c r="BO250" s="517"/>
      <c r="BP250" s="517"/>
      <c r="BQ250" s="517"/>
      <c r="BR250" s="517"/>
      <c r="BS250" s="517"/>
      <c r="BT250" s="517"/>
      <c r="BU250" s="517"/>
      <c r="BV250" s="518"/>
      <c r="BW250" s="518"/>
      <c r="BX250" s="518"/>
      <c r="BY250" s="518"/>
      <c r="BZ250" s="518"/>
      <c r="CA250" s="518"/>
      <c r="CB250" s="518"/>
      <c r="CC250" s="518"/>
      <c r="CD250" s="518"/>
      <c r="CE250" s="518"/>
    </row>
    <row r="251" spans="1:83" ht="24.75" hidden="1" customHeight="1">
      <c r="A251" s="1649"/>
      <c r="B251" s="1023"/>
      <c r="C251" s="319"/>
      <c r="D251" s="3622"/>
      <c r="E251" s="3616" t="s">
        <v>875</v>
      </c>
      <c r="F251" s="3616"/>
      <c r="G251" s="3616"/>
      <c r="H251" s="3616"/>
      <c r="I251" s="3616"/>
      <c r="J251" s="3616"/>
      <c r="K251" s="3616"/>
      <c r="L251" s="3616"/>
      <c r="M251" s="3616"/>
      <c r="N251" s="3616"/>
      <c r="O251" s="3616"/>
      <c r="P251" s="3616"/>
      <c r="Q251" s="455">
        <f>SUMIF(T252:T253,"i",Q252:Q253)</f>
        <v>0</v>
      </c>
      <c r="R251" s="887"/>
      <c r="S251" s="1641" t="s">
        <v>876</v>
      </c>
      <c r="T251" s="607" t="s">
        <v>877</v>
      </c>
      <c r="U251" s="3532">
        <v>1</v>
      </c>
      <c r="V251" s="3532" t="s">
        <v>840</v>
      </c>
      <c r="W251" s="1023"/>
      <c r="X251" s="1023"/>
      <c r="Y251" s="1023"/>
      <c r="Z251" s="1023"/>
      <c r="AA251" s="1481"/>
      <c r="AB251" s="1023"/>
      <c r="AC251" s="3617"/>
      <c r="AD251" s="521"/>
      <c r="AE251" s="1023"/>
      <c r="AF251" s="1023"/>
      <c r="AG251" s="1481"/>
      <c r="AH251" s="1481"/>
      <c r="AI251" s="1481"/>
      <c r="AJ251" s="1481"/>
      <c r="AK251" s="1481"/>
      <c r="AL251" s="1481"/>
      <c r="AM251" s="1481"/>
      <c r="AN251" s="1481"/>
      <c r="AO251" s="1481"/>
      <c r="AP251" s="1481"/>
      <c r="AQ251" s="1481"/>
      <c r="AR251" s="1481"/>
      <c r="AS251" s="1481"/>
      <c r="AT251" s="1481"/>
      <c r="AU251" s="1481"/>
      <c r="AV251" s="1481"/>
      <c r="AW251" s="1481"/>
      <c r="AX251" s="1481"/>
      <c r="AY251" s="1481"/>
      <c r="AZ251" s="1481"/>
      <c r="BA251" s="1481"/>
      <c r="BB251" s="1481"/>
      <c r="BC251" s="1481"/>
      <c r="BD251" s="1481"/>
      <c r="BE251" s="1481"/>
      <c r="BF251" s="1481"/>
      <c r="BG251" s="1481"/>
      <c r="BH251" s="1481"/>
      <c r="BI251" s="1481"/>
      <c r="BJ251" s="1481"/>
      <c r="BK251" s="1481"/>
      <c r="BL251" s="1481"/>
      <c r="BM251" s="1481"/>
      <c r="BN251" s="1481"/>
      <c r="BO251" s="1481"/>
      <c r="BP251" s="1481"/>
      <c r="BQ251" s="1481"/>
      <c r="BR251" s="1481"/>
      <c r="BS251" s="1481"/>
      <c r="BT251" s="1481"/>
      <c r="BU251" s="1481"/>
      <c r="BV251" s="1023"/>
      <c r="BW251" s="1023"/>
      <c r="BX251" s="1023"/>
      <c r="BY251" s="1023"/>
      <c r="BZ251" s="1023"/>
      <c r="CA251" s="1023"/>
      <c r="CB251" s="1023"/>
      <c r="CC251" s="1023"/>
      <c r="CD251" s="1023"/>
      <c r="CE251" s="1023"/>
    </row>
    <row r="252" spans="1:83" ht="11.25" hidden="1" customHeight="1">
      <c r="A252" s="1636"/>
      <c r="B252" s="1481"/>
      <c r="C252" s="1481"/>
      <c r="D252" s="3622"/>
      <c r="E252" s="527"/>
      <c r="F252" s="527">
        <v>0</v>
      </c>
      <c r="G252" s="527"/>
      <c r="H252" s="527"/>
      <c r="I252" s="527"/>
      <c r="J252" s="527"/>
      <c r="K252" s="527"/>
      <c r="L252" s="527"/>
      <c r="M252" s="527"/>
      <c r="N252" s="527"/>
      <c r="O252" s="527"/>
      <c r="P252" s="527"/>
      <c r="Q252" s="527"/>
      <c r="R252" s="527"/>
      <c r="S252" s="528"/>
      <c r="T252" s="608"/>
      <c r="U252" s="3532"/>
      <c r="V252" s="3532"/>
      <c r="W252" s="1481"/>
      <c r="X252" s="1481"/>
      <c r="Y252" s="1481"/>
      <c r="Z252" s="1481"/>
      <c r="AA252" s="1481"/>
      <c r="AB252" s="1023"/>
      <c r="AC252" s="3617"/>
      <c r="AD252" s="521"/>
      <c r="AE252" s="1023"/>
      <c r="AF252" s="1023"/>
      <c r="AG252" s="1481"/>
      <c r="AH252" s="1481"/>
      <c r="AI252" s="1481"/>
      <c r="AJ252" s="1481"/>
      <c r="AK252" s="1481"/>
      <c r="AL252" s="1481"/>
      <c r="AM252" s="1481"/>
      <c r="AN252" s="1481"/>
      <c r="AO252" s="1481"/>
      <c r="AP252" s="1481"/>
      <c r="AQ252" s="1481"/>
      <c r="AR252" s="1481"/>
      <c r="AS252" s="1481"/>
      <c r="AT252" s="1481"/>
      <c r="AU252" s="1481"/>
      <c r="AV252" s="1481"/>
      <c r="AW252" s="1481"/>
      <c r="AX252" s="1481"/>
      <c r="AY252" s="1481"/>
      <c r="AZ252" s="1481"/>
      <c r="BA252" s="1481"/>
      <c r="BB252" s="1481"/>
      <c r="BC252" s="1481"/>
      <c r="BD252" s="1481"/>
      <c r="BE252" s="1481"/>
      <c r="BF252" s="1481"/>
      <c r="BG252" s="1481"/>
      <c r="BH252" s="1481"/>
      <c r="BI252" s="1481"/>
      <c r="BJ252" s="1481"/>
      <c r="BK252" s="1481"/>
      <c r="BL252" s="1481"/>
      <c r="BM252" s="1481"/>
      <c r="BN252" s="1481"/>
      <c r="BO252" s="1481"/>
      <c r="BP252" s="1481"/>
      <c r="BQ252" s="1481"/>
      <c r="BR252" s="1481"/>
      <c r="BS252" s="1481"/>
      <c r="BT252" s="1481"/>
      <c r="BU252" s="1481"/>
      <c r="BV252" s="1481"/>
      <c r="BW252" s="1481"/>
      <c r="BX252" s="1481"/>
      <c r="BY252" s="1481"/>
      <c r="BZ252" s="1481"/>
      <c r="CA252" s="1481"/>
      <c r="CB252" s="1481"/>
      <c r="CC252" s="1481"/>
      <c r="CD252" s="1481"/>
      <c r="CE252" s="1481"/>
    </row>
    <row r="253" spans="1:83" ht="11.25" hidden="1" customHeight="1">
      <c r="A253" s="1649"/>
      <c r="B253" s="1023"/>
      <c r="C253" s="319"/>
      <c r="D253" s="3622"/>
      <c r="E253" s="541" t="s">
        <v>18</v>
      </c>
      <c r="F253" s="1031" t="s">
        <v>18</v>
      </c>
      <c r="G253" s="1031" t="s">
        <v>880</v>
      </c>
      <c r="H253" s="543" t="s">
        <v>18</v>
      </c>
      <c r="I253" s="543"/>
      <c r="J253" s="543"/>
      <c r="K253" s="543"/>
      <c r="L253" s="543"/>
      <c r="M253" s="543"/>
      <c r="N253" s="543"/>
      <c r="O253" s="543"/>
      <c r="P253" s="543"/>
      <c r="Q253" s="543"/>
      <c r="R253" s="544"/>
      <c r="S253" s="545"/>
      <c r="T253" s="608"/>
      <c r="U253" s="3532"/>
      <c r="V253" s="3532"/>
      <c r="W253" s="1023"/>
      <c r="X253" s="1023"/>
      <c r="Y253" s="1023"/>
      <c r="Z253" s="1023"/>
      <c r="AA253" s="1481"/>
      <c r="AB253" s="1023"/>
      <c r="AC253" s="3617"/>
      <c r="AD253" s="521"/>
      <c r="AE253" s="1023"/>
      <c r="AF253" s="1023"/>
      <c r="AG253" s="1481"/>
      <c r="AH253" s="1481"/>
      <c r="AI253" s="1481"/>
      <c r="AJ253" s="1481"/>
      <c r="AK253" s="1481"/>
      <c r="AL253" s="1481"/>
      <c r="AM253" s="1481"/>
      <c r="AN253" s="1481"/>
      <c r="AO253" s="1481"/>
      <c r="AP253" s="1481"/>
      <c r="AQ253" s="1481"/>
      <c r="AR253" s="1481"/>
      <c r="AS253" s="1481"/>
      <c r="AT253" s="1481"/>
      <c r="AU253" s="1481"/>
      <c r="AV253" s="1481"/>
      <c r="AW253" s="1481"/>
      <c r="AX253" s="1481"/>
      <c r="AY253" s="1481"/>
      <c r="AZ253" s="1481"/>
      <c r="BA253" s="1481"/>
      <c r="BB253" s="1481"/>
      <c r="BC253" s="1481"/>
      <c r="BD253" s="1481"/>
      <c r="BE253" s="1481"/>
      <c r="BF253" s="1481"/>
      <c r="BG253" s="1481"/>
      <c r="BH253" s="1481"/>
      <c r="BI253" s="1481"/>
      <c r="BJ253" s="1481"/>
      <c r="BK253" s="1481"/>
      <c r="BL253" s="1481"/>
      <c r="BM253" s="1481"/>
      <c r="BN253" s="1481"/>
      <c r="BO253" s="1481"/>
      <c r="BP253" s="1481"/>
      <c r="BQ253" s="1481"/>
      <c r="BR253" s="1481"/>
      <c r="BS253" s="1481"/>
      <c r="BT253" s="1481"/>
      <c r="BU253" s="1481"/>
      <c r="BV253" s="1023"/>
      <c r="BW253" s="1023"/>
      <c r="BX253" s="1023"/>
      <c r="BY253" s="1023"/>
      <c r="BZ253" s="1023"/>
      <c r="CA253" s="1023"/>
      <c r="CB253" s="1023"/>
      <c r="CC253" s="1023"/>
      <c r="CD253" s="1023"/>
      <c r="CE253" s="1023"/>
    </row>
    <row r="254" spans="1:83" ht="5.25" hidden="1" customHeight="1">
      <c r="A254" s="1636"/>
      <c r="B254" s="1481"/>
      <c r="C254" s="1481"/>
      <c r="D254" s="3622"/>
      <c r="E254" s="909"/>
      <c r="F254" s="909"/>
      <c r="G254" s="909"/>
      <c r="H254" s="909"/>
      <c r="I254" s="909"/>
      <c r="J254" s="909"/>
      <c r="K254" s="909"/>
      <c r="L254" s="909"/>
      <c r="M254" s="909"/>
      <c r="N254" s="909"/>
      <c r="O254" s="909"/>
      <c r="P254" s="909"/>
      <c r="Q254" s="910"/>
      <c r="R254" s="911"/>
      <c r="S254" s="912"/>
      <c r="T254" s="607" t="s">
        <v>877</v>
      </c>
      <c r="U254" s="3532">
        <v>1</v>
      </c>
      <c r="V254" s="3532" t="s">
        <v>840</v>
      </c>
      <c r="W254" s="1481"/>
      <c r="X254" s="1481"/>
      <c r="Y254" s="1481"/>
      <c r="Z254" s="1481"/>
      <c r="AA254" s="1481"/>
      <c r="AB254" s="1481"/>
      <c r="AC254" s="907"/>
      <c r="AD254" s="908"/>
      <c r="AE254" s="1481"/>
      <c r="AF254" s="1481"/>
      <c r="AG254" s="1481"/>
      <c r="AH254" s="1481"/>
      <c r="AI254" s="1481"/>
      <c r="AJ254" s="1481"/>
      <c r="AK254" s="1481"/>
      <c r="AL254" s="1481"/>
      <c r="AM254" s="1481"/>
      <c r="AN254" s="1481"/>
      <c r="AO254" s="1481"/>
      <c r="AP254" s="1481"/>
      <c r="AQ254" s="1481"/>
      <c r="AR254" s="1481"/>
      <c r="AS254" s="1481"/>
      <c r="AT254" s="1481"/>
      <c r="AU254" s="1481"/>
      <c r="AV254" s="1481"/>
      <c r="AW254" s="1481"/>
      <c r="AX254" s="1481"/>
      <c r="AY254" s="1481"/>
      <c r="AZ254" s="1481"/>
      <c r="BA254" s="1481"/>
      <c r="BB254" s="1481"/>
      <c r="BC254" s="1481"/>
      <c r="BD254" s="1481"/>
      <c r="BE254" s="1481"/>
      <c r="BF254" s="1481"/>
      <c r="BG254" s="1481"/>
      <c r="BH254" s="1481"/>
      <c r="BI254" s="1481"/>
      <c r="BJ254" s="1481"/>
      <c r="BK254" s="1481"/>
      <c r="BL254" s="1481"/>
      <c r="BM254" s="1481"/>
      <c r="BN254" s="1481"/>
      <c r="BO254" s="1481"/>
      <c r="BP254" s="1481"/>
      <c r="BQ254" s="1481"/>
      <c r="BR254" s="1481"/>
      <c r="BS254" s="1481"/>
      <c r="BT254" s="1481"/>
      <c r="BU254" s="1481"/>
      <c r="BV254" s="1481"/>
      <c r="BW254" s="1481"/>
      <c r="BX254" s="1481"/>
      <c r="BY254" s="1481"/>
      <c r="BZ254" s="1481"/>
      <c r="CA254" s="1481"/>
      <c r="CB254" s="1481"/>
      <c r="CC254" s="1481"/>
      <c r="CD254" s="1481"/>
      <c r="CE254" s="1481"/>
    </row>
    <row r="255" spans="1:83" ht="5.25" hidden="1" customHeight="1">
      <c r="A255" s="1636"/>
      <c r="B255" s="1481"/>
      <c r="C255" s="1481"/>
      <c r="D255" s="3622"/>
      <c r="E255" s="527"/>
      <c r="F255" s="527"/>
      <c r="G255" s="527"/>
      <c r="H255" s="527"/>
      <c r="I255" s="527"/>
      <c r="J255" s="527"/>
      <c r="K255" s="527"/>
      <c r="L255" s="527"/>
      <c r="M255" s="527"/>
      <c r="N255" s="527"/>
      <c r="O255" s="527"/>
      <c r="P255" s="527"/>
      <c r="Q255" s="527"/>
      <c r="R255" s="527"/>
      <c r="S255" s="528"/>
      <c r="T255" s="608"/>
      <c r="U255" s="3532"/>
      <c r="V255" s="3532"/>
      <c r="W255" s="1481"/>
      <c r="X255" s="1481"/>
      <c r="Y255" s="1481"/>
      <c r="Z255" s="1481"/>
      <c r="AA255" s="1481"/>
      <c r="AB255" s="1481"/>
      <c r="AC255" s="907"/>
      <c r="AD255" s="908"/>
      <c r="AE255" s="1481"/>
      <c r="AF255" s="1481"/>
      <c r="AG255" s="1481"/>
      <c r="AH255" s="1481"/>
      <c r="AI255" s="1481"/>
      <c r="AJ255" s="1481"/>
      <c r="AK255" s="1481"/>
      <c r="AL255" s="1481"/>
      <c r="AM255" s="1481"/>
      <c r="AN255" s="1481"/>
      <c r="AO255" s="1481"/>
      <c r="AP255" s="1481"/>
      <c r="AQ255" s="1481"/>
      <c r="AR255" s="1481"/>
      <c r="AS255" s="1481"/>
      <c r="AT255" s="1481"/>
      <c r="AU255" s="1481"/>
      <c r="AV255" s="1481"/>
      <c r="AW255" s="1481"/>
      <c r="AX255" s="1481"/>
      <c r="AY255" s="1481"/>
      <c r="AZ255" s="1481"/>
      <c r="BA255" s="1481"/>
      <c r="BB255" s="1481"/>
      <c r="BC255" s="1481"/>
      <c r="BD255" s="1481"/>
      <c r="BE255" s="1481"/>
      <c r="BF255" s="1481"/>
      <c r="BG255" s="1481"/>
      <c r="BH255" s="1481"/>
      <c r="BI255" s="1481"/>
      <c r="BJ255" s="1481"/>
      <c r="BK255" s="1481"/>
      <c r="BL255" s="1481"/>
      <c r="BM255" s="1481"/>
      <c r="BN255" s="1481"/>
      <c r="BO255" s="1481"/>
      <c r="BP255" s="1481"/>
      <c r="BQ255" s="1481"/>
      <c r="BR255" s="1481"/>
      <c r="BS255" s="1481"/>
      <c r="BT255" s="1481"/>
      <c r="BU255" s="1481"/>
      <c r="BV255" s="1481"/>
      <c r="BW255" s="1481"/>
      <c r="BX255" s="1481"/>
      <c r="BY255" s="1481"/>
      <c r="BZ255" s="1481"/>
      <c r="CA255" s="1481"/>
      <c r="CB255" s="1481"/>
      <c r="CC255" s="1481"/>
      <c r="CD255" s="1481"/>
      <c r="CE255" s="1481"/>
    </row>
    <row r="256" spans="1:83" ht="5.25" hidden="1" customHeight="1">
      <c r="A256" s="1636"/>
      <c r="B256" s="1481"/>
      <c r="C256" s="1481"/>
      <c r="D256" s="3623"/>
      <c r="E256" s="913"/>
      <c r="F256" s="914"/>
      <c r="G256" s="914"/>
      <c r="H256" s="915"/>
      <c r="I256" s="915"/>
      <c r="J256" s="915"/>
      <c r="K256" s="915"/>
      <c r="L256" s="915"/>
      <c r="M256" s="915"/>
      <c r="N256" s="915"/>
      <c r="O256" s="915"/>
      <c r="P256" s="915"/>
      <c r="Q256" s="915"/>
      <c r="R256" s="818"/>
      <c r="S256" s="916"/>
      <c r="T256" s="608"/>
      <c r="U256" s="3532"/>
      <c r="V256" s="3532"/>
      <c r="W256" s="1481"/>
      <c r="X256" s="1481"/>
      <c r="Y256" s="1481"/>
      <c r="Z256" s="1481"/>
      <c r="AA256" s="1481"/>
      <c r="AB256" s="1481"/>
      <c r="AC256" s="907"/>
      <c r="AD256" s="908"/>
      <c r="AE256" s="1481"/>
      <c r="AF256" s="1481"/>
      <c r="AG256" s="1481"/>
      <c r="AH256" s="1481"/>
      <c r="AI256" s="1481"/>
      <c r="AJ256" s="1481"/>
      <c r="AK256" s="1481"/>
      <c r="AL256" s="1481"/>
      <c r="AM256" s="1481"/>
      <c r="AN256" s="1481"/>
      <c r="AO256" s="1481"/>
      <c r="AP256" s="1481"/>
      <c r="AQ256" s="1481"/>
      <c r="AR256" s="1481"/>
      <c r="AS256" s="1481"/>
      <c r="AT256" s="1481"/>
      <c r="AU256" s="1481"/>
      <c r="AV256" s="1481"/>
      <c r="AW256" s="1481"/>
      <c r="AX256" s="1481"/>
      <c r="AY256" s="1481"/>
      <c r="AZ256" s="1481"/>
      <c r="BA256" s="1481"/>
      <c r="BB256" s="1481"/>
      <c r="BC256" s="1481"/>
      <c r="BD256" s="1481"/>
      <c r="BE256" s="1481"/>
      <c r="BF256" s="1481"/>
      <c r="BG256" s="1481"/>
      <c r="BH256" s="1481"/>
      <c r="BI256" s="1481"/>
      <c r="BJ256" s="1481"/>
      <c r="BK256" s="1481"/>
      <c r="BL256" s="1481"/>
      <c r="BM256" s="1481"/>
      <c r="BN256" s="1481"/>
      <c r="BO256" s="1481"/>
      <c r="BP256" s="1481"/>
      <c r="BQ256" s="1481"/>
      <c r="BR256" s="1481"/>
      <c r="BS256" s="1481"/>
      <c r="BT256" s="1481"/>
      <c r="BU256" s="1481"/>
      <c r="BV256" s="1481"/>
      <c r="BW256" s="1481"/>
      <c r="BX256" s="1481"/>
      <c r="BY256" s="1481"/>
      <c r="BZ256" s="1481"/>
      <c r="CA256" s="1481"/>
      <c r="CB256" s="1481"/>
      <c r="CC256" s="1481"/>
      <c r="CD256" s="1481"/>
      <c r="CE256" s="1481"/>
    </row>
    <row r="257" spans="1:83" ht="15" hidden="1" customHeight="1">
      <c r="A257" s="516" t="s">
        <v>192</v>
      </c>
      <c r="B257"/>
      <c r="C257" t="s">
        <v>18</v>
      </c>
      <c r="D257" s="3621" t="s">
        <v>906</v>
      </c>
      <c r="E257" s="3618" t="s">
        <v>102</v>
      </c>
      <c r="F257" s="3619"/>
      <c r="G257" s="3620"/>
      <c r="H257" s="3614" t="str">
        <f>IF(A257="","",INDEX(DIFFERENTIATION_UNMERGE_VD,MATCH(A257,DIFFERENTIATION_ID_DIFF,0)))</f>
        <v>Производство тепловой энергии. Некомбинированная выработка</v>
      </c>
      <c r="I257" s="3614"/>
      <c r="J257" s="3614"/>
      <c r="K257" s="3614"/>
      <c r="L257" s="3614"/>
      <c r="M257" s="3614"/>
      <c r="N257" s="3614"/>
      <c r="O257" s="3614"/>
      <c r="P257" s="3614"/>
      <c r="Q257" s="3614"/>
      <c r="R257" s="3614"/>
      <c r="S257" s="609"/>
      <c r="T257" s="606"/>
      <c r="U257" s="517"/>
      <c r="V257" s="517"/>
      <c r="W257" s="518"/>
      <c r="X257" s="518"/>
      <c r="Y257" s="518"/>
      <c r="Z257" s="518"/>
      <c r="AA257" s="519"/>
      <c r="AB257" s="520"/>
      <c r="AC257" s="3617"/>
      <c r="AD257" s="521"/>
      <c r="AE257" s="522" t="s">
        <v>18</v>
      </c>
      <c r="AF257" s="522"/>
      <c r="AG257" s="523" t="s">
        <v>874</v>
      </c>
      <c r="AH257" s="524">
        <v>3</v>
      </c>
      <c r="AI257" s="517"/>
      <c r="AJ257" s="517"/>
      <c r="AK257" s="517"/>
      <c r="AL257" s="517"/>
      <c r="AM257" s="517"/>
      <c r="AN257" s="517"/>
      <c r="AO257" s="517"/>
      <c r="AP257" s="517"/>
      <c r="AQ257" s="517"/>
      <c r="AR257" s="517"/>
      <c r="AS257" s="517"/>
      <c r="AT257" s="517"/>
      <c r="AU257" s="517"/>
      <c r="AV257" s="517"/>
      <c r="AW257" s="517"/>
      <c r="AX257" s="517"/>
      <c r="AY257" s="517"/>
      <c r="AZ257" s="517"/>
      <c r="BA257" s="517"/>
      <c r="BB257" s="517"/>
      <c r="BC257" s="517"/>
      <c r="BD257" s="517"/>
      <c r="BE257" s="517"/>
      <c r="BF257" s="517"/>
      <c r="BG257" s="517"/>
      <c r="BH257" s="517"/>
      <c r="BI257" s="517"/>
      <c r="BJ257" s="517"/>
      <c r="BK257" s="517"/>
      <c r="BL257" s="517"/>
      <c r="BM257" s="517"/>
      <c r="BN257" s="517"/>
      <c r="BO257" s="517"/>
      <c r="BP257" s="517"/>
      <c r="BQ257" s="517"/>
      <c r="BR257" s="517"/>
      <c r="BS257" s="517"/>
      <c r="BT257" s="517"/>
      <c r="BU257" s="517"/>
      <c r="BV257" s="518"/>
      <c r="BW257" s="518"/>
      <c r="BX257" s="518"/>
      <c r="BY257" s="518"/>
      <c r="BZ257" s="518"/>
      <c r="CA257" s="518"/>
      <c r="CB257" s="518"/>
      <c r="CC257" s="518"/>
      <c r="CD257" s="518"/>
      <c r="CE257" s="518"/>
    </row>
    <row r="258" spans="1:83" ht="15" hidden="1" customHeight="1">
      <c r="A258" s="516"/>
      <c r="B258"/>
      <c r="C258"/>
      <c r="D258" s="3622"/>
      <c r="E258" s="3618" t="s">
        <v>829</v>
      </c>
      <c r="F258" s="3619"/>
      <c r="G258" s="3620"/>
      <c r="H258" s="3614" t="str">
        <f>IF(A257="","",INDEX(DIFFERENTIATION_UNMERGE_AREA,MATCH(A257,DIFFERENTIATION_ID_DIFF,0)))</f>
        <v>Территория 1</v>
      </c>
      <c r="I258" s="3614"/>
      <c r="J258" s="3614"/>
      <c r="K258" s="3614"/>
      <c r="L258" s="3614"/>
      <c r="M258" s="3614"/>
      <c r="N258" s="3614"/>
      <c r="O258" s="3614"/>
      <c r="P258" s="3614"/>
      <c r="Q258" s="3614"/>
      <c r="R258" s="3614"/>
      <c r="S258" s="609"/>
      <c r="T258" s="606"/>
      <c r="U258" s="517"/>
      <c r="V258" s="517"/>
      <c r="W258" s="518"/>
      <c r="X258" s="518"/>
      <c r="Y258" s="518"/>
      <c r="Z258" s="518"/>
      <c r="AA258" s="519"/>
      <c r="AB258" s="520"/>
      <c r="AC258" s="3617"/>
      <c r="AD258" s="521"/>
      <c r="AE258" s="522"/>
      <c r="AF258" s="522"/>
      <c r="AG258" s="523"/>
      <c r="AH258" s="524"/>
      <c r="AI258" s="517"/>
      <c r="AJ258" s="517"/>
      <c r="AK258" s="517"/>
      <c r="AL258" s="517"/>
      <c r="AM258" s="517"/>
      <c r="AN258" s="517"/>
      <c r="AO258" s="517"/>
      <c r="AP258" s="517"/>
      <c r="AQ258" s="517"/>
      <c r="AR258" s="517"/>
      <c r="AS258" s="517"/>
      <c r="AT258" s="517"/>
      <c r="AU258" s="517"/>
      <c r="AV258" s="517"/>
      <c r="AW258" s="517"/>
      <c r="AX258" s="517"/>
      <c r="AY258" s="517"/>
      <c r="AZ258" s="517"/>
      <c r="BA258" s="517"/>
      <c r="BB258" s="517"/>
      <c r="BC258" s="517"/>
      <c r="BD258" s="517"/>
      <c r="BE258" s="517"/>
      <c r="BF258" s="517"/>
      <c r="BG258" s="517"/>
      <c r="BH258" s="517"/>
      <c r="BI258" s="517"/>
      <c r="BJ258" s="517"/>
      <c r="BK258" s="517"/>
      <c r="BL258" s="517"/>
      <c r="BM258" s="517"/>
      <c r="BN258" s="517"/>
      <c r="BO258" s="517"/>
      <c r="BP258" s="517"/>
      <c r="BQ258" s="517"/>
      <c r="BR258" s="517"/>
      <c r="BS258" s="517"/>
      <c r="BT258" s="517"/>
      <c r="BU258" s="517"/>
      <c r="BV258" s="518"/>
      <c r="BW258" s="518"/>
      <c r="BX258" s="518"/>
      <c r="BY258" s="518"/>
      <c r="BZ258" s="518"/>
      <c r="CA258" s="518"/>
      <c r="CB258" s="518"/>
      <c r="CC258" s="518"/>
      <c r="CD258" s="518"/>
      <c r="CE258" s="518"/>
    </row>
    <row r="259" spans="1:83" ht="15" hidden="1" customHeight="1">
      <c r="A259" s="516"/>
      <c r="B259"/>
      <c r="C259"/>
      <c r="D259" s="3622"/>
      <c r="E259" s="3618" t="s">
        <v>830</v>
      </c>
      <c r="F259" s="3619"/>
      <c r="G259" s="3620"/>
      <c r="H259" s="3614" t="str">
        <f>IF(A257="","",INDEX(DIFFERENTIATION_UNMERGE_SYSTEM,MATCH(A257,DIFFERENTIATION_ID_DIFF,0)))</f>
        <v>Латышских стрелков, 37а</v>
      </c>
      <c r="I259" s="3614"/>
      <c r="J259" s="3614"/>
      <c r="K259" s="3614"/>
      <c r="L259" s="3614"/>
      <c r="M259" s="3614"/>
      <c r="N259" s="3614"/>
      <c r="O259" s="3614"/>
      <c r="P259" s="3614"/>
      <c r="Q259" s="3614"/>
      <c r="R259" s="3614"/>
      <c r="S259" s="609"/>
      <c r="T259" s="606"/>
      <c r="U259" s="517"/>
      <c r="V259" s="517"/>
      <c r="W259" s="518"/>
      <c r="X259" s="518"/>
      <c r="Y259" s="518"/>
      <c r="Z259" s="518"/>
      <c r="AA259" s="519"/>
      <c r="AB259" s="520"/>
      <c r="AC259" s="3617"/>
      <c r="AD259" s="521"/>
      <c r="AE259" s="522"/>
      <c r="AF259" s="522"/>
      <c r="AG259" s="523"/>
      <c r="AH259" s="524"/>
      <c r="AI259" s="517"/>
      <c r="AJ259" s="517"/>
      <c r="AK259" s="517"/>
      <c r="AL259" s="517"/>
      <c r="AM259" s="517"/>
      <c r="AN259" s="517"/>
      <c r="AO259" s="517"/>
      <c r="AP259" s="517"/>
      <c r="AQ259" s="517"/>
      <c r="AR259" s="517"/>
      <c r="AS259" s="517"/>
      <c r="AT259" s="517"/>
      <c r="AU259" s="517"/>
      <c r="AV259" s="517"/>
      <c r="AW259" s="517"/>
      <c r="AX259" s="517"/>
      <c r="AY259" s="517"/>
      <c r="AZ259" s="517"/>
      <c r="BA259" s="517"/>
      <c r="BB259" s="517"/>
      <c r="BC259" s="517"/>
      <c r="BD259" s="517"/>
      <c r="BE259" s="517"/>
      <c r="BF259" s="517"/>
      <c r="BG259" s="517"/>
      <c r="BH259" s="517"/>
      <c r="BI259" s="517"/>
      <c r="BJ259" s="517"/>
      <c r="BK259" s="517"/>
      <c r="BL259" s="517"/>
      <c r="BM259" s="517"/>
      <c r="BN259" s="517"/>
      <c r="BO259" s="517"/>
      <c r="BP259" s="517"/>
      <c r="BQ259" s="517"/>
      <c r="BR259" s="517"/>
      <c r="BS259" s="517"/>
      <c r="BT259" s="517"/>
      <c r="BU259" s="517"/>
      <c r="BV259" s="518"/>
      <c r="BW259" s="518"/>
      <c r="BX259" s="518"/>
      <c r="BY259" s="518"/>
      <c r="BZ259" s="518"/>
      <c r="CA259" s="518"/>
      <c r="CB259" s="518"/>
      <c r="CC259" s="518"/>
      <c r="CD259" s="518"/>
      <c r="CE259" s="518"/>
    </row>
    <row r="260" spans="1:83" ht="24.75" hidden="1" customHeight="1">
      <c r="A260" s="1649"/>
      <c r="B260" s="1023"/>
      <c r="C260" s="319"/>
      <c r="D260" s="3622"/>
      <c r="E260" s="3616" t="s">
        <v>875</v>
      </c>
      <c r="F260" s="3616"/>
      <c r="G260" s="3616"/>
      <c r="H260" s="3616"/>
      <c r="I260" s="3616"/>
      <c r="J260" s="3616"/>
      <c r="K260" s="3616"/>
      <c r="L260" s="3616"/>
      <c r="M260" s="3616"/>
      <c r="N260" s="3616"/>
      <c r="O260" s="3616"/>
      <c r="P260" s="3616"/>
      <c r="Q260" s="455">
        <f>SUMIF(T261:T262,"i",Q261:Q262)</f>
        <v>0</v>
      </c>
      <c r="R260" s="887"/>
      <c r="S260" s="1641" t="s">
        <v>876</v>
      </c>
      <c r="T260" s="607" t="s">
        <v>877</v>
      </c>
      <c r="U260" s="3532">
        <v>1</v>
      </c>
      <c r="V260" s="3532" t="s">
        <v>840</v>
      </c>
      <c r="W260" s="1023"/>
      <c r="X260" s="1023"/>
      <c r="Y260" s="1023"/>
      <c r="Z260" s="1023"/>
      <c r="AA260" s="1481"/>
      <c r="AB260" s="1023"/>
      <c r="AC260" s="3617"/>
      <c r="AD260" s="521"/>
      <c r="AE260" s="1023"/>
      <c r="AF260" s="1023"/>
      <c r="AG260" s="1481"/>
      <c r="AH260" s="1481"/>
      <c r="AI260" s="1481"/>
      <c r="AJ260" s="1481"/>
      <c r="AK260" s="1481"/>
      <c r="AL260" s="1481"/>
      <c r="AM260" s="1481"/>
      <c r="AN260" s="1481"/>
      <c r="AO260" s="1481"/>
      <c r="AP260" s="1481"/>
      <c r="AQ260" s="1481"/>
      <c r="AR260" s="1481"/>
      <c r="AS260" s="1481"/>
      <c r="AT260" s="1481"/>
      <c r="AU260" s="1481"/>
      <c r="AV260" s="1481"/>
      <c r="AW260" s="1481"/>
      <c r="AX260" s="1481"/>
      <c r="AY260" s="1481"/>
      <c r="AZ260" s="1481"/>
      <c r="BA260" s="1481"/>
      <c r="BB260" s="1481"/>
      <c r="BC260" s="1481"/>
      <c r="BD260" s="1481"/>
      <c r="BE260" s="1481"/>
      <c r="BF260" s="1481"/>
      <c r="BG260" s="1481"/>
      <c r="BH260" s="1481"/>
      <c r="BI260" s="1481"/>
      <c r="BJ260" s="1481"/>
      <c r="BK260" s="1481"/>
      <c r="BL260" s="1481"/>
      <c r="BM260" s="1481"/>
      <c r="BN260" s="1481"/>
      <c r="BO260" s="1481"/>
      <c r="BP260" s="1481"/>
      <c r="BQ260" s="1481"/>
      <c r="BR260" s="1481"/>
      <c r="BS260" s="1481"/>
      <c r="BT260" s="1481"/>
      <c r="BU260" s="1481"/>
      <c r="BV260" s="1023"/>
      <c r="BW260" s="1023"/>
      <c r="BX260" s="1023"/>
      <c r="BY260" s="1023"/>
      <c r="BZ260" s="1023"/>
      <c r="CA260" s="1023"/>
      <c r="CB260" s="1023"/>
      <c r="CC260" s="1023"/>
      <c r="CD260" s="1023"/>
      <c r="CE260" s="1023"/>
    </row>
    <row r="261" spans="1:83" ht="11.25" hidden="1" customHeight="1">
      <c r="A261" s="1636"/>
      <c r="B261" s="1481"/>
      <c r="C261" s="1481"/>
      <c r="D261" s="3622"/>
      <c r="E261" s="527"/>
      <c r="F261" s="527">
        <v>0</v>
      </c>
      <c r="G261" s="527"/>
      <c r="H261" s="527"/>
      <c r="I261" s="527"/>
      <c r="J261" s="527"/>
      <c r="K261" s="527"/>
      <c r="L261" s="527"/>
      <c r="M261" s="527"/>
      <c r="N261" s="527"/>
      <c r="O261" s="527"/>
      <c r="P261" s="527"/>
      <c r="Q261" s="527"/>
      <c r="R261" s="527"/>
      <c r="S261" s="528"/>
      <c r="T261" s="608"/>
      <c r="U261" s="3532"/>
      <c r="V261" s="3532"/>
      <c r="W261" s="1481"/>
      <c r="X261" s="1481"/>
      <c r="Y261" s="1481"/>
      <c r="Z261" s="1481"/>
      <c r="AA261" s="1481"/>
      <c r="AB261" s="1023"/>
      <c r="AC261" s="3617"/>
      <c r="AD261" s="521"/>
      <c r="AE261" s="1023"/>
      <c r="AF261" s="1023"/>
      <c r="AG261" s="1481"/>
      <c r="AH261" s="1481"/>
      <c r="AI261" s="1481"/>
      <c r="AJ261" s="1481"/>
      <c r="AK261" s="1481"/>
      <c r="AL261" s="1481"/>
      <c r="AM261" s="1481"/>
      <c r="AN261" s="1481"/>
      <c r="AO261" s="1481"/>
      <c r="AP261" s="1481"/>
      <c r="AQ261" s="1481"/>
      <c r="AR261" s="1481"/>
      <c r="AS261" s="1481"/>
      <c r="AT261" s="1481"/>
      <c r="AU261" s="1481"/>
      <c r="AV261" s="1481"/>
      <c r="AW261" s="1481"/>
      <c r="AX261" s="1481"/>
      <c r="AY261" s="1481"/>
      <c r="AZ261" s="1481"/>
      <c r="BA261" s="1481"/>
      <c r="BB261" s="1481"/>
      <c r="BC261" s="1481"/>
      <c r="BD261" s="1481"/>
      <c r="BE261" s="1481"/>
      <c r="BF261" s="1481"/>
      <c r="BG261" s="1481"/>
      <c r="BH261" s="1481"/>
      <c r="BI261" s="1481"/>
      <c r="BJ261" s="1481"/>
      <c r="BK261" s="1481"/>
      <c r="BL261" s="1481"/>
      <c r="BM261" s="1481"/>
      <c r="BN261" s="1481"/>
      <c r="BO261" s="1481"/>
      <c r="BP261" s="1481"/>
      <c r="BQ261" s="1481"/>
      <c r="BR261" s="1481"/>
      <c r="BS261" s="1481"/>
      <c r="BT261" s="1481"/>
      <c r="BU261" s="1481"/>
      <c r="BV261" s="1481"/>
      <c r="BW261" s="1481"/>
      <c r="BX261" s="1481"/>
      <c r="BY261" s="1481"/>
      <c r="BZ261" s="1481"/>
      <c r="CA261" s="1481"/>
      <c r="CB261" s="1481"/>
      <c r="CC261" s="1481"/>
      <c r="CD261" s="1481"/>
      <c r="CE261" s="1481"/>
    </row>
    <row r="262" spans="1:83" ht="11.25" hidden="1" customHeight="1">
      <c r="A262" s="1649"/>
      <c r="B262" s="1023"/>
      <c r="C262" s="319"/>
      <c r="D262" s="3622"/>
      <c r="E262" s="541" t="s">
        <v>18</v>
      </c>
      <c r="F262" s="1031" t="s">
        <v>18</v>
      </c>
      <c r="G262" s="1031" t="s">
        <v>880</v>
      </c>
      <c r="H262" s="543" t="s">
        <v>18</v>
      </c>
      <c r="I262" s="543"/>
      <c r="J262" s="543"/>
      <c r="K262" s="543"/>
      <c r="L262" s="543"/>
      <c r="M262" s="543"/>
      <c r="N262" s="543"/>
      <c r="O262" s="543"/>
      <c r="P262" s="543"/>
      <c r="Q262" s="543"/>
      <c r="R262" s="544"/>
      <c r="S262" s="545"/>
      <c r="T262" s="608"/>
      <c r="U262" s="3532"/>
      <c r="V262" s="3532"/>
      <c r="W262" s="1023"/>
      <c r="X262" s="1023"/>
      <c r="Y262" s="1023"/>
      <c r="Z262" s="1023"/>
      <c r="AA262" s="1481"/>
      <c r="AB262" s="1023"/>
      <c r="AC262" s="3617"/>
      <c r="AD262" s="521"/>
      <c r="AE262" s="1023"/>
      <c r="AF262" s="1023"/>
      <c r="AG262" s="1481"/>
      <c r="AH262" s="1481"/>
      <c r="AI262" s="1481"/>
      <c r="AJ262" s="1481"/>
      <c r="AK262" s="1481"/>
      <c r="AL262" s="1481"/>
      <c r="AM262" s="1481"/>
      <c r="AN262" s="1481"/>
      <c r="AO262" s="1481"/>
      <c r="AP262" s="1481"/>
      <c r="AQ262" s="1481"/>
      <c r="AR262" s="1481"/>
      <c r="AS262" s="1481"/>
      <c r="AT262" s="1481"/>
      <c r="AU262" s="1481"/>
      <c r="AV262" s="1481"/>
      <c r="AW262" s="1481"/>
      <c r="AX262" s="1481"/>
      <c r="AY262" s="1481"/>
      <c r="AZ262" s="1481"/>
      <c r="BA262" s="1481"/>
      <c r="BB262" s="1481"/>
      <c r="BC262" s="1481"/>
      <c r="BD262" s="1481"/>
      <c r="BE262" s="1481"/>
      <c r="BF262" s="1481"/>
      <c r="BG262" s="1481"/>
      <c r="BH262" s="1481"/>
      <c r="BI262" s="1481"/>
      <c r="BJ262" s="1481"/>
      <c r="BK262" s="1481"/>
      <c r="BL262" s="1481"/>
      <c r="BM262" s="1481"/>
      <c r="BN262" s="1481"/>
      <c r="BO262" s="1481"/>
      <c r="BP262" s="1481"/>
      <c r="BQ262" s="1481"/>
      <c r="BR262" s="1481"/>
      <c r="BS262" s="1481"/>
      <c r="BT262" s="1481"/>
      <c r="BU262" s="1481"/>
      <c r="BV262" s="1023"/>
      <c r="BW262" s="1023"/>
      <c r="BX262" s="1023"/>
      <c r="BY262" s="1023"/>
      <c r="BZ262" s="1023"/>
      <c r="CA262" s="1023"/>
      <c r="CB262" s="1023"/>
      <c r="CC262" s="1023"/>
      <c r="CD262" s="1023"/>
      <c r="CE262" s="1023"/>
    </row>
    <row r="263" spans="1:83" ht="5.25" hidden="1" customHeight="1">
      <c r="A263" s="1636"/>
      <c r="B263" s="1481"/>
      <c r="C263" s="1481"/>
      <c r="D263" s="3622"/>
      <c r="E263" s="909"/>
      <c r="F263" s="909"/>
      <c r="G263" s="909"/>
      <c r="H263" s="909"/>
      <c r="I263" s="909"/>
      <c r="J263" s="909"/>
      <c r="K263" s="909"/>
      <c r="L263" s="909"/>
      <c r="M263" s="909"/>
      <c r="N263" s="909"/>
      <c r="O263" s="909"/>
      <c r="P263" s="909"/>
      <c r="Q263" s="910"/>
      <c r="R263" s="911"/>
      <c r="S263" s="912"/>
      <c r="T263" s="607" t="s">
        <v>877</v>
      </c>
      <c r="U263" s="3532">
        <v>1</v>
      </c>
      <c r="V263" s="3532" t="s">
        <v>840</v>
      </c>
      <c r="W263" s="1481"/>
      <c r="X263" s="1481"/>
      <c r="Y263" s="1481"/>
      <c r="Z263" s="1481"/>
      <c r="AA263" s="1481"/>
      <c r="AB263" s="1481"/>
      <c r="AC263" s="907"/>
      <c r="AD263" s="908"/>
      <c r="AE263" s="1481"/>
      <c r="AF263" s="1481"/>
      <c r="AG263" s="1481"/>
      <c r="AH263" s="1481"/>
      <c r="AI263" s="1481"/>
      <c r="AJ263" s="1481"/>
      <c r="AK263" s="1481"/>
      <c r="AL263" s="1481"/>
      <c r="AM263" s="1481"/>
      <c r="AN263" s="1481"/>
      <c r="AO263" s="1481"/>
      <c r="AP263" s="1481"/>
      <c r="AQ263" s="1481"/>
      <c r="AR263" s="1481"/>
      <c r="AS263" s="1481"/>
      <c r="AT263" s="1481"/>
      <c r="AU263" s="1481"/>
      <c r="AV263" s="1481"/>
      <c r="AW263" s="1481"/>
      <c r="AX263" s="1481"/>
      <c r="AY263" s="1481"/>
      <c r="AZ263" s="1481"/>
      <c r="BA263" s="1481"/>
      <c r="BB263" s="1481"/>
      <c r="BC263" s="1481"/>
      <c r="BD263" s="1481"/>
      <c r="BE263" s="1481"/>
      <c r="BF263" s="1481"/>
      <c r="BG263" s="1481"/>
      <c r="BH263" s="1481"/>
      <c r="BI263" s="1481"/>
      <c r="BJ263" s="1481"/>
      <c r="BK263" s="1481"/>
      <c r="BL263" s="1481"/>
      <c r="BM263" s="1481"/>
      <c r="BN263" s="1481"/>
      <c r="BO263" s="1481"/>
      <c r="BP263" s="1481"/>
      <c r="BQ263" s="1481"/>
      <c r="BR263" s="1481"/>
      <c r="BS263" s="1481"/>
      <c r="BT263" s="1481"/>
      <c r="BU263" s="1481"/>
      <c r="BV263" s="1481"/>
      <c r="BW263" s="1481"/>
      <c r="BX263" s="1481"/>
      <c r="BY263" s="1481"/>
      <c r="BZ263" s="1481"/>
      <c r="CA263" s="1481"/>
      <c r="CB263" s="1481"/>
      <c r="CC263" s="1481"/>
      <c r="CD263" s="1481"/>
      <c r="CE263" s="1481"/>
    </row>
    <row r="264" spans="1:83" ht="5.25" hidden="1" customHeight="1">
      <c r="A264" s="1636"/>
      <c r="B264" s="1481"/>
      <c r="C264" s="1481"/>
      <c r="D264" s="3622"/>
      <c r="E264" s="527"/>
      <c r="F264" s="527"/>
      <c r="G264" s="527"/>
      <c r="H264" s="527"/>
      <c r="I264" s="527"/>
      <c r="J264" s="527"/>
      <c r="K264" s="527"/>
      <c r="L264" s="527"/>
      <c r="M264" s="527"/>
      <c r="N264" s="527"/>
      <c r="O264" s="527"/>
      <c r="P264" s="527"/>
      <c r="Q264" s="527"/>
      <c r="R264" s="527"/>
      <c r="S264" s="528"/>
      <c r="T264" s="608"/>
      <c r="U264" s="3532"/>
      <c r="V264" s="3532"/>
      <c r="W264" s="1481"/>
      <c r="X264" s="1481"/>
      <c r="Y264" s="1481"/>
      <c r="Z264" s="1481"/>
      <c r="AA264" s="1481"/>
      <c r="AB264" s="1481"/>
      <c r="AC264" s="907"/>
      <c r="AD264" s="908"/>
      <c r="AE264" s="1481"/>
      <c r="AF264" s="1481"/>
      <c r="AG264" s="1481"/>
      <c r="AH264" s="1481"/>
      <c r="AI264" s="1481"/>
      <c r="AJ264" s="1481"/>
      <c r="AK264" s="1481"/>
      <c r="AL264" s="1481"/>
      <c r="AM264" s="1481"/>
      <c r="AN264" s="1481"/>
      <c r="AO264" s="1481"/>
      <c r="AP264" s="1481"/>
      <c r="AQ264" s="1481"/>
      <c r="AR264" s="1481"/>
      <c r="AS264" s="1481"/>
      <c r="AT264" s="1481"/>
      <c r="AU264" s="1481"/>
      <c r="AV264" s="1481"/>
      <c r="AW264" s="1481"/>
      <c r="AX264" s="1481"/>
      <c r="AY264" s="1481"/>
      <c r="AZ264" s="1481"/>
      <c r="BA264" s="1481"/>
      <c r="BB264" s="1481"/>
      <c r="BC264" s="1481"/>
      <c r="BD264" s="1481"/>
      <c r="BE264" s="1481"/>
      <c r="BF264" s="1481"/>
      <c r="BG264" s="1481"/>
      <c r="BH264" s="1481"/>
      <c r="BI264" s="1481"/>
      <c r="BJ264" s="1481"/>
      <c r="BK264" s="1481"/>
      <c r="BL264" s="1481"/>
      <c r="BM264" s="1481"/>
      <c r="BN264" s="1481"/>
      <c r="BO264" s="1481"/>
      <c r="BP264" s="1481"/>
      <c r="BQ264" s="1481"/>
      <c r="BR264" s="1481"/>
      <c r="BS264" s="1481"/>
      <c r="BT264" s="1481"/>
      <c r="BU264" s="1481"/>
      <c r="BV264" s="1481"/>
      <c r="BW264" s="1481"/>
      <c r="BX264" s="1481"/>
      <c r="BY264" s="1481"/>
      <c r="BZ264" s="1481"/>
      <c r="CA264" s="1481"/>
      <c r="CB264" s="1481"/>
      <c r="CC264" s="1481"/>
      <c r="CD264" s="1481"/>
      <c r="CE264" s="1481"/>
    </row>
    <row r="265" spans="1:83" ht="5.25" hidden="1" customHeight="1">
      <c r="A265" s="1636"/>
      <c r="B265" s="1481"/>
      <c r="C265" s="1481"/>
      <c r="D265" s="3623"/>
      <c r="E265" s="913"/>
      <c r="F265" s="914"/>
      <c r="G265" s="914"/>
      <c r="H265" s="915"/>
      <c r="I265" s="915"/>
      <c r="J265" s="915"/>
      <c r="K265" s="915"/>
      <c r="L265" s="915"/>
      <c r="M265" s="915"/>
      <c r="N265" s="915"/>
      <c r="O265" s="915"/>
      <c r="P265" s="915"/>
      <c r="Q265" s="915"/>
      <c r="R265" s="818"/>
      <c r="S265" s="916"/>
      <c r="T265" s="608"/>
      <c r="U265" s="3532"/>
      <c r="V265" s="3532"/>
      <c r="W265" s="1481"/>
      <c r="X265" s="1481"/>
      <c r="Y265" s="1481"/>
      <c r="Z265" s="1481"/>
      <c r="AA265" s="1481"/>
      <c r="AB265" s="1481"/>
      <c r="AC265" s="907"/>
      <c r="AD265" s="908"/>
      <c r="AE265" s="1481"/>
      <c r="AF265" s="1481"/>
      <c r="AG265" s="1481"/>
      <c r="AH265" s="1481"/>
      <c r="AI265" s="1481"/>
      <c r="AJ265" s="1481"/>
      <c r="AK265" s="1481"/>
      <c r="AL265" s="1481"/>
      <c r="AM265" s="1481"/>
      <c r="AN265" s="1481"/>
      <c r="AO265" s="1481"/>
      <c r="AP265" s="1481"/>
      <c r="AQ265" s="1481"/>
      <c r="AR265" s="1481"/>
      <c r="AS265" s="1481"/>
      <c r="AT265" s="1481"/>
      <c r="AU265" s="1481"/>
      <c r="AV265" s="1481"/>
      <c r="AW265" s="1481"/>
      <c r="AX265" s="1481"/>
      <c r="AY265" s="1481"/>
      <c r="AZ265" s="1481"/>
      <c r="BA265" s="1481"/>
      <c r="BB265" s="1481"/>
      <c r="BC265" s="1481"/>
      <c r="BD265" s="1481"/>
      <c r="BE265" s="1481"/>
      <c r="BF265" s="1481"/>
      <c r="BG265" s="1481"/>
      <c r="BH265" s="1481"/>
      <c r="BI265" s="1481"/>
      <c r="BJ265" s="1481"/>
      <c r="BK265" s="1481"/>
      <c r="BL265" s="1481"/>
      <c r="BM265" s="1481"/>
      <c r="BN265" s="1481"/>
      <c r="BO265" s="1481"/>
      <c r="BP265" s="1481"/>
      <c r="BQ265" s="1481"/>
      <c r="BR265" s="1481"/>
      <c r="BS265" s="1481"/>
      <c r="BT265" s="1481"/>
      <c r="BU265" s="1481"/>
      <c r="BV265" s="1481"/>
      <c r="BW265" s="1481"/>
      <c r="BX265" s="1481"/>
      <c r="BY265" s="1481"/>
      <c r="BZ265" s="1481"/>
      <c r="CA265" s="1481"/>
      <c r="CB265" s="1481"/>
      <c r="CC265" s="1481"/>
      <c r="CD265" s="1481"/>
      <c r="CE265" s="1481"/>
    </row>
    <row r="266" spans="1:83" ht="15" hidden="1" customHeight="1">
      <c r="A266" s="516" t="s">
        <v>195</v>
      </c>
      <c r="B266"/>
      <c r="C266" t="s">
        <v>18</v>
      </c>
      <c r="D266" s="3621" t="s">
        <v>907</v>
      </c>
      <c r="E266" s="3618" t="s">
        <v>102</v>
      </c>
      <c r="F266" s="3619"/>
      <c r="G266" s="3620"/>
      <c r="H266" s="3614" t="str">
        <f>IF(A266="","",INDEX(DIFFERENTIATION_UNMERGE_VD,MATCH(A266,DIFFERENTIATION_ID_DIFF,0)))</f>
        <v>Производство тепловой энергии. Некомбинированная выработка</v>
      </c>
      <c r="I266" s="3614"/>
      <c r="J266" s="3614"/>
      <c r="K266" s="3614"/>
      <c r="L266" s="3614"/>
      <c r="M266" s="3614"/>
      <c r="N266" s="3614"/>
      <c r="O266" s="3614"/>
      <c r="P266" s="3614"/>
      <c r="Q266" s="3614"/>
      <c r="R266" s="3614"/>
      <c r="S266" s="609"/>
      <c r="T266" s="606"/>
      <c r="U266" s="517"/>
      <c r="V266" s="517"/>
      <c r="W266" s="518"/>
      <c r="X266" s="518"/>
      <c r="Y266" s="518"/>
      <c r="Z266" s="518"/>
      <c r="AA266" s="519"/>
      <c r="AB266" s="520"/>
      <c r="AC266" s="3617"/>
      <c r="AD266" s="521"/>
      <c r="AE266" s="522" t="s">
        <v>18</v>
      </c>
      <c r="AF266" s="522"/>
      <c r="AG266" s="523" t="s">
        <v>874</v>
      </c>
      <c r="AH266" s="524">
        <v>3</v>
      </c>
      <c r="AI266" s="517"/>
      <c r="AJ266" s="517"/>
      <c r="AK266" s="517"/>
      <c r="AL266" s="517"/>
      <c r="AM266" s="517"/>
      <c r="AN266" s="517"/>
      <c r="AO266" s="517"/>
      <c r="AP266" s="517"/>
      <c r="AQ266" s="517"/>
      <c r="AR266" s="517"/>
      <c r="AS266" s="517"/>
      <c r="AT266" s="517"/>
      <c r="AU266" s="517"/>
      <c r="AV266" s="517"/>
      <c r="AW266" s="517"/>
      <c r="AX266" s="517"/>
      <c r="AY266" s="517"/>
      <c r="AZ266" s="517"/>
      <c r="BA266" s="517"/>
      <c r="BB266" s="517"/>
      <c r="BC266" s="517"/>
      <c r="BD266" s="517"/>
      <c r="BE266" s="517"/>
      <c r="BF266" s="517"/>
      <c r="BG266" s="517"/>
      <c r="BH266" s="517"/>
      <c r="BI266" s="517"/>
      <c r="BJ266" s="517"/>
      <c r="BK266" s="517"/>
      <c r="BL266" s="517"/>
      <c r="BM266" s="517"/>
      <c r="BN266" s="517"/>
      <c r="BO266" s="517"/>
      <c r="BP266" s="517"/>
      <c r="BQ266" s="517"/>
      <c r="BR266" s="517"/>
      <c r="BS266" s="517"/>
      <c r="BT266" s="517"/>
      <c r="BU266" s="517"/>
      <c r="BV266" s="518"/>
      <c r="BW266" s="518"/>
      <c r="BX266" s="518"/>
      <c r="BY266" s="518"/>
      <c r="BZ266" s="518"/>
      <c r="CA266" s="518"/>
      <c r="CB266" s="518"/>
      <c r="CC266" s="518"/>
      <c r="CD266" s="518"/>
      <c r="CE266" s="518"/>
    </row>
    <row r="267" spans="1:83" ht="15" hidden="1" customHeight="1">
      <c r="A267" s="516"/>
      <c r="B267"/>
      <c r="C267"/>
      <c r="D267" s="3622"/>
      <c r="E267" s="3618" t="s">
        <v>829</v>
      </c>
      <c r="F267" s="3619"/>
      <c r="G267" s="3620"/>
      <c r="H267" s="3614" t="str">
        <f>IF(A266="","",INDEX(DIFFERENTIATION_UNMERGE_AREA,MATCH(A266,DIFFERENTIATION_ID_DIFF,0)))</f>
        <v>Территория 1</v>
      </c>
      <c r="I267" s="3614"/>
      <c r="J267" s="3614"/>
      <c r="K267" s="3614"/>
      <c r="L267" s="3614"/>
      <c r="M267" s="3614"/>
      <c r="N267" s="3614"/>
      <c r="O267" s="3614"/>
      <c r="P267" s="3614"/>
      <c r="Q267" s="3614"/>
      <c r="R267" s="3614"/>
      <c r="S267" s="609"/>
      <c r="T267" s="606"/>
      <c r="U267" s="517"/>
      <c r="V267" s="517"/>
      <c r="W267" s="518"/>
      <c r="X267" s="518"/>
      <c r="Y267" s="518"/>
      <c r="Z267" s="518"/>
      <c r="AA267" s="519"/>
      <c r="AB267" s="520"/>
      <c r="AC267" s="3617"/>
      <c r="AD267" s="521"/>
      <c r="AE267" s="522"/>
      <c r="AF267" s="522"/>
      <c r="AG267" s="523"/>
      <c r="AH267" s="524"/>
      <c r="AI267" s="517"/>
      <c r="AJ267" s="517"/>
      <c r="AK267" s="517"/>
      <c r="AL267" s="517"/>
      <c r="AM267" s="517"/>
      <c r="AN267" s="517"/>
      <c r="AO267" s="517"/>
      <c r="AP267" s="517"/>
      <c r="AQ267" s="517"/>
      <c r="AR267" s="517"/>
      <c r="AS267" s="517"/>
      <c r="AT267" s="517"/>
      <c r="AU267" s="517"/>
      <c r="AV267" s="517"/>
      <c r="AW267" s="517"/>
      <c r="AX267" s="517"/>
      <c r="AY267" s="517"/>
      <c r="AZ267" s="517"/>
      <c r="BA267" s="517"/>
      <c r="BB267" s="517"/>
      <c r="BC267" s="517"/>
      <c r="BD267" s="517"/>
      <c r="BE267" s="517"/>
      <c r="BF267" s="517"/>
      <c r="BG267" s="517"/>
      <c r="BH267" s="517"/>
      <c r="BI267" s="517"/>
      <c r="BJ267" s="517"/>
      <c r="BK267" s="517"/>
      <c r="BL267" s="517"/>
      <c r="BM267" s="517"/>
      <c r="BN267" s="517"/>
      <c r="BO267" s="517"/>
      <c r="BP267" s="517"/>
      <c r="BQ267" s="517"/>
      <c r="BR267" s="517"/>
      <c r="BS267" s="517"/>
      <c r="BT267" s="517"/>
      <c r="BU267" s="517"/>
      <c r="BV267" s="518"/>
      <c r="BW267" s="518"/>
      <c r="BX267" s="518"/>
      <c r="BY267" s="518"/>
      <c r="BZ267" s="518"/>
      <c r="CA267" s="518"/>
      <c r="CB267" s="518"/>
      <c r="CC267" s="518"/>
      <c r="CD267" s="518"/>
      <c r="CE267" s="518"/>
    </row>
    <row r="268" spans="1:83" ht="15" hidden="1" customHeight="1">
      <c r="A268" s="516"/>
      <c r="B268"/>
      <c r="C268"/>
      <c r="D268" s="3622"/>
      <c r="E268" s="3618" t="s">
        <v>830</v>
      </c>
      <c r="F268" s="3619"/>
      <c r="G268" s="3620"/>
      <c r="H268" s="3614" t="str">
        <f>IF(A266="","",INDEX(DIFFERENTIATION_UNMERGE_SYSTEM,MATCH(A266,DIFFERENTIATION_ID_DIFF,0)))</f>
        <v>Латышских стрелков,98</v>
      </c>
      <c r="I268" s="3614"/>
      <c r="J268" s="3614"/>
      <c r="K268" s="3614"/>
      <c r="L268" s="3614"/>
      <c r="M268" s="3614"/>
      <c r="N268" s="3614"/>
      <c r="O268" s="3614"/>
      <c r="P268" s="3614"/>
      <c r="Q268" s="3614"/>
      <c r="R268" s="3614"/>
      <c r="S268" s="609"/>
      <c r="T268" s="606"/>
      <c r="U268" s="517"/>
      <c r="V268" s="517"/>
      <c r="W268" s="518"/>
      <c r="X268" s="518"/>
      <c r="Y268" s="518"/>
      <c r="Z268" s="518"/>
      <c r="AA268" s="519"/>
      <c r="AB268" s="520"/>
      <c r="AC268" s="3617"/>
      <c r="AD268" s="521"/>
      <c r="AE268" s="522"/>
      <c r="AF268" s="522"/>
      <c r="AG268" s="523"/>
      <c r="AH268" s="524"/>
      <c r="AI268" s="517"/>
      <c r="AJ268" s="517"/>
      <c r="AK268" s="517"/>
      <c r="AL268" s="517"/>
      <c r="AM268" s="517"/>
      <c r="AN268" s="517"/>
      <c r="AO268" s="517"/>
      <c r="AP268" s="517"/>
      <c r="AQ268" s="517"/>
      <c r="AR268" s="517"/>
      <c r="AS268" s="517"/>
      <c r="AT268" s="517"/>
      <c r="AU268" s="517"/>
      <c r="AV268" s="517"/>
      <c r="AW268" s="517"/>
      <c r="AX268" s="517"/>
      <c r="AY268" s="517"/>
      <c r="AZ268" s="517"/>
      <c r="BA268" s="517"/>
      <c r="BB268" s="517"/>
      <c r="BC268" s="517"/>
      <c r="BD268" s="517"/>
      <c r="BE268" s="517"/>
      <c r="BF268" s="517"/>
      <c r="BG268" s="517"/>
      <c r="BH268" s="517"/>
      <c r="BI268" s="517"/>
      <c r="BJ268" s="517"/>
      <c r="BK268" s="517"/>
      <c r="BL268" s="517"/>
      <c r="BM268" s="517"/>
      <c r="BN268" s="517"/>
      <c r="BO268" s="517"/>
      <c r="BP268" s="517"/>
      <c r="BQ268" s="517"/>
      <c r="BR268" s="517"/>
      <c r="BS268" s="517"/>
      <c r="BT268" s="517"/>
      <c r="BU268" s="517"/>
      <c r="BV268" s="518"/>
      <c r="BW268" s="518"/>
      <c r="BX268" s="518"/>
      <c r="BY268" s="518"/>
      <c r="BZ268" s="518"/>
      <c r="CA268" s="518"/>
      <c r="CB268" s="518"/>
      <c r="CC268" s="518"/>
      <c r="CD268" s="518"/>
      <c r="CE268" s="518"/>
    </row>
    <row r="269" spans="1:83" ht="24.75" hidden="1" customHeight="1">
      <c r="A269" s="1649"/>
      <c r="B269" s="1023"/>
      <c r="C269" s="319"/>
      <c r="D269" s="3622"/>
      <c r="E269" s="3616" t="s">
        <v>875</v>
      </c>
      <c r="F269" s="3616"/>
      <c r="G269" s="3616"/>
      <c r="H269" s="3616"/>
      <c r="I269" s="3616"/>
      <c r="J269" s="3616"/>
      <c r="K269" s="3616"/>
      <c r="L269" s="3616"/>
      <c r="M269" s="3616"/>
      <c r="N269" s="3616"/>
      <c r="O269" s="3616"/>
      <c r="P269" s="3616"/>
      <c r="Q269" s="455">
        <f>SUMIF(T270:T271,"i",Q270:Q271)</f>
        <v>0</v>
      </c>
      <c r="R269" s="887"/>
      <c r="S269" s="1641" t="s">
        <v>876</v>
      </c>
      <c r="T269" s="607" t="s">
        <v>877</v>
      </c>
      <c r="U269" s="3532">
        <v>1</v>
      </c>
      <c r="V269" s="3532" t="s">
        <v>840</v>
      </c>
      <c r="W269" s="1023"/>
      <c r="X269" s="1023"/>
      <c r="Y269" s="1023"/>
      <c r="Z269" s="1023"/>
      <c r="AA269" s="1481"/>
      <c r="AB269" s="1023"/>
      <c r="AC269" s="3617"/>
      <c r="AD269" s="521"/>
      <c r="AE269" s="1023"/>
      <c r="AF269" s="1023"/>
      <c r="AG269" s="1481"/>
      <c r="AH269" s="1481"/>
      <c r="AI269" s="1481"/>
      <c r="AJ269" s="1481"/>
      <c r="AK269" s="1481"/>
      <c r="AL269" s="1481"/>
      <c r="AM269" s="1481"/>
      <c r="AN269" s="1481"/>
      <c r="AO269" s="1481"/>
      <c r="AP269" s="1481"/>
      <c r="AQ269" s="1481"/>
      <c r="AR269" s="1481"/>
      <c r="AS269" s="1481"/>
      <c r="AT269" s="1481"/>
      <c r="AU269" s="1481"/>
      <c r="AV269" s="1481"/>
      <c r="AW269" s="1481"/>
      <c r="AX269" s="1481"/>
      <c r="AY269" s="1481"/>
      <c r="AZ269" s="1481"/>
      <c r="BA269" s="1481"/>
      <c r="BB269" s="1481"/>
      <c r="BC269" s="1481"/>
      <c r="BD269" s="1481"/>
      <c r="BE269" s="1481"/>
      <c r="BF269" s="1481"/>
      <c r="BG269" s="1481"/>
      <c r="BH269" s="1481"/>
      <c r="BI269" s="1481"/>
      <c r="BJ269" s="1481"/>
      <c r="BK269" s="1481"/>
      <c r="BL269" s="1481"/>
      <c r="BM269" s="1481"/>
      <c r="BN269" s="1481"/>
      <c r="BO269" s="1481"/>
      <c r="BP269" s="1481"/>
      <c r="BQ269" s="1481"/>
      <c r="BR269" s="1481"/>
      <c r="BS269" s="1481"/>
      <c r="BT269" s="1481"/>
      <c r="BU269" s="1481"/>
      <c r="BV269" s="1023"/>
      <c r="BW269" s="1023"/>
      <c r="BX269" s="1023"/>
      <c r="BY269" s="1023"/>
      <c r="BZ269" s="1023"/>
      <c r="CA269" s="1023"/>
      <c r="CB269" s="1023"/>
      <c r="CC269" s="1023"/>
      <c r="CD269" s="1023"/>
      <c r="CE269" s="1023"/>
    </row>
    <row r="270" spans="1:83" ht="11.25" hidden="1" customHeight="1">
      <c r="A270" s="1636"/>
      <c r="B270" s="1481"/>
      <c r="C270" s="1481"/>
      <c r="D270" s="3622"/>
      <c r="E270" s="527"/>
      <c r="F270" s="527">
        <v>0</v>
      </c>
      <c r="G270" s="527"/>
      <c r="H270" s="527"/>
      <c r="I270" s="527"/>
      <c r="J270" s="527"/>
      <c r="K270" s="527"/>
      <c r="L270" s="527"/>
      <c r="M270" s="527"/>
      <c r="N270" s="527"/>
      <c r="O270" s="527"/>
      <c r="P270" s="527"/>
      <c r="Q270" s="527"/>
      <c r="R270" s="527"/>
      <c r="S270" s="528"/>
      <c r="T270" s="608"/>
      <c r="U270" s="3532"/>
      <c r="V270" s="3532"/>
      <c r="W270" s="1481"/>
      <c r="X270" s="1481"/>
      <c r="Y270" s="1481"/>
      <c r="Z270" s="1481"/>
      <c r="AA270" s="1481"/>
      <c r="AB270" s="1023"/>
      <c r="AC270" s="3617"/>
      <c r="AD270" s="521"/>
      <c r="AE270" s="1023"/>
      <c r="AF270" s="1023"/>
      <c r="AG270" s="1481"/>
      <c r="AH270" s="1481"/>
      <c r="AI270" s="1481"/>
      <c r="AJ270" s="1481"/>
      <c r="AK270" s="1481"/>
      <c r="AL270" s="1481"/>
      <c r="AM270" s="1481"/>
      <c r="AN270" s="1481"/>
      <c r="AO270" s="1481"/>
      <c r="AP270" s="1481"/>
      <c r="AQ270" s="1481"/>
      <c r="AR270" s="1481"/>
      <c r="AS270" s="1481"/>
      <c r="AT270" s="1481"/>
      <c r="AU270" s="1481"/>
      <c r="AV270" s="1481"/>
      <c r="AW270" s="1481"/>
      <c r="AX270" s="1481"/>
      <c r="AY270" s="1481"/>
      <c r="AZ270" s="1481"/>
      <c r="BA270" s="1481"/>
      <c r="BB270" s="1481"/>
      <c r="BC270" s="1481"/>
      <c r="BD270" s="1481"/>
      <c r="BE270" s="1481"/>
      <c r="BF270" s="1481"/>
      <c r="BG270" s="1481"/>
      <c r="BH270" s="1481"/>
      <c r="BI270" s="1481"/>
      <c r="BJ270" s="1481"/>
      <c r="BK270" s="1481"/>
      <c r="BL270" s="1481"/>
      <c r="BM270" s="1481"/>
      <c r="BN270" s="1481"/>
      <c r="BO270" s="1481"/>
      <c r="BP270" s="1481"/>
      <c r="BQ270" s="1481"/>
      <c r="BR270" s="1481"/>
      <c r="BS270" s="1481"/>
      <c r="BT270" s="1481"/>
      <c r="BU270" s="1481"/>
      <c r="BV270" s="1481"/>
      <c r="BW270" s="1481"/>
      <c r="BX270" s="1481"/>
      <c r="BY270" s="1481"/>
      <c r="BZ270" s="1481"/>
      <c r="CA270" s="1481"/>
      <c r="CB270" s="1481"/>
      <c r="CC270" s="1481"/>
      <c r="CD270" s="1481"/>
      <c r="CE270" s="1481"/>
    </row>
    <row r="271" spans="1:83" ht="11.25" hidden="1" customHeight="1">
      <c r="A271" s="1649"/>
      <c r="B271" s="1023"/>
      <c r="C271" s="319"/>
      <c r="D271" s="3622"/>
      <c r="E271" s="541" t="s">
        <v>18</v>
      </c>
      <c r="F271" s="1031" t="s">
        <v>18</v>
      </c>
      <c r="G271" s="1031" t="s">
        <v>880</v>
      </c>
      <c r="H271" s="543" t="s">
        <v>18</v>
      </c>
      <c r="I271" s="543"/>
      <c r="J271" s="543"/>
      <c r="K271" s="543"/>
      <c r="L271" s="543"/>
      <c r="M271" s="543"/>
      <c r="N271" s="543"/>
      <c r="O271" s="543"/>
      <c r="P271" s="543"/>
      <c r="Q271" s="543"/>
      <c r="R271" s="544"/>
      <c r="S271" s="545"/>
      <c r="T271" s="608"/>
      <c r="U271" s="3532"/>
      <c r="V271" s="3532"/>
      <c r="W271" s="1023"/>
      <c r="X271" s="1023"/>
      <c r="Y271" s="1023"/>
      <c r="Z271" s="1023"/>
      <c r="AA271" s="1481"/>
      <c r="AB271" s="1023"/>
      <c r="AC271" s="3617"/>
      <c r="AD271" s="521"/>
      <c r="AE271" s="1023"/>
      <c r="AF271" s="1023"/>
      <c r="AG271" s="1481"/>
      <c r="AH271" s="1481"/>
      <c r="AI271" s="1481"/>
      <c r="AJ271" s="1481"/>
      <c r="AK271" s="1481"/>
      <c r="AL271" s="1481"/>
      <c r="AM271" s="1481"/>
      <c r="AN271" s="1481"/>
      <c r="AO271" s="1481"/>
      <c r="AP271" s="1481"/>
      <c r="AQ271" s="1481"/>
      <c r="AR271" s="1481"/>
      <c r="AS271" s="1481"/>
      <c r="AT271" s="1481"/>
      <c r="AU271" s="1481"/>
      <c r="AV271" s="1481"/>
      <c r="AW271" s="1481"/>
      <c r="AX271" s="1481"/>
      <c r="AY271" s="1481"/>
      <c r="AZ271" s="1481"/>
      <c r="BA271" s="1481"/>
      <c r="BB271" s="1481"/>
      <c r="BC271" s="1481"/>
      <c r="BD271" s="1481"/>
      <c r="BE271" s="1481"/>
      <c r="BF271" s="1481"/>
      <c r="BG271" s="1481"/>
      <c r="BH271" s="1481"/>
      <c r="BI271" s="1481"/>
      <c r="BJ271" s="1481"/>
      <c r="BK271" s="1481"/>
      <c r="BL271" s="1481"/>
      <c r="BM271" s="1481"/>
      <c r="BN271" s="1481"/>
      <c r="BO271" s="1481"/>
      <c r="BP271" s="1481"/>
      <c r="BQ271" s="1481"/>
      <c r="BR271" s="1481"/>
      <c r="BS271" s="1481"/>
      <c r="BT271" s="1481"/>
      <c r="BU271" s="1481"/>
      <c r="BV271" s="1023"/>
      <c r="BW271" s="1023"/>
      <c r="BX271" s="1023"/>
      <c r="BY271" s="1023"/>
      <c r="BZ271" s="1023"/>
      <c r="CA271" s="1023"/>
      <c r="CB271" s="1023"/>
      <c r="CC271" s="1023"/>
      <c r="CD271" s="1023"/>
      <c r="CE271" s="1023"/>
    </row>
    <row r="272" spans="1:83" ht="5.25" hidden="1" customHeight="1">
      <c r="A272" s="1636"/>
      <c r="B272" s="1481"/>
      <c r="C272" s="1481"/>
      <c r="D272" s="3622"/>
      <c r="E272" s="909"/>
      <c r="F272" s="909"/>
      <c r="G272" s="909"/>
      <c r="H272" s="909"/>
      <c r="I272" s="909"/>
      <c r="J272" s="909"/>
      <c r="K272" s="909"/>
      <c r="L272" s="909"/>
      <c r="M272" s="909"/>
      <c r="N272" s="909"/>
      <c r="O272" s="909"/>
      <c r="P272" s="909"/>
      <c r="Q272" s="910"/>
      <c r="R272" s="911"/>
      <c r="S272" s="912"/>
      <c r="T272" s="607" t="s">
        <v>877</v>
      </c>
      <c r="U272" s="3532">
        <v>1</v>
      </c>
      <c r="V272" s="3532" t="s">
        <v>840</v>
      </c>
      <c r="W272" s="1481"/>
      <c r="X272" s="1481"/>
      <c r="Y272" s="1481"/>
      <c r="Z272" s="1481"/>
      <c r="AA272" s="1481"/>
      <c r="AB272" s="1481"/>
      <c r="AC272" s="907"/>
      <c r="AD272" s="908"/>
      <c r="AE272" s="1481"/>
      <c r="AF272" s="1481"/>
      <c r="AG272" s="1481"/>
      <c r="AH272" s="1481"/>
      <c r="AI272" s="1481"/>
      <c r="AJ272" s="1481"/>
      <c r="AK272" s="1481"/>
      <c r="AL272" s="1481"/>
      <c r="AM272" s="1481"/>
      <c r="AN272" s="1481"/>
      <c r="AO272" s="1481"/>
      <c r="AP272" s="1481"/>
      <c r="AQ272" s="1481"/>
      <c r="AR272" s="1481"/>
      <c r="AS272" s="1481"/>
      <c r="AT272" s="1481"/>
      <c r="AU272" s="1481"/>
      <c r="AV272" s="1481"/>
      <c r="AW272" s="1481"/>
      <c r="AX272" s="1481"/>
      <c r="AY272" s="1481"/>
      <c r="AZ272" s="1481"/>
      <c r="BA272" s="1481"/>
      <c r="BB272" s="1481"/>
      <c r="BC272" s="1481"/>
      <c r="BD272" s="1481"/>
      <c r="BE272" s="1481"/>
      <c r="BF272" s="1481"/>
      <c r="BG272" s="1481"/>
      <c r="BH272" s="1481"/>
      <c r="BI272" s="1481"/>
      <c r="BJ272" s="1481"/>
      <c r="BK272" s="1481"/>
      <c r="BL272" s="1481"/>
      <c r="BM272" s="1481"/>
      <c r="BN272" s="1481"/>
      <c r="BO272" s="1481"/>
      <c r="BP272" s="1481"/>
      <c r="BQ272" s="1481"/>
      <c r="BR272" s="1481"/>
      <c r="BS272" s="1481"/>
      <c r="BT272" s="1481"/>
      <c r="BU272" s="1481"/>
      <c r="BV272" s="1481"/>
      <c r="BW272" s="1481"/>
      <c r="BX272" s="1481"/>
      <c r="BY272" s="1481"/>
      <c r="BZ272" s="1481"/>
      <c r="CA272" s="1481"/>
      <c r="CB272" s="1481"/>
      <c r="CC272" s="1481"/>
      <c r="CD272" s="1481"/>
      <c r="CE272" s="1481"/>
    </row>
    <row r="273" spans="1:83" ht="5.25" hidden="1" customHeight="1">
      <c r="A273" s="1636"/>
      <c r="B273" s="1481"/>
      <c r="C273" s="1481"/>
      <c r="D273" s="3622"/>
      <c r="E273" s="527"/>
      <c r="F273" s="527"/>
      <c r="G273" s="527"/>
      <c r="H273" s="527"/>
      <c r="I273" s="527"/>
      <c r="J273" s="527"/>
      <c r="K273" s="527"/>
      <c r="L273" s="527"/>
      <c r="M273" s="527"/>
      <c r="N273" s="527"/>
      <c r="O273" s="527"/>
      <c r="P273" s="527"/>
      <c r="Q273" s="527"/>
      <c r="R273" s="527"/>
      <c r="S273" s="528"/>
      <c r="T273" s="608"/>
      <c r="U273" s="3532"/>
      <c r="V273" s="3532"/>
      <c r="W273" s="1481"/>
      <c r="X273" s="1481"/>
      <c r="Y273" s="1481"/>
      <c r="Z273" s="1481"/>
      <c r="AA273" s="1481"/>
      <c r="AB273" s="1481"/>
      <c r="AC273" s="907"/>
      <c r="AD273" s="908"/>
      <c r="AE273" s="1481"/>
      <c r="AF273" s="1481"/>
      <c r="AG273" s="1481"/>
      <c r="AH273" s="1481"/>
      <c r="AI273" s="1481"/>
      <c r="AJ273" s="1481"/>
      <c r="AK273" s="1481"/>
      <c r="AL273" s="1481"/>
      <c r="AM273" s="1481"/>
      <c r="AN273" s="1481"/>
      <c r="AO273" s="1481"/>
      <c r="AP273" s="1481"/>
      <c r="AQ273" s="1481"/>
      <c r="AR273" s="1481"/>
      <c r="AS273" s="1481"/>
      <c r="AT273" s="1481"/>
      <c r="AU273" s="1481"/>
      <c r="AV273" s="1481"/>
      <c r="AW273" s="1481"/>
      <c r="AX273" s="1481"/>
      <c r="AY273" s="1481"/>
      <c r="AZ273" s="1481"/>
      <c r="BA273" s="1481"/>
      <c r="BB273" s="1481"/>
      <c r="BC273" s="1481"/>
      <c r="BD273" s="1481"/>
      <c r="BE273" s="1481"/>
      <c r="BF273" s="1481"/>
      <c r="BG273" s="1481"/>
      <c r="BH273" s="1481"/>
      <c r="BI273" s="1481"/>
      <c r="BJ273" s="1481"/>
      <c r="BK273" s="1481"/>
      <c r="BL273" s="1481"/>
      <c r="BM273" s="1481"/>
      <c r="BN273" s="1481"/>
      <c r="BO273" s="1481"/>
      <c r="BP273" s="1481"/>
      <c r="BQ273" s="1481"/>
      <c r="BR273" s="1481"/>
      <c r="BS273" s="1481"/>
      <c r="BT273" s="1481"/>
      <c r="BU273" s="1481"/>
      <c r="BV273" s="1481"/>
      <c r="BW273" s="1481"/>
      <c r="BX273" s="1481"/>
      <c r="BY273" s="1481"/>
      <c r="BZ273" s="1481"/>
      <c r="CA273" s="1481"/>
      <c r="CB273" s="1481"/>
      <c r="CC273" s="1481"/>
      <c r="CD273" s="1481"/>
      <c r="CE273" s="1481"/>
    </row>
    <row r="274" spans="1:83" ht="5.25" hidden="1" customHeight="1">
      <c r="A274" s="1636"/>
      <c r="B274" s="1481"/>
      <c r="C274" s="1481"/>
      <c r="D274" s="3623"/>
      <c r="E274" s="913"/>
      <c r="F274" s="914"/>
      <c r="G274" s="914"/>
      <c r="H274" s="915"/>
      <c r="I274" s="915"/>
      <c r="J274" s="915"/>
      <c r="K274" s="915"/>
      <c r="L274" s="915"/>
      <c r="M274" s="915"/>
      <c r="N274" s="915"/>
      <c r="O274" s="915"/>
      <c r="P274" s="915"/>
      <c r="Q274" s="915"/>
      <c r="R274" s="818"/>
      <c r="S274" s="916"/>
      <c r="T274" s="608"/>
      <c r="U274" s="3532"/>
      <c r="V274" s="3532"/>
      <c r="W274" s="1481"/>
      <c r="X274" s="1481"/>
      <c r="Y274" s="1481"/>
      <c r="Z274" s="1481"/>
      <c r="AA274" s="1481"/>
      <c r="AB274" s="1481"/>
      <c r="AC274" s="907"/>
      <c r="AD274" s="908"/>
      <c r="AE274" s="1481"/>
      <c r="AF274" s="1481"/>
      <c r="AG274" s="1481"/>
      <c r="AH274" s="1481"/>
      <c r="AI274" s="1481"/>
      <c r="AJ274" s="1481"/>
      <c r="AK274" s="1481"/>
      <c r="AL274" s="1481"/>
      <c r="AM274" s="1481"/>
      <c r="AN274" s="1481"/>
      <c r="AO274" s="1481"/>
      <c r="AP274" s="1481"/>
      <c r="AQ274" s="1481"/>
      <c r="AR274" s="1481"/>
      <c r="AS274" s="1481"/>
      <c r="AT274" s="1481"/>
      <c r="AU274" s="1481"/>
      <c r="AV274" s="1481"/>
      <c r="AW274" s="1481"/>
      <c r="AX274" s="1481"/>
      <c r="AY274" s="1481"/>
      <c r="AZ274" s="1481"/>
      <c r="BA274" s="1481"/>
      <c r="BB274" s="1481"/>
      <c r="BC274" s="1481"/>
      <c r="BD274" s="1481"/>
      <c r="BE274" s="1481"/>
      <c r="BF274" s="1481"/>
      <c r="BG274" s="1481"/>
      <c r="BH274" s="1481"/>
      <c r="BI274" s="1481"/>
      <c r="BJ274" s="1481"/>
      <c r="BK274" s="1481"/>
      <c r="BL274" s="1481"/>
      <c r="BM274" s="1481"/>
      <c r="BN274" s="1481"/>
      <c r="BO274" s="1481"/>
      <c r="BP274" s="1481"/>
      <c r="BQ274" s="1481"/>
      <c r="BR274" s="1481"/>
      <c r="BS274" s="1481"/>
      <c r="BT274" s="1481"/>
      <c r="BU274" s="1481"/>
      <c r="BV274" s="1481"/>
      <c r="BW274" s="1481"/>
      <c r="BX274" s="1481"/>
      <c r="BY274" s="1481"/>
      <c r="BZ274" s="1481"/>
      <c r="CA274" s="1481"/>
      <c r="CB274" s="1481"/>
      <c r="CC274" s="1481"/>
      <c r="CD274" s="1481"/>
      <c r="CE274" s="1481"/>
    </row>
    <row r="275" spans="1:83" ht="15" hidden="1" customHeight="1">
      <c r="A275" s="516" t="s">
        <v>198</v>
      </c>
      <c r="B275"/>
      <c r="C275" t="s">
        <v>18</v>
      </c>
      <c r="D275" s="3621" t="s">
        <v>908</v>
      </c>
      <c r="E275" s="3618" t="s">
        <v>102</v>
      </c>
      <c r="F275" s="3619"/>
      <c r="G275" s="3620"/>
      <c r="H275" s="3614" t="str">
        <f>IF(A275="","",INDEX(DIFFERENTIATION_UNMERGE_VD,MATCH(A275,DIFFERENTIATION_ID_DIFF,0)))</f>
        <v>Производство тепловой энергии. Некомбинированная выработка</v>
      </c>
      <c r="I275" s="3614"/>
      <c r="J275" s="3614"/>
      <c r="K275" s="3614"/>
      <c r="L275" s="3614"/>
      <c r="M275" s="3614"/>
      <c r="N275" s="3614"/>
      <c r="O275" s="3614"/>
      <c r="P275" s="3614"/>
      <c r="Q275" s="3614"/>
      <c r="R275" s="3614"/>
      <c r="S275" s="609"/>
      <c r="T275" s="606"/>
      <c r="U275" s="517"/>
      <c r="V275" s="517"/>
      <c r="W275" s="518"/>
      <c r="X275" s="518"/>
      <c r="Y275" s="518"/>
      <c r="Z275" s="518"/>
      <c r="AA275" s="519"/>
      <c r="AB275" s="520"/>
      <c r="AC275" s="3617"/>
      <c r="AD275" s="521"/>
      <c r="AE275" s="522" t="s">
        <v>18</v>
      </c>
      <c r="AF275" s="522"/>
      <c r="AG275" s="523" t="s">
        <v>874</v>
      </c>
      <c r="AH275" s="524">
        <v>3</v>
      </c>
      <c r="AI275" s="517"/>
      <c r="AJ275" s="517"/>
      <c r="AK275" s="517"/>
      <c r="AL275" s="517"/>
      <c r="AM275" s="517"/>
      <c r="AN275" s="517"/>
      <c r="AO275" s="517"/>
      <c r="AP275" s="517"/>
      <c r="AQ275" s="517"/>
      <c r="AR275" s="517"/>
      <c r="AS275" s="517"/>
      <c r="AT275" s="517"/>
      <c r="AU275" s="517"/>
      <c r="AV275" s="517"/>
      <c r="AW275" s="517"/>
      <c r="AX275" s="517"/>
      <c r="AY275" s="517"/>
      <c r="AZ275" s="517"/>
      <c r="BA275" s="517"/>
      <c r="BB275" s="517"/>
      <c r="BC275" s="517"/>
      <c r="BD275" s="517"/>
      <c r="BE275" s="517"/>
      <c r="BF275" s="517"/>
      <c r="BG275" s="517"/>
      <c r="BH275" s="517"/>
      <c r="BI275" s="517"/>
      <c r="BJ275" s="517"/>
      <c r="BK275" s="517"/>
      <c r="BL275" s="517"/>
      <c r="BM275" s="517"/>
      <c r="BN275" s="517"/>
      <c r="BO275" s="517"/>
      <c r="BP275" s="517"/>
      <c r="BQ275" s="517"/>
      <c r="BR275" s="517"/>
      <c r="BS275" s="517"/>
      <c r="BT275" s="517"/>
      <c r="BU275" s="517"/>
      <c r="BV275" s="518"/>
      <c r="BW275" s="518"/>
      <c r="BX275" s="518"/>
      <c r="BY275" s="518"/>
      <c r="BZ275" s="518"/>
      <c r="CA275" s="518"/>
      <c r="CB275" s="518"/>
      <c r="CC275" s="518"/>
      <c r="CD275" s="518"/>
      <c r="CE275" s="518"/>
    </row>
    <row r="276" spans="1:83" ht="15" hidden="1" customHeight="1">
      <c r="A276" s="516"/>
      <c r="B276"/>
      <c r="C276"/>
      <c r="D276" s="3622"/>
      <c r="E276" s="3618" t="s">
        <v>829</v>
      </c>
      <c r="F276" s="3619"/>
      <c r="G276" s="3620"/>
      <c r="H276" s="3614" t="str">
        <f>IF(A275="","",INDEX(DIFFERENTIATION_UNMERGE_AREA,MATCH(A275,DIFFERENTIATION_ID_DIFF,0)))</f>
        <v>Территория 1</v>
      </c>
      <c r="I276" s="3614"/>
      <c r="J276" s="3614"/>
      <c r="K276" s="3614"/>
      <c r="L276" s="3614"/>
      <c r="M276" s="3614"/>
      <c r="N276" s="3614"/>
      <c r="O276" s="3614"/>
      <c r="P276" s="3614"/>
      <c r="Q276" s="3614"/>
      <c r="R276" s="3614"/>
      <c r="S276" s="609"/>
      <c r="T276" s="606"/>
      <c r="U276" s="517"/>
      <c r="V276" s="517"/>
      <c r="W276" s="518"/>
      <c r="X276" s="518"/>
      <c r="Y276" s="518"/>
      <c r="Z276" s="518"/>
      <c r="AA276" s="519"/>
      <c r="AB276" s="520"/>
      <c r="AC276" s="3617"/>
      <c r="AD276" s="521"/>
      <c r="AE276" s="522"/>
      <c r="AF276" s="522"/>
      <c r="AG276" s="523"/>
      <c r="AH276" s="524"/>
      <c r="AI276" s="517"/>
      <c r="AJ276" s="517"/>
      <c r="AK276" s="517"/>
      <c r="AL276" s="517"/>
      <c r="AM276" s="517"/>
      <c r="AN276" s="517"/>
      <c r="AO276" s="517"/>
      <c r="AP276" s="517"/>
      <c r="AQ276" s="517"/>
      <c r="AR276" s="517"/>
      <c r="AS276" s="517"/>
      <c r="AT276" s="517"/>
      <c r="AU276" s="517"/>
      <c r="AV276" s="517"/>
      <c r="AW276" s="517"/>
      <c r="AX276" s="517"/>
      <c r="AY276" s="517"/>
      <c r="AZ276" s="517"/>
      <c r="BA276" s="517"/>
      <c r="BB276" s="517"/>
      <c r="BC276" s="517"/>
      <c r="BD276" s="517"/>
      <c r="BE276" s="517"/>
      <c r="BF276" s="517"/>
      <c r="BG276" s="517"/>
      <c r="BH276" s="517"/>
      <c r="BI276" s="517"/>
      <c r="BJ276" s="517"/>
      <c r="BK276" s="517"/>
      <c r="BL276" s="517"/>
      <c r="BM276" s="517"/>
      <c r="BN276" s="517"/>
      <c r="BO276" s="517"/>
      <c r="BP276" s="517"/>
      <c r="BQ276" s="517"/>
      <c r="BR276" s="517"/>
      <c r="BS276" s="517"/>
      <c r="BT276" s="517"/>
      <c r="BU276" s="517"/>
      <c r="BV276" s="518"/>
      <c r="BW276" s="518"/>
      <c r="BX276" s="518"/>
      <c r="BY276" s="518"/>
      <c r="BZ276" s="518"/>
      <c r="CA276" s="518"/>
      <c r="CB276" s="518"/>
      <c r="CC276" s="518"/>
      <c r="CD276" s="518"/>
      <c r="CE276" s="518"/>
    </row>
    <row r="277" spans="1:83" ht="15" hidden="1" customHeight="1">
      <c r="A277" s="516"/>
      <c r="B277"/>
      <c r="C277"/>
      <c r="D277" s="3622"/>
      <c r="E277" s="3618" t="s">
        <v>830</v>
      </c>
      <c r="F277" s="3619"/>
      <c r="G277" s="3620"/>
      <c r="H277" s="3614" t="str">
        <f>IF(A275="","",INDEX(DIFFERENTIATION_UNMERGE_SYSTEM,MATCH(A275,DIFFERENTIATION_ID_DIFF,0)))</f>
        <v>Латышских стрелков, 109</v>
      </c>
      <c r="I277" s="3614"/>
      <c r="J277" s="3614"/>
      <c r="K277" s="3614"/>
      <c r="L277" s="3614"/>
      <c r="M277" s="3614"/>
      <c r="N277" s="3614"/>
      <c r="O277" s="3614"/>
      <c r="P277" s="3614"/>
      <c r="Q277" s="3614"/>
      <c r="R277" s="3614"/>
      <c r="S277" s="609"/>
      <c r="T277" s="606"/>
      <c r="U277" s="517"/>
      <c r="V277" s="517"/>
      <c r="W277" s="518"/>
      <c r="X277" s="518"/>
      <c r="Y277" s="518"/>
      <c r="Z277" s="518"/>
      <c r="AA277" s="519"/>
      <c r="AB277" s="520"/>
      <c r="AC277" s="3617"/>
      <c r="AD277" s="521"/>
      <c r="AE277" s="522"/>
      <c r="AF277" s="522"/>
      <c r="AG277" s="523"/>
      <c r="AH277" s="524"/>
      <c r="AI277" s="517"/>
      <c r="AJ277" s="517"/>
      <c r="AK277" s="517"/>
      <c r="AL277" s="517"/>
      <c r="AM277" s="517"/>
      <c r="AN277" s="517"/>
      <c r="AO277" s="517"/>
      <c r="AP277" s="517"/>
      <c r="AQ277" s="517"/>
      <c r="AR277" s="517"/>
      <c r="AS277" s="517"/>
      <c r="AT277" s="517"/>
      <c r="AU277" s="517"/>
      <c r="AV277" s="517"/>
      <c r="AW277" s="517"/>
      <c r="AX277" s="517"/>
      <c r="AY277" s="517"/>
      <c r="AZ277" s="517"/>
      <c r="BA277" s="517"/>
      <c r="BB277" s="517"/>
      <c r="BC277" s="517"/>
      <c r="BD277" s="517"/>
      <c r="BE277" s="517"/>
      <c r="BF277" s="517"/>
      <c r="BG277" s="517"/>
      <c r="BH277" s="517"/>
      <c r="BI277" s="517"/>
      <c r="BJ277" s="517"/>
      <c r="BK277" s="517"/>
      <c r="BL277" s="517"/>
      <c r="BM277" s="517"/>
      <c r="BN277" s="517"/>
      <c r="BO277" s="517"/>
      <c r="BP277" s="517"/>
      <c r="BQ277" s="517"/>
      <c r="BR277" s="517"/>
      <c r="BS277" s="517"/>
      <c r="BT277" s="517"/>
      <c r="BU277" s="517"/>
      <c r="BV277" s="518"/>
      <c r="BW277" s="518"/>
      <c r="BX277" s="518"/>
      <c r="BY277" s="518"/>
      <c r="BZ277" s="518"/>
      <c r="CA277" s="518"/>
      <c r="CB277" s="518"/>
      <c r="CC277" s="518"/>
      <c r="CD277" s="518"/>
      <c r="CE277" s="518"/>
    </row>
    <row r="278" spans="1:83" ht="24.75" hidden="1" customHeight="1">
      <c r="A278" s="1649"/>
      <c r="B278" s="1023"/>
      <c r="C278" s="319"/>
      <c r="D278" s="3622"/>
      <c r="E278" s="3616" t="s">
        <v>875</v>
      </c>
      <c r="F278" s="3616"/>
      <c r="G278" s="3616"/>
      <c r="H278" s="3616"/>
      <c r="I278" s="3616"/>
      <c r="J278" s="3616"/>
      <c r="K278" s="3616"/>
      <c r="L278" s="3616"/>
      <c r="M278" s="3616"/>
      <c r="N278" s="3616"/>
      <c r="O278" s="3616"/>
      <c r="P278" s="3616"/>
      <c r="Q278" s="455">
        <f>SUMIF(T279:T280,"i",Q279:Q280)</f>
        <v>0</v>
      </c>
      <c r="R278" s="887"/>
      <c r="S278" s="1641" t="s">
        <v>876</v>
      </c>
      <c r="T278" s="607" t="s">
        <v>877</v>
      </c>
      <c r="U278" s="3532">
        <v>1</v>
      </c>
      <c r="V278" s="3532" t="s">
        <v>840</v>
      </c>
      <c r="W278" s="1023"/>
      <c r="X278" s="1023"/>
      <c r="Y278" s="1023"/>
      <c r="Z278" s="1023"/>
      <c r="AA278" s="1481"/>
      <c r="AB278" s="1023"/>
      <c r="AC278" s="3617"/>
      <c r="AD278" s="521"/>
      <c r="AE278" s="1023"/>
      <c r="AF278" s="1023"/>
      <c r="AG278" s="1481"/>
      <c r="AH278" s="1481"/>
      <c r="AI278" s="1481"/>
      <c r="AJ278" s="1481"/>
      <c r="AK278" s="1481"/>
      <c r="AL278" s="1481"/>
      <c r="AM278" s="1481"/>
      <c r="AN278" s="1481"/>
      <c r="AO278" s="1481"/>
      <c r="AP278" s="1481"/>
      <c r="AQ278" s="1481"/>
      <c r="AR278" s="1481"/>
      <c r="AS278" s="1481"/>
      <c r="AT278" s="1481"/>
      <c r="AU278" s="1481"/>
      <c r="AV278" s="1481"/>
      <c r="AW278" s="1481"/>
      <c r="AX278" s="1481"/>
      <c r="AY278" s="1481"/>
      <c r="AZ278" s="1481"/>
      <c r="BA278" s="1481"/>
      <c r="BB278" s="1481"/>
      <c r="BC278" s="1481"/>
      <c r="BD278" s="1481"/>
      <c r="BE278" s="1481"/>
      <c r="BF278" s="1481"/>
      <c r="BG278" s="1481"/>
      <c r="BH278" s="1481"/>
      <c r="BI278" s="1481"/>
      <c r="BJ278" s="1481"/>
      <c r="BK278" s="1481"/>
      <c r="BL278" s="1481"/>
      <c r="BM278" s="1481"/>
      <c r="BN278" s="1481"/>
      <c r="BO278" s="1481"/>
      <c r="BP278" s="1481"/>
      <c r="BQ278" s="1481"/>
      <c r="BR278" s="1481"/>
      <c r="BS278" s="1481"/>
      <c r="BT278" s="1481"/>
      <c r="BU278" s="1481"/>
      <c r="BV278" s="1023"/>
      <c r="BW278" s="1023"/>
      <c r="BX278" s="1023"/>
      <c r="BY278" s="1023"/>
      <c r="BZ278" s="1023"/>
      <c r="CA278" s="1023"/>
      <c r="CB278" s="1023"/>
      <c r="CC278" s="1023"/>
      <c r="CD278" s="1023"/>
      <c r="CE278" s="1023"/>
    </row>
    <row r="279" spans="1:83" ht="11.25" hidden="1" customHeight="1">
      <c r="A279" s="1636"/>
      <c r="B279" s="1481"/>
      <c r="C279" s="1481"/>
      <c r="D279" s="3622"/>
      <c r="E279" s="527"/>
      <c r="F279" s="527">
        <v>0</v>
      </c>
      <c r="G279" s="527"/>
      <c r="H279" s="527"/>
      <c r="I279" s="527"/>
      <c r="J279" s="527"/>
      <c r="K279" s="527"/>
      <c r="L279" s="527"/>
      <c r="M279" s="527"/>
      <c r="N279" s="527"/>
      <c r="O279" s="527"/>
      <c r="P279" s="527"/>
      <c r="Q279" s="527"/>
      <c r="R279" s="527"/>
      <c r="S279" s="528"/>
      <c r="T279" s="608"/>
      <c r="U279" s="3532"/>
      <c r="V279" s="3532"/>
      <c r="W279" s="1481"/>
      <c r="X279" s="1481"/>
      <c r="Y279" s="1481"/>
      <c r="Z279" s="1481"/>
      <c r="AA279" s="1481"/>
      <c r="AB279" s="1023"/>
      <c r="AC279" s="3617"/>
      <c r="AD279" s="521"/>
      <c r="AE279" s="1023"/>
      <c r="AF279" s="1023"/>
      <c r="AG279" s="1481"/>
      <c r="AH279" s="1481"/>
      <c r="AI279" s="1481"/>
      <c r="AJ279" s="1481"/>
      <c r="AK279" s="1481"/>
      <c r="AL279" s="1481"/>
      <c r="AM279" s="1481"/>
      <c r="AN279" s="1481"/>
      <c r="AO279" s="1481"/>
      <c r="AP279" s="1481"/>
      <c r="AQ279" s="1481"/>
      <c r="AR279" s="1481"/>
      <c r="AS279" s="1481"/>
      <c r="AT279" s="1481"/>
      <c r="AU279" s="1481"/>
      <c r="AV279" s="1481"/>
      <c r="AW279" s="1481"/>
      <c r="AX279" s="1481"/>
      <c r="AY279" s="1481"/>
      <c r="AZ279" s="1481"/>
      <c r="BA279" s="1481"/>
      <c r="BB279" s="1481"/>
      <c r="BC279" s="1481"/>
      <c r="BD279" s="1481"/>
      <c r="BE279" s="1481"/>
      <c r="BF279" s="1481"/>
      <c r="BG279" s="1481"/>
      <c r="BH279" s="1481"/>
      <c r="BI279" s="1481"/>
      <c r="BJ279" s="1481"/>
      <c r="BK279" s="1481"/>
      <c r="BL279" s="1481"/>
      <c r="BM279" s="1481"/>
      <c r="BN279" s="1481"/>
      <c r="BO279" s="1481"/>
      <c r="BP279" s="1481"/>
      <c r="BQ279" s="1481"/>
      <c r="BR279" s="1481"/>
      <c r="BS279" s="1481"/>
      <c r="BT279" s="1481"/>
      <c r="BU279" s="1481"/>
      <c r="BV279" s="1481"/>
      <c r="BW279" s="1481"/>
      <c r="BX279" s="1481"/>
      <c r="BY279" s="1481"/>
      <c r="BZ279" s="1481"/>
      <c r="CA279" s="1481"/>
      <c r="CB279" s="1481"/>
      <c r="CC279" s="1481"/>
      <c r="CD279" s="1481"/>
      <c r="CE279" s="1481"/>
    </row>
    <row r="280" spans="1:83" ht="11.25" hidden="1" customHeight="1">
      <c r="A280" s="1649"/>
      <c r="B280" s="1023"/>
      <c r="C280" s="319"/>
      <c r="D280" s="3622"/>
      <c r="E280" s="541" t="s">
        <v>18</v>
      </c>
      <c r="F280" s="1031" t="s">
        <v>18</v>
      </c>
      <c r="G280" s="1031" t="s">
        <v>880</v>
      </c>
      <c r="H280" s="543" t="s">
        <v>18</v>
      </c>
      <c r="I280" s="543"/>
      <c r="J280" s="543"/>
      <c r="K280" s="543"/>
      <c r="L280" s="543"/>
      <c r="M280" s="543"/>
      <c r="N280" s="543"/>
      <c r="O280" s="543"/>
      <c r="P280" s="543"/>
      <c r="Q280" s="543"/>
      <c r="R280" s="544"/>
      <c r="S280" s="545"/>
      <c r="T280" s="608"/>
      <c r="U280" s="3532"/>
      <c r="V280" s="3532"/>
      <c r="W280" s="1023"/>
      <c r="X280" s="1023"/>
      <c r="Y280" s="1023"/>
      <c r="Z280" s="1023"/>
      <c r="AA280" s="1481"/>
      <c r="AB280" s="1023"/>
      <c r="AC280" s="3617"/>
      <c r="AD280" s="521"/>
      <c r="AE280" s="1023"/>
      <c r="AF280" s="1023"/>
      <c r="AG280" s="1481"/>
      <c r="AH280" s="1481"/>
      <c r="AI280" s="1481"/>
      <c r="AJ280" s="1481"/>
      <c r="AK280" s="1481"/>
      <c r="AL280" s="1481"/>
      <c r="AM280" s="1481"/>
      <c r="AN280" s="1481"/>
      <c r="AO280" s="1481"/>
      <c r="AP280" s="1481"/>
      <c r="AQ280" s="1481"/>
      <c r="AR280" s="1481"/>
      <c r="AS280" s="1481"/>
      <c r="AT280" s="1481"/>
      <c r="AU280" s="1481"/>
      <c r="AV280" s="1481"/>
      <c r="AW280" s="1481"/>
      <c r="AX280" s="1481"/>
      <c r="AY280" s="1481"/>
      <c r="AZ280" s="1481"/>
      <c r="BA280" s="1481"/>
      <c r="BB280" s="1481"/>
      <c r="BC280" s="1481"/>
      <c r="BD280" s="1481"/>
      <c r="BE280" s="1481"/>
      <c r="BF280" s="1481"/>
      <c r="BG280" s="1481"/>
      <c r="BH280" s="1481"/>
      <c r="BI280" s="1481"/>
      <c r="BJ280" s="1481"/>
      <c r="BK280" s="1481"/>
      <c r="BL280" s="1481"/>
      <c r="BM280" s="1481"/>
      <c r="BN280" s="1481"/>
      <c r="BO280" s="1481"/>
      <c r="BP280" s="1481"/>
      <c r="BQ280" s="1481"/>
      <c r="BR280" s="1481"/>
      <c r="BS280" s="1481"/>
      <c r="BT280" s="1481"/>
      <c r="BU280" s="1481"/>
      <c r="BV280" s="1023"/>
      <c r="BW280" s="1023"/>
      <c r="BX280" s="1023"/>
      <c r="BY280" s="1023"/>
      <c r="BZ280" s="1023"/>
      <c r="CA280" s="1023"/>
      <c r="CB280" s="1023"/>
      <c r="CC280" s="1023"/>
      <c r="CD280" s="1023"/>
      <c r="CE280" s="1023"/>
    </row>
    <row r="281" spans="1:83" ht="5.25" hidden="1" customHeight="1">
      <c r="A281" s="1636"/>
      <c r="B281" s="1481"/>
      <c r="C281" s="1481"/>
      <c r="D281" s="3622"/>
      <c r="E281" s="909"/>
      <c r="F281" s="909"/>
      <c r="G281" s="909"/>
      <c r="H281" s="909"/>
      <c r="I281" s="909"/>
      <c r="J281" s="909"/>
      <c r="K281" s="909"/>
      <c r="L281" s="909"/>
      <c r="M281" s="909"/>
      <c r="N281" s="909"/>
      <c r="O281" s="909"/>
      <c r="P281" s="909"/>
      <c r="Q281" s="910"/>
      <c r="R281" s="911"/>
      <c r="S281" s="912"/>
      <c r="T281" s="607" t="s">
        <v>877</v>
      </c>
      <c r="U281" s="3532">
        <v>1</v>
      </c>
      <c r="V281" s="3532" t="s">
        <v>840</v>
      </c>
      <c r="W281" s="1481"/>
      <c r="X281" s="1481"/>
      <c r="Y281" s="1481"/>
      <c r="Z281" s="1481"/>
      <c r="AA281" s="1481"/>
      <c r="AB281" s="1481"/>
      <c r="AC281" s="907"/>
      <c r="AD281" s="908"/>
      <c r="AE281" s="1481"/>
      <c r="AF281" s="1481"/>
      <c r="AG281" s="1481"/>
      <c r="AH281" s="1481"/>
      <c r="AI281" s="1481"/>
      <c r="AJ281" s="1481"/>
      <c r="AK281" s="1481"/>
      <c r="AL281" s="1481"/>
      <c r="AM281" s="1481"/>
      <c r="AN281" s="1481"/>
      <c r="AO281" s="1481"/>
      <c r="AP281" s="1481"/>
      <c r="AQ281" s="1481"/>
      <c r="AR281" s="1481"/>
      <c r="AS281" s="1481"/>
      <c r="AT281" s="1481"/>
      <c r="AU281" s="1481"/>
      <c r="AV281" s="1481"/>
      <c r="AW281" s="1481"/>
      <c r="AX281" s="1481"/>
      <c r="AY281" s="1481"/>
      <c r="AZ281" s="1481"/>
      <c r="BA281" s="1481"/>
      <c r="BB281" s="1481"/>
      <c r="BC281" s="1481"/>
      <c r="BD281" s="1481"/>
      <c r="BE281" s="1481"/>
      <c r="BF281" s="1481"/>
      <c r="BG281" s="1481"/>
      <c r="BH281" s="1481"/>
      <c r="BI281" s="1481"/>
      <c r="BJ281" s="1481"/>
      <c r="BK281" s="1481"/>
      <c r="BL281" s="1481"/>
      <c r="BM281" s="1481"/>
      <c r="BN281" s="1481"/>
      <c r="BO281" s="1481"/>
      <c r="BP281" s="1481"/>
      <c r="BQ281" s="1481"/>
      <c r="BR281" s="1481"/>
      <c r="BS281" s="1481"/>
      <c r="BT281" s="1481"/>
      <c r="BU281" s="1481"/>
      <c r="BV281" s="1481"/>
      <c r="BW281" s="1481"/>
      <c r="BX281" s="1481"/>
      <c r="BY281" s="1481"/>
      <c r="BZ281" s="1481"/>
      <c r="CA281" s="1481"/>
      <c r="CB281" s="1481"/>
      <c r="CC281" s="1481"/>
      <c r="CD281" s="1481"/>
      <c r="CE281" s="1481"/>
    </row>
    <row r="282" spans="1:83" ht="5.25" hidden="1" customHeight="1">
      <c r="A282" s="1636"/>
      <c r="B282" s="1481"/>
      <c r="C282" s="1481"/>
      <c r="D282" s="3622"/>
      <c r="E282" s="527"/>
      <c r="F282" s="527"/>
      <c r="G282" s="527"/>
      <c r="H282" s="527"/>
      <c r="I282" s="527"/>
      <c r="J282" s="527"/>
      <c r="K282" s="527"/>
      <c r="L282" s="527"/>
      <c r="M282" s="527"/>
      <c r="N282" s="527"/>
      <c r="O282" s="527"/>
      <c r="P282" s="527"/>
      <c r="Q282" s="527"/>
      <c r="R282" s="527"/>
      <c r="S282" s="528"/>
      <c r="T282" s="608"/>
      <c r="U282" s="3532"/>
      <c r="V282" s="3532"/>
      <c r="W282" s="1481"/>
      <c r="X282" s="1481"/>
      <c r="Y282" s="1481"/>
      <c r="Z282" s="1481"/>
      <c r="AA282" s="1481"/>
      <c r="AB282" s="1481"/>
      <c r="AC282" s="907"/>
      <c r="AD282" s="908"/>
      <c r="AE282" s="1481"/>
      <c r="AF282" s="1481"/>
      <c r="AG282" s="1481"/>
      <c r="AH282" s="1481"/>
      <c r="AI282" s="1481"/>
      <c r="AJ282" s="1481"/>
      <c r="AK282" s="1481"/>
      <c r="AL282" s="1481"/>
      <c r="AM282" s="1481"/>
      <c r="AN282" s="1481"/>
      <c r="AO282" s="1481"/>
      <c r="AP282" s="1481"/>
      <c r="AQ282" s="1481"/>
      <c r="AR282" s="1481"/>
      <c r="AS282" s="1481"/>
      <c r="AT282" s="1481"/>
      <c r="AU282" s="1481"/>
      <c r="AV282" s="1481"/>
      <c r="AW282" s="1481"/>
      <c r="AX282" s="1481"/>
      <c r="AY282" s="1481"/>
      <c r="AZ282" s="1481"/>
      <c r="BA282" s="1481"/>
      <c r="BB282" s="1481"/>
      <c r="BC282" s="1481"/>
      <c r="BD282" s="1481"/>
      <c r="BE282" s="1481"/>
      <c r="BF282" s="1481"/>
      <c r="BG282" s="1481"/>
      <c r="BH282" s="1481"/>
      <c r="BI282" s="1481"/>
      <c r="BJ282" s="1481"/>
      <c r="BK282" s="1481"/>
      <c r="BL282" s="1481"/>
      <c r="BM282" s="1481"/>
      <c r="BN282" s="1481"/>
      <c r="BO282" s="1481"/>
      <c r="BP282" s="1481"/>
      <c r="BQ282" s="1481"/>
      <c r="BR282" s="1481"/>
      <c r="BS282" s="1481"/>
      <c r="BT282" s="1481"/>
      <c r="BU282" s="1481"/>
      <c r="BV282" s="1481"/>
      <c r="BW282" s="1481"/>
      <c r="BX282" s="1481"/>
      <c r="BY282" s="1481"/>
      <c r="BZ282" s="1481"/>
      <c r="CA282" s="1481"/>
      <c r="CB282" s="1481"/>
      <c r="CC282" s="1481"/>
      <c r="CD282" s="1481"/>
      <c r="CE282" s="1481"/>
    </row>
    <row r="283" spans="1:83" ht="5.25" hidden="1" customHeight="1">
      <c r="A283" s="1636"/>
      <c r="B283" s="1481"/>
      <c r="C283" s="1481"/>
      <c r="D283" s="3623"/>
      <c r="E283" s="913"/>
      <c r="F283" s="914"/>
      <c r="G283" s="914"/>
      <c r="H283" s="915"/>
      <c r="I283" s="915"/>
      <c r="J283" s="915"/>
      <c r="K283" s="915"/>
      <c r="L283" s="915"/>
      <c r="M283" s="915"/>
      <c r="N283" s="915"/>
      <c r="O283" s="915"/>
      <c r="P283" s="915"/>
      <c r="Q283" s="915"/>
      <c r="R283" s="818"/>
      <c r="S283" s="916"/>
      <c r="T283" s="608"/>
      <c r="U283" s="3532"/>
      <c r="V283" s="3532"/>
      <c r="W283" s="1481"/>
      <c r="X283" s="1481"/>
      <c r="Y283" s="1481"/>
      <c r="Z283" s="1481"/>
      <c r="AA283" s="1481"/>
      <c r="AB283" s="1481"/>
      <c r="AC283" s="907"/>
      <c r="AD283" s="908"/>
      <c r="AE283" s="1481"/>
      <c r="AF283" s="1481"/>
      <c r="AG283" s="1481"/>
      <c r="AH283" s="1481"/>
      <c r="AI283" s="1481"/>
      <c r="AJ283" s="1481"/>
      <c r="AK283" s="1481"/>
      <c r="AL283" s="1481"/>
      <c r="AM283" s="1481"/>
      <c r="AN283" s="1481"/>
      <c r="AO283" s="1481"/>
      <c r="AP283" s="1481"/>
      <c r="AQ283" s="1481"/>
      <c r="AR283" s="1481"/>
      <c r="AS283" s="1481"/>
      <c r="AT283" s="1481"/>
      <c r="AU283" s="1481"/>
      <c r="AV283" s="1481"/>
      <c r="AW283" s="1481"/>
      <c r="AX283" s="1481"/>
      <c r="AY283" s="1481"/>
      <c r="AZ283" s="1481"/>
      <c r="BA283" s="1481"/>
      <c r="BB283" s="1481"/>
      <c r="BC283" s="1481"/>
      <c r="BD283" s="1481"/>
      <c r="BE283" s="1481"/>
      <c r="BF283" s="1481"/>
      <c r="BG283" s="1481"/>
      <c r="BH283" s="1481"/>
      <c r="BI283" s="1481"/>
      <c r="BJ283" s="1481"/>
      <c r="BK283" s="1481"/>
      <c r="BL283" s="1481"/>
      <c r="BM283" s="1481"/>
      <c r="BN283" s="1481"/>
      <c r="BO283" s="1481"/>
      <c r="BP283" s="1481"/>
      <c r="BQ283" s="1481"/>
      <c r="BR283" s="1481"/>
      <c r="BS283" s="1481"/>
      <c r="BT283" s="1481"/>
      <c r="BU283" s="1481"/>
      <c r="BV283" s="1481"/>
      <c r="BW283" s="1481"/>
      <c r="BX283" s="1481"/>
      <c r="BY283" s="1481"/>
      <c r="BZ283" s="1481"/>
      <c r="CA283" s="1481"/>
      <c r="CB283" s="1481"/>
      <c r="CC283" s="1481"/>
      <c r="CD283" s="1481"/>
      <c r="CE283" s="1481"/>
    </row>
    <row r="284" spans="1:83" ht="15" hidden="1" customHeight="1">
      <c r="A284" s="516" t="s">
        <v>201</v>
      </c>
      <c r="B284"/>
      <c r="C284" t="s">
        <v>18</v>
      </c>
      <c r="D284" s="3621" t="s">
        <v>909</v>
      </c>
      <c r="E284" s="3618" t="s">
        <v>102</v>
      </c>
      <c r="F284" s="3619"/>
      <c r="G284" s="3620"/>
      <c r="H284" s="3614" t="str">
        <f>IF(A284="","",INDEX(DIFFERENTIATION_UNMERGE_VD,MATCH(A284,DIFFERENTIATION_ID_DIFF,0)))</f>
        <v>Производство тепловой энергии. Некомбинированная выработка</v>
      </c>
      <c r="I284" s="3614"/>
      <c r="J284" s="3614"/>
      <c r="K284" s="3614"/>
      <c r="L284" s="3614"/>
      <c r="M284" s="3614"/>
      <c r="N284" s="3614"/>
      <c r="O284" s="3614"/>
      <c r="P284" s="3614"/>
      <c r="Q284" s="3614"/>
      <c r="R284" s="3614"/>
      <c r="S284" s="609"/>
      <c r="T284" s="606"/>
      <c r="U284" s="517"/>
      <c r="V284" s="517"/>
      <c r="W284" s="518"/>
      <c r="X284" s="518"/>
      <c r="Y284" s="518"/>
      <c r="Z284" s="518"/>
      <c r="AA284" s="519"/>
      <c r="AB284" s="520"/>
      <c r="AC284" s="3617"/>
      <c r="AD284" s="521"/>
      <c r="AE284" s="522" t="s">
        <v>18</v>
      </c>
      <c r="AF284" s="522"/>
      <c r="AG284" s="523" t="s">
        <v>874</v>
      </c>
      <c r="AH284" s="524">
        <v>3</v>
      </c>
      <c r="AI284" s="517"/>
      <c r="AJ284" s="517"/>
      <c r="AK284" s="517"/>
      <c r="AL284" s="517"/>
      <c r="AM284" s="517"/>
      <c r="AN284" s="517"/>
      <c r="AO284" s="517"/>
      <c r="AP284" s="517"/>
      <c r="AQ284" s="517"/>
      <c r="AR284" s="517"/>
      <c r="AS284" s="517"/>
      <c r="AT284" s="517"/>
      <c r="AU284" s="517"/>
      <c r="AV284" s="517"/>
      <c r="AW284" s="517"/>
      <c r="AX284" s="517"/>
      <c r="AY284" s="517"/>
      <c r="AZ284" s="517"/>
      <c r="BA284" s="517"/>
      <c r="BB284" s="517"/>
      <c r="BC284" s="517"/>
      <c r="BD284" s="517"/>
      <c r="BE284" s="517"/>
      <c r="BF284" s="517"/>
      <c r="BG284" s="517"/>
      <c r="BH284" s="517"/>
      <c r="BI284" s="517"/>
      <c r="BJ284" s="517"/>
      <c r="BK284" s="517"/>
      <c r="BL284" s="517"/>
      <c r="BM284" s="517"/>
      <c r="BN284" s="517"/>
      <c r="BO284" s="517"/>
      <c r="BP284" s="517"/>
      <c r="BQ284" s="517"/>
      <c r="BR284" s="517"/>
      <c r="BS284" s="517"/>
      <c r="BT284" s="517"/>
      <c r="BU284" s="517"/>
      <c r="BV284" s="518"/>
      <c r="BW284" s="518"/>
      <c r="BX284" s="518"/>
      <c r="BY284" s="518"/>
      <c r="BZ284" s="518"/>
      <c r="CA284" s="518"/>
      <c r="CB284" s="518"/>
      <c r="CC284" s="518"/>
      <c r="CD284" s="518"/>
      <c r="CE284" s="518"/>
    </row>
    <row r="285" spans="1:83" ht="15" hidden="1" customHeight="1">
      <c r="A285" s="516"/>
      <c r="B285"/>
      <c r="C285"/>
      <c r="D285" s="3622"/>
      <c r="E285" s="3618" t="s">
        <v>829</v>
      </c>
      <c r="F285" s="3619"/>
      <c r="G285" s="3620"/>
      <c r="H285" s="3614" t="str">
        <f>IF(A284="","",INDEX(DIFFERENTIATION_UNMERGE_AREA,MATCH(A284,DIFFERENTIATION_ID_DIFF,0)))</f>
        <v>Территория 1</v>
      </c>
      <c r="I285" s="3614"/>
      <c r="J285" s="3614"/>
      <c r="K285" s="3614"/>
      <c r="L285" s="3614"/>
      <c r="M285" s="3614"/>
      <c r="N285" s="3614"/>
      <c r="O285" s="3614"/>
      <c r="P285" s="3614"/>
      <c r="Q285" s="3614"/>
      <c r="R285" s="3614"/>
      <c r="S285" s="609"/>
      <c r="T285" s="606"/>
      <c r="U285" s="517"/>
      <c r="V285" s="517"/>
      <c r="W285" s="518"/>
      <c r="X285" s="518"/>
      <c r="Y285" s="518"/>
      <c r="Z285" s="518"/>
      <c r="AA285" s="519"/>
      <c r="AB285" s="520"/>
      <c r="AC285" s="3617"/>
      <c r="AD285" s="521"/>
      <c r="AE285" s="522"/>
      <c r="AF285" s="522"/>
      <c r="AG285" s="523"/>
      <c r="AH285" s="524"/>
      <c r="AI285" s="517"/>
      <c r="AJ285" s="517"/>
      <c r="AK285" s="517"/>
      <c r="AL285" s="517"/>
      <c r="AM285" s="517"/>
      <c r="AN285" s="517"/>
      <c r="AO285" s="517"/>
      <c r="AP285" s="517"/>
      <c r="AQ285" s="517"/>
      <c r="AR285" s="517"/>
      <c r="AS285" s="517"/>
      <c r="AT285" s="517"/>
      <c r="AU285" s="517"/>
      <c r="AV285" s="517"/>
      <c r="AW285" s="517"/>
      <c r="AX285" s="517"/>
      <c r="AY285" s="517"/>
      <c r="AZ285" s="517"/>
      <c r="BA285" s="517"/>
      <c r="BB285" s="517"/>
      <c r="BC285" s="517"/>
      <c r="BD285" s="517"/>
      <c r="BE285" s="517"/>
      <c r="BF285" s="517"/>
      <c r="BG285" s="517"/>
      <c r="BH285" s="517"/>
      <c r="BI285" s="517"/>
      <c r="BJ285" s="517"/>
      <c r="BK285" s="517"/>
      <c r="BL285" s="517"/>
      <c r="BM285" s="517"/>
      <c r="BN285" s="517"/>
      <c r="BO285" s="517"/>
      <c r="BP285" s="517"/>
      <c r="BQ285" s="517"/>
      <c r="BR285" s="517"/>
      <c r="BS285" s="517"/>
      <c r="BT285" s="517"/>
      <c r="BU285" s="517"/>
      <c r="BV285" s="518"/>
      <c r="BW285" s="518"/>
      <c r="BX285" s="518"/>
      <c r="BY285" s="518"/>
      <c r="BZ285" s="518"/>
      <c r="CA285" s="518"/>
      <c r="CB285" s="518"/>
      <c r="CC285" s="518"/>
      <c r="CD285" s="518"/>
      <c r="CE285" s="518"/>
    </row>
    <row r="286" spans="1:83" ht="15" hidden="1" customHeight="1">
      <c r="A286" s="516"/>
      <c r="B286"/>
      <c r="C286"/>
      <c r="D286" s="3622"/>
      <c r="E286" s="3618" t="s">
        <v>830</v>
      </c>
      <c r="F286" s="3619"/>
      <c r="G286" s="3620"/>
      <c r="H286" s="3614" t="str">
        <f>IF(A284="","",INDEX(DIFFERENTIATION_UNMERGE_SYSTEM,MATCH(A284,DIFFERENTIATION_ID_DIFF,0)))</f>
        <v>Левый берег р. Оки,23</v>
      </c>
      <c r="I286" s="3614"/>
      <c r="J286" s="3614"/>
      <c r="K286" s="3614"/>
      <c r="L286" s="3614"/>
      <c r="M286" s="3614"/>
      <c r="N286" s="3614"/>
      <c r="O286" s="3614"/>
      <c r="P286" s="3614"/>
      <c r="Q286" s="3614"/>
      <c r="R286" s="3614"/>
      <c r="S286" s="609"/>
      <c r="T286" s="606"/>
      <c r="U286" s="517"/>
      <c r="V286" s="517"/>
      <c r="W286" s="518"/>
      <c r="X286" s="518"/>
      <c r="Y286" s="518"/>
      <c r="Z286" s="518"/>
      <c r="AA286" s="519"/>
      <c r="AB286" s="520"/>
      <c r="AC286" s="3617"/>
      <c r="AD286" s="521"/>
      <c r="AE286" s="522"/>
      <c r="AF286" s="522"/>
      <c r="AG286" s="523"/>
      <c r="AH286" s="524"/>
      <c r="AI286" s="517"/>
      <c r="AJ286" s="517"/>
      <c r="AK286" s="517"/>
      <c r="AL286" s="517"/>
      <c r="AM286" s="517"/>
      <c r="AN286" s="517"/>
      <c r="AO286" s="517"/>
      <c r="AP286" s="517"/>
      <c r="AQ286" s="517"/>
      <c r="AR286" s="517"/>
      <c r="AS286" s="517"/>
      <c r="AT286" s="517"/>
      <c r="AU286" s="517"/>
      <c r="AV286" s="517"/>
      <c r="AW286" s="517"/>
      <c r="AX286" s="517"/>
      <c r="AY286" s="517"/>
      <c r="AZ286" s="517"/>
      <c r="BA286" s="517"/>
      <c r="BB286" s="517"/>
      <c r="BC286" s="517"/>
      <c r="BD286" s="517"/>
      <c r="BE286" s="517"/>
      <c r="BF286" s="517"/>
      <c r="BG286" s="517"/>
      <c r="BH286" s="517"/>
      <c r="BI286" s="517"/>
      <c r="BJ286" s="517"/>
      <c r="BK286" s="517"/>
      <c r="BL286" s="517"/>
      <c r="BM286" s="517"/>
      <c r="BN286" s="517"/>
      <c r="BO286" s="517"/>
      <c r="BP286" s="517"/>
      <c r="BQ286" s="517"/>
      <c r="BR286" s="517"/>
      <c r="BS286" s="517"/>
      <c r="BT286" s="517"/>
      <c r="BU286" s="517"/>
      <c r="BV286" s="518"/>
      <c r="BW286" s="518"/>
      <c r="BX286" s="518"/>
      <c r="BY286" s="518"/>
      <c r="BZ286" s="518"/>
      <c r="CA286" s="518"/>
      <c r="CB286" s="518"/>
      <c r="CC286" s="518"/>
      <c r="CD286" s="518"/>
      <c r="CE286" s="518"/>
    </row>
    <row r="287" spans="1:83" ht="24.75" hidden="1" customHeight="1">
      <c r="A287" s="1649"/>
      <c r="B287" s="1023"/>
      <c r="C287" s="319"/>
      <c r="D287" s="3622"/>
      <c r="E287" s="3616" t="s">
        <v>875</v>
      </c>
      <c r="F287" s="3616"/>
      <c r="G287" s="3616"/>
      <c r="H287" s="3616"/>
      <c r="I287" s="3616"/>
      <c r="J287" s="3616"/>
      <c r="K287" s="3616"/>
      <c r="L287" s="3616"/>
      <c r="M287" s="3616"/>
      <c r="N287" s="3616"/>
      <c r="O287" s="3616"/>
      <c r="P287" s="3616"/>
      <c r="Q287" s="455">
        <f>SUMIF(T288:T289,"i",Q288:Q289)</f>
        <v>0</v>
      </c>
      <c r="R287" s="887"/>
      <c r="S287" s="1641" t="s">
        <v>876</v>
      </c>
      <c r="T287" s="607" t="s">
        <v>877</v>
      </c>
      <c r="U287" s="3532">
        <v>1</v>
      </c>
      <c r="V287" s="3532" t="s">
        <v>840</v>
      </c>
      <c r="W287" s="1023"/>
      <c r="X287" s="1023"/>
      <c r="Y287" s="1023"/>
      <c r="Z287" s="1023"/>
      <c r="AA287" s="1481"/>
      <c r="AB287" s="1023"/>
      <c r="AC287" s="3617"/>
      <c r="AD287" s="521"/>
      <c r="AE287" s="1023"/>
      <c r="AF287" s="1023"/>
      <c r="AG287" s="1481"/>
      <c r="AH287" s="1481"/>
      <c r="AI287" s="1481"/>
      <c r="AJ287" s="1481"/>
      <c r="AK287" s="1481"/>
      <c r="AL287" s="1481"/>
      <c r="AM287" s="1481"/>
      <c r="AN287" s="1481"/>
      <c r="AO287" s="1481"/>
      <c r="AP287" s="1481"/>
      <c r="AQ287" s="1481"/>
      <c r="AR287" s="1481"/>
      <c r="AS287" s="1481"/>
      <c r="AT287" s="1481"/>
      <c r="AU287" s="1481"/>
      <c r="AV287" s="1481"/>
      <c r="AW287" s="1481"/>
      <c r="AX287" s="1481"/>
      <c r="AY287" s="1481"/>
      <c r="AZ287" s="1481"/>
      <c r="BA287" s="1481"/>
      <c r="BB287" s="1481"/>
      <c r="BC287" s="1481"/>
      <c r="BD287" s="1481"/>
      <c r="BE287" s="1481"/>
      <c r="BF287" s="1481"/>
      <c r="BG287" s="1481"/>
      <c r="BH287" s="1481"/>
      <c r="BI287" s="1481"/>
      <c r="BJ287" s="1481"/>
      <c r="BK287" s="1481"/>
      <c r="BL287" s="1481"/>
      <c r="BM287" s="1481"/>
      <c r="BN287" s="1481"/>
      <c r="BO287" s="1481"/>
      <c r="BP287" s="1481"/>
      <c r="BQ287" s="1481"/>
      <c r="BR287" s="1481"/>
      <c r="BS287" s="1481"/>
      <c r="BT287" s="1481"/>
      <c r="BU287" s="1481"/>
      <c r="BV287" s="1023"/>
      <c r="BW287" s="1023"/>
      <c r="BX287" s="1023"/>
      <c r="BY287" s="1023"/>
      <c r="BZ287" s="1023"/>
      <c r="CA287" s="1023"/>
      <c r="CB287" s="1023"/>
      <c r="CC287" s="1023"/>
      <c r="CD287" s="1023"/>
      <c r="CE287" s="1023"/>
    </row>
    <row r="288" spans="1:83" ht="11.25" hidden="1" customHeight="1">
      <c r="A288" s="1636"/>
      <c r="B288" s="1481"/>
      <c r="C288" s="1481"/>
      <c r="D288" s="3622"/>
      <c r="E288" s="527"/>
      <c r="F288" s="527">
        <v>0</v>
      </c>
      <c r="G288" s="527"/>
      <c r="H288" s="527"/>
      <c r="I288" s="527"/>
      <c r="J288" s="527"/>
      <c r="K288" s="527"/>
      <c r="L288" s="527"/>
      <c r="M288" s="527"/>
      <c r="N288" s="527"/>
      <c r="O288" s="527"/>
      <c r="P288" s="527"/>
      <c r="Q288" s="527"/>
      <c r="R288" s="527"/>
      <c r="S288" s="528"/>
      <c r="T288" s="608"/>
      <c r="U288" s="3532"/>
      <c r="V288" s="3532"/>
      <c r="W288" s="1481"/>
      <c r="X288" s="1481"/>
      <c r="Y288" s="1481"/>
      <c r="Z288" s="1481"/>
      <c r="AA288" s="1481"/>
      <c r="AB288" s="1023"/>
      <c r="AC288" s="3617"/>
      <c r="AD288" s="521"/>
      <c r="AE288" s="1023"/>
      <c r="AF288" s="1023"/>
      <c r="AG288" s="1481"/>
      <c r="AH288" s="1481"/>
      <c r="AI288" s="1481"/>
      <c r="AJ288" s="1481"/>
      <c r="AK288" s="1481"/>
      <c r="AL288" s="1481"/>
      <c r="AM288" s="1481"/>
      <c r="AN288" s="1481"/>
      <c r="AO288" s="1481"/>
      <c r="AP288" s="1481"/>
      <c r="AQ288" s="1481"/>
      <c r="AR288" s="1481"/>
      <c r="AS288" s="1481"/>
      <c r="AT288" s="1481"/>
      <c r="AU288" s="1481"/>
      <c r="AV288" s="1481"/>
      <c r="AW288" s="1481"/>
      <c r="AX288" s="1481"/>
      <c r="AY288" s="1481"/>
      <c r="AZ288" s="1481"/>
      <c r="BA288" s="1481"/>
      <c r="BB288" s="1481"/>
      <c r="BC288" s="1481"/>
      <c r="BD288" s="1481"/>
      <c r="BE288" s="1481"/>
      <c r="BF288" s="1481"/>
      <c r="BG288" s="1481"/>
      <c r="BH288" s="1481"/>
      <c r="BI288" s="1481"/>
      <c r="BJ288" s="1481"/>
      <c r="BK288" s="1481"/>
      <c r="BL288" s="1481"/>
      <c r="BM288" s="1481"/>
      <c r="BN288" s="1481"/>
      <c r="BO288" s="1481"/>
      <c r="BP288" s="1481"/>
      <c r="BQ288" s="1481"/>
      <c r="BR288" s="1481"/>
      <c r="BS288" s="1481"/>
      <c r="BT288" s="1481"/>
      <c r="BU288" s="1481"/>
      <c r="BV288" s="1481"/>
      <c r="BW288" s="1481"/>
      <c r="BX288" s="1481"/>
      <c r="BY288" s="1481"/>
      <c r="BZ288" s="1481"/>
      <c r="CA288" s="1481"/>
      <c r="CB288" s="1481"/>
      <c r="CC288" s="1481"/>
      <c r="CD288" s="1481"/>
      <c r="CE288" s="1481"/>
    </row>
    <row r="289" spans="1:83" ht="11.25" hidden="1" customHeight="1">
      <c r="A289" s="1649"/>
      <c r="B289" s="1023"/>
      <c r="C289" s="319"/>
      <c r="D289" s="3622"/>
      <c r="E289" s="541" t="s">
        <v>18</v>
      </c>
      <c r="F289" s="1031" t="s">
        <v>18</v>
      </c>
      <c r="G289" s="1031" t="s">
        <v>880</v>
      </c>
      <c r="H289" s="543" t="s">
        <v>18</v>
      </c>
      <c r="I289" s="543"/>
      <c r="J289" s="543"/>
      <c r="K289" s="543"/>
      <c r="L289" s="543"/>
      <c r="M289" s="543"/>
      <c r="N289" s="543"/>
      <c r="O289" s="543"/>
      <c r="P289" s="543"/>
      <c r="Q289" s="543"/>
      <c r="R289" s="544"/>
      <c r="S289" s="545"/>
      <c r="T289" s="608"/>
      <c r="U289" s="3532"/>
      <c r="V289" s="3532"/>
      <c r="W289" s="1023"/>
      <c r="X289" s="1023"/>
      <c r="Y289" s="1023"/>
      <c r="Z289" s="1023"/>
      <c r="AA289" s="1481"/>
      <c r="AB289" s="1023"/>
      <c r="AC289" s="3617"/>
      <c r="AD289" s="521"/>
      <c r="AE289" s="1023"/>
      <c r="AF289" s="1023"/>
      <c r="AG289" s="1481"/>
      <c r="AH289" s="1481"/>
      <c r="AI289" s="1481"/>
      <c r="AJ289" s="1481"/>
      <c r="AK289" s="1481"/>
      <c r="AL289" s="1481"/>
      <c r="AM289" s="1481"/>
      <c r="AN289" s="1481"/>
      <c r="AO289" s="1481"/>
      <c r="AP289" s="1481"/>
      <c r="AQ289" s="1481"/>
      <c r="AR289" s="1481"/>
      <c r="AS289" s="1481"/>
      <c r="AT289" s="1481"/>
      <c r="AU289" s="1481"/>
      <c r="AV289" s="1481"/>
      <c r="AW289" s="1481"/>
      <c r="AX289" s="1481"/>
      <c r="AY289" s="1481"/>
      <c r="AZ289" s="1481"/>
      <c r="BA289" s="1481"/>
      <c r="BB289" s="1481"/>
      <c r="BC289" s="1481"/>
      <c r="BD289" s="1481"/>
      <c r="BE289" s="1481"/>
      <c r="BF289" s="1481"/>
      <c r="BG289" s="1481"/>
      <c r="BH289" s="1481"/>
      <c r="BI289" s="1481"/>
      <c r="BJ289" s="1481"/>
      <c r="BK289" s="1481"/>
      <c r="BL289" s="1481"/>
      <c r="BM289" s="1481"/>
      <c r="BN289" s="1481"/>
      <c r="BO289" s="1481"/>
      <c r="BP289" s="1481"/>
      <c r="BQ289" s="1481"/>
      <c r="BR289" s="1481"/>
      <c r="BS289" s="1481"/>
      <c r="BT289" s="1481"/>
      <c r="BU289" s="1481"/>
      <c r="BV289" s="1023"/>
      <c r="BW289" s="1023"/>
      <c r="BX289" s="1023"/>
      <c r="BY289" s="1023"/>
      <c r="BZ289" s="1023"/>
      <c r="CA289" s="1023"/>
      <c r="CB289" s="1023"/>
      <c r="CC289" s="1023"/>
      <c r="CD289" s="1023"/>
      <c r="CE289" s="1023"/>
    </row>
    <row r="290" spans="1:83" ht="5.25" hidden="1" customHeight="1">
      <c r="A290" s="1636"/>
      <c r="B290" s="1481"/>
      <c r="C290" s="1481"/>
      <c r="D290" s="3622"/>
      <c r="E290" s="909"/>
      <c r="F290" s="909"/>
      <c r="G290" s="909"/>
      <c r="H290" s="909"/>
      <c r="I290" s="909"/>
      <c r="J290" s="909"/>
      <c r="K290" s="909"/>
      <c r="L290" s="909"/>
      <c r="M290" s="909"/>
      <c r="N290" s="909"/>
      <c r="O290" s="909"/>
      <c r="P290" s="909"/>
      <c r="Q290" s="910"/>
      <c r="R290" s="911"/>
      <c r="S290" s="912"/>
      <c r="T290" s="607" t="s">
        <v>877</v>
      </c>
      <c r="U290" s="3532">
        <v>1</v>
      </c>
      <c r="V290" s="3532" t="s">
        <v>840</v>
      </c>
      <c r="W290" s="1481"/>
      <c r="X290" s="1481"/>
      <c r="Y290" s="1481"/>
      <c r="Z290" s="1481"/>
      <c r="AA290" s="1481"/>
      <c r="AB290" s="1481"/>
      <c r="AC290" s="907"/>
      <c r="AD290" s="908"/>
      <c r="AE290" s="1481"/>
      <c r="AF290" s="1481"/>
      <c r="AG290" s="1481"/>
      <c r="AH290" s="1481"/>
      <c r="AI290" s="1481"/>
      <c r="AJ290" s="1481"/>
      <c r="AK290" s="1481"/>
      <c r="AL290" s="1481"/>
      <c r="AM290" s="1481"/>
      <c r="AN290" s="1481"/>
      <c r="AO290" s="1481"/>
      <c r="AP290" s="1481"/>
      <c r="AQ290" s="1481"/>
      <c r="AR290" s="1481"/>
      <c r="AS290" s="1481"/>
      <c r="AT290" s="1481"/>
      <c r="AU290" s="1481"/>
      <c r="AV290" s="1481"/>
      <c r="AW290" s="1481"/>
      <c r="AX290" s="1481"/>
      <c r="AY290" s="1481"/>
      <c r="AZ290" s="1481"/>
      <c r="BA290" s="1481"/>
      <c r="BB290" s="1481"/>
      <c r="BC290" s="1481"/>
      <c r="BD290" s="1481"/>
      <c r="BE290" s="1481"/>
      <c r="BF290" s="1481"/>
      <c r="BG290" s="1481"/>
      <c r="BH290" s="1481"/>
      <c r="BI290" s="1481"/>
      <c r="BJ290" s="1481"/>
      <c r="BK290" s="1481"/>
      <c r="BL290" s="1481"/>
      <c r="BM290" s="1481"/>
      <c r="BN290" s="1481"/>
      <c r="BO290" s="1481"/>
      <c r="BP290" s="1481"/>
      <c r="BQ290" s="1481"/>
      <c r="BR290" s="1481"/>
      <c r="BS290" s="1481"/>
      <c r="BT290" s="1481"/>
      <c r="BU290" s="1481"/>
      <c r="BV290" s="1481"/>
      <c r="BW290" s="1481"/>
      <c r="BX290" s="1481"/>
      <c r="BY290" s="1481"/>
      <c r="BZ290" s="1481"/>
      <c r="CA290" s="1481"/>
      <c r="CB290" s="1481"/>
      <c r="CC290" s="1481"/>
      <c r="CD290" s="1481"/>
      <c r="CE290" s="1481"/>
    </row>
    <row r="291" spans="1:83" ht="5.25" hidden="1" customHeight="1">
      <c r="A291" s="1636"/>
      <c r="B291" s="1481"/>
      <c r="C291" s="1481"/>
      <c r="D291" s="3622"/>
      <c r="E291" s="527"/>
      <c r="F291" s="527"/>
      <c r="G291" s="527"/>
      <c r="H291" s="527"/>
      <c r="I291" s="527"/>
      <c r="J291" s="527"/>
      <c r="K291" s="527"/>
      <c r="L291" s="527"/>
      <c r="M291" s="527"/>
      <c r="N291" s="527"/>
      <c r="O291" s="527"/>
      <c r="P291" s="527"/>
      <c r="Q291" s="527"/>
      <c r="R291" s="527"/>
      <c r="S291" s="528"/>
      <c r="T291" s="608"/>
      <c r="U291" s="3532"/>
      <c r="V291" s="3532"/>
      <c r="W291" s="1481"/>
      <c r="X291" s="1481"/>
      <c r="Y291" s="1481"/>
      <c r="Z291" s="1481"/>
      <c r="AA291" s="1481"/>
      <c r="AB291" s="1481"/>
      <c r="AC291" s="907"/>
      <c r="AD291" s="908"/>
      <c r="AE291" s="1481"/>
      <c r="AF291" s="1481"/>
      <c r="AG291" s="1481"/>
      <c r="AH291" s="1481"/>
      <c r="AI291" s="1481"/>
      <c r="AJ291" s="1481"/>
      <c r="AK291" s="1481"/>
      <c r="AL291" s="1481"/>
      <c r="AM291" s="1481"/>
      <c r="AN291" s="1481"/>
      <c r="AO291" s="1481"/>
      <c r="AP291" s="1481"/>
      <c r="AQ291" s="1481"/>
      <c r="AR291" s="1481"/>
      <c r="AS291" s="1481"/>
      <c r="AT291" s="1481"/>
      <c r="AU291" s="1481"/>
      <c r="AV291" s="1481"/>
      <c r="AW291" s="1481"/>
      <c r="AX291" s="1481"/>
      <c r="AY291" s="1481"/>
      <c r="AZ291" s="1481"/>
      <c r="BA291" s="1481"/>
      <c r="BB291" s="1481"/>
      <c r="BC291" s="1481"/>
      <c r="BD291" s="1481"/>
      <c r="BE291" s="1481"/>
      <c r="BF291" s="1481"/>
      <c r="BG291" s="1481"/>
      <c r="BH291" s="1481"/>
      <c r="BI291" s="1481"/>
      <c r="BJ291" s="1481"/>
      <c r="BK291" s="1481"/>
      <c r="BL291" s="1481"/>
      <c r="BM291" s="1481"/>
      <c r="BN291" s="1481"/>
      <c r="BO291" s="1481"/>
      <c r="BP291" s="1481"/>
      <c r="BQ291" s="1481"/>
      <c r="BR291" s="1481"/>
      <c r="BS291" s="1481"/>
      <c r="BT291" s="1481"/>
      <c r="BU291" s="1481"/>
      <c r="BV291" s="1481"/>
      <c r="BW291" s="1481"/>
      <c r="BX291" s="1481"/>
      <c r="BY291" s="1481"/>
      <c r="BZ291" s="1481"/>
      <c r="CA291" s="1481"/>
      <c r="CB291" s="1481"/>
      <c r="CC291" s="1481"/>
      <c r="CD291" s="1481"/>
      <c r="CE291" s="1481"/>
    </row>
    <row r="292" spans="1:83" ht="5.25" hidden="1" customHeight="1">
      <c r="A292" s="1636"/>
      <c r="B292" s="1481"/>
      <c r="C292" s="1481"/>
      <c r="D292" s="3623"/>
      <c r="E292" s="913"/>
      <c r="F292" s="914"/>
      <c r="G292" s="914"/>
      <c r="H292" s="915"/>
      <c r="I292" s="915"/>
      <c r="J292" s="915"/>
      <c r="K292" s="915"/>
      <c r="L292" s="915"/>
      <c r="M292" s="915"/>
      <c r="N292" s="915"/>
      <c r="O292" s="915"/>
      <c r="P292" s="915"/>
      <c r="Q292" s="915"/>
      <c r="R292" s="818"/>
      <c r="S292" s="916"/>
      <c r="T292" s="608"/>
      <c r="U292" s="3532"/>
      <c r="V292" s="3532"/>
      <c r="W292" s="1481"/>
      <c r="X292" s="1481"/>
      <c r="Y292" s="1481"/>
      <c r="Z292" s="1481"/>
      <c r="AA292" s="1481"/>
      <c r="AB292" s="1481"/>
      <c r="AC292" s="907"/>
      <c r="AD292" s="908"/>
      <c r="AE292" s="1481"/>
      <c r="AF292" s="1481"/>
      <c r="AG292" s="1481"/>
      <c r="AH292" s="1481"/>
      <c r="AI292" s="1481"/>
      <c r="AJ292" s="1481"/>
      <c r="AK292" s="1481"/>
      <c r="AL292" s="1481"/>
      <c r="AM292" s="1481"/>
      <c r="AN292" s="1481"/>
      <c r="AO292" s="1481"/>
      <c r="AP292" s="1481"/>
      <c r="AQ292" s="1481"/>
      <c r="AR292" s="1481"/>
      <c r="AS292" s="1481"/>
      <c r="AT292" s="1481"/>
      <c r="AU292" s="1481"/>
      <c r="AV292" s="1481"/>
      <c r="AW292" s="1481"/>
      <c r="AX292" s="1481"/>
      <c r="AY292" s="1481"/>
      <c r="AZ292" s="1481"/>
      <c r="BA292" s="1481"/>
      <c r="BB292" s="1481"/>
      <c r="BC292" s="1481"/>
      <c r="BD292" s="1481"/>
      <c r="BE292" s="1481"/>
      <c r="BF292" s="1481"/>
      <c r="BG292" s="1481"/>
      <c r="BH292" s="1481"/>
      <c r="BI292" s="1481"/>
      <c r="BJ292" s="1481"/>
      <c r="BK292" s="1481"/>
      <c r="BL292" s="1481"/>
      <c r="BM292" s="1481"/>
      <c r="BN292" s="1481"/>
      <c r="BO292" s="1481"/>
      <c r="BP292" s="1481"/>
      <c r="BQ292" s="1481"/>
      <c r="BR292" s="1481"/>
      <c r="BS292" s="1481"/>
      <c r="BT292" s="1481"/>
      <c r="BU292" s="1481"/>
      <c r="BV292" s="1481"/>
      <c r="BW292" s="1481"/>
      <c r="BX292" s="1481"/>
      <c r="BY292" s="1481"/>
      <c r="BZ292" s="1481"/>
      <c r="CA292" s="1481"/>
      <c r="CB292" s="1481"/>
      <c r="CC292" s="1481"/>
      <c r="CD292" s="1481"/>
      <c r="CE292" s="1481"/>
    </row>
    <row r="293" spans="1:83" ht="15" hidden="1" customHeight="1">
      <c r="A293" s="516" t="s">
        <v>204</v>
      </c>
      <c r="B293"/>
      <c r="C293" t="s">
        <v>18</v>
      </c>
      <c r="D293" s="3621" t="s">
        <v>910</v>
      </c>
      <c r="E293" s="3618" t="s">
        <v>102</v>
      </c>
      <c r="F293" s="3619"/>
      <c r="G293" s="3620"/>
      <c r="H293" s="3614" t="str">
        <f>IF(A293="","",INDEX(DIFFERENTIATION_UNMERGE_VD,MATCH(A293,DIFFERENTIATION_ID_DIFF,0)))</f>
        <v>Производство тепловой энергии. Некомбинированная выработка</v>
      </c>
      <c r="I293" s="3614"/>
      <c r="J293" s="3614"/>
      <c r="K293" s="3614"/>
      <c r="L293" s="3614"/>
      <c r="M293" s="3614"/>
      <c r="N293" s="3614"/>
      <c r="O293" s="3614"/>
      <c r="P293" s="3614"/>
      <c r="Q293" s="3614"/>
      <c r="R293" s="3614"/>
      <c r="S293" s="609"/>
      <c r="T293" s="606"/>
      <c r="U293" s="517"/>
      <c r="V293" s="517"/>
      <c r="W293" s="518"/>
      <c r="X293" s="518"/>
      <c r="Y293" s="518"/>
      <c r="Z293" s="518"/>
      <c r="AA293" s="519"/>
      <c r="AB293" s="520"/>
      <c r="AC293" s="3617"/>
      <c r="AD293" s="521"/>
      <c r="AE293" s="522" t="s">
        <v>18</v>
      </c>
      <c r="AF293" s="522"/>
      <c r="AG293" s="523" t="s">
        <v>874</v>
      </c>
      <c r="AH293" s="524">
        <v>3</v>
      </c>
      <c r="AI293" s="517"/>
      <c r="AJ293" s="517"/>
      <c r="AK293" s="517"/>
      <c r="AL293" s="517"/>
      <c r="AM293" s="517"/>
      <c r="AN293" s="517"/>
      <c r="AO293" s="517"/>
      <c r="AP293" s="517"/>
      <c r="AQ293" s="517"/>
      <c r="AR293" s="517"/>
      <c r="AS293" s="517"/>
      <c r="AT293" s="517"/>
      <c r="AU293" s="517"/>
      <c r="AV293" s="517"/>
      <c r="AW293" s="517"/>
      <c r="AX293" s="517"/>
      <c r="AY293" s="517"/>
      <c r="AZ293" s="517"/>
      <c r="BA293" s="517"/>
      <c r="BB293" s="517"/>
      <c r="BC293" s="517"/>
      <c r="BD293" s="517"/>
      <c r="BE293" s="517"/>
      <c r="BF293" s="517"/>
      <c r="BG293" s="517"/>
      <c r="BH293" s="517"/>
      <c r="BI293" s="517"/>
      <c r="BJ293" s="517"/>
      <c r="BK293" s="517"/>
      <c r="BL293" s="517"/>
      <c r="BM293" s="517"/>
      <c r="BN293" s="517"/>
      <c r="BO293" s="517"/>
      <c r="BP293" s="517"/>
      <c r="BQ293" s="517"/>
      <c r="BR293" s="517"/>
      <c r="BS293" s="517"/>
      <c r="BT293" s="517"/>
      <c r="BU293" s="517"/>
      <c r="BV293" s="518"/>
      <c r="BW293" s="518"/>
      <c r="BX293" s="518"/>
      <c r="BY293" s="518"/>
      <c r="BZ293" s="518"/>
      <c r="CA293" s="518"/>
      <c r="CB293" s="518"/>
      <c r="CC293" s="518"/>
      <c r="CD293" s="518"/>
      <c r="CE293" s="518"/>
    </row>
    <row r="294" spans="1:83" ht="15" hidden="1" customHeight="1">
      <c r="A294" s="516"/>
      <c r="B294"/>
      <c r="C294"/>
      <c r="D294" s="3622"/>
      <c r="E294" s="3618" t="s">
        <v>829</v>
      </c>
      <c r="F294" s="3619"/>
      <c r="G294" s="3620"/>
      <c r="H294" s="3614" t="str">
        <f>IF(A293="","",INDEX(DIFFERENTIATION_UNMERGE_AREA,MATCH(A293,DIFFERENTIATION_ID_DIFF,0)))</f>
        <v>Территория 1</v>
      </c>
      <c r="I294" s="3614"/>
      <c r="J294" s="3614"/>
      <c r="K294" s="3614"/>
      <c r="L294" s="3614"/>
      <c r="M294" s="3614"/>
      <c r="N294" s="3614"/>
      <c r="O294" s="3614"/>
      <c r="P294" s="3614"/>
      <c r="Q294" s="3614"/>
      <c r="R294" s="3614"/>
      <c r="S294" s="609"/>
      <c r="T294" s="606"/>
      <c r="U294" s="517"/>
      <c r="V294" s="517"/>
      <c r="W294" s="518"/>
      <c r="X294" s="518"/>
      <c r="Y294" s="518"/>
      <c r="Z294" s="518"/>
      <c r="AA294" s="519"/>
      <c r="AB294" s="520"/>
      <c r="AC294" s="3617"/>
      <c r="AD294" s="521"/>
      <c r="AE294" s="522"/>
      <c r="AF294" s="522"/>
      <c r="AG294" s="523"/>
      <c r="AH294" s="524"/>
      <c r="AI294" s="517"/>
      <c r="AJ294" s="517"/>
      <c r="AK294" s="517"/>
      <c r="AL294" s="517"/>
      <c r="AM294" s="517"/>
      <c r="AN294" s="517"/>
      <c r="AO294" s="517"/>
      <c r="AP294" s="517"/>
      <c r="AQ294" s="517"/>
      <c r="AR294" s="517"/>
      <c r="AS294" s="517"/>
      <c r="AT294" s="517"/>
      <c r="AU294" s="517"/>
      <c r="AV294" s="517"/>
      <c r="AW294" s="517"/>
      <c r="AX294" s="517"/>
      <c r="AY294" s="517"/>
      <c r="AZ294" s="517"/>
      <c r="BA294" s="517"/>
      <c r="BB294" s="517"/>
      <c r="BC294" s="517"/>
      <c r="BD294" s="517"/>
      <c r="BE294" s="517"/>
      <c r="BF294" s="517"/>
      <c r="BG294" s="517"/>
      <c r="BH294" s="517"/>
      <c r="BI294" s="517"/>
      <c r="BJ294" s="517"/>
      <c r="BK294" s="517"/>
      <c r="BL294" s="517"/>
      <c r="BM294" s="517"/>
      <c r="BN294" s="517"/>
      <c r="BO294" s="517"/>
      <c r="BP294" s="517"/>
      <c r="BQ294" s="517"/>
      <c r="BR294" s="517"/>
      <c r="BS294" s="517"/>
      <c r="BT294" s="517"/>
      <c r="BU294" s="517"/>
      <c r="BV294" s="518"/>
      <c r="BW294" s="518"/>
      <c r="BX294" s="518"/>
      <c r="BY294" s="518"/>
      <c r="BZ294" s="518"/>
      <c r="CA294" s="518"/>
      <c r="CB294" s="518"/>
      <c r="CC294" s="518"/>
      <c r="CD294" s="518"/>
      <c r="CE294" s="518"/>
    </row>
    <row r="295" spans="1:83" ht="15" hidden="1" customHeight="1">
      <c r="A295" s="516"/>
      <c r="B295"/>
      <c r="C295"/>
      <c r="D295" s="3622"/>
      <c r="E295" s="3618" t="s">
        <v>830</v>
      </c>
      <c r="F295" s="3619"/>
      <c r="G295" s="3620"/>
      <c r="H295" s="3614" t="str">
        <f>IF(A293="","",INDEX(DIFFERENTIATION_UNMERGE_SYSTEM,MATCH(A293,DIFFERENTIATION_ID_DIFF,0)))</f>
        <v>ГК "Лесной" с/с Сабуровский</v>
      </c>
      <c r="I295" s="3614"/>
      <c r="J295" s="3614"/>
      <c r="K295" s="3614"/>
      <c r="L295" s="3614"/>
      <c r="M295" s="3614"/>
      <c r="N295" s="3614"/>
      <c r="O295" s="3614"/>
      <c r="P295" s="3614"/>
      <c r="Q295" s="3614"/>
      <c r="R295" s="3614"/>
      <c r="S295" s="609"/>
      <c r="T295" s="606"/>
      <c r="U295" s="517"/>
      <c r="V295" s="517"/>
      <c r="W295" s="518"/>
      <c r="X295" s="518"/>
      <c r="Y295" s="518"/>
      <c r="Z295" s="518"/>
      <c r="AA295" s="519"/>
      <c r="AB295" s="520"/>
      <c r="AC295" s="3617"/>
      <c r="AD295" s="521"/>
      <c r="AE295" s="522"/>
      <c r="AF295" s="522"/>
      <c r="AG295" s="523"/>
      <c r="AH295" s="524"/>
      <c r="AI295" s="517"/>
      <c r="AJ295" s="517"/>
      <c r="AK295" s="517"/>
      <c r="AL295" s="517"/>
      <c r="AM295" s="517"/>
      <c r="AN295" s="517"/>
      <c r="AO295" s="517"/>
      <c r="AP295" s="517"/>
      <c r="AQ295" s="517"/>
      <c r="AR295" s="517"/>
      <c r="AS295" s="517"/>
      <c r="AT295" s="517"/>
      <c r="AU295" s="517"/>
      <c r="AV295" s="517"/>
      <c r="AW295" s="517"/>
      <c r="AX295" s="517"/>
      <c r="AY295" s="517"/>
      <c r="AZ295" s="517"/>
      <c r="BA295" s="517"/>
      <c r="BB295" s="517"/>
      <c r="BC295" s="517"/>
      <c r="BD295" s="517"/>
      <c r="BE295" s="517"/>
      <c r="BF295" s="517"/>
      <c r="BG295" s="517"/>
      <c r="BH295" s="517"/>
      <c r="BI295" s="517"/>
      <c r="BJ295" s="517"/>
      <c r="BK295" s="517"/>
      <c r="BL295" s="517"/>
      <c r="BM295" s="517"/>
      <c r="BN295" s="517"/>
      <c r="BO295" s="517"/>
      <c r="BP295" s="517"/>
      <c r="BQ295" s="517"/>
      <c r="BR295" s="517"/>
      <c r="BS295" s="517"/>
      <c r="BT295" s="517"/>
      <c r="BU295" s="517"/>
      <c r="BV295" s="518"/>
      <c r="BW295" s="518"/>
      <c r="BX295" s="518"/>
      <c r="BY295" s="518"/>
      <c r="BZ295" s="518"/>
      <c r="CA295" s="518"/>
      <c r="CB295" s="518"/>
      <c r="CC295" s="518"/>
      <c r="CD295" s="518"/>
      <c r="CE295" s="518"/>
    </row>
    <row r="296" spans="1:83" ht="24.75" hidden="1" customHeight="1">
      <c r="A296" s="1649"/>
      <c r="B296" s="1023"/>
      <c r="C296" s="319"/>
      <c r="D296" s="3622"/>
      <c r="E296" s="3616" t="s">
        <v>875</v>
      </c>
      <c r="F296" s="3616"/>
      <c r="G296" s="3616"/>
      <c r="H296" s="3616"/>
      <c r="I296" s="3616"/>
      <c r="J296" s="3616"/>
      <c r="K296" s="3616"/>
      <c r="L296" s="3616"/>
      <c r="M296" s="3616"/>
      <c r="N296" s="3616"/>
      <c r="O296" s="3616"/>
      <c r="P296" s="3616"/>
      <c r="Q296" s="455">
        <f>SUMIF(T297:T298,"i",Q297:Q298)</f>
        <v>0</v>
      </c>
      <c r="R296" s="887"/>
      <c r="S296" s="1641" t="s">
        <v>876</v>
      </c>
      <c r="T296" s="607" t="s">
        <v>877</v>
      </c>
      <c r="U296" s="3532">
        <v>1</v>
      </c>
      <c r="V296" s="3532" t="s">
        <v>840</v>
      </c>
      <c r="W296" s="1023"/>
      <c r="X296" s="1023"/>
      <c r="Y296" s="1023"/>
      <c r="Z296" s="1023"/>
      <c r="AA296" s="1481"/>
      <c r="AB296" s="1023"/>
      <c r="AC296" s="3617"/>
      <c r="AD296" s="521"/>
      <c r="AE296" s="1023"/>
      <c r="AF296" s="1023"/>
      <c r="AG296" s="1481"/>
      <c r="AH296" s="1481"/>
      <c r="AI296" s="1481"/>
      <c r="AJ296" s="1481"/>
      <c r="AK296" s="1481"/>
      <c r="AL296" s="1481"/>
      <c r="AM296" s="1481"/>
      <c r="AN296" s="1481"/>
      <c r="AO296" s="1481"/>
      <c r="AP296" s="1481"/>
      <c r="AQ296" s="1481"/>
      <c r="AR296" s="1481"/>
      <c r="AS296" s="1481"/>
      <c r="AT296" s="1481"/>
      <c r="AU296" s="1481"/>
      <c r="AV296" s="1481"/>
      <c r="AW296" s="1481"/>
      <c r="AX296" s="1481"/>
      <c r="AY296" s="1481"/>
      <c r="AZ296" s="1481"/>
      <c r="BA296" s="1481"/>
      <c r="BB296" s="1481"/>
      <c r="BC296" s="1481"/>
      <c r="BD296" s="1481"/>
      <c r="BE296" s="1481"/>
      <c r="BF296" s="1481"/>
      <c r="BG296" s="1481"/>
      <c r="BH296" s="1481"/>
      <c r="BI296" s="1481"/>
      <c r="BJ296" s="1481"/>
      <c r="BK296" s="1481"/>
      <c r="BL296" s="1481"/>
      <c r="BM296" s="1481"/>
      <c r="BN296" s="1481"/>
      <c r="BO296" s="1481"/>
      <c r="BP296" s="1481"/>
      <c r="BQ296" s="1481"/>
      <c r="BR296" s="1481"/>
      <c r="BS296" s="1481"/>
      <c r="BT296" s="1481"/>
      <c r="BU296" s="1481"/>
      <c r="BV296" s="1023"/>
      <c r="BW296" s="1023"/>
      <c r="BX296" s="1023"/>
      <c r="BY296" s="1023"/>
      <c r="BZ296" s="1023"/>
      <c r="CA296" s="1023"/>
      <c r="CB296" s="1023"/>
      <c r="CC296" s="1023"/>
      <c r="CD296" s="1023"/>
      <c r="CE296" s="1023"/>
    </row>
    <row r="297" spans="1:83" ht="11.25" hidden="1" customHeight="1">
      <c r="A297" s="1636"/>
      <c r="B297" s="1481"/>
      <c r="C297" s="1481"/>
      <c r="D297" s="3622"/>
      <c r="E297" s="527"/>
      <c r="F297" s="527">
        <v>0</v>
      </c>
      <c r="G297" s="527"/>
      <c r="H297" s="527"/>
      <c r="I297" s="527"/>
      <c r="J297" s="527"/>
      <c r="K297" s="527"/>
      <c r="L297" s="527"/>
      <c r="M297" s="527"/>
      <c r="N297" s="527"/>
      <c r="O297" s="527"/>
      <c r="P297" s="527"/>
      <c r="Q297" s="527"/>
      <c r="R297" s="527"/>
      <c r="S297" s="528"/>
      <c r="T297" s="608"/>
      <c r="U297" s="3532"/>
      <c r="V297" s="3532"/>
      <c r="W297" s="1481"/>
      <c r="X297" s="1481"/>
      <c r="Y297" s="1481"/>
      <c r="Z297" s="1481"/>
      <c r="AA297" s="1481"/>
      <c r="AB297" s="1023"/>
      <c r="AC297" s="3617"/>
      <c r="AD297" s="521"/>
      <c r="AE297" s="1023"/>
      <c r="AF297" s="1023"/>
      <c r="AG297" s="1481"/>
      <c r="AH297" s="1481"/>
      <c r="AI297" s="1481"/>
      <c r="AJ297" s="1481"/>
      <c r="AK297" s="1481"/>
      <c r="AL297" s="1481"/>
      <c r="AM297" s="1481"/>
      <c r="AN297" s="1481"/>
      <c r="AO297" s="1481"/>
      <c r="AP297" s="1481"/>
      <c r="AQ297" s="1481"/>
      <c r="AR297" s="1481"/>
      <c r="AS297" s="1481"/>
      <c r="AT297" s="1481"/>
      <c r="AU297" s="1481"/>
      <c r="AV297" s="1481"/>
      <c r="AW297" s="1481"/>
      <c r="AX297" s="1481"/>
      <c r="AY297" s="1481"/>
      <c r="AZ297" s="1481"/>
      <c r="BA297" s="1481"/>
      <c r="BB297" s="1481"/>
      <c r="BC297" s="1481"/>
      <c r="BD297" s="1481"/>
      <c r="BE297" s="1481"/>
      <c r="BF297" s="1481"/>
      <c r="BG297" s="1481"/>
      <c r="BH297" s="1481"/>
      <c r="BI297" s="1481"/>
      <c r="BJ297" s="1481"/>
      <c r="BK297" s="1481"/>
      <c r="BL297" s="1481"/>
      <c r="BM297" s="1481"/>
      <c r="BN297" s="1481"/>
      <c r="BO297" s="1481"/>
      <c r="BP297" s="1481"/>
      <c r="BQ297" s="1481"/>
      <c r="BR297" s="1481"/>
      <c r="BS297" s="1481"/>
      <c r="BT297" s="1481"/>
      <c r="BU297" s="1481"/>
      <c r="BV297" s="1481"/>
      <c r="BW297" s="1481"/>
      <c r="BX297" s="1481"/>
      <c r="BY297" s="1481"/>
      <c r="BZ297" s="1481"/>
      <c r="CA297" s="1481"/>
      <c r="CB297" s="1481"/>
      <c r="CC297" s="1481"/>
      <c r="CD297" s="1481"/>
      <c r="CE297" s="1481"/>
    </row>
    <row r="298" spans="1:83" ht="11.25" hidden="1" customHeight="1">
      <c r="A298" s="1649"/>
      <c r="B298" s="1023"/>
      <c r="C298" s="319"/>
      <c r="D298" s="3622"/>
      <c r="E298" s="541" t="s">
        <v>18</v>
      </c>
      <c r="F298" s="1031" t="s">
        <v>18</v>
      </c>
      <c r="G298" s="1031" t="s">
        <v>880</v>
      </c>
      <c r="H298" s="543" t="s">
        <v>18</v>
      </c>
      <c r="I298" s="543"/>
      <c r="J298" s="543"/>
      <c r="K298" s="543"/>
      <c r="L298" s="543"/>
      <c r="M298" s="543"/>
      <c r="N298" s="543"/>
      <c r="O298" s="543"/>
      <c r="P298" s="543"/>
      <c r="Q298" s="543"/>
      <c r="R298" s="544"/>
      <c r="S298" s="545"/>
      <c r="T298" s="608"/>
      <c r="U298" s="3532"/>
      <c r="V298" s="3532"/>
      <c r="W298" s="1023"/>
      <c r="X298" s="1023"/>
      <c r="Y298" s="1023"/>
      <c r="Z298" s="1023"/>
      <c r="AA298" s="1481"/>
      <c r="AB298" s="1023"/>
      <c r="AC298" s="3617"/>
      <c r="AD298" s="521"/>
      <c r="AE298" s="1023"/>
      <c r="AF298" s="1023"/>
      <c r="AG298" s="1481"/>
      <c r="AH298" s="1481"/>
      <c r="AI298" s="1481"/>
      <c r="AJ298" s="1481"/>
      <c r="AK298" s="1481"/>
      <c r="AL298" s="1481"/>
      <c r="AM298" s="1481"/>
      <c r="AN298" s="1481"/>
      <c r="AO298" s="1481"/>
      <c r="AP298" s="1481"/>
      <c r="AQ298" s="1481"/>
      <c r="AR298" s="1481"/>
      <c r="AS298" s="1481"/>
      <c r="AT298" s="1481"/>
      <c r="AU298" s="1481"/>
      <c r="AV298" s="1481"/>
      <c r="AW298" s="1481"/>
      <c r="AX298" s="1481"/>
      <c r="AY298" s="1481"/>
      <c r="AZ298" s="1481"/>
      <c r="BA298" s="1481"/>
      <c r="BB298" s="1481"/>
      <c r="BC298" s="1481"/>
      <c r="BD298" s="1481"/>
      <c r="BE298" s="1481"/>
      <c r="BF298" s="1481"/>
      <c r="BG298" s="1481"/>
      <c r="BH298" s="1481"/>
      <c r="BI298" s="1481"/>
      <c r="BJ298" s="1481"/>
      <c r="BK298" s="1481"/>
      <c r="BL298" s="1481"/>
      <c r="BM298" s="1481"/>
      <c r="BN298" s="1481"/>
      <c r="BO298" s="1481"/>
      <c r="BP298" s="1481"/>
      <c r="BQ298" s="1481"/>
      <c r="BR298" s="1481"/>
      <c r="BS298" s="1481"/>
      <c r="BT298" s="1481"/>
      <c r="BU298" s="1481"/>
      <c r="BV298" s="1023"/>
      <c r="BW298" s="1023"/>
      <c r="BX298" s="1023"/>
      <c r="BY298" s="1023"/>
      <c r="BZ298" s="1023"/>
      <c r="CA298" s="1023"/>
      <c r="CB298" s="1023"/>
      <c r="CC298" s="1023"/>
      <c r="CD298" s="1023"/>
      <c r="CE298" s="1023"/>
    </row>
    <row r="299" spans="1:83" ht="5.25" hidden="1" customHeight="1">
      <c r="A299" s="1636"/>
      <c r="B299" s="1481"/>
      <c r="C299" s="1481"/>
      <c r="D299" s="3622"/>
      <c r="E299" s="909"/>
      <c r="F299" s="909"/>
      <c r="G299" s="909"/>
      <c r="H299" s="909"/>
      <c r="I299" s="909"/>
      <c r="J299" s="909"/>
      <c r="K299" s="909"/>
      <c r="L299" s="909"/>
      <c r="M299" s="909"/>
      <c r="N299" s="909"/>
      <c r="O299" s="909"/>
      <c r="P299" s="909"/>
      <c r="Q299" s="910"/>
      <c r="R299" s="911"/>
      <c r="S299" s="912"/>
      <c r="T299" s="607" t="s">
        <v>877</v>
      </c>
      <c r="U299" s="3532">
        <v>1</v>
      </c>
      <c r="V299" s="3532" t="s">
        <v>840</v>
      </c>
      <c r="W299" s="1481"/>
      <c r="X299" s="1481"/>
      <c r="Y299" s="1481"/>
      <c r="Z299" s="1481"/>
      <c r="AA299" s="1481"/>
      <c r="AB299" s="1481"/>
      <c r="AC299" s="907"/>
      <c r="AD299" s="908"/>
      <c r="AE299" s="1481"/>
      <c r="AF299" s="1481"/>
      <c r="AG299" s="1481"/>
      <c r="AH299" s="1481"/>
      <c r="AI299" s="1481"/>
      <c r="AJ299" s="1481"/>
      <c r="AK299" s="1481"/>
      <c r="AL299" s="1481"/>
      <c r="AM299" s="1481"/>
      <c r="AN299" s="1481"/>
      <c r="AO299" s="1481"/>
      <c r="AP299" s="1481"/>
      <c r="AQ299" s="1481"/>
      <c r="AR299" s="1481"/>
      <c r="AS299" s="1481"/>
      <c r="AT299" s="1481"/>
      <c r="AU299" s="1481"/>
      <c r="AV299" s="1481"/>
      <c r="AW299" s="1481"/>
      <c r="AX299" s="1481"/>
      <c r="AY299" s="1481"/>
      <c r="AZ299" s="1481"/>
      <c r="BA299" s="1481"/>
      <c r="BB299" s="1481"/>
      <c r="BC299" s="1481"/>
      <c r="BD299" s="1481"/>
      <c r="BE299" s="1481"/>
      <c r="BF299" s="1481"/>
      <c r="BG299" s="1481"/>
      <c r="BH299" s="1481"/>
      <c r="BI299" s="1481"/>
      <c r="BJ299" s="1481"/>
      <c r="BK299" s="1481"/>
      <c r="BL299" s="1481"/>
      <c r="BM299" s="1481"/>
      <c r="BN299" s="1481"/>
      <c r="BO299" s="1481"/>
      <c r="BP299" s="1481"/>
      <c r="BQ299" s="1481"/>
      <c r="BR299" s="1481"/>
      <c r="BS299" s="1481"/>
      <c r="BT299" s="1481"/>
      <c r="BU299" s="1481"/>
      <c r="BV299" s="1481"/>
      <c r="BW299" s="1481"/>
      <c r="BX299" s="1481"/>
      <c r="BY299" s="1481"/>
      <c r="BZ299" s="1481"/>
      <c r="CA299" s="1481"/>
      <c r="CB299" s="1481"/>
      <c r="CC299" s="1481"/>
      <c r="CD299" s="1481"/>
      <c r="CE299" s="1481"/>
    </row>
    <row r="300" spans="1:83" ht="5.25" hidden="1" customHeight="1">
      <c r="A300" s="1636"/>
      <c r="B300" s="1481"/>
      <c r="C300" s="1481"/>
      <c r="D300" s="3622"/>
      <c r="E300" s="527"/>
      <c r="F300" s="527"/>
      <c r="G300" s="527"/>
      <c r="H300" s="527"/>
      <c r="I300" s="527"/>
      <c r="J300" s="527"/>
      <c r="K300" s="527"/>
      <c r="L300" s="527"/>
      <c r="M300" s="527"/>
      <c r="N300" s="527"/>
      <c r="O300" s="527"/>
      <c r="P300" s="527"/>
      <c r="Q300" s="527"/>
      <c r="R300" s="527"/>
      <c r="S300" s="528"/>
      <c r="T300" s="608"/>
      <c r="U300" s="3532"/>
      <c r="V300" s="3532"/>
      <c r="W300" s="1481"/>
      <c r="X300" s="1481"/>
      <c r="Y300" s="1481"/>
      <c r="Z300" s="1481"/>
      <c r="AA300" s="1481"/>
      <c r="AB300" s="1481"/>
      <c r="AC300" s="907"/>
      <c r="AD300" s="908"/>
      <c r="AE300" s="1481"/>
      <c r="AF300" s="1481"/>
      <c r="AG300" s="1481"/>
      <c r="AH300" s="1481"/>
      <c r="AI300" s="1481"/>
      <c r="AJ300" s="1481"/>
      <c r="AK300" s="1481"/>
      <c r="AL300" s="1481"/>
      <c r="AM300" s="1481"/>
      <c r="AN300" s="1481"/>
      <c r="AO300" s="1481"/>
      <c r="AP300" s="1481"/>
      <c r="AQ300" s="1481"/>
      <c r="AR300" s="1481"/>
      <c r="AS300" s="1481"/>
      <c r="AT300" s="1481"/>
      <c r="AU300" s="1481"/>
      <c r="AV300" s="1481"/>
      <c r="AW300" s="1481"/>
      <c r="AX300" s="1481"/>
      <c r="AY300" s="1481"/>
      <c r="AZ300" s="1481"/>
      <c r="BA300" s="1481"/>
      <c r="BB300" s="1481"/>
      <c r="BC300" s="1481"/>
      <c r="BD300" s="1481"/>
      <c r="BE300" s="1481"/>
      <c r="BF300" s="1481"/>
      <c r="BG300" s="1481"/>
      <c r="BH300" s="1481"/>
      <c r="BI300" s="1481"/>
      <c r="BJ300" s="1481"/>
      <c r="BK300" s="1481"/>
      <c r="BL300" s="1481"/>
      <c r="BM300" s="1481"/>
      <c r="BN300" s="1481"/>
      <c r="BO300" s="1481"/>
      <c r="BP300" s="1481"/>
      <c r="BQ300" s="1481"/>
      <c r="BR300" s="1481"/>
      <c r="BS300" s="1481"/>
      <c r="BT300" s="1481"/>
      <c r="BU300" s="1481"/>
      <c r="BV300" s="1481"/>
      <c r="BW300" s="1481"/>
      <c r="BX300" s="1481"/>
      <c r="BY300" s="1481"/>
      <c r="BZ300" s="1481"/>
      <c r="CA300" s="1481"/>
      <c r="CB300" s="1481"/>
      <c r="CC300" s="1481"/>
      <c r="CD300" s="1481"/>
      <c r="CE300" s="1481"/>
    </row>
    <row r="301" spans="1:83" ht="5.25" hidden="1" customHeight="1">
      <c r="A301" s="1636"/>
      <c r="B301" s="1481"/>
      <c r="C301" s="1481"/>
      <c r="D301" s="3623"/>
      <c r="E301" s="913"/>
      <c r="F301" s="914"/>
      <c r="G301" s="914"/>
      <c r="H301" s="915"/>
      <c r="I301" s="915"/>
      <c r="J301" s="915"/>
      <c r="K301" s="915"/>
      <c r="L301" s="915"/>
      <c r="M301" s="915"/>
      <c r="N301" s="915"/>
      <c r="O301" s="915"/>
      <c r="P301" s="915"/>
      <c r="Q301" s="915"/>
      <c r="R301" s="818"/>
      <c r="S301" s="916"/>
      <c r="T301" s="608"/>
      <c r="U301" s="3532"/>
      <c r="V301" s="3532"/>
      <c r="W301" s="1481"/>
      <c r="X301" s="1481"/>
      <c r="Y301" s="1481"/>
      <c r="Z301" s="1481"/>
      <c r="AA301" s="1481"/>
      <c r="AB301" s="1481"/>
      <c r="AC301" s="907"/>
      <c r="AD301" s="908"/>
      <c r="AE301" s="1481"/>
      <c r="AF301" s="1481"/>
      <c r="AG301" s="1481"/>
      <c r="AH301" s="1481"/>
      <c r="AI301" s="1481"/>
      <c r="AJ301" s="1481"/>
      <c r="AK301" s="1481"/>
      <c r="AL301" s="1481"/>
      <c r="AM301" s="1481"/>
      <c r="AN301" s="1481"/>
      <c r="AO301" s="1481"/>
      <c r="AP301" s="1481"/>
      <c r="AQ301" s="1481"/>
      <c r="AR301" s="1481"/>
      <c r="AS301" s="1481"/>
      <c r="AT301" s="1481"/>
      <c r="AU301" s="1481"/>
      <c r="AV301" s="1481"/>
      <c r="AW301" s="1481"/>
      <c r="AX301" s="1481"/>
      <c r="AY301" s="1481"/>
      <c r="AZ301" s="1481"/>
      <c r="BA301" s="1481"/>
      <c r="BB301" s="1481"/>
      <c r="BC301" s="1481"/>
      <c r="BD301" s="1481"/>
      <c r="BE301" s="1481"/>
      <c r="BF301" s="1481"/>
      <c r="BG301" s="1481"/>
      <c r="BH301" s="1481"/>
      <c r="BI301" s="1481"/>
      <c r="BJ301" s="1481"/>
      <c r="BK301" s="1481"/>
      <c r="BL301" s="1481"/>
      <c r="BM301" s="1481"/>
      <c r="BN301" s="1481"/>
      <c r="BO301" s="1481"/>
      <c r="BP301" s="1481"/>
      <c r="BQ301" s="1481"/>
      <c r="BR301" s="1481"/>
      <c r="BS301" s="1481"/>
      <c r="BT301" s="1481"/>
      <c r="BU301" s="1481"/>
      <c r="BV301" s="1481"/>
      <c r="BW301" s="1481"/>
      <c r="BX301" s="1481"/>
      <c r="BY301" s="1481"/>
      <c r="BZ301" s="1481"/>
      <c r="CA301" s="1481"/>
      <c r="CB301" s="1481"/>
      <c r="CC301" s="1481"/>
      <c r="CD301" s="1481"/>
      <c r="CE301" s="1481"/>
    </row>
    <row r="302" spans="1:83" ht="15" hidden="1" customHeight="1">
      <c r="A302" s="516" t="s">
        <v>207</v>
      </c>
      <c r="B302"/>
      <c r="C302" t="s">
        <v>18</v>
      </c>
      <c r="D302" s="3621" t="s">
        <v>911</v>
      </c>
      <c r="E302" s="3618" t="s">
        <v>102</v>
      </c>
      <c r="F302" s="3619"/>
      <c r="G302" s="3620"/>
      <c r="H302" s="3614" t="str">
        <f>IF(A302="","",INDEX(DIFFERENTIATION_UNMERGE_VD,MATCH(A302,DIFFERENTIATION_ID_DIFF,0)))</f>
        <v>Производство тепловой энергии. Некомбинированная выработка</v>
      </c>
      <c r="I302" s="3614"/>
      <c r="J302" s="3614"/>
      <c r="K302" s="3614"/>
      <c r="L302" s="3614"/>
      <c r="M302" s="3614"/>
      <c r="N302" s="3614"/>
      <c r="O302" s="3614"/>
      <c r="P302" s="3614"/>
      <c r="Q302" s="3614"/>
      <c r="R302" s="3614"/>
      <c r="S302" s="609"/>
      <c r="T302" s="606"/>
      <c r="U302" s="517"/>
      <c r="V302" s="517"/>
      <c r="W302" s="518"/>
      <c r="X302" s="518"/>
      <c r="Y302" s="518"/>
      <c r="Z302" s="518"/>
      <c r="AA302" s="519"/>
      <c r="AB302" s="520"/>
      <c r="AC302" s="3617"/>
      <c r="AD302" s="521"/>
      <c r="AE302" s="522" t="s">
        <v>18</v>
      </c>
      <c r="AF302" s="522"/>
      <c r="AG302" s="523" t="s">
        <v>874</v>
      </c>
      <c r="AH302" s="524">
        <v>3</v>
      </c>
      <c r="AI302" s="517"/>
      <c r="AJ302" s="517"/>
      <c r="AK302" s="517"/>
      <c r="AL302" s="517"/>
      <c r="AM302" s="517"/>
      <c r="AN302" s="517"/>
      <c r="AO302" s="517"/>
      <c r="AP302" s="517"/>
      <c r="AQ302" s="517"/>
      <c r="AR302" s="517"/>
      <c r="AS302" s="517"/>
      <c r="AT302" s="517"/>
      <c r="AU302" s="517"/>
      <c r="AV302" s="517"/>
      <c r="AW302" s="517"/>
      <c r="AX302" s="517"/>
      <c r="AY302" s="517"/>
      <c r="AZ302" s="517"/>
      <c r="BA302" s="517"/>
      <c r="BB302" s="517"/>
      <c r="BC302" s="517"/>
      <c r="BD302" s="517"/>
      <c r="BE302" s="517"/>
      <c r="BF302" s="517"/>
      <c r="BG302" s="517"/>
      <c r="BH302" s="517"/>
      <c r="BI302" s="517"/>
      <c r="BJ302" s="517"/>
      <c r="BK302" s="517"/>
      <c r="BL302" s="517"/>
      <c r="BM302" s="517"/>
      <c r="BN302" s="517"/>
      <c r="BO302" s="517"/>
      <c r="BP302" s="517"/>
      <c r="BQ302" s="517"/>
      <c r="BR302" s="517"/>
      <c r="BS302" s="517"/>
      <c r="BT302" s="517"/>
      <c r="BU302" s="517"/>
      <c r="BV302" s="518"/>
      <c r="BW302" s="518"/>
      <c r="BX302" s="518"/>
      <c r="BY302" s="518"/>
      <c r="BZ302" s="518"/>
      <c r="CA302" s="518"/>
      <c r="CB302" s="518"/>
      <c r="CC302" s="518"/>
      <c r="CD302" s="518"/>
      <c r="CE302" s="518"/>
    </row>
    <row r="303" spans="1:83" ht="15" hidden="1" customHeight="1">
      <c r="A303" s="516"/>
      <c r="B303"/>
      <c r="C303"/>
      <c r="D303" s="3622"/>
      <c r="E303" s="3618" t="s">
        <v>829</v>
      </c>
      <c r="F303" s="3619"/>
      <c r="G303" s="3620"/>
      <c r="H303" s="3614" t="str">
        <f>IF(A302="","",INDEX(DIFFERENTIATION_UNMERGE_AREA,MATCH(A302,DIFFERENTIATION_ID_DIFF,0)))</f>
        <v>Территория 1</v>
      </c>
      <c r="I303" s="3614"/>
      <c r="J303" s="3614"/>
      <c r="K303" s="3614"/>
      <c r="L303" s="3614"/>
      <c r="M303" s="3614"/>
      <c r="N303" s="3614"/>
      <c r="O303" s="3614"/>
      <c r="P303" s="3614"/>
      <c r="Q303" s="3614"/>
      <c r="R303" s="3614"/>
      <c r="S303" s="609"/>
      <c r="T303" s="606"/>
      <c r="U303" s="517"/>
      <c r="V303" s="517"/>
      <c r="W303" s="518"/>
      <c r="X303" s="518"/>
      <c r="Y303" s="518"/>
      <c r="Z303" s="518"/>
      <c r="AA303" s="519"/>
      <c r="AB303" s="520"/>
      <c r="AC303" s="3617"/>
      <c r="AD303" s="521"/>
      <c r="AE303" s="522"/>
      <c r="AF303" s="522"/>
      <c r="AG303" s="523"/>
      <c r="AH303" s="524"/>
      <c r="AI303" s="517"/>
      <c r="AJ303" s="517"/>
      <c r="AK303" s="517"/>
      <c r="AL303" s="517"/>
      <c r="AM303" s="517"/>
      <c r="AN303" s="517"/>
      <c r="AO303" s="517"/>
      <c r="AP303" s="517"/>
      <c r="AQ303" s="517"/>
      <c r="AR303" s="517"/>
      <c r="AS303" s="517"/>
      <c r="AT303" s="517"/>
      <c r="AU303" s="517"/>
      <c r="AV303" s="517"/>
      <c r="AW303" s="517"/>
      <c r="AX303" s="517"/>
      <c r="AY303" s="517"/>
      <c r="AZ303" s="517"/>
      <c r="BA303" s="517"/>
      <c r="BB303" s="517"/>
      <c r="BC303" s="517"/>
      <c r="BD303" s="517"/>
      <c r="BE303" s="517"/>
      <c r="BF303" s="517"/>
      <c r="BG303" s="517"/>
      <c r="BH303" s="517"/>
      <c r="BI303" s="517"/>
      <c r="BJ303" s="517"/>
      <c r="BK303" s="517"/>
      <c r="BL303" s="517"/>
      <c r="BM303" s="517"/>
      <c r="BN303" s="517"/>
      <c r="BO303" s="517"/>
      <c r="BP303" s="517"/>
      <c r="BQ303" s="517"/>
      <c r="BR303" s="517"/>
      <c r="BS303" s="517"/>
      <c r="BT303" s="517"/>
      <c r="BU303" s="517"/>
      <c r="BV303" s="518"/>
      <c r="BW303" s="518"/>
      <c r="BX303" s="518"/>
      <c r="BY303" s="518"/>
      <c r="BZ303" s="518"/>
      <c r="CA303" s="518"/>
      <c r="CB303" s="518"/>
      <c r="CC303" s="518"/>
      <c r="CD303" s="518"/>
      <c r="CE303" s="518"/>
    </row>
    <row r="304" spans="1:83" ht="15" hidden="1" customHeight="1">
      <c r="A304" s="516"/>
      <c r="B304"/>
      <c r="C304"/>
      <c r="D304" s="3622"/>
      <c r="E304" s="3618" t="s">
        <v>830</v>
      </c>
      <c r="F304" s="3619"/>
      <c r="G304" s="3620"/>
      <c r="H304" s="3614" t="str">
        <f>IF(A302="","",INDEX(DIFFERENTIATION_UNMERGE_SYSTEM,MATCH(A302,DIFFERENTIATION_ID_DIFF,0)))</f>
        <v>Машиностроительная, 5а</v>
      </c>
      <c r="I304" s="3614"/>
      <c r="J304" s="3614"/>
      <c r="K304" s="3614"/>
      <c r="L304" s="3614"/>
      <c r="M304" s="3614"/>
      <c r="N304" s="3614"/>
      <c r="O304" s="3614"/>
      <c r="P304" s="3614"/>
      <c r="Q304" s="3614"/>
      <c r="R304" s="3614"/>
      <c r="S304" s="609"/>
      <c r="T304" s="606"/>
      <c r="U304" s="517"/>
      <c r="V304" s="517"/>
      <c r="W304" s="518"/>
      <c r="X304" s="518"/>
      <c r="Y304" s="518"/>
      <c r="Z304" s="518"/>
      <c r="AA304" s="519"/>
      <c r="AB304" s="520"/>
      <c r="AC304" s="3617"/>
      <c r="AD304" s="521"/>
      <c r="AE304" s="522"/>
      <c r="AF304" s="522"/>
      <c r="AG304" s="523"/>
      <c r="AH304" s="524"/>
      <c r="AI304" s="517"/>
      <c r="AJ304" s="517"/>
      <c r="AK304" s="517"/>
      <c r="AL304" s="517"/>
      <c r="AM304" s="517"/>
      <c r="AN304" s="517"/>
      <c r="AO304" s="517"/>
      <c r="AP304" s="517"/>
      <c r="AQ304" s="517"/>
      <c r="AR304" s="517"/>
      <c r="AS304" s="517"/>
      <c r="AT304" s="517"/>
      <c r="AU304" s="517"/>
      <c r="AV304" s="517"/>
      <c r="AW304" s="517"/>
      <c r="AX304" s="517"/>
      <c r="AY304" s="517"/>
      <c r="AZ304" s="517"/>
      <c r="BA304" s="517"/>
      <c r="BB304" s="517"/>
      <c r="BC304" s="517"/>
      <c r="BD304" s="517"/>
      <c r="BE304" s="517"/>
      <c r="BF304" s="517"/>
      <c r="BG304" s="517"/>
      <c r="BH304" s="517"/>
      <c r="BI304" s="517"/>
      <c r="BJ304" s="517"/>
      <c r="BK304" s="517"/>
      <c r="BL304" s="517"/>
      <c r="BM304" s="517"/>
      <c r="BN304" s="517"/>
      <c r="BO304" s="517"/>
      <c r="BP304" s="517"/>
      <c r="BQ304" s="517"/>
      <c r="BR304" s="517"/>
      <c r="BS304" s="517"/>
      <c r="BT304" s="517"/>
      <c r="BU304" s="517"/>
      <c r="BV304" s="518"/>
      <c r="BW304" s="518"/>
      <c r="BX304" s="518"/>
      <c r="BY304" s="518"/>
      <c r="BZ304" s="518"/>
      <c r="CA304" s="518"/>
      <c r="CB304" s="518"/>
      <c r="CC304" s="518"/>
      <c r="CD304" s="518"/>
      <c r="CE304" s="518"/>
    </row>
    <row r="305" spans="1:83" ht="24.75" hidden="1" customHeight="1">
      <c r="A305" s="1649"/>
      <c r="B305" s="1023"/>
      <c r="C305" s="319"/>
      <c r="D305" s="3622"/>
      <c r="E305" s="3616" t="s">
        <v>875</v>
      </c>
      <c r="F305" s="3616"/>
      <c r="G305" s="3616"/>
      <c r="H305" s="3616"/>
      <c r="I305" s="3616"/>
      <c r="J305" s="3616"/>
      <c r="K305" s="3616"/>
      <c r="L305" s="3616"/>
      <c r="M305" s="3616"/>
      <c r="N305" s="3616"/>
      <c r="O305" s="3616"/>
      <c r="P305" s="3616"/>
      <c r="Q305" s="455">
        <f>SUMIF(T306:T307,"i",Q306:Q307)</f>
        <v>0</v>
      </c>
      <c r="R305" s="887"/>
      <c r="S305" s="1641" t="s">
        <v>876</v>
      </c>
      <c r="T305" s="607" t="s">
        <v>877</v>
      </c>
      <c r="U305" s="3532">
        <v>1</v>
      </c>
      <c r="V305" s="3532" t="s">
        <v>840</v>
      </c>
      <c r="W305" s="1023"/>
      <c r="X305" s="1023"/>
      <c r="Y305" s="1023"/>
      <c r="Z305" s="1023"/>
      <c r="AA305" s="1481"/>
      <c r="AB305" s="1023"/>
      <c r="AC305" s="3617"/>
      <c r="AD305" s="521"/>
      <c r="AE305" s="1023"/>
      <c r="AF305" s="1023"/>
      <c r="AG305" s="1481"/>
      <c r="AH305" s="1481"/>
      <c r="AI305" s="1481"/>
      <c r="AJ305" s="1481"/>
      <c r="AK305" s="1481"/>
      <c r="AL305" s="1481"/>
      <c r="AM305" s="1481"/>
      <c r="AN305" s="1481"/>
      <c r="AO305" s="1481"/>
      <c r="AP305" s="1481"/>
      <c r="AQ305" s="1481"/>
      <c r="AR305" s="1481"/>
      <c r="AS305" s="1481"/>
      <c r="AT305" s="1481"/>
      <c r="AU305" s="1481"/>
      <c r="AV305" s="1481"/>
      <c r="AW305" s="1481"/>
      <c r="AX305" s="1481"/>
      <c r="AY305" s="1481"/>
      <c r="AZ305" s="1481"/>
      <c r="BA305" s="1481"/>
      <c r="BB305" s="1481"/>
      <c r="BC305" s="1481"/>
      <c r="BD305" s="1481"/>
      <c r="BE305" s="1481"/>
      <c r="BF305" s="1481"/>
      <c r="BG305" s="1481"/>
      <c r="BH305" s="1481"/>
      <c r="BI305" s="1481"/>
      <c r="BJ305" s="1481"/>
      <c r="BK305" s="1481"/>
      <c r="BL305" s="1481"/>
      <c r="BM305" s="1481"/>
      <c r="BN305" s="1481"/>
      <c r="BO305" s="1481"/>
      <c r="BP305" s="1481"/>
      <c r="BQ305" s="1481"/>
      <c r="BR305" s="1481"/>
      <c r="BS305" s="1481"/>
      <c r="BT305" s="1481"/>
      <c r="BU305" s="1481"/>
      <c r="BV305" s="1023"/>
      <c r="BW305" s="1023"/>
      <c r="BX305" s="1023"/>
      <c r="BY305" s="1023"/>
      <c r="BZ305" s="1023"/>
      <c r="CA305" s="1023"/>
      <c r="CB305" s="1023"/>
      <c r="CC305" s="1023"/>
      <c r="CD305" s="1023"/>
      <c r="CE305" s="1023"/>
    </row>
    <row r="306" spans="1:83" ht="11.25" hidden="1" customHeight="1">
      <c r="A306" s="1636"/>
      <c r="B306" s="1481"/>
      <c r="C306" s="1481"/>
      <c r="D306" s="3622"/>
      <c r="E306" s="527"/>
      <c r="F306" s="527">
        <v>0</v>
      </c>
      <c r="G306" s="527"/>
      <c r="H306" s="527"/>
      <c r="I306" s="527"/>
      <c r="J306" s="527"/>
      <c r="K306" s="527"/>
      <c r="L306" s="527"/>
      <c r="M306" s="527"/>
      <c r="N306" s="527"/>
      <c r="O306" s="527"/>
      <c r="P306" s="527"/>
      <c r="Q306" s="527"/>
      <c r="R306" s="527"/>
      <c r="S306" s="528"/>
      <c r="T306" s="608"/>
      <c r="U306" s="3532"/>
      <c r="V306" s="3532"/>
      <c r="W306" s="1481"/>
      <c r="X306" s="1481"/>
      <c r="Y306" s="1481"/>
      <c r="Z306" s="1481"/>
      <c r="AA306" s="1481"/>
      <c r="AB306" s="1023"/>
      <c r="AC306" s="3617"/>
      <c r="AD306" s="521"/>
      <c r="AE306" s="1023"/>
      <c r="AF306" s="1023"/>
      <c r="AG306" s="1481"/>
      <c r="AH306" s="1481"/>
      <c r="AI306" s="1481"/>
      <c r="AJ306" s="1481"/>
      <c r="AK306" s="1481"/>
      <c r="AL306" s="1481"/>
      <c r="AM306" s="1481"/>
      <c r="AN306" s="1481"/>
      <c r="AO306" s="1481"/>
      <c r="AP306" s="1481"/>
      <c r="AQ306" s="1481"/>
      <c r="AR306" s="1481"/>
      <c r="AS306" s="1481"/>
      <c r="AT306" s="1481"/>
      <c r="AU306" s="1481"/>
      <c r="AV306" s="1481"/>
      <c r="AW306" s="1481"/>
      <c r="AX306" s="1481"/>
      <c r="AY306" s="1481"/>
      <c r="AZ306" s="1481"/>
      <c r="BA306" s="1481"/>
      <c r="BB306" s="1481"/>
      <c r="BC306" s="1481"/>
      <c r="BD306" s="1481"/>
      <c r="BE306" s="1481"/>
      <c r="BF306" s="1481"/>
      <c r="BG306" s="1481"/>
      <c r="BH306" s="1481"/>
      <c r="BI306" s="1481"/>
      <c r="BJ306" s="1481"/>
      <c r="BK306" s="1481"/>
      <c r="BL306" s="1481"/>
      <c r="BM306" s="1481"/>
      <c r="BN306" s="1481"/>
      <c r="BO306" s="1481"/>
      <c r="BP306" s="1481"/>
      <c r="BQ306" s="1481"/>
      <c r="BR306" s="1481"/>
      <c r="BS306" s="1481"/>
      <c r="BT306" s="1481"/>
      <c r="BU306" s="1481"/>
      <c r="BV306" s="1481"/>
      <c r="BW306" s="1481"/>
      <c r="BX306" s="1481"/>
      <c r="BY306" s="1481"/>
      <c r="BZ306" s="1481"/>
      <c r="CA306" s="1481"/>
      <c r="CB306" s="1481"/>
      <c r="CC306" s="1481"/>
      <c r="CD306" s="1481"/>
      <c r="CE306" s="1481"/>
    </row>
    <row r="307" spans="1:83" ht="11.25" hidden="1" customHeight="1">
      <c r="A307" s="1649"/>
      <c r="B307" s="1023"/>
      <c r="C307" s="319"/>
      <c r="D307" s="3622"/>
      <c r="E307" s="541" t="s">
        <v>18</v>
      </c>
      <c r="F307" s="1031" t="s">
        <v>18</v>
      </c>
      <c r="G307" s="1031" t="s">
        <v>880</v>
      </c>
      <c r="H307" s="543" t="s">
        <v>18</v>
      </c>
      <c r="I307" s="543"/>
      <c r="J307" s="543"/>
      <c r="K307" s="543"/>
      <c r="L307" s="543"/>
      <c r="M307" s="543"/>
      <c r="N307" s="543"/>
      <c r="O307" s="543"/>
      <c r="P307" s="543"/>
      <c r="Q307" s="543"/>
      <c r="R307" s="544"/>
      <c r="S307" s="545"/>
      <c r="T307" s="608"/>
      <c r="U307" s="3532"/>
      <c r="V307" s="3532"/>
      <c r="W307" s="1023"/>
      <c r="X307" s="1023"/>
      <c r="Y307" s="1023"/>
      <c r="Z307" s="1023"/>
      <c r="AA307" s="1481"/>
      <c r="AB307" s="1023"/>
      <c r="AC307" s="3617"/>
      <c r="AD307" s="521"/>
      <c r="AE307" s="1023"/>
      <c r="AF307" s="1023"/>
      <c r="AG307" s="1481"/>
      <c r="AH307" s="1481"/>
      <c r="AI307" s="1481"/>
      <c r="AJ307" s="1481"/>
      <c r="AK307" s="1481"/>
      <c r="AL307" s="1481"/>
      <c r="AM307" s="1481"/>
      <c r="AN307" s="1481"/>
      <c r="AO307" s="1481"/>
      <c r="AP307" s="1481"/>
      <c r="AQ307" s="1481"/>
      <c r="AR307" s="1481"/>
      <c r="AS307" s="1481"/>
      <c r="AT307" s="1481"/>
      <c r="AU307" s="1481"/>
      <c r="AV307" s="1481"/>
      <c r="AW307" s="1481"/>
      <c r="AX307" s="1481"/>
      <c r="AY307" s="1481"/>
      <c r="AZ307" s="1481"/>
      <c r="BA307" s="1481"/>
      <c r="BB307" s="1481"/>
      <c r="BC307" s="1481"/>
      <c r="BD307" s="1481"/>
      <c r="BE307" s="1481"/>
      <c r="BF307" s="1481"/>
      <c r="BG307" s="1481"/>
      <c r="BH307" s="1481"/>
      <c r="BI307" s="1481"/>
      <c r="BJ307" s="1481"/>
      <c r="BK307" s="1481"/>
      <c r="BL307" s="1481"/>
      <c r="BM307" s="1481"/>
      <c r="BN307" s="1481"/>
      <c r="BO307" s="1481"/>
      <c r="BP307" s="1481"/>
      <c r="BQ307" s="1481"/>
      <c r="BR307" s="1481"/>
      <c r="BS307" s="1481"/>
      <c r="BT307" s="1481"/>
      <c r="BU307" s="1481"/>
      <c r="BV307" s="1023"/>
      <c r="BW307" s="1023"/>
      <c r="BX307" s="1023"/>
      <c r="BY307" s="1023"/>
      <c r="BZ307" s="1023"/>
      <c r="CA307" s="1023"/>
      <c r="CB307" s="1023"/>
      <c r="CC307" s="1023"/>
      <c r="CD307" s="1023"/>
      <c r="CE307" s="1023"/>
    </row>
    <row r="308" spans="1:83" ht="5.25" hidden="1" customHeight="1">
      <c r="A308" s="1636"/>
      <c r="B308" s="1481"/>
      <c r="C308" s="1481"/>
      <c r="D308" s="3622"/>
      <c r="E308" s="909"/>
      <c r="F308" s="909"/>
      <c r="G308" s="909"/>
      <c r="H308" s="909"/>
      <c r="I308" s="909"/>
      <c r="J308" s="909"/>
      <c r="K308" s="909"/>
      <c r="L308" s="909"/>
      <c r="M308" s="909"/>
      <c r="N308" s="909"/>
      <c r="O308" s="909"/>
      <c r="P308" s="909"/>
      <c r="Q308" s="910"/>
      <c r="R308" s="911"/>
      <c r="S308" s="912"/>
      <c r="T308" s="607" t="s">
        <v>877</v>
      </c>
      <c r="U308" s="3532">
        <v>1</v>
      </c>
      <c r="V308" s="3532" t="s">
        <v>840</v>
      </c>
      <c r="W308" s="1481"/>
      <c r="X308" s="1481"/>
      <c r="Y308" s="1481"/>
      <c r="Z308" s="1481"/>
      <c r="AA308" s="1481"/>
      <c r="AB308" s="1481"/>
      <c r="AC308" s="907"/>
      <c r="AD308" s="908"/>
      <c r="AE308" s="1481"/>
      <c r="AF308" s="1481"/>
      <c r="AG308" s="1481"/>
      <c r="AH308" s="1481"/>
      <c r="AI308" s="1481"/>
      <c r="AJ308" s="1481"/>
      <c r="AK308" s="1481"/>
      <c r="AL308" s="1481"/>
      <c r="AM308" s="1481"/>
      <c r="AN308" s="1481"/>
      <c r="AO308" s="1481"/>
      <c r="AP308" s="1481"/>
      <c r="AQ308" s="1481"/>
      <c r="AR308" s="1481"/>
      <c r="AS308" s="1481"/>
      <c r="AT308" s="1481"/>
      <c r="AU308" s="1481"/>
      <c r="AV308" s="1481"/>
      <c r="AW308" s="1481"/>
      <c r="AX308" s="1481"/>
      <c r="AY308" s="1481"/>
      <c r="AZ308" s="1481"/>
      <c r="BA308" s="1481"/>
      <c r="BB308" s="1481"/>
      <c r="BC308" s="1481"/>
      <c r="BD308" s="1481"/>
      <c r="BE308" s="1481"/>
      <c r="BF308" s="1481"/>
      <c r="BG308" s="1481"/>
      <c r="BH308" s="1481"/>
      <c r="BI308" s="1481"/>
      <c r="BJ308" s="1481"/>
      <c r="BK308" s="1481"/>
      <c r="BL308" s="1481"/>
      <c r="BM308" s="1481"/>
      <c r="BN308" s="1481"/>
      <c r="BO308" s="1481"/>
      <c r="BP308" s="1481"/>
      <c r="BQ308" s="1481"/>
      <c r="BR308" s="1481"/>
      <c r="BS308" s="1481"/>
      <c r="BT308" s="1481"/>
      <c r="BU308" s="1481"/>
      <c r="BV308" s="1481"/>
      <c r="BW308" s="1481"/>
      <c r="BX308" s="1481"/>
      <c r="BY308" s="1481"/>
      <c r="BZ308" s="1481"/>
      <c r="CA308" s="1481"/>
      <c r="CB308" s="1481"/>
      <c r="CC308" s="1481"/>
      <c r="CD308" s="1481"/>
      <c r="CE308" s="1481"/>
    </row>
    <row r="309" spans="1:83" ht="5.25" hidden="1" customHeight="1">
      <c r="A309" s="1636"/>
      <c r="B309" s="1481"/>
      <c r="C309" s="1481"/>
      <c r="D309" s="3622"/>
      <c r="E309" s="527"/>
      <c r="F309" s="527"/>
      <c r="G309" s="527"/>
      <c r="H309" s="527"/>
      <c r="I309" s="527"/>
      <c r="J309" s="527"/>
      <c r="K309" s="527"/>
      <c r="L309" s="527"/>
      <c r="M309" s="527"/>
      <c r="N309" s="527"/>
      <c r="O309" s="527"/>
      <c r="P309" s="527"/>
      <c r="Q309" s="527"/>
      <c r="R309" s="527"/>
      <c r="S309" s="528"/>
      <c r="T309" s="608"/>
      <c r="U309" s="3532"/>
      <c r="V309" s="3532"/>
      <c r="W309" s="1481"/>
      <c r="X309" s="1481"/>
      <c r="Y309" s="1481"/>
      <c r="Z309" s="1481"/>
      <c r="AA309" s="1481"/>
      <c r="AB309" s="1481"/>
      <c r="AC309" s="907"/>
      <c r="AD309" s="908"/>
      <c r="AE309" s="1481"/>
      <c r="AF309" s="1481"/>
      <c r="AG309" s="1481"/>
      <c r="AH309" s="1481"/>
      <c r="AI309" s="1481"/>
      <c r="AJ309" s="1481"/>
      <c r="AK309" s="1481"/>
      <c r="AL309" s="1481"/>
      <c r="AM309" s="1481"/>
      <c r="AN309" s="1481"/>
      <c r="AO309" s="1481"/>
      <c r="AP309" s="1481"/>
      <c r="AQ309" s="1481"/>
      <c r="AR309" s="1481"/>
      <c r="AS309" s="1481"/>
      <c r="AT309" s="1481"/>
      <c r="AU309" s="1481"/>
      <c r="AV309" s="1481"/>
      <c r="AW309" s="1481"/>
      <c r="AX309" s="1481"/>
      <c r="AY309" s="1481"/>
      <c r="AZ309" s="1481"/>
      <c r="BA309" s="1481"/>
      <c r="BB309" s="1481"/>
      <c r="BC309" s="1481"/>
      <c r="BD309" s="1481"/>
      <c r="BE309" s="1481"/>
      <c r="BF309" s="1481"/>
      <c r="BG309" s="1481"/>
      <c r="BH309" s="1481"/>
      <c r="BI309" s="1481"/>
      <c r="BJ309" s="1481"/>
      <c r="BK309" s="1481"/>
      <c r="BL309" s="1481"/>
      <c r="BM309" s="1481"/>
      <c r="BN309" s="1481"/>
      <c r="BO309" s="1481"/>
      <c r="BP309" s="1481"/>
      <c r="BQ309" s="1481"/>
      <c r="BR309" s="1481"/>
      <c r="BS309" s="1481"/>
      <c r="BT309" s="1481"/>
      <c r="BU309" s="1481"/>
      <c r="BV309" s="1481"/>
      <c r="BW309" s="1481"/>
      <c r="BX309" s="1481"/>
      <c r="BY309" s="1481"/>
      <c r="BZ309" s="1481"/>
      <c r="CA309" s="1481"/>
      <c r="CB309" s="1481"/>
      <c r="CC309" s="1481"/>
      <c r="CD309" s="1481"/>
      <c r="CE309" s="1481"/>
    </row>
    <row r="310" spans="1:83" ht="5.25" hidden="1" customHeight="1">
      <c r="A310" s="1636"/>
      <c r="B310" s="1481"/>
      <c r="C310" s="1481"/>
      <c r="D310" s="3623"/>
      <c r="E310" s="913"/>
      <c r="F310" s="914"/>
      <c r="G310" s="914"/>
      <c r="H310" s="915"/>
      <c r="I310" s="915"/>
      <c r="J310" s="915"/>
      <c r="K310" s="915"/>
      <c r="L310" s="915"/>
      <c r="M310" s="915"/>
      <c r="N310" s="915"/>
      <c r="O310" s="915"/>
      <c r="P310" s="915"/>
      <c r="Q310" s="915"/>
      <c r="R310" s="818"/>
      <c r="S310" s="916"/>
      <c r="T310" s="608"/>
      <c r="U310" s="3532"/>
      <c r="V310" s="3532"/>
      <c r="W310" s="1481"/>
      <c r="X310" s="1481"/>
      <c r="Y310" s="1481"/>
      <c r="Z310" s="1481"/>
      <c r="AA310" s="1481"/>
      <c r="AB310" s="1481"/>
      <c r="AC310" s="907"/>
      <c r="AD310" s="908"/>
      <c r="AE310" s="1481"/>
      <c r="AF310" s="1481"/>
      <c r="AG310" s="1481"/>
      <c r="AH310" s="1481"/>
      <c r="AI310" s="1481"/>
      <c r="AJ310" s="1481"/>
      <c r="AK310" s="1481"/>
      <c r="AL310" s="1481"/>
      <c r="AM310" s="1481"/>
      <c r="AN310" s="1481"/>
      <c r="AO310" s="1481"/>
      <c r="AP310" s="1481"/>
      <c r="AQ310" s="1481"/>
      <c r="AR310" s="1481"/>
      <c r="AS310" s="1481"/>
      <c r="AT310" s="1481"/>
      <c r="AU310" s="1481"/>
      <c r="AV310" s="1481"/>
      <c r="AW310" s="1481"/>
      <c r="AX310" s="1481"/>
      <c r="AY310" s="1481"/>
      <c r="AZ310" s="1481"/>
      <c r="BA310" s="1481"/>
      <c r="BB310" s="1481"/>
      <c r="BC310" s="1481"/>
      <c r="BD310" s="1481"/>
      <c r="BE310" s="1481"/>
      <c r="BF310" s="1481"/>
      <c r="BG310" s="1481"/>
      <c r="BH310" s="1481"/>
      <c r="BI310" s="1481"/>
      <c r="BJ310" s="1481"/>
      <c r="BK310" s="1481"/>
      <c r="BL310" s="1481"/>
      <c r="BM310" s="1481"/>
      <c r="BN310" s="1481"/>
      <c r="BO310" s="1481"/>
      <c r="BP310" s="1481"/>
      <c r="BQ310" s="1481"/>
      <c r="BR310" s="1481"/>
      <c r="BS310" s="1481"/>
      <c r="BT310" s="1481"/>
      <c r="BU310" s="1481"/>
      <c r="BV310" s="1481"/>
      <c r="BW310" s="1481"/>
      <c r="BX310" s="1481"/>
      <c r="BY310" s="1481"/>
      <c r="BZ310" s="1481"/>
      <c r="CA310" s="1481"/>
      <c r="CB310" s="1481"/>
      <c r="CC310" s="1481"/>
      <c r="CD310" s="1481"/>
      <c r="CE310" s="1481"/>
    </row>
    <row r="311" spans="1:83" ht="15" hidden="1" customHeight="1">
      <c r="A311" s="516" t="s">
        <v>210</v>
      </c>
      <c r="B311"/>
      <c r="C311" t="s">
        <v>18</v>
      </c>
      <c r="D311" s="3621" t="s">
        <v>912</v>
      </c>
      <c r="E311" s="3618" t="s">
        <v>102</v>
      </c>
      <c r="F311" s="3619"/>
      <c r="G311" s="3620"/>
      <c r="H311" s="3614" t="str">
        <f>IF(A311="","",INDEX(DIFFERENTIATION_UNMERGE_VD,MATCH(A311,DIFFERENTIATION_ID_DIFF,0)))</f>
        <v>Производство тепловой энергии. Некомбинированная выработка</v>
      </c>
      <c r="I311" s="3614"/>
      <c r="J311" s="3614"/>
      <c r="K311" s="3614"/>
      <c r="L311" s="3614"/>
      <c r="M311" s="3614"/>
      <c r="N311" s="3614"/>
      <c r="O311" s="3614"/>
      <c r="P311" s="3614"/>
      <c r="Q311" s="3614"/>
      <c r="R311" s="3614"/>
      <c r="S311" s="609"/>
      <c r="T311" s="606"/>
      <c r="U311" s="517"/>
      <c r="V311" s="517"/>
      <c r="W311" s="518"/>
      <c r="X311" s="518"/>
      <c r="Y311" s="518"/>
      <c r="Z311" s="518"/>
      <c r="AA311" s="519"/>
      <c r="AB311" s="520"/>
      <c r="AC311" s="3617"/>
      <c r="AD311" s="521"/>
      <c r="AE311" s="522" t="s">
        <v>18</v>
      </c>
      <c r="AF311" s="522"/>
      <c r="AG311" s="523" t="s">
        <v>874</v>
      </c>
      <c r="AH311" s="524">
        <v>3</v>
      </c>
      <c r="AI311" s="517"/>
      <c r="AJ311" s="517"/>
      <c r="AK311" s="517"/>
      <c r="AL311" s="517"/>
      <c r="AM311" s="517"/>
      <c r="AN311" s="517"/>
      <c r="AO311" s="517"/>
      <c r="AP311" s="517"/>
      <c r="AQ311" s="517"/>
      <c r="AR311" s="517"/>
      <c r="AS311" s="517"/>
      <c r="AT311" s="517"/>
      <c r="AU311" s="517"/>
      <c r="AV311" s="517"/>
      <c r="AW311" s="517"/>
      <c r="AX311" s="517"/>
      <c r="AY311" s="517"/>
      <c r="AZ311" s="517"/>
      <c r="BA311" s="517"/>
      <c r="BB311" s="517"/>
      <c r="BC311" s="517"/>
      <c r="BD311" s="517"/>
      <c r="BE311" s="517"/>
      <c r="BF311" s="517"/>
      <c r="BG311" s="517"/>
      <c r="BH311" s="517"/>
      <c r="BI311" s="517"/>
      <c r="BJ311" s="517"/>
      <c r="BK311" s="517"/>
      <c r="BL311" s="517"/>
      <c r="BM311" s="517"/>
      <c r="BN311" s="517"/>
      <c r="BO311" s="517"/>
      <c r="BP311" s="517"/>
      <c r="BQ311" s="517"/>
      <c r="BR311" s="517"/>
      <c r="BS311" s="517"/>
      <c r="BT311" s="517"/>
      <c r="BU311" s="517"/>
      <c r="BV311" s="518"/>
      <c r="BW311" s="518"/>
      <c r="BX311" s="518"/>
      <c r="BY311" s="518"/>
      <c r="BZ311" s="518"/>
      <c r="CA311" s="518"/>
      <c r="CB311" s="518"/>
      <c r="CC311" s="518"/>
      <c r="CD311" s="518"/>
      <c r="CE311" s="518"/>
    </row>
    <row r="312" spans="1:83" ht="15" hidden="1" customHeight="1">
      <c r="A312" s="516"/>
      <c r="B312"/>
      <c r="C312"/>
      <c r="D312" s="3622"/>
      <c r="E312" s="3618" t="s">
        <v>829</v>
      </c>
      <c r="F312" s="3619"/>
      <c r="G312" s="3620"/>
      <c r="H312" s="3614" t="str">
        <f>IF(A311="","",INDEX(DIFFERENTIATION_UNMERGE_AREA,MATCH(A311,DIFFERENTIATION_ID_DIFF,0)))</f>
        <v>Территория 1</v>
      </c>
      <c r="I312" s="3614"/>
      <c r="J312" s="3614"/>
      <c r="K312" s="3614"/>
      <c r="L312" s="3614"/>
      <c r="M312" s="3614"/>
      <c r="N312" s="3614"/>
      <c r="O312" s="3614"/>
      <c r="P312" s="3614"/>
      <c r="Q312" s="3614"/>
      <c r="R312" s="3614"/>
      <c r="S312" s="609"/>
      <c r="T312" s="606"/>
      <c r="U312" s="517"/>
      <c r="V312" s="517"/>
      <c r="W312" s="518"/>
      <c r="X312" s="518"/>
      <c r="Y312" s="518"/>
      <c r="Z312" s="518"/>
      <c r="AA312" s="519"/>
      <c r="AB312" s="520"/>
      <c r="AC312" s="3617"/>
      <c r="AD312" s="521"/>
      <c r="AE312" s="522"/>
      <c r="AF312" s="522"/>
      <c r="AG312" s="523"/>
      <c r="AH312" s="524"/>
      <c r="AI312" s="517"/>
      <c r="AJ312" s="517"/>
      <c r="AK312" s="517"/>
      <c r="AL312" s="517"/>
      <c r="AM312" s="517"/>
      <c r="AN312" s="517"/>
      <c r="AO312" s="517"/>
      <c r="AP312" s="517"/>
      <c r="AQ312" s="517"/>
      <c r="AR312" s="517"/>
      <c r="AS312" s="517"/>
      <c r="AT312" s="517"/>
      <c r="AU312" s="517"/>
      <c r="AV312" s="517"/>
      <c r="AW312" s="517"/>
      <c r="AX312" s="517"/>
      <c r="AY312" s="517"/>
      <c r="AZ312" s="517"/>
      <c r="BA312" s="517"/>
      <c r="BB312" s="517"/>
      <c r="BC312" s="517"/>
      <c r="BD312" s="517"/>
      <c r="BE312" s="517"/>
      <c r="BF312" s="517"/>
      <c r="BG312" s="517"/>
      <c r="BH312" s="517"/>
      <c r="BI312" s="517"/>
      <c r="BJ312" s="517"/>
      <c r="BK312" s="517"/>
      <c r="BL312" s="517"/>
      <c r="BM312" s="517"/>
      <c r="BN312" s="517"/>
      <c r="BO312" s="517"/>
      <c r="BP312" s="517"/>
      <c r="BQ312" s="517"/>
      <c r="BR312" s="517"/>
      <c r="BS312" s="517"/>
      <c r="BT312" s="517"/>
      <c r="BU312" s="517"/>
      <c r="BV312" s="518"/>
      <c r="BW312" s="518"/>
      <c r="BX312" s="518"/>
      <c r="BY312" s="518"/>
      <c r="BZ312" s="518"/>
      <c r="CA312" s="518"/>
      <c r="CB312" s="518"/>
      <c r="CC312" s="518"/>
      <c r="CD312" s="518"/>
      <c r="CE312" s="518"/>
    </row>
    <row r="313" spans="1:83" ht="15" hidden="1" customHeight="1">
      <c r="A313" s="516"/>
      <c r="B313"/>
      <c r="C313"/>
      <c r="D313" s="3622"/>
      <c r="E313" s="3618" t="s">
        <v>830</v>
      </c>
      <c r="F313" s="3619"/>
      <c r="G313" s="3620"/>
      <c r="H313" s="3614" t="str">
        <f>IF(A311="","",INDEX(DIFFERENTIATION_UNMERGE_SYSTEM,MATCH(A311,DIFFERENTIATION_ID_DIFF,0)))</f>
        <v>Маяковского, 10а</v>
      </c>
      <c r="I313" s="3614"/>
      <c r="J313" s="3614"/>
      <c r="K313" s="3614"/>
      <c r="L313" s="3614"/>
      <c r="M313" s="3614"/>
      <c r="N313" s="3614"/>
      <c r="O313" s="3614"/>
      <c r="P313" s="3614"/>
      <c r="Q313" s="3614"/>
      <c r="R313" s="3614"/>
      <c r="S313" s="609"/>
      <c r="T313" s="606"/>
      <c r="U313" s="517"/>
      <c r="V313" s="517"/>
      <c r="W313" s="518"/>
      <c r="X313" s="518"/>
      <c r="Y313" s="518"/>
      <c r="Z313" s="518"/>
      <c r="AA313" s="519"/>
      <c r="AB313" s="520"/>
      <c r="AC313" s="3617"/>
      <c r="AD313" s="521"/>
      <c r="AE313" s="522"/>
      <c r="AF313" s="522"/>
      <c r="AG313" s="523"/>
      <c r="AH313" s="524"/>
      <c r="AI313" s="517"/>
      <c r="AJ313" s="517"/>
      <c r="AK313" s="517"/>
      <c r="AL313" s="517"/>
      <c r="AM313" s="517"/>
      <c r="AN313" s="517"/>
      <c r="AO313" s="517"/>
      <c r="AP313" s="517"/>
      <c r="AQ313" s="517"/>
      <c r="AR313" s="517"/>
      <c r="AS313" s="517"/>
      <c r="AT313" s="517"/>
      <c r="AU313" s="517"/>
      <c r="AV313" s="517"/>
      <c r="AW313" s="517"/>
      <c r="AX313" s="517"/>
      <c r="AY313" s="517"/>
      <c r="AZ313" s="517"/>
      <c r="BA313" s="517"/>
      <c r="BB313" s="517"/>
      <c r="BC313" s="517"/>
      <c r="BD313" s="517"/>
      <c r="BE313" s="517"/>
      <c r="BF313" s="517"/>
      <c r="BG313" s="517"/>
      <c r="BH313" s="517"/>
      <c r="BI313" s="517"/>
      <c r="BJ313" s="517"/>
      <c r="BK313" s="517"/>
      <c r="BL313" s="517"/>
      <c r="BM313" s="517"/>
      <c r="BN313" s="517"/>
      <c r="BO313" s="517"/>
      <c r="BP313" s="517"/>
      <c r="BQ313" s="517"/>
      <c r="BR313" s="517"/>
      <c r="BS313" s="517"/>
      <c r="BT313" s="517"/>
      <c r="BU313" s="517"/>
      <c r="BV313" s="518"/>
      <c r="BW313" s="518"/>
      <c r="BX313" s="518"/>
      <c r="BY313" s="518"/>
      <c r="BZ313" s="518"/>
      <c r="CA313" s="518"/>
      <c r="CB313" s="518"/>
      <c r="CC313" s="518"/>
      <c r="CD313" s="518"/>
      <c r="CE313" s="518"/>
    </row>
    <row r="314" spans="1:83" ht="24.75" hidden="1" customHeight="1">
      <c r="A314" s="1649"/>
      <c r="B314" s="1023"/>
      <c r="C314" s="319"/>
      <c r="D314" s="3622"/>
      <c r="E314" s="3616" t="s">
        <v>875</v>
      </c>
      <c r="F314" s="3616"/>
      <c r="G314" s="3616"/>
      <c r="H314" s="3616"/>
      <c r="I314" s="3616"/>
      <c r="J314" s="3616"/>
      <c r="K314" s="3616"/>
      <c r="L314" s="3616"/>
      <c r="M314" s="3616"/>
      <c r="N314" s="3616"/>
      <c r="O314" s="3616"/>
      <c r="P314" s="3616"/>
      <c r="Q314" s="455">
        <f>SUMIF(T315:T316,"i",Q315:Q316)</f>
        <v>0</v>
      </c>
      <c r="R314" s="887"/>
      <c r="S314" s="1641" t="s">
        <v>876</v>
      </c>
      <c r="T314" s="607" t="s">
        <v>877</v>
      </c>
      <c r="U314" s="3532">
        <v>1</v>
      </c>
      <c r="V314" s="3532" t="s">
        <v>840</v>
      </c>
      <c r="W314" s="1023"/>
      <c r="X314" s="1023"/>
      <c r="Y314" s="1023"/>
      <c r="Z314" s="1023"/>
      <c r="AA314" s="1481"/>
      <c r="AB314" s="1023"/>
      <c r="AC314" s="3617"/>
      <c r="AD314" s="521"/>
      <c r="AE314" s="1023"/>
      <c r="AF314" s="1023"/>
      <c r="AG314" s="1481"/>
      <c r="AH314" s="1481"/>
      <c r="AI314" s="1481"/>
      <c r="AJ314" s="1481"/>
      <c r="AK314" s="1481"/>
      <c r="AL314" s="1481"/>
      <c r="AM314" s="1481"/>
      <c r="AN314" s="1481"/>
      <c r="AO314" s="1481"/>
      <c r="AP314" s="1481"/>
      <c r="AQ314" s="1481"/>
      <c r="AR314" s="1481"/>
      <c r="AS314" s="1481"/>
      <c r="AT314" s="1481"/>
      <c r="AU314" s="1481"/>
      <c r="AV314" s="1481"/>
      <c r="AW314" s="1481"/>
      <c r="AX314" s="1481"/>
      <c r="AY314" s="1481"/>
      <c r="AZ314" s="1481"/>
      <c r="BA314" s="1481"/>
      <c r="BB314" s="1481"/>
      <c r="BC314" s="1481"/>
      <c r="BD314" s="1481"/>
      <c r="BE314" s="1481"/>
      <c r="BF314" s="1481"/>
      <c r="BG314" s="1481"/>
      <c r="BH314" s="1481"/>
      <c r="BI314" s="1481"/>
      <c r="BJ314" s="1481"/>
      <c r="BK314" s="1481"/>
      <c r="BL314" s="1481"/>
      <c r="BM314" s="1481"/>
      <c r="BN314" s="1481"/>
      <c r="BO314" s="1481"/>
      <c r="BP314" s="1481"/>
      <c r="BQ314" s="1481"/>
      <c r="BR314" s="1481"/>
      <c r="BS314" s="1481"/>
      <c r="BT314" s="1481"/>
      <c r="BU314" s="1481"/>
      <c r="BV314" s="1023"/>
      <c r="BW314" s="1023"/>
      <c r="BX314" s="1023"/>
      <c r="BY314" s="1023"/>
      <c r="BZ314" s="1023"/>
      <c r="CA314" s="1023"/>
      <c r="CB314" s="1023"/>
      <c r="CC314" s="1023"/>
      <c r="CD314" s="1023"/>
      <c r="CE314" s="1023"/>
    </row>
    <row r="315" spans="1:83" ht="11.25" hidden="1" customHeight="1">
      <c r="A315" s="1636"/>
      <c r="B315" s="1481"/>
      <c r="C315" s="1481"/>
      <c r="D315" s="3622"/>
      <c r="E315" s="527"/>
      <c r="F315" s="527">
        <v>0</v>
      </c>
      <c r="G315" s="527"/>
      <c r="H315" s="527"/>
      <c r="I315" s="527"/>
      <c r="J315" s="527"/>
      <c r="K315" s="527"/>
      <c r="L315" s="527"/>
      <c r="M315" s="527"/>
      <c r="N315" s="527"/>
      <c r="O315" s="527"/>
      <c r="P315" s="527"/>
      <c r="Q315" s="527"/>
      <c r="R315" s="527"/>
      <c r="S315" s="528"/>
      <c r="T315" s="608"/>
      <c r="U315" s="3532"/>
      <c r="V315" s="3532"/>
      <c r="W315" s="1481"/>
      <c r="X315" s="1481"/>
      <c r="Y315" s="1481"/>
      <c r="Z315" s="1481"/>
      <c r="AA315" s="1481"/>
      <c r="AB315" s="1023"/>
      <c r="AC315" s="3617"/>
      <c r="AD315" s="521"/>
      <c r="AE315" s="1023"/>
      <c r="AF315" s="1023"/>
      <c r="AG315" s="1481"/>
      <c r="AH315" s="1481"/>
      <c r="AI315" s="1481"/>
      <c r="AJ315" s="1481"/>
      <c r="AK315" s="1481"/>
      <c r="AL315" s="1481"/>
      <c r="AM315" s="1481"/>
      <c r="AN315" s="1481"/>
      <c r="AO315" s="1481"/>
      <c r="AP315" s="1481"/>
      <c r="AQ315" s="1481"/>
      <c r="AR315" s="1481"/>
      <c r="AS315" s="1481"/>
      <c r="AT315" s="1481"/>
      <c r="AU315" s="1481"/>
      <c r="AV315" s="1481"/>
      <c r="AW315" s="1481"/>
      <c r="AX315" s="1481"/>
      <c r="AY315" s="1481"/>
      <c r="AZ315" s="1481"/>
      <c r="BA315" s="1481"/>
      <c r="BB315" s="1481"/>
      <c r="BC315" s="1481"/>
      <c r="BD315" s="1481"/>
      <c r="BE315" s="1481"/>
      <c r="BF315" s="1481"/>
      <c r="BG315" s="1481"/>
      <c r="BH315" s="1481"/>
      <c r="BI315" s="1481"/>
      <c r="BJ315" s="1481"/>
      <c r="BK315" s="1481"/>
      <c r="BL315" s="1481"/>
      <c r="BM315" s="1481"/>
      <c r="BN315" s="1481"/>
      <c r="BO315" s="1481"/>
      <c r="BP315" s="1481"/>
      <c r="BQ315" s="1481"/>
      <c r="BR315" s="1481"/>
      <c r="BS315" s="1481"/>
      <c r="BT315" s="1481"/>
      <c r="BU315" s="1481"/>
      <c r="BV315" s="1481"/>
      <c r="BW315" s="1481"/>
      <c r="BX315" s="1481"/>
      <c r="BY315" s="1481"/>
      <c r="BZ315" s="1481"/>
      <c r="CA315" s="1481"/>
      <c r="CB315" s="1481"/>
      <c r="CC315" s="1481"/>
      <c r="CD315" s="1481"/>
      <c r="CE315" s="1481"/>
    </row>
    <row r="316" spans="1:83" ht="11.25" hidden="1" customHeight="1">
      <c r="A316" s="1649"/>
      <c r="B316" s="1023"/>
      <c r="C316" s="319"/>
      <c r="D316" s="3622"/>
      <c r="E316" s="541" t="s">
        <v>18</v>
      </c>
      <c r="F316" s="1031" t="s">
        <v>18</v>
      </c>
      <c r="G316" s="1031" t="s">
        <v>880</v>
      </c>
      <c r="H316" s="543" t="s">
        <v>18</v>
      </c>
      <c r="I316" s="543"/>
      <c r="J316" s="543"/>
      <c r="K316" s="543"/>
      <c r="L316" s="543"/>
      <c r="M316" s="543"/>
      <c r="N316" s="543"/>
      <c r="O316" s="543"/>
      <c r="P316" s="543"/>
      <c r="Q316" s="543"/>
      <c r="R316" s="544"/>
      <c r="S316" s="545"/>
      <c r="T316" s="608"/>
      <c r="U316" s="3532"/>
      <c r="V316" s="3532"/>
      <c r="W316" s="1023"/>
      <c r="X316" s="1023"/>
      <c r="Y316" s="1023"/>
      <c r="Z316" s="1023"/>
      <c r="AA316" s="1481"/>
      <c r="AB316" s="1023"/>
      <c r="AC316" s="3617"/>
      <c r="AD316" s="521"/>
      <c r="AE316" s="1023"/>
      <c r="AF316" s="1023"/>
      <c r="AG316" s="1481"/>
      <c r="AH316" s="1481"/>
      <c r="AI316" s="1481"/>
      <c r="AJ316" s="1481"/>
      <c r="AK316" s="1481"/>
      <c r="AL316" s="1481"/>
      <c r="AM316" s="1481"/>
      <c r="AN316" s="1481"/>
      <c r="AO316" s="1481"/>
      <c r="AP316" s="1481"/>
      <c r="AQ316" s="1481"/>
      <c r="AR316" s="1481"/>
      <c r="AS316" s="1481"/>
      <c r="AT316" s="1481"/>
      <c r="AU316" s="1481"/>
      <c r="AV316" s="1481"/>
      <c r="AW316" s="1481"/>
      <c r="AX316" s="1481"/>
      <c r="AY316" s="1481"/>
      <c r="AZ316" s="1481"/>
      <c r="BA316" s="1481"/>
      <c r="BB316" s="1481"/>
      <c r="BC316" s="1481"/>
      <c r="BD316" s="1481"/>
      <c r="BE316" s="1481"/>
      <c r="BF316" s="1481"/>
      <c r="BG316" s="1481"/>
      <c r="BH316" s="1481"/>
      <c r="BI316" s="1481"/>
      <c r="BJ316" s="1481"/>
      <c r="BK316" s="1481"/>
      <c r="BL316" s="1481"/>
      <c r="BM316" s="1481"/>
      <c r="BN316" s="1481"/>
      <c r="BO316" s="1481"/>
      <c r="BP316" s="1481"/>
      <c r="BQ316" s="1481"/>
      <c r="BR316" s="1481"/>
      <c r="BS316" s="1481"/>
      <c r="BT316" s="1481"/>
      <c r="BU316" s="1481"/>
      <c r="BV316" s="1023"/>
      <c r="BW316" s="1023"/>
      <c r="BX316" s="1023"/>
      <c r="BY316" s="1023"/>
      <c r="BZ316" s="1023"/>
      <c r="CA316" s="1023"/>
      <c r="CB316" s="1023"/>
      <c r="CC316" s="1023"/>
      <c r="CD316" s="1023"/>
      <c r="CE316" s="1023"/>
    </row>
    <row r="317" spans="1:83" ht="5.25" hidden="1" customHeight="1">
      <c r="A317" s="1636"/>
      <c r="B317" s="1481"/>
      <c r="C317" s="1481"/>
      <c r="D317" s="3622"/>
      <c r="E317" s="909"/>
      <c r="F317" s="909"/>
      <c r="G317" s="909"/>
      <c r="H317" s="909"/>
      <c r="I317" s="909"/>
      <c r="J317" s="909"/>
      <c r="K317" s="909"/>
      <c r="L317" s="909"/>
      <c r="M317" s="909"/>
      <c r="N317" s="909"/>
      <c r="O317" s="909"/>
      <c r="P317" s="909"/>
      <c r="Q317" s="910"/>
      <c r="R317" s="911"/>
      <c r="S317" s="912"/>
      <c r="T317" s="607" t="s">
        <v>877</v>
      </c>
      <c r="U317" s="3532">
        <v>1</v>
      </c>
      <c r="V317" s="3532" t="s">
        <v>840</v>
      </c>
      <c r="W317" s="1481"/>
      <c r="X317" s="1481"/>
      <c r="Y317" s="1481"/>
      <c r="Z317" s="1481"/>
      <c r="AA317" s="1481"/>
      <c r="AB317" s="1481"/>
      <c r="AC317" s="907"/>
      <c r="AD317" s="908"/>
      <c r="AE317" s="1481"/>
      <c r="AF317" s="1481"/>
      <c r="AG317" s="1481"/>
      <c r="AH317" s="1481"/>
      <c r="AI317" s="1481"/>
      <c r="AJ317" s="1481"/>
      <c r="AK317" s="1481"/>
      <c r="AL317" s="1481"/>
      <c r="AM317" s="1481"/>
      <c r="AN317" s="1481"/>
      <c r="AO317" s="1481"/>
      <c r="AP317" s="1481"/>
      <c r="AQ317" s="1481"/>
      <c r="AR317" s="1481"/>
      <c r="AS317" s="1481"/>
      <c r="AT317" s="1481"/>
      <c r="AU317" s="1481"/>
      <c r="AV317" s="1481"/>
      <c r="AW317" s="1481"/>
      <c r="AX317" s="1481"/>
      <c r="AY317" s="1481"/>
      <c r="AZ317" s="1481"/>
      <c r="BA317" s="1481"/>
      <c r="BB317" s="1481"/>
      <c r="BC317" s="1481"/>
      <c r="BD317" s="1481"/>
      <c r="BE317" s="1481"/>
      <c r="BF317" s="1481"/>
      <c r="BG317" s="1481"/>
      <c r="BH317" s="1481"/>
      <c r="BI317" s="1481"/>
      <c r="BJ317" s="1481"/>
      <c r="BK317" s="1481"/>
      <c r="BL317" s="1481"/>
      <c r="BM317" s="1481"/>
      <c r="BN317" s="1481"/>
      <c r="BO317" s="1481"/>
      <c r="BP317" s="1481"/>
      <c r="BQ317" s="1481"/>
      <c r="BR317" s="1481"/>
      <c r="BS317" s="1481"/>
      <c r="BT317" s="1481"/>
      <c r="BU317" s="1481"/>
      <c r="BV317" s="1481"/>
      <c r="BW317" s="1481"/>
      <c r="BX317" s="1481"/>
      <c r="BY317" s="1481"/>
      <c r="BZ317" s="1481"/>
      <c r="CA317" s="1481"/>
      <c r="CB317" s="1481"/>
      <c r="CC317" s="1481"/>
      <c r="CD317" s="1481"/>
      <c r="CE317" s="1481"/>
    </row>
    <row r="318" spans="1:83" ht="5.25" hidden="1" customHeight="1">
      <c r="A318" s="1636"/>
      <c r="B318" s="1481"/>
      <c r="C318" s="1481"/>
      <c r="D318" s="3622"/>
      <c r="E318" s="527"/>
      <c r="F318" s="527"/>
      <c r="G318" s="527"/>
      <c r="H318" s="527"/>
      <c r="I318" s="527"/>
      <c r="J318" s="527"/>
      <c r="K318" s="527"/>
      <c r="L318" s="527"/>
      <c r="M318" s="527"/>
      <c r="N318" s="527"/>
      <c r="O318" s="527"/>
      <c r="P318" s="527"/>
      <c r="Q318" s="527"/>
      <c r="R318" s="527"/>
      <c r="S318" s="528"/>
      <c r="T318" s="608"/>
      <c r="U318" s="3532"/>
      <c r="V318" s="3532"/>
      <c r="W318" s="1481"/>
      <c r="X318" s="1481"/>
      <c r="Y318" s="1481"/>
      <c r="Z318" s="1481"/>
      <c r="AA318" s="1481"/>
      <c r="AB318" s="1481"/>
      <c r="AC318" s="907"/>
      <c r="AD318" s="908"/>
      <c r="AE318" s="1481"/>
      <c r="AF318" s="1481"/>
      <c r="AG318" s="1481"/>
      <c r="AH318" s="1481"/>
      <c r="AI318" s="1481"/>
      <c r="AJ318" s="1481"/>
      <c r="AK318" s="1481"/>
      <c r="AL318" s="1481"/>
      <c r="AM318" s="1481"/>
      <c r="AN318" s="1481"/>
      <c r="AO318" s="1481"/>
      <c r="AP318" s="1481"/>
      <c r="AQ318" s="1481"/>
      <c r="AR318" s="1481"/>
      <c r="AS318" s="1481"/>
      <c r="AT318" s="1481"/>
      <c r="AU318" s="1481"/>
      <c r="AV318" s="1481"/>
      <c r="AW318" s="1481"/>
      <c r="AX318" s="1481"/>
      <c r="AY318" s="1481"/>
      <c r="AZ318" s="1481"/>
      <c r="BA318" s="1481"/>
      <c r="BB318" s="1481"/>
      <c r="BC318" s="1481"/>
      <c r="BD318" s="1481"/>
      <c r="BE318" s="1481"/>
      <c r="BF318" s="1481"/>
      <c r="BG318" s="1481"/>
      <c r="BH318" s="1481"/>
      <c r="BI318" s="1481"/>
      <c r="BJ318" s="1481"/>
      <c r="BK318" s="1481"/>
      <c r="BL318" s="1481"/>
      <c r="BM318" s="1481"/>
      <c r="BN318" s="1481"/>
      <c r="BO318" s="1481"/>
      <c r="BP318" s="1481"/>
      <c r="BQ318" s="1481"/>
      <c r="BR318" s="1481"/>
      <c r="BS318" s="1481"/>
      <c r="BT318" s="1481"/>
      <c r="BU318" s="1481"/>
      <c r="BV318" s="1481"/>
      <c r="BW318" s="1481"/>
      <c r="BX318" s="1481"/>
      <c r="BY318" s="1481"/>
      <c r="BZ318" s="1481"/>
      <c r="CA318" s="1481"/>
      <c r="CB318" s="1481"/>
      <c r="CC318" s="1481"/>
      <c r="CD318" s="1481"/>
      <c r="CE318" s="1481"/>
    </row>
    <row r="319" spans="1:83" ht="5.25" hidden="1" customHeight="1">
      <c r="A319" s="1636"/>
      <c r="B319" s="1481"/>
      <c r="C319" s="1481"/>
      <c r="D319" s="3623"/>
      <c r="E319" s="913"/>
      <c r="F319" s="914"/>
      <c r="G319" s="914"/>
      <c r="H319" s="915"/>
      <c r="I319" s="915"/>
      <c r="J319" s="915"/>
      <c r="K319" s="915"/>
      <c r="L319" s="915"/>
      <c r="M319" s="915"/>
      <c r="N319" s="915"/>
      <c r="O319" s="915"/>
      <c r="P319" s="915"/>
      <c r="Q319" s="915"/>
      <c r="R319" s="818"/>
      <c r="S319" s="916"/>
      <c r="T319" s="608"/>
      <c r="U319" s="3532"/>
      <c r="V319" s="3532"/>
      <c r="W319" s="1481"/>
      <c r="X319" s="1481"/>
      <c r="Y319" s="1481"/>
      <c r="Z319" s="1481"/>
      <c r="AA319" s="1481"/>
      <c r="AB319" s="1481"/>
      <c r="AC319" s="907"/>
      <c r="AD319" s="908"/>
      <c r="AE319" s="1481"/>
      <c r="AF319" s="1481"/>
      <c r="AG319" s="1481"/>
      <c r="AH319" s="1481"/>
      <c r="AI319" s="1481"/>
      <c r="AJ319" s="1481"/>
      <c r="AK319" s="1481"/>
      <c r="AL319" s="1481"/>
      <c r="AM319" s="1481"/>
      <c r="AN319" s="1481"/>
      <c r="AO319" s="1481"/>
      <c r="AP319" s="1481"/>
      <c r="AQ319" s="1481"/>
      <c r="AR319" s="1481"/>
      <c r="AS319" s="1481"/>
      <c r="AT319" s="1481"/>
      <c r="AU319" s="1481"/>
      <c r="AV319" s="1481"/>
      <c r="AW319" s="1481"/>
      <c r="AX319" s="1481"/>
      <c r="AY319" s="1481"/>
      <c r="AZ319" s="1481"/>
      <c r="BA319" s="1481"/>
      <c r="BB319" s="1481"/>
      <c r="BC319" s="1481"/>
      <c r="BD319" s="1481"/>
      <c r="BE319" s="1481"/>
      <c r="BF319" s="1481"/>
      <c r="BG319" s="1481"/>
      <c r="BH319" s="1481"/>
      <c r="BI319" s="1481"/>
      <c r="BJ319" s="1481"/>
      <c r="BK319" s="1481"/>
      <c r="BL319" s="1481"/>
      <c r="BM319" s="1481"/>
      <c r="BN319" s="1481"/>
      <c r="BO319" s="1481"/>
      <c r="BP319" s="1481"/>
      <c r="BQ319" s="1481"/>
      <c r="BR319" s="1481"/>
      <c r="BS319" s="1481"/>
      <c r="BT319" s="1481"/>
      <c r="BU319" s="1481"/>
      <c r="BV319" s="1481"/>
      <c r="BW319" s="1481"/>
      <c r="BX319" s="1481"/>
      <c r="BY319" s="1481"/>
      <c r="BZ319" s="1481"/>
      <c r="CA319" s="1481"/>
      <c r="CB319" s="1481"/>
      <c r="CC319" s="1481"/>
      <c r="CD319" s="1481"/>
      <c r="CE319" s="1481"/>
    </row>
    <row r="320" spans="1:83" ht="15" hidden="1" customHeight="1">
      <c r="A320" s="516" t="s">
        <v>213</v>
      </c>
      <c r="B320"/>
      <c r="C320" t="s">
        <v>18</v>
      </c>
      <c r="D320" s="3621" t="s">
        <v>913</v>
      </c>
      <c r="E320" s="3618" t="s">
        <v>102</v>
      </c>
      <c r="F320" s="3619"/>
      <c r="G320" s="3620"/>
      <c r="H320" s="3614" t="str">
        <f>IF(A320="","",INDEX(DIFFERENTIATION_UNMERGE_VD,MATCH(A320,DIFFERENTIATION_ID_DIFF,0)))</f>
        <v>Производство тепловой энергии. Некомбинированная выработка</v>
      </c>
      <c r="I320" s="3614"/>
      <c r="J320" s="3614"/>
      <c r="K320" s="3614"/>
      <c r="L320" s="3614"/>
      <c r="M320" s="3614"/>
      <c r="N320" s="3614"/>
      <c r="O320" s="3614"/>
      <c r="P320" s="3614"/>
      <c r="Q320" s="3614"/>
      <c r="R320" s="3614"/>
      <c r="S320" s="609"/>
      <c r="T320" s="606"/>
      <c r="U320" s="517"/>
      <c r="V320" s="517"/>
      <c r="W320" s="518"/>
      <c r="X320" s="518"/>
      <c r="Y320" s="518"/>
      <c r="Z320" s="518"/>
      <c r="AA320" s="519"/>
      <c r="AB320" s="520"/>
      <c r="AC320" s="3617"/>
      <c r="AD320" s="521"/>
      <c r="AE320" s="522" t="s">
        <v>18</v>
      </c>
      <c r="AF320" s="522"/>
      <c r="AG320" s="523" t="s">
        <v>874</v>
      </c>
      <c r="AH320" s="524">
        <v>3</v>
      </c>
      <c r="AI320" s="517"/>
      <c r="AJ320" s="517"/>
      <c r="AK320" s="517"/>
      <c r="AL320" s="517"/>
      <c r="AM320" s="517"/>
      <c r="AN320" s="517"/>
      <c r="AO320" s="517"/>
      <c r="AP320" s="517"/>
      <c r="AQ320" s="517"/>
      <c r="AR320" s="517"/>
      <c r="AS320" s="517"/>
      <c r="AT320" s="517"/>
      <c r="AU320" s="517"/>
      <c r="AV320" s="517"/>
      <c r="AW320" s="517"/>
      <c r="AX320" s="517"/>
      <c r="AY320" s="517"/>
      <c r="AZ320" s="517"/>
      <c r="BA320" s="517"/>
      <c r="BB320" s="517"/>
      <c r="BC320" s="517"/>
      <c r="BD320" s="517"/>
      <c r="BE320" s="517"/>
      <c r="BF320" s="517"/>
      <c r="BG320" s="517"/>
      <c r="BH320" s="517"/>
      <c r="BI320" s="517"/>
      <c r="BJ320" s="517"/>
      <c r="BK320" s="517"/>
      <c r="BL320" s="517"/>
      <c r="BM320" s="517"/>
      <c r="BN320" s="517"/>
      <c r="BO320" s="517"/>
      <c r="BP320" s="517"/>
      <c r="BQ320" s="517"/>
      <c r="BR320" s="517"/>
      <c r="BS320" s="517"/>
      <c r="BT320" s="517"/>
      <c r="BU320" s="517"/>
      <c r="BV320" s="518"/>
      <c r="BW320" s="518"/>
      <c r="BX320" s="518"/>
      <c r="BY320" s="518"/>
      <c r="BZ320" s="518"/>
      <c r="CA320" s="518"/>
      <c r="CB320" s="518"/>
      <c r="CC320" s="518"/>
      <c r="CD320" s="518"/>
      <c r="CE320" s="518"/>
    </row>
    <row r="321" spans="1:83" ht="15" hidden="1" customHeight="1">
      <c r="A321" s="516"/>
      <c r="B321"/>
      <c r="C321"/>
      <c r="D321" s="3622"/>
      <c r="E321" s="3618" t="s">
        <v>829</v>
      </c>
      <c r="F321" s="3619"/>
      <c r="G321" s="3620"/>
      <c r="H321" s="3614" t="str">
        <f>IF(A320="","",INDEX(DIFFERENTIATION_UNMERGE_AREA,MATCH(A320,DIFFERENTIATION_ID_DIFF,0)))</f>
        <v>Территория 1</v>
      </c>
      <c r="I321" s="3614"/>
      <c r="J321" s="3614"/>
      <c r="K321" s="3614"/>
      <c r="L321" s="3614"/>
      <c r="M321" s="3614"/>
      <c r="N321" s="3614"/>
      <c r="O321" s="3614"/>
      <c r="P321" s="3614"/>
      <c r="Q321" s="3614"/>
      <c r="R321" s="3614"/>
      <c r="S321" s="609"/>
      <c r="T321" s="606"/>
      <c r="U321" s="517"/>
      <c r="V321" s="517"/>
      <c r="W321" s="518"/>
      <c r="X321" s="518"/>
      <c r="Y321" s="518"/>
      <c r="Z321" s="518"/>
      <c r="AA321" s="519"/>
      <c r="AB321" s="520"/>
      <c r="AC321" s="3617"/>
      <c r="AD321" s="521"/>
      <c r="AE321" s="522"/>
      <c r="AF321" s="522"/>
      <c r="AG321" s="523"/>
      <c r="AH321" s="524"/>
      <c r="AI321" s="517"/>
      <c r="AJ321" s="517"/>
      <c r="AK321" s="517"/>
      <c r="AL321" s="517"/>
      <c r="AM321" s="517"/>
      <c r="AN321" s="517"/>
      <c r="AO321" s="517"/>
      <c r="AP321" s="517"/>
      <c r="AQ321" s="517"/>
      <c r="AR321" s="517"/>
      <c r="AS321" s="517"/>
      <c r="AT321" s="517"/>
      <c r="AU321" s="517"/>
      <c r="AV321" s="517"/>
      <c r="AW321" s="517"/>
      <c r="AX321" s="517"/>
      <c r="AY321" s="517"/>
      <c r="AZ321" s="517"/>
      <c r="BA321" s="517"/>
      <c r="BB321" s="517"/>
      <c r="BC321" s="517"/>
      <c r="BD321" s="517"/>
      <c r="BE321" s="517"/>
      <c r="BF321" s="517"/>
      <c r="BG321" s="517"/>
      <c r="BH321" s="517"/>
      <c r="BI321" s="517"/>
      <c r="BJ321" s="517"/>
      <c r="BK321" s="517"/>
      <c r="BL321" s="517"/>
      <c r="BM321" s="517"/>
      <c r="BN321" s="517"/>
      <c r="BO321" s="517"/>
      <c r="BP321" s="517"/>
      <c r="BQ321" s="517"/>
      <c r="BR321" s="517"/>
      <c r="BS321" s="517"/>
      <c r="BT321" s="517"/>
      <c r="BU321" s="517"/>
      <c r="BV321" s="518"/>
      <c r="BW321" s="518"/>
      <c r="BX321" s="518"/>
      <c r="BY321" s="518"/>
      <c r="BZ321" s="518"/>
      <c r="CA321" s="518"/>
      <c r="CB321" s="518"/>
      <c r="CC321" s="518"/>
      <c r="CD321" s="518"/>
      <c r="CE321" s="518"/>
    </row>
    <row r="322" spans="1:83" ht="15" hidden="1" customHeight="1">
      <c r="A322" s="516"/>
      <c r="B322"/>
      <c r="C322"/>
      <c r="D322" s="3622"/>
      <c r="E322" s="3618" t="s">
        <v>830</v>
      </c>
      <c r="F322" s="3619"/>
      <c r="G322" s="3620"/>
      <c r="H322" s="3614" t="str">
        <f>IF(A320="","",INDEX(DIFFERENTIATION_UNMERGE_SYSTEM,MATCH(A320,DIFFERENTIATION_ID_DIFF,0)))</f>
        <v>Маяковского, 55а</v>
      </c>
      <c r="I322" s="3614"/>
      <c r="J322" s="3614"/>
      <c r="K322" s="3614"/>
      <c r="L322" s="3614"/>
      <c r="M322" s="3614"/>
      <c r="N322" s="3614"/>
      <c r="O322" s="3614"/>
      <c r="P322" s="3614"/>
      <c r="Q322" s="3614"/>
      <c r="R322" s="3614"/>
      <c r="S322" s="609"/>
      <c r="T322" s="606"/>
      <c r="U322" s="517"/>
      <c r="V322" s="517"/>
      <c r="W322" s="518"/>
      <c r="X322" s="518"/>
      <c r="Y322" s="518"/>
      <c r="Z322" s="518"/>
      <c r="AA322" s="519"/>
      <c r="AB322" s="520"/>
      <c r="AC322" s="3617"/>
      <c r="AD322" s="521"/>
      <c r="AE322" s="522"/>
      <c r="AF322" s="522"/>
      <c r="AG322" s="523"/>
      <c r="AH322" s="524"/>
      <c r="AI322" s="517"/>
      <c r="AJ322" s="517"/>
      <c r="AK322" s="517"/>
      <c r="AL322" s="517"/>
      <c r="AM322" s="517"/>
      <c r="AN322" s="517"/>
      <c r="AO322" s="517"/>
      <c r="AP322" s="517"/>
      <c r="AQ322" s="517"/>
      <c r="AR322" s="517"/>
      <c r="AS322" s="517"/>
      <c r="AT322" s="517"/>
      <c r="AU322" s="517"/>
      <c r="AV322" s="517"/>
      <c r="AW322" s="517"/>
      <c r="AX322" s="517"/>
      <c r="AY322" s="517"/>
      <c r="AZ322" s="517"/>
      <c r="BA322" s="517"/>
      <c r="BB322" s="517"/>
      <c r="BC322" s="517"/>
      <c r="BD322" s="517"/>
      <c r="BE322" s="517"/>
      <c r="BF322" s="517"/>
      <c r="BG322" s="517"/>
      <c r="BH322" s="517"/>
      <c r="BI322" s="517"/>
      <c r="BJ322" s="517"/>
      <c r="BK322" s="517"/>
      <c r="BL322" s="517"/>
      <c r="BM322" s="517"/>
      <c r="BN322" s="517"/>
      <c r="BO322" s="517"/>
      <c r="BP322" s="517"/>
      <c r="BQ322" s="517"/>
      <c r="BR322" s="517"/>
      <c r="BS322" s="517"/>
      <c r="BT322" s="517"/>
      <c r="BU322" s="517"/>
      <c r="BV322" s="518"/>
      <c r="BW322" s="518"/>
      <c r="BX322" s="518"/>
      <c r="BY322" s="518"/>
      <c r="BZ322" s="518"/>
      <c r="CA322" s="518"/>
      <c r="CB322" s="518"/>
      <c r="CC322" s="518"/>
      <c r="CD322" s="518"/>
      <c r="CE322" s="518"/>
    </row>
    <row r="323" spans="1:83" ht="24.75" hidden="1" customHeight="1">
      <c r="A323" s="1649"/>
      <c r="B323" s="1023"/>
      <c r="C323" s="319"/>
      <c r="D323" s="3622"/>
      <c r="E323" s="3616" t="s">
        <v>875</v>
      </c>
      <c r="F323" s="3616"/>
      <c r="G323" s="3616"/>
      <c r="H323" s="3616"/>
      <c r="I323" s="3616"/>
      <c r="J323" s="3616"/>
      <c r="K323" s="3616"/>
      <c r="L323" s="3616"/>
      <c r="M323" s="3616"/>
      <c r="N323" s="3616"/>
      <c r="O323" s="3616"/>
      <c r="P323" s="3616"/>
      <c r="Q323" s="455">
        <f>SUMIF(T324:T325,"i",Q324:Q325)</f>
        <v>0</v>
      </c>
      <c r="R323" s="887"/>
      <c r="S323" s="1641" t="s">
        <v>876</v>
      </c>
      <c r="T323" s="607" t="s">
        <v>877</v>
      </c>
      <c r="U323" s="3532">
        <v>1</v>
      </c>
      <c r="V323" s="3532" t="s">
        <v>840</v>
      </c>
      <c r="W323" s="1023"/>
      <c r="X323" s="1023"/>
      <c r="Y323" s="1023"/>
      <c r="Z323" s="1023"/>
      <c r="AA323" s="1481"/>
      <c r="AB323" s="1023"/>
      <c r="AC323" s="3617"/>
      <c r="AD323" s="521"/>
      <c r="AE323" s="1023"/>
      <c r="AF323" s="1023"/>
      <c r="AG323" s="1481"/>
      <c r="AH323" s="1481"/>
      <c r="AI323" s="1481"/>
      <c r="AJ323" s="1481"/>
      <c r="AK323" s="1481"/>
      <c r="AL323" s="1481"/>
      <c r="AM323" s="1481"/>
      <c r="AN323" s="1481"/>
      <c r="AO323" s="1481"/>
      <c r="AP323" s="1481"/>
      <c r="AQ323" s="1481"/>
      <c r="AR323" s="1481"/>
      <c r="AS323" s="1481"/>
      <c r="AT323" s="1481"/>
      <c r="AU323" s="1481"/>
      <c r="AV323" s="1481"/>
      <c r="AW323" s="1481"/>
      <c r="AX323" s="1481"/>
      <c r="AY323" s="1481"/>
      <c r="AZ323" s="1481"/>
      <c r="BA323" s="1481"/>
      <c r="BB323" s="1481"/>
      <c r="BC323" s="1481"/>
      <c r="BD323" s="1481"/>
      <c r="BE323" s="1481"/>
      <c r="BF323" s="1481"/>
      <c r="BG323" s="1481"/>
      <c r="BH323" s="1481"/>
      <c r="BI323" s="1481"/>
      <c r="BJ323" s="1481"/>
      <c r="BK323" s="1481"/>
      <c r="BL323" s="1481"/>
      <c r="BM323" s="1481"/>
      <c r="BN323" s="1481"/>
      <c r="BO323" s="1481"/>
      <c r="BP323" s="1481"/>
      <c r="BQ323" s="1481"/>
      <c r="BR323" s="1481"/>
      <c r="BS323" s="1481"/>
      <c r="BT323" s="1481"/>
      <c r="BU323" s="1481"/>
      <c r="BV323" s="1023"/>
      <c r="BW323" s="1023"/>
      <c r="BX323" s="1023"/>
      <c r="BY323" s="1023"/>
      <c r="BZ323" s="1023"/>
      <c r="CA323" s="1023"/>
      <c r="CB323" s="1023"/>
      <c r="CC323" s="1023"/>
      <c r="CD323" s="1023"/>
      <c r="CE323" s="1023"/>
    </row>
    <row r="324" spans="1:83" ht="11.25" hidden="1" customHeight="1">
      <c r="A324" s="1636"/>
      <c r="B324" s="1481"/>
      <c r="C324" s="1481"/>
      <c r="D324" s="3622"/>
      <c r="E324" s="527"/>
      <c r="F324" s="527">
        <v>0</v>
      </c>
      <c r="G324" s="527"/>
      <c r="H324" s="527"/>
      <c r="I324" s="527"/>
      <c r="J324" s="527"/>
      <c r="K324" s="527"/>
      <c r="L324" s="527"/>
      <c r="M324" s="527"/>
      <c r="N324" s="527"/>
      <c r="O324" s="527"/>
      <c r="P324" s="527"/>
      <c r="Q324" s="527"/>
      <c r="R324" s="527"/>
      <c r="S324" s="528"/>
      <c r="T324" s="608"/>
      <c r="U324" s="3532"/>
      <c r="V324" s="3532"/>
      <c r="W324" s="1481"/>
      <c r="X324" s="1481"/>
      <c r="Y324" s="1481"/>
      <c r="Z324" s="1481"/>
      <c r="AA324" s="1481"/>
      <c r="AB324" s="1023"/>
      <c r="AC324" s="3617"/>
      <c r="AD324" s="521"/>
      <c r="AE324" s="1023"/>
      <c r="AF324" s="1023"/>
      <c r="AG324" s="1481"/>
      <c r="AH324" s="1481"/>
      <c r="AI324" s="1481"/>
      <c r="AJ324" s="1481"/>
      <c r="AK324" s="1481"/>
      <c r="AL324" s="1481"/>
      <c r="AM324" s="1481"/>
      <c r="AN324" s="1481"/>
      <c r="AO324" s="1481"/>
      <c r="AP324" s="1481"/>
      <c r="AQ324" s="1481"/>
      <c r="AR324" s="1481"/>
      <c r="AS324" s="1481"/>
      <c r="AT324" s="1481"/>
      <c r="AU324" s="1481"/>
      <c r="AV324" s="1481"/>
      <c r="AW324" s="1481"/>
      <c r="AX324" s="1481"/>
      <c r="AY324" s="1481"/>
      <c r="AZ324" s="1481"/>
      <c r="BA324" s="1481"/>
      <c r="BB324" s="1481"/>
      <c r="BC324" s="1481"/>
      <c r="BD324" s="1481"/>
      <c r="BE324" s="1481"/>
      <c r="BF324" s="1481"/>
      <c r="BG324" s="1481"/>
      <c r="BH324" s="1481"/>
      <c r="BI324" s="1481"/>
      <c r="BJ324" s="1481"/>
      <c r="BK324" s="1481"/>
      <c r="BL324" s="1481"/>
      <c r="BM324" s="1481"/>
      <c r="BN324" s="1481"/>
      <c r="BO324" s="1481"/>
      <c r="BP324" s="1481"/>
      <c r="BQ324" s="1481"/>
      <c r="BR324" s="1481"/>
      <c r="BS324" s="1481"/>
      <c r="BT324" s="1481"/>
      <c r="BU324" s="1481"/>
      <c r="BV324" s="1481"/>
      <c r="BW324" s="1481"/>
      <c r="BX324" s="1481"/>
      <c r="BY324" s="1481"/>
      <c r="BZ324" s="1481"/>
      <c r="CA324" s="1481"/>
      <c r="CB324" s="1481"/>
      <c r="CC324" s="1481"/>
      <c r="CD324" s="1481"/>
      <c r="CE324" s="1481"/>
    </row>
    <row r="325" spans="1:83" ht="11.25" hidden="1" customHeight="1">
      <c r="A325" s="1649"/>
      <c r="B325" s="1023"/>
      <c r="C325" s="319"/>
      <c r="D325" s="3622"/>
      <c r="E325" s="541" t="s">
        <v>18</v>
      </c>
      <c r="F325" s="1031" t="s">
        <v>18</v>
      </c>
      <c r="G325" s="1031" t="s">
        <v>880</v>
      </c>
      <c r="H325" s="543" t="s">
        <v>18</v>
      </c>
      <c r="I325" s="543"/>
      <c r="J325" s="543"/>
      <c r="K325" s="543"/>
      <c r="L325" s="543"/>
      <c r="M325" s="543"/>
      <c r="N325" s="543"/>
      <c r="O325" s="543"/>
      <c r="P325" s="543"/>
      <c r="Q325" s="543"/>
      <c r="R325" s="544"/>
      <c r="S325" s="545"/>
      <c r="T325" s="608"/>
      <c r="U325" s="3532"/>
      <c r="V325" s="3532"/>
      <c r="W325" s="1023"/>
      <c r="X325" s="1023"/>
      <c r="Y325" s="1023"/>
      <c r="Z325" s="1023"/>
      <c r="AA325" s="1481"/>
      <c r="AB325" s="1023"/>
      <c r="AC325" s="3617"/>
      <c r="AD325" s="521"/>
      <c r="AE325" s="1023"/>
      <c r="AF325" s="1023"/>
      <c r="AG325" s="1481"/>
      <c r="AH325" s="1481"/>
      <c r="AI325" s="1481"/>
      <c r="AJ325" s="1481"/>
      <c r="AK325" s="1481"/>
      <c r="AL325" s="1481"/>
      <c r="AM325" s="1481"/>
      <c r="AN325" s="1481"/>
      <c r="AO325" s="1481"/>
      <c r="AP325" s="1481"/>
      <c r="AQ325" s="1481"/>
      <c r="AR325" s="1481"/>
      <c r="AS325" s="1481"/>
      <c r="AT325" s="1481"/>
      <c r="AU325" s="1481"/>
      <c r="AV325" s="1481"/>
      <c r="AW325" s="1481"/>
      <c r="AX325" s="1481"/>
      <c r="AY325" s="1481"/>
      <c r="AZ325" s="1481"/>
      <c r="BA325" s="1481"/>
      <c r="BB325" s="1481"/>
      <c r="BC325" s="1481"/>
      <c r="BD325" s="1481"/>
      <c r="BE325" s="1481"/>
      <c r="BF325" s="1481"/>
      <c r="BG325" s="1481"/>
      <c r="BH325" s="1481"/>
      <c r="BI325" s="1481"/>
      <c r="BJ325" s="1481"/>
      <c r="BK325" s="1481"/>
      <c r="BL325" s="1481"/>
      <c r="BM325" s="1481"/>
      <c r="BN325" s="1481"/>
      <c r="BO325" s="1481"/>
      <c r="BP325" s="1481"/>
      <c r="BQ325" s="1481"/>
      <c r="BR325" s="1481"/>
      <c r="BS325" s="1481"/>
      <c r="BT325" s="1481"/>
      <c r="BU325" s="1481"/>
      <c r="BV325" s="1023"/>
      <c r="BW325" s="1023"/>
      <c r="BX325" s="1023"/>
      <c r="BY325" s="1023"/>
      <c r="BZ325" s="1023"/>
      <c r="CA325" s="1023"/>
      <c r="CB325" s="1023"/>
      <c r="CC325" s="1023"/>
      <c r="CD325" s="1023"/>
      <c r="CE325" s="1023"/>
    </row>
    <row r="326" spans="1:83" ht="5.25" hidden="1" customHeight="1">
      <c r="A326" s="1636"/>
      <c r="B326" s="1481"/>
      <c r="C326" s="1481"/>
      <c r="D326" s="3622"/>
      <c r="E326" s="909"/>
      <c r="F326" s="909"/>
      <c r="G326" s="909"/>
      <c r="H326" s="909"/>
      <c r="I326" s="909"/>
      <c r="J326" s="909"/>
      <c r="K326" s="909"/>
      <c r="L326" s="909"/>
      <c r="M326" s="909"/>
      <c r="N326" s="909"/>
      <c r="O326" s="909"/>
      <c r="P326" s="909"/>
      <c r="Q326" s="910"/>
      <c r="R326" s="911"/>
      <c r="S326" s="912"/>
      <c r="T326" s="607" t="s">
        <v>877</v>
      </c>
      <c r="U326" s="3532">
        <v>1</v>
      </c>
      <c r="V326" s="3532" t="s">
        <v>840</v>
      </c>
      <c r="W326" s="1481"/>
      <c r="X326" s="1481"/>
      <c r="Y326" s="1481"/>
      <c r="Z326" s="1481"/>
      <c r="AA326" s="1481"/>
      <c r="AB326" s="1481"/>
      <c r="AC326" s="907"/>
      <c r="AD326" s="908"/>
      <c r="AE326" s="1481"/>
      <c r="AF326" s="1481"/>
      <c r="AG326" s="1481"/>
      <c r="AH326" s="1481"/>
      <c r="AI326" s="1481"/>
      <c r="AJ326" s="1481"/>
      <c r="AK326" s="1481"/>
      <c r="AL326" s="1481"/>
      <c r="AM326" s="1481"/>
      <c r="AN326" s="1481"/>
      <c r="AO326" s="1481"/>
      <c r="AP326" s="1481"/>
      <c r="AQ326" s="1481"/>
      <c r="AR326" s="1481"/>
      <c r="AS326" s="1481"/>
      <c r="AT326" s="1481"/>
      <c r="AU326" s="1481"/>
      <c r="AV326" s="1481"/>
      <c r="AW326" s="1481"/>
      <c r="AX326" s="1481"/>
      <c r="AY326" s="1481"/>
      <c r="AZ326" s="1481"/>
      <c r="BA326" s="1481"/>
      <c r="BB326" s="1481"/>
      <c r="BC326" s="1481"/>
      <c r="BD326" s="1481"/>
      <c r="BE326" s="1481"/>
      <c r="BF326" s="1481"/>
      <c r="BG326" s="1481"/>
      <c r="BH326" s="1481"/>
      <c r="BI326" s="1481"/>
      <c r="BJ326" s="1481"/>
      <c r="BK326" s="1481"/>
      <c r="BL326" s="1481"/>
      <c r="BM326" s="1481"/>
      <c r="BN326" s="1481"/>
      <c r="BO326" s="1481"/>
      <c r="BP326" s="1481"/>
      <c r="BQ326" s="1481"/>
      <c r="BR326" s="1481"/>
      <c r="BS326" s="1481"/>
      <c r="BT326" s="1481"/>
      <c r="BU326" s="1481"/>
      <c r="BV326" s="1481"/>
      <c r="BW326" s="1481"/>
      <c r="BX326" s="1481"/>
      <c r="BY326" s="1481"/>
      <c r="BZ326" s="1481"/>
      <c r="CA326" s="1481"/>
      <c r="CB326" s="1481"/>
      <c r="CC326" s="1481"/>
      <c r="CD326" s="1481"/>
      <c r="CE326" s="1481"/>
    </row>
    <row r="327" spans="1:83" ht="5.25" hidden="1" customHeight="1">
      <c r="A327" s="1636"/>
      <c r="B327" s="1481"/>
      <c r="C327" s="1481"/>
      <c r="D327" s="3622"/>
      <c r="E327" s="527"/>
      <c r="F327" s="527"/>
      <c r="G327" s="527"/>
      <c r="H327" s="527"/>
      <c r="I327" s="527"/>
      <c r="J327" s="527"/>
      <c r="K327" s="527"/>
      <c r="L327" s="527"/>
      <c r="M327" s="527"/>
      <c r="N327" s="527"/>
      <c r="O327" s="527"/>
      <c r="P327" s="527"/>
      <c r="Q327" s="527"/>
      <c r="R327" s="527"/>
      <c r="S327" s="528"/>
      <c r="T327" s="608"/>
      <c r="U327" s="3532"/>
      <c r="V327" s="3532"/>
      <c r="W327" s="1481"/>
      <c r="X327" s="1481"/>
      <c r="Y327" s="1481"/>
      <c r="Z327" s="1481"/>
      <c r="AA327" s="1481"/>
      <c r="AB327" s="1481"/>
      <c r="AC327" s="907"/>
      <c r="AD327" s="908"/>
      <c r="AE327" s="1481"/>
      <c r="AF327" s="1481"/>
      <c r="AG327" s="1481"/>
      <c r="AH327" s="1481"/>
      <c r="AI327" s="1481"/>
      <c r="AJ327" s="1481"/>
      <c r="AK327" s="1481"/>
      <c r="AL327" s="1481"/>
      <c r="AM327" s="1481"/>
      <c r="AN327" s="1481"/>
      <c r="AO327" s="1481"/>
      <c r="AP327" s="1481"/>
      <c r="AQ327" s="1481"/>
      <c r="AR327" s="1481"/>
      <c r="AS327" s="1481"/>
      <c r="AT327" s="1481"/>
      <c r="AU327" s="1481"/>
      <c r="AV327" s="1481"/>
      <c r="AW327" s="1481"/>
      <c r="AX327" s="1481"/>
      <c r="AY327" s="1481"/>
      <c r="AZ327" s="1481"/>
      <c r="BA327" s="1481"/>
      <c r="BB327" s="1481"/>
      <c r="BC327" s="1481"/>
      <c r="BD327" s="1481"/>
      <c r="BE327" s="1481"/>
      <c r="BF327" s="1481"/>
      <c r="BG327" s="1481"/>
      <c r="BH327" s="1481"/>
      <c r="BI327" s="1481"/>
      <c r="BJ327" s="1481"/>
      <c r="BK327" s="1481"/>
      <c r="BL327" s="1481"/>
      <c r="BM327" s="1481"/>
      <c r="BN327" s="1481"/>
      <c r="BO327" s="1481"/>
      <c r="BP327" s="1481"/>
      <c r="BQ327" s="1481"/>
      <c r="BR327" s="1481"/>
      <c r="BS327" s="1481"/>
      <c r="BT327" s="1481"/>
      <c r="BU327" s="1481"/>
      <c r="BV327" s="1481"/>
      <c r="BW327" s="1481"/>
      <c r="BX327" s="1481"/>
      <c r="BY327" s="1481"/>
      <c r="BZ327" s="1481"/>
      <c r="CA327" s="1481"/>
      <c r="CB327" s="1481"/>
      <c r="CC327" s="1481"/>
      <c r="CD327" s="1481"/>
      <c r="CE327" s="1481"/>
    </row>
    <row r="328" spans="1:83" ht="5.25" hidden="1" customHeight="1">
      <c r="A328" s="1636"/>
      <c r="B328" s="1481"/>
      <c r="C328" s="1481"/>
      <c r="D328" s="3623"/>
      <c r="E328" s="913"/>
      <c r="F328" s="914"/>
      <c r="G328" s="914"/>
      <c r="H328" s="915"/>
      <c r="I328" s="915"/>
      <c r="J328" s="915"/>
      <c r="K328" s="915"/>
      <c r="L328" s="915"/>
      <c r="M328" s="915"/>
      <c r="N328" s="915"/>
      <c r="O328" s="915"/>
      <c r="P328" s="915"/>
      <c r="Q328" s="915"/>
      <c r="R328" s="818"/>
      <c r="S328" s="916"/>
      <c r="T328" s="608"/>
      <c r="U328" s="3532"/>
      <c r="V328" s="3532"/>
      <c r="W328" s="1481"/>
      <c r="X328" s="1481"/>
      <c r="Y328" s="1481"/>
      <c r="Z328" s="1481"/>
      <c r="AA328" s="1481"/>
      <c r="AB328" s="1481"/>
      <c r="AC328" s="907"/>
      <c r="AD328" s="908"/>
      <c r="AE328" s="1481"/>
      <c r="AF328" s="1481"/>
      <c r="AG328" s="1481"/>
      <c r="AH328" s="1481"/>
      <c r="AI328" s="1481"/>
      <c r="AJ328" s="1481"/>
      <c r="AK328" s="1481"/>
      <c r="AL328" s="1481"/>
      <c r="AM328" s="1481"/>
      <c r="AN328" s="1481"/>
      <c r="AO328" s="1481"/>
      <c r="AP328" s="1481"/>
      <c r="AQ328" s="1481"/>
      <c r="AR328" s="1481"/>
      <c r="AS328" s="1481"/>
      <c r="AT328" s="1481"/>
      <c r="AU328" s="1481"/>
      <c r="AV328" s="1481"/>
      <c r="AW328" s="1481"/>
      <c r="AX328" s="1481"/>
      <c r="AY328" s="1481"/>
      <c r="AZ328" s="1481"/>
      <c r="BA328" s="1481"/>
      <c r="BB328" s="1481"/>
      <c r="BC328" s="1481"/>
      <c r="BD328" s="1481"/>
      <c r="BE328" s="1481"/>
      <c r="BF328" s="1481"/>
      <c r="BG328" s="1481"/>
      <c r="BH328" s="1481"/>
      <c r="BI328" s="1481"/>
      <c r="BJ328" s="1481"/>
      <c r="BK328" s="1481"/>
      <c r="BL328" s="1481"/>
      <c r="BM328" s="1481"/>
      <c r="BN328" s="1481"/>
      <c r="BO328" s="1481"/>
      <c r="BP328" s="1481"/>
      <c r="BQ328" s="1481"/>
      <c r="BR328" s="1481"/>
      <c r="BS328" s="1481"/>
      <c r="BT328" s="1481"/>
      <c r="BU328" s="1481"/>
      <c r="BV328" s="1481"/>
      <c r="BW328" s="1481"/>
      <c r="BX328" s="1481"/>
      <c r="BY328" s="1481"/>
      <c r="BZ328" s="1481"/>
      <c r="CA328" s="1481"/>
      <c r="CB328" s="1481"/>
      <c r="CC328" s="1481"/>
      <c r="CD328" s="1481"/>
      <c r="CE328" s="1481"/>
    </row>
    <row r="329" spans="1:83" ht="15" hidden="1" customHeight="1">
      <c r="A329" s="516" t="s">
        <v>216</v>
      </c>
      <c r="B329"/>
      <c r="C329" t="s">
        <v>18</v>
      </c>
      <c r="D329" s="3621" t="s">
        <v>914</v>
      </c>
      <c r="E329" s="3618" t="s">
        <v>102</v>
      </c>
      <c r="F329" s="3619"/>
      <c r="G329" s="3620"/>
      <c r="H329" s="3614" t="str">
        <f>IF(A329="","",INDEX(DIFFERENTIATION_UNMERGE_VD,MATCH(A329,DIFFERENTIATION_ID_DIFF,0)))</f>
        <v>Производство тепловой энергии. Некомбинированная выработка</v>
      </c>
      <c r="I329" s="3614"/>
      <c r="J329" s="3614"/>
      <c r="K329" s="3614"/>
      <c r="L329" s="3614"/>
      <c r="M329" s="3614"/>
      <c r="N329" s="3614"/>
      <c r="O329" s="3614"/>
      <c r="P329" s="3614"/>
      <c r="Q329" s="3614"/>
      <c r="R329" s="3614"/>
      <c r="S329" s="609"/>
      <c r="T329" s="606"/>
      <c r="U329" s="517"/>
      <c r="V329" s="517"/>
      <c r="W329" s="518"/>
      <c r="X329" s="518"/>
      <c r="Y329" s="518"/>
      <c r="Z329" s="518"/>
      <c r="AA329" s="519"/>
      <c r="AB329" s="520"/>
      <c r="AC329" s="3617"/>
      <c r="AD329" s="521"/>
      <c r="AE329" s="522" t="s">
        <v>18</v>
      </c>
      <c r="AF329" s="522"/>
      <c r="AG329" s="523" t="s">
        <v>874</v>
      </c>
      <c r="AH329" s="524">
        <v>3</v>
      </c>
      <c r="AI329" s="517"/>
      <c r="AJ329" s="517"/>
      <c r="AK329" s="517"/>
      <c r="AL329" s="517"/>
      <c r="AM329" s="517"/>
      <c r="AN329" s="517"/>
      <c r="AO329" s="517"/>
      <c r="AP329" s="517"/>
      <c r="AQ329" s="517"/>
      <c r="AR329" s="517"/>
      <c r="AS329" s="517"/>
      <c r="AT329" s="517"/>
      <c r="AU329" s="517"/>
      <c r="AV329" s="517"/>
      <c r="AW329" s="517"/>
      <c r="AX329" s="517"/>
      <c r="AY329" s="517"/>
      <c r="AZ329" s="517"/>
      <c r="BA329" s="517"/>
      <c r="BB329" s="517"/>
      <c r="BC329" s="517"/>
      <c r="BD329" s="517"/>
      <c r="BE329" s="517"/>
      <c r="BF329" s="517"/>
      <c r="BG329" s="517"/>
      <c r="BH329" s="517"/>
      <c r="BI329" s="517"/>
      <c r="BJ329" s="517"/>
      <c r="BK329" s="517"/>
      <c r="BL329" s="517"/>
      <c r="BM329" s="517"/>
      <c r="BN329" s="517"/>
      <c r="BO329" s="517"/>
      <c r="BP329" s="517"/>
      <c r="BQ329" s="517"/>
      <c r="BR329" s="517"/>
      <c r="BS329" s="517"/>
      <c r="BT329" s="517"/>
      <c r="BU329" s="517"/>
      <c r="BV329" s="518"/>
      <c r="BW329" s="518"/>
      <c r="BX329" s="518"/>
      <c r="BY329" s="518"/>
      <c r="BZ329" s="518"/>
      <c r="CA329" s="518"/>
      <c r="CB329" s="518"/>
      <c r="CC329" s="518"/>
      <c r="CD329" s="518"/>
      <c r="CE329" s="518"/>
    </row>
    <row r="330" spans="1:83" ht="15" hidden="1" customHeight="1">
      <c r="A330" s="516"/>
      <c r="B330"/>
      <c r="C330"/>
      <c r="D330" s="3622"/>
      <c r="E330" s="3618" t="s">
        <v>829</v>
      </c>
      <c r="F330" s="3619"/>
      <c r="G330" s="3620"/>
      <c r="H330" s="3614" t="str">
        <f>IF(A329="","",INDEX(DIFFERENTIATION_UNMERGE_AREA,MATCH(A329,DIFFERENTIATION_ID_DIFF,0)))</f>
        <v>Территория 1</v>
      </c>
      <c r="I330" s="3614"/>
      <c r="J330" s="3614"/>
      <c r="K330" s="3614"/>
      <c r="L330" s="3614"/>
      <c r="M330" s="3614"/>
      <c r="N330" s="3614"/>
      <c r="O330" s="3614"/>
      <c r="P330" s="3614"/>
      <c r="Q330" s="3614"/>
      <c r="R330" s="3614"/>
      <c r="S330" s="609"/>
      <c r="T330" s="606"/>
      <c r="U330" s="517"/>
      <c r="V330" s="517"/>
      <c r="W330" s="518"/>
      <c r="X330" s="518"/>
      <c r="Y330" s="518"/>
      <c r="Z330" s="518"/>
      <c r="AA330" s="519"/>
      <c r="AB330" s="520"/>
      <c r="AC330" s="3617"/>
      <c r="AD330" s="521"/>
      <c r="AE330" s="522"/>
      <c r="AF330" s="522"/>
      <c r="AG330" s="523"/>
      <c r="AH330" s="524"/>
      <c r="AI330" s="517"/>
      <c r="AJ330" s="517"/>
      <c r="AK330" s="517"/>
      <c r="AL330" s="517"/>
      <c r="AM330" s="517"/>
      <c r="AN330" s="517"/>
      <c r="AO330" s="517"/>
      <c r="AP330" s="517"/>
      <c r="AQ330" s="517"/>
      <c r="AR330" s="517"/>
      <c r="AS330" s="517"/>
      <c r="AT330" s="517"/>
      <c r="AU330" s="517"/>
      <c r="AV330" s="517"/>
      <c r="AW330" s="517"/>
      <c r="AX330" s="517"/>
      <c r="AY330" s="517"/>
      <c r="AZ330" s="517"/>
      <c r="BA330" s="517"/>
      <c r="BB330" s="517"/>
      <c r="BC330" s="517"/>
      <c r="BD330" s="517"/>
      <c r="BE330" s="517"/>
      <c r="BF330" s="517"/>
      <c r="BG330" s="517"/>
      <c r="BH330" s="517"/>
      <c r="BI330" s="517"/>
      <c r="BJ330" s="517"/>
      <c r="BK330" s="517"/>
      <c r="BL330" s="517"/>
      <c r="BM330" s="517"/>
      <c r="BN330" s="517"/>
      <c r="BO330" s="517"/>
      <c r="BP330" s="517"/>
      <c r="BQ330" s="517"/>
      <c r="BR330" s="517"/>
      <c r="BS330" s="517"/>
      <c r="BT330" s="517"/>
      <c r="BU330" s="517"/>
      <c r="BV330" s="518"/>
      <c r="BW330" s="518"/>
      <c r="BX330" s="518"/>
      <c r="BY330" s="518"/>
      <c r="BZ330" s="518"/>
      <c r="CA330" s="518"/>
      <c r="CB330" s="518"/>
      <c r="CC330" s="518"/>
      <c r="CD330" s="518"/>
      <c r="CE330" s="518"/>
    </row>
    <row r="331" spans="1:83" ht="15" hidden="1" customHeight="1">
      <c r="A331" s="516"/>
      <c r="B331"/>
      <c r="C331"/>
      <c r="D331" s="3622"/>
      <c r="E331" s="3618" t="s">
        <v>830</v>
      </c>
      <c r="F331" s="3619"/>
      <c r="G331" s="3620"/>
      <c r="H331" s="3614" t="str">
        <f>IF(A329="","",INDEX(DIFFERENTIATION_UNMERGE_SYSTEM,MATCH(A329,DIFFERENTIATION_ID_DIFF,0)))</f>
        <v>Маяковского, 62а</v>
      </c>
      <c r="I331" s="3614"/>
      <c r="J331" s="3614"/>
      <c r="K331" s="3614"/>
      <c r="L331" s="3614"/>
      <c r="M331" s="3614"/>
      <c r="N331" s="3614"/>
      <c r="O331" s="3614"/>
      <c r="P331" s="3614"/>
      <c r="Q331" s="3614"/>
      <c r="R331" s="3614"/>
      <c r="S331" s="609"/>
      <c r="T331" s="606"/>
      <c r="U331" s="517"/>
      <c r="V331" s="517"/>
      <c r="W331" s="518"/>
      <c r="X331" s="518"/>
      <c r="Y331" s="518"/>
      <c r="Z331" s="518"/>
      <c r="AA331" s="519"/>
      <c r="AB331" s="520"/>
      <c r="AC331" s="3617"/>
      <c r="AD331" s="521"/>
      <c r="AE331" s="522"/>
      <c r="AF331" s="522"/>
      <c r="AG331" s="523"/>
      <c r="AH331" s="524"/>
      <c r="AI331" s="517"/>
      <c r="AJ331" s="517"/>
      <c r="AK331" s="517"/>
      <c r="AL331" s="517"/>
      <c r="AM331" s="517"/>
      <c r="AN331" s="517"/>
      <c r="AO331" s="517"/>
      <c r="AP331" s="517"/>
      <c r="AQ331" s="517"/>
      <c r="AR331" s="517"/>
      <c r="AS331" s="517"/>
      <c r="AT331" s="517"/>
      <c r="AU331" s="517"/>
      <c r="AV331" s="517"/>
      <c r="AW331" s="517"/>
      <c r="AX331" s="517"/>
      <c r="AY331" s="517"/>
      <c r="AZ331" s="517"/>
      <c r="BA331" s="517"/>
      <c r="BB331" s="517"/>
      <c r="BC331" s="517"/>
      <c r="BD331" s="517"/>
      <c r="BE331" s="517"/>
      <c r="BF331" s="517"/>
      <c r="BG331" s="517"/>
      <c r="BH331" s="517"/>
      <c r="BI331" s="517"/>
      <c r="BJ331" s="517"/>
      <c r="BK331" s="517"/>
      <c r="BL331" s="517"/>
      <c r="BM331" s="517"/>
      <c r="BN331" s="517"/>
      <c r="BO331" s="517"/>
      <c r="BP331" s="517"/>
      <c r="BQ331" s="517"/>
      <c r="BR331" s="517"/>
      <c r="BS331" s="517"/>
      <c r="BT331" s="517"/>
      <c r="BU331" s="517"/>
      <c r="BV331" s="518"/>
      <c r="BW331" s="518"/>
      <c r="BX331" s="518"/>
      <c r="BY331" s="518"/>
      <c r="BZ331" s="518"/>
      <c r="CA331" s="518"/>
      <c r="CB331" s="518"/>
      <c r="CC331" s="518"/>
      <c r="CD331" s="518"/>
      <c r="CE331" s="518"/>
    </row>
    <row r="332" spans="1:83" ht="24.75" hidden="1" customHeight="1">
      <c r="A332" s="1649"/>
      <c r="B332" s="1023"/>
      <c r="C332" s="319"/>
      <c r="D332" s="3622"/>
      <c r="E332" s="3616" t="s">
        <v>875</v>
      </c>
      <c r="F332" s="3616"/>
      <c r="G332" s="3616"/>
      <c r="H332" s="3616"/>
      <c r="I332" s="3616"/>
      <c r="J332" s="3616"/>
      <c r="K332" s="3616"/>
      <c r="L332" s="3616"/>
      <c r="M332" s="3616"/>
      <c r="N332" s="3616"/>
      <c r="O332" s="3616"/>
      <c r="P332" s="3616"/>
      <c r="Q332" s="455">
        <f>SUMIF(T333:T334,"i",Q333:Q334)</f>
        <v>0</v>
      </c>
      <c r="R332" s="887"/>
      <c r="S332" s="1641" t="s">
        <v>876</v>
      </c>
      <c r="T332" s="607" t="s">
        <v>877</v>
      </c>
      <c r="U332" s="3532">
        <v>1</v>
      </c>
      <c r="V332" s="3532" t="s">
        <v>840</v>
      </c>
      <c r="W332" s="1023"/>
      <c r="X332" s="1023"/>
      <c r="Y332" s="1023"/>
      <c r="Z332" s="1023"/>
      <c r="AA332" s="1481"/>
      <c r="AB332" s="1023"/>
      <c r="AC332" s="3617"/>
      <c r="AD332" s="521"/>
      <c r="AE332" s="1023"/>
      <c r="AF332" s="1023"/>
      <c r="AG332" s="1481"/>
      <c r="AH332" s="1481"/>
      <c r="AI332" s="1481"/>
      <c r="AJ332" s="1481"/>
      <c r="AK332" s="1481"/>
      <c r="AL332" s="1481"/>
      <c r="AM332" s="1481"/>
      <c r="AN332" s="1481"/>
      <c r="AO332" s="1481"/>
      <c r="AP332" s="1481"/>
      <c r="AQ332" s="1481"/>
      <c r="AR332" s="1481"/>
      <c r="AS332" s="1481"/>
      <c r="AT332" s="1481"/>
      <c r="AU332" s="1481"/>
      <c r="AV332" s="1481"/>
      <c r="AW332" s="1481"/>
      <c r="AX332" s="1481"/>
      <c r="AY332" s="1481"/>
      <c r="AZ332" s="1481"/>
      <c r="BA332" s="1481"/>
      <c r="BB332" s="1481"/>
      <c r="BC332" s="1481"/>
      <c r="BD332" s="1481"/>
      <c r="BE332" s="1481"/>
      <c r="BF332" s="1481"/>
      <c r="BG332" s="1481"/>
      <c r="BH332" s="1481"/>
      <c r="BI332" s="1481"/>
      <c r="BJ332" s="1481"/>
      <c r="BK332" s="1481"/>
      <c r="BL332" s="1481"/>
      <c r="BM332" s="1481"/>
      <c r="BN332" s="1481"/>
      <c r="BO332" s="1481"/>
      <c r="BP332" s="1481"/>
      <c r="BQ332" s="1481"/>
      <c r="BR332" s="1481"/>
      <c r="BS332" s="1481"/>
      <c r="BT332" s="1481"/>
      <c r="BU332" s="1481"/>
      <c r="BV332" s="1023"/>
      <c r="BW332" s="1023"/>
      <c r="BX332" s="1023"/>
      <c r="BY332" s="1023"/>
      <c r="BZ332" s="1023"/>
      <c r="CA332" s="1023"/>
      <c r="CB332" s="1023"/>
      <c r="CC332" s="1023"/>
      <c r="CD332" s="1023"/>
      <c r="CE332" s="1023"/>
    </row>
    <row r="333" spans="1:83" ht="11.25" hidden="1" customHeight="1">
      <c r="A333" s="1636"/>
      <c r="B333" s="1481"/>
      <c r="C333" s="1481"/>
      <c r="D333" s="3622"/>
      <c r="E333" s="527"/>
      <c r="F333" s="527">
        <v>0</v>
      </c>
      <c r="G333" s="527"/>
      <c r="H333" s="527"/>
      <c r="I333" s="527"/>
      <c r="J333" s="527"/>
      <c r="K333" s="527"/>
      <c r="L333" s="527"/>
      <c r="M333" s="527"/>
      <c r="N333" s="527"/>
      <c r="O333" s="527"/>
      <c r="P333" s="527"/>
      <c r="Q333" s="527"/>
      <c r="R333" s="527"/>
      <c r="S333" s="528"/>
      <c r="T333" s="608"/>
      <c r="U333" s="3532"/>
      <c r="V333" s="3532"/>
      <c r="W333" s="1481"/>
      <c r="X333" s="1481"/>
      <c r="Y333" s="1481"/>
      <c r="Z333" s="1481"/>
      <c r="AA333" s="1481"/>
      <c r="AB333" s="1023"/>
      <c r="AC333" s="3617"/>
      <c r="AD333" s="521"/>
      <c r="AE333" s="1023"/>
      <c r="AF333" s="1023"/>
      <c r="AG333" s="1481"/>
      <c r="AH333" s="1481"/>
      <c r="AI333" s="1481"/>
      <c r="AJ333" s="1481"/>
      <c r="AK333" s="1481"/>
      <c r="AL333" s="1481"/>
      <c r="AM333" s="1481"/>
      <c r="AN333" s="1481"/>
      <c r="AO333" s="1481"/>
      <c r="AP333" s="1481"/>
      <c r="AQ333" s="1481"/>
      <c r="AR333" s="1481"/>
      <c r="AS333" s="1481"/>
      <c r="AT333" s="1481"/>
      <c r="AU333" s="1481"/>
      <c r="AV333" s="1481"/>
      <c r="AW333" s="1481"/>
      <c r="AX333" s="1481"/>
      <c r="AY333" s="1481"/>
      <c r="AZ333" s="1481"/>
      <c r="BA333" s="1481"/>
      <c r="BB333" s="1481"/>
      <c r="BC333" s="1481"/>
      <c r="BD333" s="1481"/>
      <c r="BE333" s="1481"/>
      <c r="BF333" s="1481"/>
      <c r="BG333" s="1481"/>
      <c r="BH333" s="1481"/>
      <c r="BI333" s="1481"/>
      <c r="BJ333" s="1481"/>
      <c r="BK333" s="1481"/>
      <c r="BL333" s="1481"/>
      <c r="BM333" s="1481"/>
      <c r="BN333" s="1481"/>
      <c r="BO333" s="1481"/>
      <c r="BP333" s="1481"/>
      <c r="BQ333" s="1481"/>
      <c r="BR333" s="1481"/>
      <c r="BS333" s="1481"/>
      <c r="BT333" s="1481"/>
      <c r="BU333" s="1481"/>
      <c r="BV333" s="1481"/>
      <c r="BW333" s="1481"/>
      <c r="BX333" s="1481"/>
      <c r="BY333" s="1481"/>
      <c r="BZ333" s="1481"/>
      <c r="CA333" s="1481"/>
      <c r="CB333" s="1481"/>
      <c r="CC333" s="1481"/>
      <c r="CD333" s="1481"/>
      <c r="CE333" s="1481"/>
    </row>
    <row r="334" spans="1:83" ht="11.25" hidden="1" customHeight="1">
      <c r="A334" s="1649"/>
      <c r="B334" s="1023"/>
      <c r="C334" s="319"/>
      <c r="D334" s="3622"/>
      <c r="E334" s="541" t="s">
        <v>18</v>
      </c>
      <c r="F334" s="1031" t="s">
        <v>18</v>
      </c>
      <c r="G334" s="1031" t="s">
        <v>880</v>
      </c>
      <c r="H334" s="543" t="s">
        <v>18</v>
      </c>
      <c r="I334" s="543"/>
      <c r="J334" s="543"/>
      <c r="K334" s="543"/>
      <c r="L334" s="543"/>
      <c r="M334" s="543"/>
      <c r="N334" s="543"/>
      <c r="O334" s="543"/>
      <c r="P334" s="543"/>
      <c r="Q334" s="543"/>
      <c r="R334" s="544"/>
      <c r="S334" s="545"/>
      <c r="T334" s="608"/>
      <c r="U334" s="3532"/>
      <c r="V334" s="3532"/>
      <c r="W334" s="1023"/>
      <c r="X334" s="1023"/>
      <c r="Y334" s="1023"/>
      <c r="Z334" s="1023"/>
      <c r="AA334" s="1481"/>
      <c r="AB334" s="1023"/>
      <c r="AC334" s="3617"/>
      <c r="AD334" s="521"/>
      <c r="AE334" s="1023"/>
      <c r="AF334" s="1023"/>
      <c r="AG334" s="1481"/>
      <c r="AH334" s="1481"/>
      <c r="AI334" s="1481"/>
      <c r="AJ334" s="1481"/>
      <c r="AK334" s="1481"/>
      <c r="AL334" s="1481"/>
      <c r="AM334" s="1481"/>
      <c r="AN334" s="1481"/>
      <c r="AO334" s="1481"/>
      <c r="AP334" s="1481"/>
      <c r="AQ334" s="1481"/>
      <c r="AR334" s="1481"/>
      <c r="AS334" s="1481"/>
      <c r="AT334" s="1481"/>
      <c r="AU334" s="1481"/>
      <c r="AV334" s="1481"/>
      <c r="AW334" s="1481"/>
      <c r="AX334" s="1481"/>
      <c r="AY334" s="1481"/>
      <c r="AZ334" s="1481"/>
      <c r="BA334" s="1481"/>
      <c r="BB334" s="1481"/>
      <c r="BC334" s="1481"/>
      <c r="BD334" s="1481"/>
      <c r="BE334" s="1481"/>
      <c r="BF334" s="1481"/>
      <c r="BG334" s="1481"/>
      <c r="BH334" s="1481"/>
      <c r="BI334" s="1481"/>
      <c r="BJ334" s="1481"/>
      <c r="BK334" s="1481"/>
      <c r="BL334" s="1481"/>
      <c r="BM334" s="1481"/>
      <c r="BN334" s="1481"/>
      <c r="BO334" s="1481"/>
      <c r="BP334" s="1481"/>
      <c r="BQ334" s="1481"/>
      <c r="BR334" s="1481"/>
      <c r="BS334" s="1481"/>
      <c r="BT334" s="1481"/>
      <c r="BU334" s="1481"/>
      <c r="BV334" s="1023"/>
      <c r="BW334" s="1023"/>
      <c r="BX334" s="1023"/>
      <c r="BY334" s="1023"/>
      <c r="BZ334" s="1023"/>
      <c r="CA334" s="1023"/>
      <c r="CB334" s="1023"/>
      <c r="CC334" s="1023"/>
      <c r="CD334" s="1023"/>
      <c r="CE334" s="1023"/>
    </row>
    <row r="335" spans="1:83" ht="5.25" hidden="1" customHeight="1">
      <c r="A335" s="1636"/>
      <c r="B335" s="1481"/>
      <c r="C335" s="1481"/>
      <c r="D335" s="3622"/>
      <c r="E335" s="909"/>
      <c r="F335" s="909"/>
      <c r="G335" s="909"/>
      <c r="H335" s="909"/>
      <c r="I335" s="909"/>
      <c r="J335" s="909"/>
      <c r="K335" s="909"/>
      <c r="L335" s="909"/>
      <c r="M335" s="909"/>
      <c r="N335" s="909"/>
      <c r="O335" s="909"/>
      <c r="P335" s="909"/>
      <c r="Q335" s="910"/>
      <c r="R335" s="911"/>
      <c r="S335" s="912"/>
      <c r="T335" s="607" t="s">
        <v>877</v>
      </c>
      <c r="U335" s="3532">
        <v>1</v>
      </c>
      <c r="V335" s="3532" t="s">
        <v>840</v>
      </c>
      <c r="W335" s="1481"/>
      <c r="X335" s="1481"/>
      <c r="Y335" s="1481"/>
      <c r="Z335" s="1481"/>
      <c r="AA335" s="1481"/>
      <c r="AB335" s="1481"/>
      <c r="AC335" s="907"/>
      <c r="AD335" s="908"/>
      <c r="AE335" s="1481"/>
      <c r="AF335" s="1481"/>
      <c r="AG335" s="1481"/>
      <c r="AH335" s="1481"/>
      <c r="AI335" s="1481"/>
      <c r="AJ335" s="1481"/>
      <c r="AK335" s="1481"/>
      <c r="AL335" s="1481"/>
      <c r="AM335" s="1481"/>
      <c r="AN335" s="1481"/>
      <c r="AO335" s="1481"/>
      <c r="AP335" s="1481"/>
      <c r="AQ335" s="1481"/>
      <c r="AR335" s="1481"/>
      <c r="AS335" s="1481"/>
      <c r="AT335" s="1481"/>
      <c r="AU335" s="1481"/>
      <c r="AV335" s="1481"/>
      <c r="AW335" s="1481"/>
      <c r="AX335" s="1481"/>
      <c r="AY335" s="1481"/>
      <c r="AZ335" s="1481"/>
      <c r="BA335" s="1481"/>
      <c r="BB335" s="1481"/>
      <c r="BC335" s="1481"/>
      <c r="BD335" s="1481"/>
      <c r="BE335" s="1481"/>
      <c r="BF335" s="1481"/>
      <c r="BG335" s="1481"/>
      <c r="BH335" s="1481"/>
      <c r="BI335" s="1481"/>
      <c r="BJ335" s="1481"/>
      <c r="BK335" s="1481"/>
      <c r="BL335" s="1481"/>
      <c r="BM335" s="1481"/>
      <c r="BN335" s="1481"/>
      <c r="BO335" s="1481"/>
      <c r="BP335" s="1481"/>
      <c r="BQ335" s="1481"/>
      <c r="BR335" s="1481"/>
      <c r="BS335" s="1481"/>
      <c r="BT335" s="1481"/>
      <c r="BU335" s="1481"/>
      <c r="BV335" s="1481"/>
      <c r="BW335" s="1481"/>
      <c r="BX335" s="1481"/>
      <c r="BY335" s="1481"/>
      <c r="BZ335" s="1481"/>
      <c r="CA335" s="1481"/>
      <c r="CB335" s="1481"/>
      <c r="CC335" s="1481"/>
      <c r="CD335" s="1481"/>
      <c r="CE335" s="1481"/>
    </row>
    <row r="336" spans="1:83" ht="5.25" hidden="1" customHeight="1">
      <c r="A336" s="1636"/>
      <c r="B336" s="1481"/>
      <c r="C336" s="1481"/>
      <c r="D336" s="3622"/>
      <c r="E336" s="527"/>
      <c r="F336" s="527"/>
      <c r="G336" s="527"/>
      <c r="H336" s="527"/>
      <c r="I336" s="527"/>
      <c r="J336" s="527"/>
      <c r="K336" s="527"/>
      <c r="L336" s="527"/>
      <c r="M336" s="527"/>
      <c r="N336" s="527"/>
      <c r="O336" s="527"/>
      <c r="P336" s="527"/>
      <c r="Q336" s="527"/>
      <c r="R336" s="527"/>
      <c r="S336" s="528"/>
      <c r="T336" s="608"/>
      <c r="U336" s="3532"/>
      <c r="V336" s="3532"/>
      <c r="W336" s="1481"/>
      <c r="X336" s="1481"/>
      <c r="Y336" s="1481"/>
      <c r="Z336" s="1481"/>
      <c r="AA336" s="1481"/>
      <c r="AB336" s="1481"/>
      <c r="AC336" s="907"/>
      <c r="AD336" s="908"/>
      <c r="AE336" s="1481"/>
      <c r="AF336" s="1481"/>
      <c r="AG336" s="1481"/>
      <c r="AH336" s="1481"/>
      <c r="AI336" s="1481"/>
      <c r="AJ336" s="1481"/>
      <c r="AK336" s="1481"/>
      <c r="AL336" s="1481"/>
      <c r="AM336" s="1481"/>
      <c r="AN336" s="1481"/>
      <c r="AO336" s="1481"/>
      <c r="AP336" s="1481"/>
      <c r="AQ336" s="1481"/>
      <c r="AR336" s="1481"/>
      <c r="AS336" s="1481"/>
      <c r="AT336" s="1481"/>
      <c r="AU336" s="1481"/>
      <c r="AV336" s="1481"/>
      <c r="AW336" s="1481"/>
      <c r="AX336" s="1481"/>
      <c r="AY336" s="1481"/>
      <c r="AZ336" s="1481"/>
      <c r="BA336" s="1481"/>
      <c r="BB336" s="1481"/>
      <c r="BC336" s="1481"/>
      <c r="BD336" s="1481"/>
      <c r="BE336" s="1481"/>
      <c r="BF336" s="1481"/>
      <c r="BG336" s="1481"/>
      <c r="BH336" s="1481"/>
      <c r="BI336" s="1481"/>
      <c r="BJ336" s="1481"/>
      <c r="BK336" s="1481"/>
      <c r="BL336" s="1481"/>
      <c r="BM336" s="1481"/>
      <c r="BN336" s="1481"/>
      <c r="BO336" s="1481"/>
      <c r="BP336" s="1481"/>
      <c r="BQ336" s="1481"/>
      <c r="BR336" s="1481"/>
      <c r="BS336" s="1481"/>
      <c r="BT336" s="1481"/>
      <c r="BU336" s="1481"/>
      <c r="BV336" s="1481"/>
      <c r="BW336" s="1481"/>
      <c r="BX336" s="1481"/>
      <c r="BY336" s="1481"/>
      <c r="BZ336" s="1481"/>
      <c r="CA336" s="1481"/>
      <c r="CB336" s="1481"/>
      <c r="CC336" s="1481"/>
      <c r="CD336" s="1481"/>
      <c r="CE336" s="1481"/>
    </row>
    <row r="337" spans="1:83" ht="5.25" hidden="1" customHeight="1">
      <c r="A337" s="1636"/>
      <c r="B337" s="1481"/>
      <c r="C337" s="1481"/>
      <c r="D337" s="3623"/>
      <c r="E337" s="913"/>
      <c r="F337" s="914"/>
      <c r="G337" s="914"/>
      <c r="H337" s="915"/>
      <c r="I337" s="915"/>
      <c r="J337" s="915"/>
      <c r="K337" s="915"/>
      <c r="L337" s="915"/>
      <c r="M337" s="915"/>
      <c r="N337" s="915"/>
      <c r="O337" s="915"/>
      <c r="P337" s="915"/>
      <c r="Q337" s="915"/>
      <c r="R337" s="818"/>
      <c r="S337" s="916"/>
      <c r="T337" s="608"/>
      <c r="U337" s="3532"/>
      <c r="V337" s="3532"/>
      <c r="W337" s="1481"/>
      <c r="X337" s="1481"/>
      <c r="Y337" s="1481"/>
      <c r="Z337" s="1481"/>
      <c r="AA337" s="1481"/>
      <c r="AB337" s="1481"/>
      <c r="AC337" s="907"/>
      <c r="AD337" s="908"/>
      <c r="AE337" s="1481"/>
      <c r="AF337" s="1481"/>
      <c r="AG337" s="1481"/>
      <c r="AH337" s="1481"/>
      <c r="AI337" s="1481"/>
      <c r="AJ337" s="1481"/>
      <c r="AK337" s="1481"/>
      <c r="AL337" s="1481"/>
      <c r="AM337" s="1481"/>
      <c r="AN337" s="1481"/>
      <c r="AO337" s="1481"/>
      <c r="AP337" s="1481"/>
      <c r="AQ337" s="1481"/>
      <c r="AR337" s="1481"/>
      <c r="AS337" s="1481"/>
      <c r="AT337" s="1481"/>
      <c r="AU337" s="1481"/>
      <c r="AV337" s="1481"/>
      <c r="AW337" s="1481"/>
      <c r="AX337" s="1481"/>
      <c r="AY337" s="1481"/>
      <c r="AZ337" s="1481"/>
      <c r="BA337" s="1481"/>
      <c r="BB337" s="1481"/>
      <c r="BC337" s="1481"/>
      <c r="BD337" s="1481"/>
      <c r="BE337" s="1481"/>
      <c r="BF337" s="1481"/>
      <c r="BG337" s="1481"/>
      <c r="BH337" s="1481"/>
      <c r="BI337" s="1481"/>
      <c r="BJ337" s="1481"/>
      <c r="BK337" s="1481"/>
      <c r="BL337" s="1481"/>
      <c r="BM337" s="1481"/>
      <c r="BN337" s="1481"/>
      <c r="BO337" s="1481"/>
      <c r="BP337" s="1481"/>
      <c r="BQ337" s="1481"/>
      <c r="BR337" s="1481"/>
      <c r="BS337" s="1481"/>
      <c r="BT337" s="1481"/>
      <c r="BU337" s="1481"/>
      <c r="BV337" s="1481"/>
      <c r="BW337" s="1481"/>
      <c r="BX337" s="1481"/>
      <c r="BY337" s="1481"/>
      <c r="BZ337" s="1481"/>
      <c r="CA337" s="1481"/>
      <c r="CB337" s="1481"/>
      <c r="CC337" s="1481"/>
      <c r="CD337" s="1481"/>
      <c r="CE337" s="1481"/>
    </row>
    <row r="338" spans="1:83" ht="15" hidden="1" customHeight="1">
      <c r="A338" s="516" t="s">
        <v>219</v>
      </c>
      <c r="B338"/>
      <c r="C338" t="s">
        <v>18</v>
      </c>
      <c r="D338" s="3621" t="s">
        <v>915</v>
      </c>
      <c r="E338" s="3618" t="s">
        <v>102</v>
      </c>
      <c r="F338" s="3619"/>
      <c r="G338" s="3620"/>
      <c r="H338" s="3614" t="str">
        <f>IF(A338="","",INDEX(DIFFERENTIATION_UNMERGE_VD,MATCH(A338,DIFFERENTIATION_ID_DIFF,0)))</f>
        <v>Производство тепловой энергии. Некомбинированная выработка</v>
      </c>
      <c r="I338" s="3614"/>
      <c r="J338" s="3614"/>
      <c r="K338" s="3614"/>
      <c r="L338" s="3614"/>
      <c r="M338" s="3614"/>
      <c r="N338" s="3614"/>
      <c r="O338" s="3614"/>
      <c r="P338" s="3614"/>
      <c r="Q338" s="3614"/>
      <c r="R338" s="3614"/>
      <c r="S338" s="609"/>
      <c r="T338" s="606"/>
      <c r="U338" s="517"/>
      <c r="V338" s="517"/>
      <c r="W338" s="518"/>
      <c r="X338" s="518"/>
      <c r="Y338" s="518"/>
      <c r="Z338" s="518"/>
      <c r="AA338" s="519"/>
      <c r="AB338" s="520"/>
      <c r="AC338" s="3617"/>
      <c r="AD338" s="521"/>
      <c r="AE338" s="522" t="s">
        <v>18</v>
      </c>
      <c r="AF338" s="522"/>
      <c r="AG338" s="523" t="s">
        <v>874</v>
      </c>
      <c r="AH338" s="524">
        <v>3</v>
      </c>
      <c r="AI338" s="517"/>
      <c r="AJ338" s="517"/>
      <c r="AK338" s="517"/>
      <c r="AL338" s="517"/>
      <c r="AM338" s="517"/>
      <c r="AN338" s="517"/>
      <c r="AO338" s="517"/>
      <c r="AP338" s="517"/>
      <c r="AQ338" s="517"/>
      <c r="AR338" s="517"/>
      <c r="AS338" s="517"/>
      <c r="AT338" s="517"/>
      <c r="AU338" s="517"/>
      <c r="AV338" s="517"/>
      <c r="AW338" s="517"/>
      <c r="AX338" s="517"/>
      <c r="AY338" s="517"/>
      <c r="AZ338" s="517"/>
      <c r="BA338" s="517"/>
      <c r="BB338" s="517"/>
      <c r="BC338" s="517"/>
      <c r="BD338" s="517"/>
      <c r="BE338" s="517"/>
      <c r="BF338" s="517"/>
      <c r="BG338" s="517"/>
      <c r="BH338" s="517"/>
      <c r="BI338" s="517"/>
      <c r="BJ338" s="517"/>
      <c r="BK338" s="517"/>
      <c r="BL338" s="517"/>
      <c r="BM338" s="517"/>
      <c r="BN338" s="517"/>
      <c r="BO338" s="517"/>
      <c r="BP338" s="517"/>
      <c r="BQ338" s="517"/>
      <c r="BR338" s="517"/>
      <c r="BS338" s="517"/>
      <c r="BT338" s="517"/>
      <c r="BU338" s="517"/>
      <c r="BV338" s="518"/>
      <c r="BW338" s="518"/>
      <c r="BX338" s="518"/>
      <c r="BY338" s="518"/>
      <c r="BZ338" s="518"/>
      <c r="CA338" s="518"/>
      <c r="CB338" s="518"/>
      <c r="CC338" s="518"/>
      <c r="CD338" s="518"/>
      <c r="CE338" s="518"/>
    </row>
    <row r="339" spans="1:83" ht="15" hidden="1" customHeight="1">
      <c r="A339" s="516"/>
      <c r="B339"/>
      <c r="C339"/>
      <c r="D339" s="3622"/>
      <c r="E339" s="3618" t="s">
        <v>829</v>
      </c>
      <c r="F339" s="3619"/>
      <c r="G339" s="3620"/>
      <c r="H339" s="3614" t="str">
        <f>IF(A338="","",INDEX(DIFFERENTIATION_UNMERGE_AREA,MATCH(A338,DIFFERENTIATION_ID_DIFF,0)))</f>
        <v>Территория 1</v>
      </c>
      <c r="I339" s="3614"/>
      <c r="J339" s="3614"/>
      <c r="K339" s="3614"/>
      <c r="L339" s="3614"/>
      <c r="M339" s="3614"/>
      <c r="N339" s="3614"/>
      <c r="O339" s="3614"/>
      <c r="P339" s="3614"/>
      <c r="Q339" s="3614"/>
      <c r="R339" s="3614"/>
      <c r="S339" s="609"/>
      <c r="T339" s="606"/>
      <c r="U339" s="517"/>
      <c r="V339" s="517"/>
      <c r="W339" s="518"/>
      <c r="X339" s="518"/>
      <c r="Y339" s="518"/>
      <c r="Z339" s="518"/>
      <c r="AA339" s="519"/>
      <c r="AB339" s="520"/>
      <c r="AC339" s="3617"/>
      <c r="AD339" s="521"/>
      <c r="AE339" s="522"/>
      <c r="AF339" s="522"/>
      <c r="AG339" s="523"/>
      <c r="AH339" s="524"/>
      <c r="AI339" s="517"/>
      <c r="AJ339" s="517"/>
      <c r="AK339" s="517"/>
      <c r="AL339" s="517"/>
      <c r="AM339" s="517"/>
      <c r="AN339" s="517"/>
      <c r="AO339" s="517"/>
      <c r="AP339" s="517"/>
      <c r="AQ339" s="517"/>
      <c r="AR339" s="517"/>
      <c r="AS339" s="517"/>
      <c r="AT339" s="517"/>
      <c r="AU339" s="517"/>
      <c r="AV339" s="517"/>
      <c r="AW339" s="517"/>
      <c r="AX339" s="517"/>
      <c r="AY339" s="517"/>
      <c r="AZ339" s="517"/>
      <c r="BA339" s="517"/>
      <c r="BB339" s="517"/>
      <c r="BC339" s="517"/>
      <c r="BD339" s="517"/>
      <c r="BE339" s="517"/>
      <c r="BF339" s="517"/>
      <c r="BG339" s="517"/>
      <c r="BH339" s="517"/>
      <c r="BI339" s="517"/>
      <c r="BJ339" s="517"/>
      <c r="BK339" s="517"/>
      <c r="BL339" s="517"/>
      <c r="BM339" s="517"/>
      <c r="BN339" s="517"/>
      <c r="BO339" s="517"/>
      <c r="BP339" s="517"/>
      <c r="BQ339" s="517"/>
      <c r="BR339" s="517"/>
      <c r="BS339" s="517"/>
      <c r="BT339" s="517"/>
      <c r="BU339" s="517"/>
      <c r="BV339" s="518"/>
      <c r="BW339" s="518"/>
      <c r="BX339" s="518"/>
      <c r="BY339" s="518"/>
      <c r="BZ339" s="518"/>
      <c r="CA339" s="518"/>
      <c r="CB339" s="518"/>
      <c r="CC339" s="518"/>
      <c r="CD339" s="518"/>
      <c r="CE339" s="518"/>
    </row>
    <row r="340" spans="1:83" ht="15" hidden="1" customHeight="1">
      <c r="A340" s="516"/>
      <c r="B340"/>
      <c r="C340"/>
      <c r="D340" s="3622"/>
      <c r="E340" s="3618" t="s">
        <v>830</v>
      </c>
      <c r="F340" s="3619"/>
      <c r="G340" s="3620"/>
      <c r="H340" s="3614" t="str">
        <f>IF(A338="","",INDEX(DIFFERENTIATION_UNMERGE_SYSTEM,MATCH(A338,DIFFERENTIATION_ID_DIFF,0)))</f>
        <v>Мопра, 28а</v>
      </c>
      <c r="I340" s="3614"/>
      <c r="J340" s="3614"/>
      <c r="K340" s="3614"/>
      <c r="L340" s="3614"/>
      <c r="M340" s="3614"/>
      <c r="N340" s="3614"/>
      <c r="O340" s="3614"/>
      <c r="P340" s="3614"/>
      <c r="Q340" s="3614"/>
      <c r="R340" s="3614"/>
      <c r="S340" s="609"/>
      <c r="T340" s="606"/>
      <c r="U340" s="517"/>
      <c r="V340" s="517"/>
      <c r="W340" s="518"/>
      <c r="X340" s="518"/>
      <c r="Y340" s="518"/>
      <c r="Z340" s="518"/>
      <c r="AA340" s="519"/>
      <c r="AB340" s="520"/>
      <c r="AC340" s="3617"/>
      <c r="AD340" s="521"/>
      <c r="AE340" s="522"/>
      <c r="AF340" s="522"/>
      <c r="AG340" s="523"/>
      <c r="AH340" s="524"/>
      <c r="AI340" s="517"/>
      <c r="AJ340" s="517"/>
      <c r="AK340" s="517"/>
      <c r="AL340" s="517"/>
      <c r="AM340" s="517"/>
      <c r="AN340" s="517"/>
      <c r="AO340" s="517"/>
      <c r="AP340" s="517"/>
      <c r="AQ340" s="517"/>
      <c r="AR340" s="517"/>
      <c r="AS340" s="517"/>
      <c r="AT340" s="517"/>
      <c r="AU340" s="517"/>
      <c r="AV340" s="517"/>
      <c r="AW340" s="517"/>
      <c r="AX340" s="517"/>
      <c r="AY340" s="517"/>
      <c r="AZ340" s="517"/>
      <c r="BA340" s="517"/>
      <c r="BB340" s="517"/>
      <c r="BC340" s="517"/>
      <c r="BD340" s="517"/>
      <c r="BE340" s="517"/>
      <c r="BF340" s="517"/>
      <c r="BG340" s="517"/>
      <c r="BH340" s="517"/>
      <c r="BI340" s="517"/>
      <c r="BJ340" s="517"/>
      <c r="BK340" s="517"/>
      <c r="BL340" s="517"/>
      <c r="BM340" s="517"/>
      <c r="BN340" s="517"/>
      <c r="BO340" s="517"/>
      <c r="BP340" s="517"/>
      <c r="BQ340" s="517"/>
      <c r="BR340" s="517"/>
      <c r="BS340" s="517"/>
      <c r="BT340" s="517"/>
      <c r="BU340" s="517"/>
      <c r="BV340" s="518"/>
      <c r="BW340" s="518"/>
      <c r="BX340" s="518"/>
      <c r="BY340" s="518"/>
      <c r="BZ340" s="518"/>
      <c r="CA340" s="518"/>
      <c r="CB340" s="518"/>
      <c r="CC340" s="518"/>
      <c r="CD340" s="518"/>
      <c r="CE340" s="518"/>
    </row>
    <row r="341" spans="1:83" ht="24.75" hidden="1" customHeight="1">
      <c r="A341" s="1649"/>
      <c r="B341" s="1023"/>
      <c r="C341" s="319"/>
      <c r="D341" s="3622"/>
      <c r="E341" s="3616" t="s">
        <v>875</v>
      </c>
      <c r="F341" s="3616"/>
      <c r="G341" s="3616"/>
      <c r="H341" s="3616"/>
      <c r="I341" s="3616"/>
      <c r="J341" s="3616"/>
      <c r="K341" s="3616"/>
      <c r="L341" s="3616"/>
      <c r="M341" s="3616"/>
      <c r="N341" s="3616"/>
      <c r="O341" s="3616"/>
      <c r="P341" s="3616"/>
      <c r="Q341" s="455">
        <f>SUMIF(T342:T343,"i",Q342:Q343)</f>
        <v>0</v>
      </c>
      <c r="R341" s="887"/>
      <c r="S341" s="1641" t="s">
        <v>876</v>
      </c>
      <c r="T341" s="607" t="s">
        <v>877</v>
      </c>
      <c r="U341" s="3532">
        <v>1</v>
      </c>
      <c r="V341" s="3532" t="s">
        <v>840</v>
      </c>
      <c r="W341" s="1023"/>
      <c r="X341" s="1023"/>
      <c r="Y341" s="1023"/>
      <c r="Z341" s="1023"/>
      <c r="AA341" s="1481"/>
      <c r="AB341" s="1023"/>
      <c r="AC341" s="3617"/>
      <c r="AD341" s="521"/>
      <c r="AE341" s="1023"/>
      <c r="AF341" s="1023"/>
      <c r="AG341" s="1481"/>
      <c r="AH341" s="1481"/>
      <c r="AI341" s="1481"/>
      <c r="AJ341" s="1481"/>
      <c r="AK341" s="1481"/>
      <c r="AL341" s="1481"/>
      <c r="AM341" s="1481"/>
      <c r="AN341" s="1481"/>
      <c r="AO341" s="1481"/>
      <c r="AP341" s="1481"/>
      <c r="AQ341" s="1481"/>
      <c r="AR341" s="1481"/>
      <c r="AS341" s="1481"/>
      <c r="AT341" s="1481"/>
      <c r="AU341" s="1481"/>
      <c r="AV341" s="1481"/>
      <c r="AW341" s="1481"/>
      <c r="AX341" s="1481"/>
      <c r="AY341" s="1481"/>
      <c r="AZ341" s="1481"/>
      <c r="BA341" s="1481"/>
      <c r="BB341" s="1481"/>
      <c r="BC341" s="1481"/>
      <c r="BD341" s="1481"/>
      <c r="BE341" s="1481"/>
      <c r="BF341" s="1481"/>
      <c r="BG341" s="1481"/>
      <c r="BH341" s="1481"/>
      <c r="BI341" s="1481"/>
      <c r="BJ341" s="1481"/>
      <c r="BK341" s="1481"/>
      <c r="BL341" s="1481"/>
      <c r="BM341" s="1481"/>
      <c r="BN341" s="1481"/>
      <c r="BO341" s="1481"/>
      <c r="BP341" s="1481"/>
      <c r="BQ341" s="1481"/>
      <c r="BR341" s="1481"/>
      <c r="BS341" s="1481"/>
      <c r="BT341" s="1481"/>
      <c r="BU341" s="1481"/>
      <c r="BV341" s="1023"/>
      <c r="BW341" s="1023"/>
      <c r="BX341" s="1023"/>
      <c r="BY341" s="1023"/>
      <c r="BZ341" s="1023"/>
      <c r="CA341" s="1023"/>
      <c r="CB341" s="1023"/>
      <c r="CC341" s="1023"/>
      <c r="CD341" s="1023"/>
      <c r="CE341" s="1023"/>
    </row>
    <row r="342" spans="1:83" ht="11.25" hidden="1" customHeight="1">
      <c r="A342" s="1636"/>
      <c r="B342" s="1481"/>
      <c r="C342" s="1481"/>
      <c r="D342" s="3622"/>
      <c r="E342" s="527"/>
      <c r="F342" s="527">
        <v>0</v>
      </c>
      <c r="G342" s="527"/>
      <c r="H342" s="527"/>
      <c r="I342" s="527"/>
      <c r="J342" s="527"/>
      <c r="K342" s="527"/>
      <c r="L342" s="527"/>
      <c r="M342" s="527"/>
      <c r="N342" s="527"/>
      <c r="O342" s="527"/>
      <c r="P342" s="527"/>
      <c r="Q342" s="527"/>
      <c r="R342" s="527"/>
      <c r="S342" s="528"/>
      <c r="T342" s="608"/>
      <c r="U342" s="3532"/>
      <c r="V342" s="3532"/>
      <c r="W342" s="1481"/>
      <c r="X342" s="1481"/>
      <c r="Y342" s="1481"/>
      <c r="Z342" s="1481"/>
      <c r="AA342" s="1481"/>
      <c r="AB342" s="1023"/>
      <c r="AC342" s="3617"/>
      <c r="AD342" s="521"/>
      <c r="AE342" s="1023"/>
      <c r="AF342" s="1023"/>
      <c r="AG342" s="1481"/>
      <c r="AH342" s="1481"/>
      <c r="AI342" s="1481"/>
      <c r="AJ342" s="1481"/>
      <c r="AK342" s="1481"/>
      <c r="AL342" s="1481"/>
      <c r="AM342" s="1481"/>
      <c r="AN342" s="1481"/>
      <c r="AO342" s="1481"/>
      <c r="AP342" s="1481"/>
      <c r="AQ342" s="1481"/>
      <c r="AR342" s="1481"/>
      <c r="AS342" s="1481"/>
      <c r="AT342" s="1481"/>
      <c r="AU342" s="1481"/>
      <c r="AV342" s="1481"/>
      <c r="AW342" s="1481"/>
      <c r="AX342" s="1481"/>
      <c r="AY342" s="1481"/>
      <c r="AZ342" s="1481"/>
      <c r="BA342" s="1481"/>
      <c r="BB342" s="1481"/>
      <c r="BC342" s="1481"/>
      <c r="BD342" s="1481"/>
      <c r="BE342" s="1481"/>
      <c r="BF342" s="1481"/>
      <c r="BG342" s="1481"/>
      <c r="BH342" s="1481"/>
      <c r="BI342" s="1481"/>
      <c r="BJ342" s="1481"/>
      <c r="BK342" s="1481"/>
      <c r="BL342" s="1481"/>
      <c r="BM342" s="1481"/>
      <c r="BN342" s="1481"/>
      <c r="BO342" s="1481"/>
      <c r="BP342" s="1481"/>
      <c r="BQ342" s="1481"/>
      <c r="BR342" s="1481"/>
      <c r="BS342" s="1481"/>
      <c r="BT342" s="1481"/>
      <c r="BU342" s="1481"/>
      <c r="BV342" s="1481"/>
      <c r="BW342" s="1481"/>
      <c r="BX342" s="1481"/>
      <c r="BY342" s="1481"/>
      <c r="BZ342" s="1481"/>
      <c r="CA342" s="1481"/>
      <c r="CB342" s="1481"/>
      <c r="CC342" s="1481"/>
      <c r="CD342" s="1481"/>
      <c r="CE342" s="1481"/>
    </row>
    <row r="343" spans="1:83" ht="11.25" hidden="1" customHeight="1">
      <c r="A343" s="1649"/>
      <c r="B343" s="1023"/>
      <c r="C343" s="319"/>
      <c r="D343" s="3622"/>
      <c r="E343" s="541" t="s">
        <v>18</v>
      </c>
      <c r="F343" s="1031" t="s">
        <v>18</v>
      </c>
      <c r="G343" s="1031" t="s">
        <v>880</v>
      </c>
      <c r="H343" s="543" t="s">
        <v>18</v>
      </c>
      <c r="I343" s="543"/>
      <c r="J343" s="543"/>
      <c r="K343" s="543"/>
      <c r="L343" s="543"/>
      <c r="M343" s="543"/>
      <c r="N343" s="543"/>
      <c r="O343" s="543"/>
      <c r="P343" s="543"/>
      <c r="Q343" s="543"/>
      <c r="R343" s="544"/>
      <c r="S343" s="545"/>
      <c r="T343" s="608"/>
      <c r="U343" s="3532"/>
      <c r="V343" s="3532"/>
      <c r="W343" s="1023"/>
      <c r="X343" s="1023"/>
      <c r="Y343" s="1023"/>
      <c r="Z343" s="1023"/>
      <c r="AA343" s="1481"/>
      <c r="AB343" s="1023"/>
      <c r="AC343" s="3617"/>
      <c r="AD343" s="521"/>
      <c r="AE343" s="1023"/>
      <c r="AF343" s="1023"/>
      <c r="AG343" s="1481"/>
      <c r="AH343" s="1481"/>
      <c r="AI343" s="1481"/>
      <c r="AJ343" s="1481"/>
      <c r="AK343" s="1481"/>
      <c r="AL343" s="1481"/>
      <c r="AM343" s="1481"/>
      <c r="AN343" s="1481"/>
      <c r="AO343" s="1481"/>
      <c r="AP343" s="1481"/>
      <c r="AQ343" s="1481"/>
      <c r="AR343" s="1481"/>
      <c r="AS343" s="1481"/>
      <c r="AT343" s="1481"/>
      <c r="AU343" s="1481"/>
      <c r="AV343" s="1481"/>
      <c r="AW343" s="1481"/>
      <c r="AX343" s="1481"/>
      <c r="AY343" s="1481"/>
      <c r="AZ343" s="1481"/>
      <c r="BA343" s="1481"/>
      <c r="BB343" s="1481"/>
      <c r="BC343" s="1481"/>
      <c r="BD343" s="1481"/>
      <c r="BE343" s="1481"/>
      <c r="BF343" s="1481"/>
      <c r="BG343" s="1481"/>
      <c r="BH343" s="1481"/>
      <c r="BI343" s="1481"/>
      <c r="BJ343" s="1481"/>
      <c r="BK343" s="1481"/>
      <c r="BL343" s="1481"/>
      <c r="BM343" s="1481"/>
      <c r="BN343" s="1481"/>
      <c r="BO343" s="1481"/>
      <c r="BP343" s="1481"/>
      <c r="BQ343" s="1481"/>
      <c r="BR343" s="1481"/>
      <c r="BS343" s="1481"/>
      <c r="BT343" s="1481"/>
      <c r="BU343" s="1481"/>
      <c r="BV343" s="1023"/>
      <c r="BW343" s="1023"/>
      <c r="BX343" s="1023"/>
      <c r="BY343" s="1023"/>
      <c r="BZ343" s="1023"/>
      <c r="CA343" s="1023"/>
      <c r="CB343" s="1023"/>
      <c r="CC343" s="1023"/>
      <c r="CD343" s="1023"/>
      <c r="CE343" s="1023"/>
    </row>
    <row r="344" spans="1:83" ht="5.25" hidden="1" customHeight="1">
      <c r="A344" s="1636"/>
      <c r="B344" s="1481"/>
      <c r="C344" s="1481"/>
      <c r="D344" s="3622"/>
      <c r="E344" s="909"/>
      <c r="F344" s="909"/>
      <c r="G344" s="909"/>
      <c r="H344" s="909"/>
      <c r="I344" s="909"/>
      <c r="J344" s="909"/>
      <c r="K344" s="909"/>
      <c r="L344" s="909"/>
      <c r="M344" s="909"/>
      <c r="N344" s="909"/>
      <c r="O344" s="909"/>
      <c r="P344" s="909"/>
      <c r="Q344" s="910"/>
      <c r="R344" s="911"/>
      <c r="S344" s="912"/>
      <c r="T344" s="607" t="s">
        <v>877</v>
      </c>
      <c r="U344" s="3532">
        <v>1</v>
      </c>
      <c r="V344" s="3532" t="s">
        <v>840</v>
      </c>
      <c r="W344" s="1481"/>
      <c r="X344" s="1481"/>
      <c r="Y344" s="1481"/>
      <c r="Z344" s="1481"/>
      <c r="AA344" s="1481"/>
      <c r="AB344" s="1481"/>
      <c r="AC344" s="907"/>
      <c r="AD344" s="908"/>
      <c r="AE344" s="1481"/>
      <c r="AF344" s="1481"/>
      <c r="AG344" s="1481"/>
      <c r="AH344" s="1481"/>
      <c r="AI344" s="1481"/>
      <c r="AJ344" s="1481"/>
      <c r="AK344" s="1481"/>
      <c r="AL344" s="1481"/>
      <c r="AM344" s="1481"/>
      <c r="AN344" s="1481"/>
      <c r="AO344" s="1481"/>
      <c r="AP344" s="1481"/>
      <c r="AQ344" s="1481"/>
      <c r="AR344" s="1481"/>
      <c r="AS344" s="1481"/>
      <c r="AT344" s="1481"/>
      <c r="AU344" s="1481"/>
      <c r="AV344" s="1481"/>
      <c r="AW344" s="1481"/>
      <c r="AX344" s="1481"/>
      <c r="AY344" s="1481"/>
      <c r="AZ344" s="1481"/>
      <c r="BA344" s="1481"/>
      <c r="BB344" s="1481"/>
      <c r="BC344" s="1481"/>
      <c r="BD344" s="1481"/>
      <c r="BE344" s="1481"/>
      <c r="BF344" s="1481"/>
      <c r="BG344" s="1481"/>
      <c r="BH344" s="1481"/>
      <c r="BI344" s="1481"/>
      <c r="BJ344" s="1481"/>
      <c r="BK344" s="1481"/>
      <c r="BL344" s="1481"/>
      <c r="BM344" s="1481"/>
      <c r="BN344" s="1481"/>
      <c r="BO344" s="1481"/>
      <c r="BP344" s="1481"/>
      <c r="BQ344" s="1481"/>
      <c r="BR344" s="1481"/>
      <c r="BS344" s="1481"/>
      <c r="BT344" s="1481"/>
      <c r="BU344" s="1481"/>
      <c r="BV344" s="1481"/>
      <c r="BW344" s="1481"/>
      <c r="BX344" s="1481"/>
      <c r="BY344" s="1481"/>
      <c r="BZ344" s="1481"/>
      <c r="CA344" s="1481"/>
      <c r="CB344" s="1481"/>
      <c r="CC344" s="1481"/>
      <c r="CD344" s="1481"/>
      <c r="CE344" s="1481"/>
    </row>
    <row r="345" spans="1:83" ht="5.25" hidden="1" customHeight="1">
      <c r="A345" s="1636"/>
      <c r="B345" s="1481"/>
      <c r="C345" s="1481"/>
      <c r="D345" s="3622"/>
      <c r="E345" s="527"/>
      <c r="F345" s="527"/>
      <c r="G345" s="527"/>
      <c r="H345" s="527"/>
      <c r="I345" s="527"/>
      <c r="J345" s="527"/>
      <c r="K345" s="527"/>
      <c r="L345" s="527"/>
      <c r="M345" s="527"/>
      <c r="N345" s="527"/>
      <c r="O345" s="527"/>
      <c r="P345" s="527"/>
      <c r="Q345" s="527"/>
      <c r="R345" s="527"/>
      <c r="S345" s="528"/>
      <c r="T345" s="608"/>
      <c r="U345" s="3532"/>
      <c r="V345" s="3532"/>
      <c r="W345" s="1481"/>
      <c r="X345" s="1481"/>
      <c r="Y345" s="1481"/>
      <c r="Z345" s="1481"/>
      <c r="AA345" s="1481"/>
      <c r="AB345" s="1481"/>
      <c r="AC345" s="907"/>
      <c r="AD345" s="908"/>
      <c r="AE345" s="1481"/>
      <c r="AF345" s="1481"/>
      <c r="AG345" s="1481"/>
      <c r="AH345" s="1481"/>
      <c r="AI345" s="1481"/>
      <c r="AJ345" s="1481"/>
      <c r="AK345" s="1481"/>
      <c r="AL345" s="1481"/>
      <c r="AM345" s="1481"/>
      <c r="AN345" s="1481"/>
      <c r="AO345" s="1481"/>
      <c r="AP345" s="1481"/>
      <c r="AQ345" s="1481"/>
      <c r="AR345" s="1481"/>
      <c r="AS345" s="1481"/>
      <c r="AT345" s="1481"/>
      <c r="AU345" s="1481"/>
      <c r="AV345" s="1481"/>
      <c r="AW345" s="1481"/>
      <c r="AX345" s="1481"/>
      <c r="AY345" s="1481"/>
      <c r="AZ345" s="1481"/>
      <c r="BA345" s="1481"/>
      <c r="BB345" s="1481"/>
      <c r="BC345" s="1481"/>
      <c r="BD345" s="1481"/>
      <c r="BE345" s="1481"/>
      <c r="BF345" s="1481"/>
      <c r="BG345" s="1481"/>
      <c r="BH345" s="1481"/>
      <c r="BI345" s="1481"/>
      <c r="BJ345" s="1481"/>
      <c r="BK345" s="1481"/>
      <c r="BL345" s="1481"/>
      <c r="BM345" s="1481"/>
      <c r="BN345" s="1481"/>
      <c r="BO345" s="1481"/>
      <c r="BP345" s="1481"/>
      <c r="BQ345" s="1481"/>
      <c r="BR345" s="1481"/>
      <c r="BS345" s="1481"/>
      <c r="BT345" s="1481"/>
      <c r="BU345" s="1481"/>
      <c r="BV345" s="1481"/>
      <c r="BW345" s="1481"/>
      <c r="BX345" s="1481"/>
      <c r="BY345" s="1481"/>
      <c r="BZ345" s="1481"/>
      <c r="CA345" s="1481"/>
      <c r="CB345" s="1481"/>
      <c r="CC345" s="1481"/>
      <c r="CD345" s="1481"/>
      <c r="CE345" s="1481"/>
    </row>
    <row r="346" spans="1:83" ht="5.25" hidden="1" customHeight="1">
      <c r="A346" s="1636"/>
      <c r="B346" s="1481"/>
      <c r="C346" s="1481"/>
      <c r="D346" s="3623"/>
      <c r="E346" s="913"/>
      <c r="F346" s="914"/>
      <c r="G346" s="914"/>
      <c r="H346" s="915"/>
      <c r="I346" s="915"/>
      <c r="J346" s="915"/>
      <c r="K346" s="915"/>
      <c r="L346" s="915"/>
      <c r="M346" s="915"/>
      <c r="N346" s="915"/>
      <c r="O346" s="915"/>
      <c r="P346" s="915"/>
      <c r="Q346" s="915"/>
      <c r="R346" s="818"/>
      <c r="S346" s="916"/>
      <c r="T346" s="608"/>
      <c r="U346" s="3532"/>
      <c r="V346" s="3532"/>
      <c r="W346" s="1481"/>
      <c r="X346" s="1481"/>
      <c r="Y346" s="1481"/>
      <c r="Z346" s="1481"/>
      <c r="AA346" s="1481"/>
      <c r="AB346" s="1481"/>
      <c r="AC346" s="907"/>
      <c r="AD346" s="908"/>
      <c r="AE346" s="1481"/>
      <c r="AF346" s="1481"/>
      <c r="AG346" s="1481"/>
      <c r="AH346" s="1481"/>
      <c r="AI346" s="1481"/>
      <c r="AJ346" s="1481"/>
      <c r="AK346" s="1481"/>
      <c r="AL346" s="1481"/>
      <c r="AM346" s="1481"/>
      <c r="AN346" s="1481"/>
      <c r="AO346" s="1481"/>
      <c r="AP346" s="1481"/>
      <c r="AQ346" s="1481"/>
      <c r="AR346" s="1481"/>
      <c r="AS346" s="1481"/>
      <c r="AT346" s="1481"/>
      <c r="AU346" s="1481"/>
      <c r="AV346" s="1481"/>
      <c r="AW346" s="1481"/>
      <c r="AX346" s="1481"/>
      <c r="AY346" s="1481"/>
      <c r="AZ346" s="1481"/>
      <c r="BA346" s="1481"/>
      <c r="BB346" s="1481"/>
      <c r="BC346" s="1481"/>
      <c r="BD346" s="1481"/>
      <c r="BE346" s="1481"/>
      <c r="BF346" s="1481"/>
      <c r="BG346" s="1481"/>
      <c r="BH346" s="1481"/>
      <c r="BI346" s="1481"/>
      <c r="BJ346" s="1481"/>
      <c r="BK346" s="1481"/>
      <c r="BL346" s="1481"/>
      <c r="BM346" s="1481"/>
      <c r="BN346" s="1481"/>
      <c r="BO346" s="1481"/>
      <c r="BP346" s="1481"/>
      <c r="BQ346" s="1481"/>
      <c r="BR346" s="1481"/>
      <c r="BS346" s="1481"/>
      <c r="BT346" s="1481"/>
      <c r="BU346" s="1481"/>
      <c r="BV346" s="1481"/>
      <c r="BW346" s="1481"/>
      <c r="BX346" s="1481"/>
      <c r="BY346" s="1481"/>
      <c r="BZ346" s="1481"/>
      <c r="CA346" s="1481"/>
      <c r="CB346" s="1481"/>
      <c r="CC346" s="1481"/>
      <c r="CD346" s="1481"/>
      <c r="CE346" s="1481"/>
    </row>
    <row r="347" spans="1:83" ht="15" hidden="1" customHeight="1">
      <c r="A347" s="516" t="s">
        <v>222</v>
      </c>
      <c r="B347"/>
      <c r="C347" t="s">
        <v>18</v>
      </c>
      <c r="D347" s="3621" t="s">
        <v>916</v>
      </c>
      <c r="E347" s="3618" t="s">
        <v>102</v>
      </c>
      <c r="F347" s="3619"/>
      <c r="G347" s="3620"/>
      <c r="H347" s="3614" t="str">
        <f>IF(A347="","",INDEX(DIFFERENTIATION_UNMERGE_VD,MATCH(A347,DIFFERENTIATION_ID_DIFF,0)))</f>
        <v>Производство тепловой энергии. Некомбинированная выработка</v>
      </c>
      <c r="I347" s="3614"/>
      <c r="J347" s="3614"/>
      <c r="K347" s="3614"/>
      <c r="L347" s="3614"/>
      <c r="M347" s="3614"/>
      <c r="N347" s="3614"/>
      <c r="O347" s="3614"/>
      <c r="P347" s="3614"/>
      <c r="Q347" s="3614"/>
      <c r="R347" s="3614"/>
      <c r="S347" s="609"/>
      <c r="T347" s="606"/>
      <c r="U347" s="517"/>
      <c r="V347" s="517"/>
      <c r="W347" s="518"/>
      <c r="X347" s="518"/>
      <c r="Y347" s="518"/>
      <c r="Z347" s="518"/>
      <c r="AA347" s="519"/>
      <c r="AB347" s="520"/>
      <c r="AC347" s="3617"/>
      <c r="AD347" s="521"/>
      <c r="AE347" s="522" t="s">
        <v>18</v>
      </c>
      <c r="AF347" s="522"/>
      <c r="AG347" s="523" t="s">
        <v>874</v>
      </c>
      <c r="AH347" s="524">
        <v>3</v>
      </c>
      <c r="AI347" s="517"/>
      <c r="AJ347" s="517"/>
      <c r="AK347" s="517"/>
      <c r="AL347" s="517"/>
      <c r="AM347" s="517"/>
      <c r="AN347" s="517"/>
      <c r="AO347" s="517"/>
      <c r="AP347" s="517"/>
      <c r="AQ347" s="517"/>
      <c r="AR347" s="517"/>
      <c r="AS347" s="517"/>
      <c r="AT347" s="517"/>
      <c r="AU347" s="517"/>
      <c r="AV347" s="517"/>
      <c r="AW347" s="517"/>
      <c r="AX347" s="517"/>
      <c r="AY347" s="517"/>
      <c r="AZ347" s="517"/>
      <c r="BA347" s="517"/>
      <c r="BB347" s="517"/>
      <c r="BC347" s="517"/>
      <c r="BD347" s="517"/>
      <c r="BE347" s="517"/>
      <c r="BF347" s="517"/>
      <c r="BG347" s="517"/>
      <c r="BH347" s="517"/>
      <c r="BI347" s="517"/>
      <c r="BJ347" s="517"/>
      <c r="BK347" s="517"/>
      <c r="BL347" s="517"/>
      <c r="BM347" s="517"/>
      <c r="BN347" s="517"/>
      <c r="BO347" s="517"/>
      <c r="BP347" s="517"/>
      <c r="BQ347" s="517"/>
      <c r="BR347" s="517"/>
      <c r="BS347" s="517"/>
      <c r="BT347" s="517"/>
      <c r="BU347" s="517"/>
      <c r="BV347" s="518"/>
      <c r="BW347" s="518"/>
      <c r="BX347" s="518"/>
      <c r="BY347" s="518"/>
      <c r="BZ347" s="518"/>
      <c r="CA347" s="518"/>
      <c r="CB347" s="518"/>
      <c r="CC347" s="518"/>
      <c r="CD347" s="518"/>
      <c r="CE347" s="518"/>
    </row>
    <row r="348" spans="1:83" ht="15" hidden="1" customHeight="1">
      <c r="A348" s="516"/>
      <c r="B348"/>
      <c r="C348"/>
      <c r="D348" s="3622"/>
      <c r="E348" s="3618" t="s">
        <v>829</v>
      </c>
      <c r="F348" s="3619"/>
      <c r="G348" s="3620"/>
      <c r="H348" s="3614" t="str">
        <f>IF(A347="","",INDEX(DIFFERENTIATION_UNMERGE_AREA,MATCH(A347,DIFFERENTIATION_ID_DIFF,0)))</f>
        <v>Территория 1</v>
      </c>
      <c r="I348" s="3614"/>
      <c r="J348" s="3614"/>
      <c r="K348" s="3614"/>
      <c r="L348" s="3614"/>
      <c r="M348" s="3614"/>
      <c r="N348" s="3614"/>
      <c r="O348" s="3614"/>
      <c r="P348" s="3614"/>
      <c r="Q348" s="3614"/>
      <c r="R348" s="3614"/>
      <c r="S348" s="609"/>
      <c r="T348" s="606"/>
      <c r="U348" s="517"/>
      <c r="V348" s="517"/>
      <c r="W348" s="518"/>
      <c r="X348" s="518"/>
      <c r="Y348" s="518"/>
      <c r="Z348" s="518"/>
      <c r="AA348" s="519"/>
      <c r="AB348" s="520"/>
      <c r="AC348" s="3617"/>
      <c r="AD348" s="521"/>
      <c r="AE348" s="522"/>
      <c r="AF348" s="522"/>
      <c r="AG348" s="523"/>
      <c r="AH348" s="524"/>
      <c r="AI348" s="517"/>
      <c r="AJ348" s="517"/>
      <c r="AK348" s="517"/>
      <c r="AL348" s="517"/>
      <c r="AM348" s="517"/>
      <c r="AN348" s="517"/>
      <c r="AO348" s="517"/>
      <c r="AP348" s="517"/>
      <c r="AQ348" s="517"/>
      <c r="AR348" s="517"/>
      <c r="AS348" s="517"/>
      <c r="AT348" s="517"/>
      <c r="AU348" s="517"/>
      <c r="AV348" s="517"/>
      <c r="AW348" s="517"/>
      <c r="AX348" s="517"/>
      <c r="AY348" s="517"/>
      <c r="AZ348" s="517"/>
      <c r="BA348" s="517"/>
      <c r="BB348" s="517"/>
      <c r="BC348" s="517"/>
      <c r="BD348" s="517"/>
      <c r="BE348" s="517"/>
      <c r="BF348" s="517"/>
      <c r="BG348" s="517"/>
      <c r="BH348" s="517"/>
      <c r="BI348" s="517"/>
      <c r="BJ348" s="517"/>
      <c r="BK348" s="517"/>
      <c r="BL348" s="517"/>
      <c r="BM348" s="517"/>
      <c r="BN348" s="517"/>
      <c r="BO348" s="517"/>
      <c r="BP348" s="517"/>
      <c r="BQ348" s="517"/>
      <c r="BR348" s="517"/>
      <c r="BS348" s="517"/>
      <c r="BT348" s="517"/>
      <c r="BU348" s="517"/>
      <c r="BV348" s="518"/>
      <c r="BW348" s="518"/>
      <c r="BX348" s="518"/>
      <c r="BY348" s="518"/>
      <c r="BZ348" s="518"/>
      <c r="CA348" s="518"/>
      <c r="CB348" s="518"/>
      <c r="CC348" s="518"/>
      <c r="CD348" s="518"/>
      <c r="CE348" s="518"/>
    </row>
    <row r="349" spans="1:83" ht="15" hidden="1" customHeight="1">
      <c r="A349" s="516"/>
      <c r="B349"/>
      <c r="C349"/>
      <c r="D349" s="3622"/>
      <c r="E349" s="3618" t="s">
        <v>830</v>
      </c>
      <c r="F349" s="3619"/>
      <c r="G349" s="3620"/>
      <c r="H349" s="3614" t="str">
        <f>IF(A347="","",INDEX(DIFFERENTIATION_UNMERGE_SYSTEM,MATCH(A347,DIFFERENTIATION_ID_DIFF,0)))</f>
        <v>Мопра, 48а</v>
      </c>
      <c r="I349" s="3614"/>
      <c r="J349" s="3614"/>
      <c r="K349" s="3614"/>
      <c r="L349" s="3614"/>
      <c r="M349" s="3614"/>
      <c r="N349" s="3614"/>
      <c r="O349" s="3614"/>
      <c r="P349" s="3614"/>
      <c r="Q349" s="3614"/>
      <c r="R349" s="3614"/>
      <c r="S349" s="609"/>
      <c r="T349" s="606"/>
      <c r="U349" s="517"/>
      <c r="V349" s="517"/>
      <c r="W349" s="518"/>
      <c r="X349" s="518"/>
      <c r="Y349" s="518"/>
      <c r="Z349" s="518"/>
      <c r="AA349" s="519"/>
      <c r="AB349" s="520"/>
      <c r="AC349" s="3617"/>
      <c r="AD349" s="521"/>
      <c r="AE349" s="522"/>
      <c r="AF349" s="522"/>
      <c r="AG349" s="523"/>
      <c r="AH349" s="524"/>
      <c r="AI349" s="517"/>
      <c r="AJ349" s="517"/>
      <c r="AK349" s="517"/>
      <c r="AL349" s="517"/>
      <c r="AM349" s="517"/>
      <c r="AN349" s="517"/>
      <c r="AO349" s="517"/>
      <c r="AP349" s="517"/>
      <c r="AQ349" s="517"/>
      <c r="AR349" s="517"/>
      <c r="AS349" s="517"/>
      <c r="AT349" s="517"/>
      <c r="AU349" s="517"/>
      <c r="AV349" s="517"/>
      <c r="AW349" s="517"/>
      <c r="AX349" s="517"/>
      <c r="AY349" s="517"/>
      <c r="AZ349" s="517"/>
      <c r="BA349" s="517"/>
      <c r="BB349" s="517"/>
      <c r="BC349" s="517"/>
      <c r="BD349" s="517"/>
      <c r="BE349" s="517"/>
      <c r="BF349" s="517"/>
      <c r="BG349" s="517"/>
      <c r="BH349" s="517"/>
      <c r="BI349" s="517"/>
      <c r="BJ349" s="517"/>
      <c r="BK349" s="517"/>
      <c r="BL349" s="517"/>
      <c r="BM349" s="517"/>
      <c r="BN349" s="517"/>
      <c r="BO349" s="517"/>
      <c r="BP349" s="517"/>
      <c r="BQ349" s="517"/>
      <c r="BR349" s="517"/>
      <c r="BS349" s="517"/>
      <c r="BT349" s="517"/>
      <c r="BU349" s="517"/>
      <c r="BV349" s="518"/>
      <c r="BW349" s="518"/>
      <c r="BX349" s="518"/>
      <c r="BY349" s="518"/>
      <c r="BZ349" s="518"/>
      <c r="CA349" s="518"/>
      <c r="CB349" s="518"/>
      <c r="CC349" s="518"/>
      <c r="CD349" s="518"/>
      <c r="CE349" s="518"/>
    </row>
    <row r="350" spans="1:83" ht="24.75" hidden="1" customHeight="1">
      <c r="A350" s="1649"/>
      <c r="B350" s="1023"/>
      <c r="C350" s="319"/>
      <c r="D350" s="3622"/>
      <c r="E350" s="3616" t="s">
        <v>875</v>
      </c>
      <c r="F350" s="3616"/>
      <c r="G350" s="3616"/>
      <c r="H350" s="3616"/>
      <c r="I350" s="3616"/>
      <c r="J350" s="3616"/>
      <c r="K350" s="3616"/>
      <c r="L350" s="3616"/>
      <c r="M350" s="3616"/>
      <c r="N350" s="3616"/>
      <c r="O350" s="3616"/>
      <c r="P350" s="3616"/>
      <c r="Q350" s="455">
        <f>SUMIF(T351:T352,"i",Q351:Q352)</f>
        <v>0</v>
      </c>
      <c r="R350" s="887"/>
      <c r="S350" s="1641" t="s">
        <v>876</v>
      </c>
      <c r="T350" s="607" t="s">
        <v>877</v>
      </c>
      <c r="U350" s="3532">
        <v>1</v>
      </c>
      <c r="V350" s="3532" t="s">
        <v>840</v>
      </c>
      <c r="W350" s="1023"/>
      <c r="X350" s="1023"/>
      <c r="Y350" s="1023"/>
      <c r="Z350" s="1023"/>
      <c r="AA350" s="1481"/>
      <c r="AB350" s="1023"/>
      <c r="AC350" s="3617"/>
      <c r="AD350" s="521"/>
      <c r="AE350" s="1023"/>
      <c r="AF350" s="1023"/>
      <c r="AG350" s="1481"/>
      <c r="AH350" s="1481"/>
      <c r="AI350" s="1481"/>
      <c r="AJ350" s="1481"/>
      <c r="AK350" s="1481"/>
      <c r="AL350" s="1481"/>
      <c r="AM350" s="1481"/>
      <c r="AN350" s="1481"/>
      <c r="AO350" s="1481"/>
      <c r="AP350" s="1481"/>
      <c r="AQ350" s="1481"/>
      <c r="AR350" s="1481"/>
      <c r="AS350" s="1481"/>
      <c r="AT350" s="1481"/>
      <c r="AU350" s="1481"/>
      <c r="AV350" s="1481"/>
      <c r="AW350" s="1481"/>
      <c r="AX350" s="1481"/>
      <c r="AY350" s="1481"/>
      <c r="AZ350" s="1481"/>
      <c r="BA350" s="1481"/>
      <c r="BB350" s="1481"/>
      <c r="BC350" s="1481"/>
      <c r="BD350" s="1481"/>
      <c r="BE350" s="1481"/>
      <c r="BF350" s="1481"/>
      <c r="BG350" s="1481"/>
      <c r="BH350" s="1481"/>
      <c r="BI350" s="1481"/>
      <c r="BJ350" s="1481"/>
      <c r="BK350" s="1481"/>
      <c r="BL350" s="1481"/>
      <c r="BM350" s="1481"/>
      <c r="BN350" s="1481"/>
      <c r="BO350" s="1481"/>
      <c r="BP350" s="1481"/>
      <c r="BQ350" s="1481"/>
      <c r="BR350" s="1481"/>
      <c r="BS350" s="1481"/>
      <c r="BT350" s="1481"/>
      <c r="BU350" s="1481"/>
      <c r="BV350" s="1023"/>
      <c r="BW350" s="1023"/>
      <c r="BX350" s="1023"/>
      <c r="BY350" s="1023"/>
      <c r="BZ350" s="1023"/>
      <c r="CA350" s="1023"/>
      <c r="CB350" s="1023"/>
      <c r="CC350" s="1023"/>
      <c r="CD350" s="1023"/>
      <c r="CE350" s="1023"/>
    </row>
    <row r="351" spans="1:83" ht="11.25" hidden="1" customHeight="1">
      <c r="A351" s="1636"/>
      <c r="B351" s="1481"/>
      <c r="C351" s="1481"/>
      <c r="D351" s="3622"/>
      <c r="E351" s="527"/>
      <c r="F351" s="527">
        <v>0</v>
      </c>
      <c r="G351" s="527"/>
      <c r="H351" s="527"/>
      <c r="I351" s="527"/>
      <c r="J351" s="527"/>
      <c r="K351" s="527"/>
      <c r="L351" s="527"/>
      <c r="M351" s="527"/>
      <c r="N351" s="527"/>
      <c r="O351" s="527"/>
      <c r="P351" s="527"/>
      <c r="Q351" s="527"/>
      <c r="R351" s="527"/>
      <c r="S351" s="528"/>
      <c r="T351" s="608"/>
      <c r="U351" s="3532"/>
      <c r="V351" s="3532"/>
      <c r="W351" s="1481"/>
      <c r="X351" s="1481"/>
      <c r="Y351" s="1481"/>
      <c r="Z351" s="1481"/>
      <c r="AA351" s="1481"/>
      <c r="AB351" s="1023"/>
      <c r="AC351" s="3617"/>
      <c r="AD351" s="521"/>
      <c r="AE351" s="1023"/>
      <c r="AF351" s="1023"/>
      <c r="AG351" s="1481"/>
      <c r="AH351" s="1481"/>
      <c r="AI351" s="1481"/>
      <c r="AJ351" s="1481"/>
      <c r="AK351" s="1481"/>
      <c r="AL351" s="1481"/>
      <c r="AM351" s="1481"/>
      <c r="AN351" s="1481"/>
      <c r="AO351" s="1481"/>
      <c r="AP351" s="1481"/>
      <c r="AQ351" s="1481"/>
      <c r="AR351" s="1481"/>
      <c r="AS351" s="1481"/>
      <c r="AT351" s="1481"/>
      <c r="AU351" s="1481"/>
      <c r="AV351" s="1481"/>
      <c r="AW351" s="1481"/>
      <c r="AX351" s="1481"/>
      <c r="AY351" s="1481"/>
      <c r="AZ351" s="1481"/>
      <c r="BA351" s="1481"/>
      <c r="BB351" s="1481"/>
      <c r="BC351" s="1481"/>
      <c r="BD351" s="1481"/>
      <c r="BE351" s="1481"/>
      <c r="BF351" s="1481"/>
      <c r="BG351" s="1481"/>
      <c r="BH351" s="1481"/>
      <c r="BI351" s="1481"/>
      <c r="BJ351" s="1481"/>
      <c r="BK351" s="1481"/>
      <c r="BL351" s="1481"/>
      <c r="BM351" s="1481"/>
      <c r="BN351" s="1481"/>
      <c r="BO351" s="1481"/>
      <c r="BP351" s="1481"/>
      <c r="BQ351" s="1481"/>
      <c r="BR351" s="1481"/>
      <c r="BS351" s="1481"/>
      <c r="BT351" s="1481"/>
      <c r="BU351" s="1481"/>
      <c r="BV351" s="1481"/>
      <c r="BW351" s="1481"/>
      <c r="BX351" s="1481"/>
      <c r="BY351" s="1481"/>
      <c r="BZ351" s="1481"/>
      <c r="CA351" s="1481"/>
      <c r="CB351" s="1481"/>
      <c r="CC351" s="1481"/>
      <c r="CD351" s="1481"/>
      <c r="CE351" s="1481"/>
    </row>
    <row r="352" spans="1:83" ht="11.25" hidden="1" customHeight="1">
      <c r="A352" s="1649"/>
      <c r="B352" s="1023"/>
      <c r="C352" s="319"/>
      <c r="D352" s="3622"/>
      <c r="E352" s="541" t="s">
        <v>18</v>
      </c>
      <c r="F352" s="1031" t="s">
        <v>18</v>
      </c>
      <c r="G352" s="1031" t="s">
        <v>880</v>
      </c>
      <c r="H352" s="543" t="s">
        <v>18</v>
      </c>
      <c r="I352" s="543"/>
      <c r="J352" s="543"/>
      <c r="K352" s="543"/>
      <c r="L352" s="543"/>
      <c r="M352" s="543"/>
      <c r="N352" s="543"/>
      <c r="O352" s="543"/>
      <c r="P352" s="543"/>
      <c r="Q352" s="543"/>
      <c r="R352" s="544"/>
      <c r="S352" s="545"/>
      <c r="T352" s="608"/>
      <c r="U352" s="3532"/>
      <c r="V352" s="3532"/>
      <c r="W352" s="1023"/>
      <c r="X352" s="1023"/>
      <c r="Y352" s="1023"/>
      <c r="Z352" s="1023"/>
      <c r="AA352" s="1481"/>
      <c r="AB352" s="1023"/>
      <c r="AC352" s="3617"/>
      <c r="AD352" s="521"/>
      <c r="AE352" s="1023"/>
      <c r="AF352" s="1023"/>
      <c r="AG352" s="1481"/>
      <c r="AH352" s="1481"/>
      <c r="AI352" s="1481"/>
      <c r="AJ352" s="1481"/>
      <c r="AK352" s="1481"/>
      <c r="AL352" s="1481"/>
      <c r="AM352" s="1481"/>
      <c r="AN352" s="1481"/>
      <c r="AO352" s="1481"/>
      <c r="AP352" s="1481"/>
      <c r="AQ352" s="1481"/>
      <c r="AR352" s="1481"/>
      <c r="AS352" s="1481"/>
      <c r="AT352" s="1481"/>
      <c r="AU352" s="1481"/>
      <c r="AV352" s="1481"/>
      <c r="AW352" s="1481"/>
      <c r="AX352" s="1481"/>
      <c r="AY352" s="1481"/>
      <c r="AZ352" s="1481"/>
      <c r="BA352" s="1481"/>
      <c r="BB352" s="1481"/>
      <c r="BC352" s="1481"/>
      <c r="BD352" s="1481"/>
      <c r="BE352" s="1481"/>
      <c r="BF352" s="1481"/>
      <c r="BG352" s="1481"/>
      <c r="BH352" s="1481"/>
      <c r="BI352" s="1481"/>
      <c r="BJ352" s="1481"/>
      <c r="BK352" s="1481"/>
      <c r="BL352" s="1481"/>
      <c r="BM352" s="1481"/>
      <c r="BN352" s="1481"/>
      <c r="BO352" s="1481"/>
      <c r="BP352" s="1481"/>
      <c r="BQ352" s="1481"/>
      <c r="BR352" s="1481"/>
      <c r="BS352" s="1481"/>
      <c r="BT352" s="1481"/>
      <c r="BU352" s="1481"/>
      <c r="BV352" s="1023"/>
      <c r="BW352" s="1023"/>
      <c r="BX352" s="1023"/>
      <c r="BY352" s="1023"/>
      <c r="BZ352" s="1023"/>
      <c r="CA352" s="1023"/>
      <c r="CB352" s="1023"/>
      <c r="CC352" s="1023"/>
      <c r="CD352" s="1023"/>
      <c r="CE352" s="1023"/>
    </row>
    <row r="353" spans="1:83" ht="5.25" hidden="1" customHeight="1">
      <c r="A353" s="1636"/>
      <c r="B353" s="1481"/>
      <c r="C353" s="1481"/>
      <c r="D353" s="3622"/>
      <c r="E353" s="909"/>
      <c r="F353" s="909"/>
      <c r="G353" s="909"/>
      <c r="H353" s="909"/>
      <c r="I353" s="909"/>
      <c r="J353" s="909"/>
      <c r="K353" s="909"/>
      <c r="L353" s="909"/>
      <c r="M353" s="909"/>
      <c r="N353" s="909"/>
      <c r="O353" s="909"/>
      <c r="P353" s="909"/>
      <c r="Q353" s="910"/>
      <c r="R353" s="911"/>
      <c r="S353" s="912"/>
      <c r="T353" s="607" t="s">
        <v>877</v>
      </c>
      <c r="U353" s="3532">
        <v>1</v>
      </c>
      <c r="V353" s="3532" t="s">
        <v>840</v>
      </c>
      <c r="W353" s="1481"/>
      <c r="X353" s="1481"/>
      <c r="Y353" s="1481"/>
      <c r="Z353" s="1481"/>
      <c r="AA353" s="1481"/>
      <c r="AB353" s="1481"/>
      <c r="AC353" s="907"/>
      <c r="AD353" s="908"/>
      <c r="AE353" s="1481"/>
      <c r="AF353" s="1481"/>
      <c r="AG353" s="1481"/>
      <c r="AH353" s="1481"/>
      <c r="AI353" s="1481"/>
      <c r="AJ353" s="1481"/>
      <c r="AK353" s="1481"/>
      <c r="AL353" s="1481"/>
      <c r="AM353" s="1481"/>
      <c r="AN353" s="1481"/>
      <c r="AO353" s="1481"/>
      <c r="AP353" s="1481"/>
      <c r="AQ353" s="1481"/>
      <c r="AR353" s="1481"/>
      <c r="AS353" s="1481"/>
      <c r="AT353" s="1481"/>
      <c r="AU353" s="1481"/>
      <c r="AV353" s="1481"/>
      <c r="AW353" s="1481"/>
      <c r="AX353" s="1481"/>
      <c r="AY353" s="1481"/>
      <c r="AZ353" s="1481"/>
      <c r="BA353" s="1481"/>
      <c r="BB353" s="1481"/>
      <c r="BC353" s="1481"/>
      <c r="BD353" s="1481"/>
      <c r="BE353" s="1481"/>
      <c r="BF353" s="1481"/>
      <c r="BG353" s="1481"/>
      <c r="BH353" s="1481"/>
      <c r="BI353" s="1481"/>
      <c r="BJ353" s="1481"/>
      <c r="BK353" s="1481"/>
      <c r="BL353" s="1481"/>
      <c r="BM353" s="1481"/>
      <c r="BN353" s="1481"/>
      <c r="BO353" s="1481"/>
      <c r="BP353" s="1481"/>
      <c r="BQ353" s="1481"/>
      <c r="BR353" s="1481"/>
      <c r="BS353" s="1481"/>
      <c r="BT353" s="1481"/>
      <c r="BU353" s="1481"/>
      <c r="BV353" s="1481"/>
      <c r="BW353" s="1481"/>
      <c r="BX353" s="1481"/>
      <c r="BY353" s="1481"/>
      <c r="BZ353" s="1481"/>
      <c r="CA353" s="1481"/>
      <c r="CB353" s="1481"/>
      <c r="CC353" s="1481"/>
      <c r="CD353" s="1481"/>
      <c r="CE353" s="1481"/>
    </row>
    <row r="354" spans="1:83" ht="5.25" hidden="1" customHeight="1">
      <c r="A354" s="1636"/>
      <c r="B354" s="1481"/>
      <c r="C354" s="1481"/>
      <c r="D354" s="3622"/>
      <c r="E354" s="527"/>
      <c r="F354" s="527"/>
      <c r="G354" s="527"/>
      <c r="H354" s="527"/>
      <c r="I354" s="527"/>
      <c r="J354" s="527"/>
      <c r="K354" s="527"/>
      <c r="L354" s="527"/>
      <c r="M354" s="527"/>
      <c r="N354" s="527"/>
      <c r="O354" s="527"/>
      <c r="P354" s="527"/>
      <c r="Q354" s="527"/>
      <c r="R354" s="527"/>
      <c r="S354" s="528"/>
      <c r="T354" s="608"/>
      <c r="U354" s="3532"/>
      <c r="V354" s="3532"/>
      <c r="W354" s="1481"/>
      <c r="X354" s="1481"/>
      <c r="Y354" s="1481"/>
      <c r="Z354" s="1481"/>
      <c r="AA354" s="1481"/>
      <c r="AB354" s="1481"/>
      <c r="AC354" s="907"/>
      <c r="AD354" s="908"/>
      <c r="AE354" s="1481"/>
      <c r="AF354" s="1481"/>
      <c r="AG354" s="1481"/>
      <c r="AH354" s="1481"/>
      <c r="AI354" s="1481"/>
      <c r="AJ354" s="1481"/>
      <c r="AK354" s="1481"/>
      <c r="AL354" s="1481"/>
      <c r="AM354" s="1481"/>
      <c r="AN354" s="1481"/>
      <c r="AO354" s="1481"/>
      <c r="AP354" s="1481"/>
      <c r="AQ354" s="1481"/>
      <c r="AR354" s="1481"/>
      <c r="AS354" s="1481"/>
      <c r="AT354" s="1481"/>
      <c r="AU354" s="1481"/>
      <c r="AV354" s="1481"/>
      <c r="AW354" s="1481"/>
      <c r="AX354" s="1481"/>
      <c r="AY354" s="1481"/>
      <c r="AZ354" s="1481"/>
      <c r="BA354" s="1481"/>
      <c r="BB354" s="1481"/>
      <c r="BC354" s="1481"/>
      <c r="BD354" s="1481"/>
      <c r="BE354" s="1481"/>
      <c r="BF354" s="1481"/>
      <c r="BG354" s="1481"/>
      <c r="BH354" s="1481"/>
      <c r="BI354" s="1481"/>
      <c r="BJ354" s="1481"/>
      <c r="BK354" s="1481"/>
      <c r="BL354" s="1481"/>
      <c r="BM354" s="1481"/>
      <c r="BN354" s="1481"/>
      <c r="BO354" s="1481"/>
      <c r="BP354" s="1481"/>
      <c r="BQ354" s="1481"/>
      <c r="BR354" s="1481"/>
      <c r="BS354" s="1481"/>
      <c r="BT354" s="1481"/>
      <c r="BU354" s="1481"/>
      <c r="BV354" s="1481"/>
      <c r="BW354" s="1481"/>
      <c r="BX354" s="1481"/>
      <c r="BY354" s="1481"/>
      <c r="BZ354" s="1481"/>
      <c r="CA354" s="1481"/>
      <c r="CB354" s="1481"/>
      <c r="CC354" s="1481"/>
      <c r="CD354" s="1481"/>
      <c r="CE354" s="1481"/>
    </row>
    <row r="355" spans="1:83" ht="5.25" hidden="1" customHeight="1">
      <c r="A355" s="1636"/>
      <c r="B355" s="1481"/>
      <c r="C355" s="1481"/>
      <c r="D355" s="3623"/>
      <c r="E355" s="913"/>
      <c r="F355" s="914"/>
      <c r="G355" s="914"/>
      <c r="H355" s="915"/>
      <c r="I355" s="915"/>
      <c r="J355" s="915"/>
      <c r="K355" s="915"/>
      <c r="L355" s="915"/>
      <c r="M355" s="915"/>
      <c r="N355" s="915"/>
      <c r="O355" s="915"/>
      <c r="P355" s="915"/>
      <c r="Q355" s="915"/>
      <c r="R355" s="818"/>
      <c r="S355" s="916"/>
      <c r="T355" s="608"/>
      <c r="U355" s="3532"/>
      <c r="V355" s="3532"/>
      <c r="W355" s="1481"/>
      <c r="X355" s="1481"/>
      <c r="Y355" s="1481"/>
      <c r="Z355" s="1481"/>
      <c r="AA355" s="1481"/>
      <c r="AB355" s="1481"/>
      <c r="AC355" s="907"/>
      <c r="AD355" s="908"/>
      <c r="AE355" s="1481"/>
      <c r="AF355" s="1481"/>
      <c r="AG355" s="1481"/>
      <c r="AH355" s="1481"/>
      <c r="AI355" s="1481"/>
      <c r="AJ355" s="1481"/>
      <c r="AK355" s="1481"/>
      <c r="AL355" s="1481"/>
      <c r="AM355" s="1481"/>
      <c r="AN355" s="1481"/>
      <c r="AO355" s="1481"/>
      <c r="AP355" s="1481"/>
      <c r="AQ355" s="1481"/>
      <c r="AR355" s="1481"/>
      <c r="AS355" s="1481"/>
      <c r="AT355" s="1481"/>
      <c r="AU355" s="1481"/>
      <c r="AV355" s="1481"/>
      <c r="AW355" s="1481"/>
      <c r="AX355" s="1481"/>
      <c r="AY355" s="1481"/>
      <c r="AZ355" s="1481"/>
      <c r="BA355" s="1481"/>
      <c r="BB355" s="1481"/>
      <c r="BC355" s="1481"/>
      <c r="BD355" s="1481"/>
      <c r="BE355" s="1481"/>
      <c r="BF355" s="1481"/>
      <c r="BG355" s="1481"/>
      <c r="BH355" s="1481"/>
      <c r="BI355" s="1481"/>
      <c r="BJ355" s="1481"/>
      <c r="BK355" s="1481"/>
      <c r="BL355" s="1481"/>
      <c r="BM355" s="1481"/>
      <c r="BN355" s="1481"/>
      <c r="BO355" s="1481"/>
      <c r="BP355" s="1481"/>
      <c r="BQ355" s="1481"/>
      <c r="BR355" s="1481"/>
      <c r="BS355" s="1481"/>
      <c r="BT355" s="1481"/>
      <c r="BU355" s="1481"/>
      <c r="BV355" s="1481"/>
      <c r="BW355" s="1481"/>
      <c r="BX355" s="1481"/>
      <c r="BY355" s="1481"/>
      <c r="BZ355" s="1481"/>
      <c r="CA355" s="1481"/>
      <c r="CB355" s="1481"/>
      <c r="CC355" s="1481"/>
      <c r="CD355" s="1481"/>
      <c r="CE355" s="1481"/>
    </row>
    <row r="356" spans="1:83" ht="15" hidden="1" customHeight="1">
      <c r="A356" s="516" t="s">
        <v>224</v>
      </c>
      <c r="B356"/>
      <c r="C356" t="s">
        <v>18</v>
      </c>
      <c r="D356" s="3621" t="s">
        <v>917</v>
      </c>
      <c r="E356" s="3618" t="s">
        <v>102</v>
      </c>
      <c r="F356" s="3619"/>
      <c r="G356" s="3620"/>
      <c r="H356" s="3614" t="str">
        <f>IF(A356="","",INDEX(DIFFERENTIATION_UNMERGE_VD,MATCH(A356,DIFFERENTIATION_ID_DIFF,0)))</f>
        <v>Производство тепловой энергии. Некомбинированная выработка</v>
      </c>
      <c r="I356" s="3614"/>
      <c r="J356" s="3614"/>
      <c r="K356" s="3614"/>
      <c r="L356" s="3614"/>
      <c r="M356" s="3614"/>
      <c r="N356" s="3614"/>
      <c r="O356" s="3614"/>
      <c r="P356" s="3614"/>
      <c r="Q356" s="3614"/>
      <c r="R356" s="3614"/>
      <c r="S356" s="609"/>
      <c r="T356" s="606"/>
      <c r="U356" s="517"/>
      <c r="V356" s="517"/>
      <c r="W356" s="518"/>
      <c r="X356" s="518"/>
      <c r="Y356" s="518"/>
      <c r="Z356" s="518"/>
      <c r="AA356" s="519"/>
      <c r="AB356" s="520"/>
      <c r="AC356" s="3617"/>
      <c r="AD356" s="521"/>
      <c r="AE356" s="522" t="s">
        <v>18</v>
      </c>
      <c r="AF356" s="522"/>
      <c r="AG356" s="523" t="s">
        <v>874</v>
      </c>
      <c r="AH356" s="524">
        <v>3</v>
      </c>
      <c r="AI356" s="517"/>
      <c r="AJ356" s="517"/>
      <c r="AK356" s="517"/>
      <c r="AL356" s="517"/>
      <c r="AM356" s="517"/>
      <c r="AN356" s="517"/>
      <c r="AO356" s="517"/>
      <c r="AP356" s="517"/>
      <c r="AQ356" s="517"/>
      <c r="AR356" s="517"/>
      <c r="AS356" s="517"/>
      <c r="AT356" s="517"/>
      <c r="AU356" s="517"/>
      <c r="AV356" s="517"/>
      <c r="AW356" s="517"/>
      <c r="AX356" s="517"/>
      <c r="AY356" s="517"/>
      <c r="AZ356" s="517"/>
      <c r="BA356" s="517"/>
      <c r="BB356" s="517"/>
      <c r="BC356" s="517"/>
      <c r="BD356" s="517"/>
      <c r="BE356" s="517"/>
      <c r="BF356" s="517"/>
      <c r="BG356" s="517"/>
      <c r="BH356" s="517"/>
      <c r="BI356" s="517"/>
      <c r="BJ356" s="517"/>
      <c r="BK356" s="517"/>
      <c r="BL356" s="517"/>
      <c r="BM356" s="517"/>
      <c r="BN356" s="517"/>
      <c r="BO356" s="517"/>
      <c r="BP356" s="517"/>
      <c r="BQ356" s="517"/>
      <c r="BR356" s="517"/>
      <c r="BS356" s="517"/>
      <c r="BT356" s="517"/>
      <c r="BU356" s="517"/>
      <c r="BV356" s="518"/>
      <c r="BW356" s="518"/>
      <c r="BX356" s="518"/>
      <c r="BY356" s="518"/>
      <c r="BZ356" s="518"/>
      <c r="CA356" s="518"/>
      <c r="CB356" s="518"/>
      <c r="CC356" s="518"/>
      <c r="CD356" s="518"/>
      <c r="CE356" s="518"/>
    </row>
    <row r="357" spans="1:83" ht="15" hidden="1" customHeight="1">
      <c r="A357" s="516"/>
      <c r="B357"/>
      <c r="C357"/>
      <c r="D357" s="3622"/>
      <c r="E357" s="3618" t="s">
        <v>829</v>
      </c>
      <c r="F357" s="3619"/>
      <c r="G357" s="3620"/>
      <c r="H357" s="3614" t="str">
        <f>IF(A356="","",INDEX(DIFFERENTIATION_UNMERGE_AREA,MATCH(A356,DIFFERENTIATION_ID_DIFF,0)))</f>
        <v>Территория 1</v>
      </c>
      <c r="I357" s="3614"/>
      <c r="J357" s="3614"/>
      <c r="K357" s="3614"/>
      <c r="L357" s="3614"/>
      <c r="M357" s="3614"/>
      <c r="N357" s="3614"/>
      <c r="O357" s="3614"/>
      <c r="P357" s="3614"/>
      <c r="Q357" s="3614"/>
      <c r="R357" s="3614"/>
      <c r="S357" s="609"/>
      <c r="T357" s="606"/>
      <c r="U357" s="517"/>
      <c r="V357" s="517"/>
      <c r="W357" s="518"/>
      <c r="X357" s="518"/>
      <c r="Y357" s="518"/>
      <c r="Z357" s="518"/>
      <c r="AA357" s="519"/>
      <c r="AB357" s="520"/>
      <c r="AC357" s="3617"/>
      <c r="AD357" s="521"/>
      <c r="AE357" s="522"/>
      <c r="AF357" s="522"/>
      <c r="AG357" s="523"/>
      <c r="AH357" s="524"/>
      <c r="AI357" s="517"/>
      <c r="AJ357" s="517"/>
      <c r="AK357" s="517"/>
      <c r="AL357" s="517"/>
      <c r="AM357" s="517"/>
      <c r="AN357" s="517"/>
      <c r="AO357" s="517"/>
      <c r="AP357" s="517"/>
      <c r="AQ357" s="517"/>
      <c r="AR357" s="517"/>
      <c r="AS357" s="517"/>
      <c r="AT357" s="517"/>
      <c r="AU357" s="517"/>
      <c r="AV357" s="517"/>
      <c r="AW357" s="517"/>
      <c r="AX357" s="517"/>
      <c r="AY357" s="517"/>
      <c r="AZ357" s="517"/>
      <c r="BA357" s="517"/>
      <c r="BB357" s="517"/>
      <c r="BC357" s="517"/>
      <c r="BD357" s="517"/>
      <c r="BE357" s="517"/>
      <c r="BF357" s="517"/>
      <c r="BG357" s="517"/>
      <c r="BH357" s="517"/>
      <c r="BI357" s="517"/>
      <c r="BJ357" s="517"/>
      <c r="BK357" s="517"/>
      <c r="BL357" s="517"/>
      <c r="BM357" s="517"/>
      <c r="BN357" s="517"/>
      <c r="BO357" s="517"/>
      <c r="BP357" s="517"/>
      <c r="BQ357" s="517"/>
      <c r="BR357" s="517"/>
      <c r="BS357" s="517"/>
      <c r="BT357" s="517"/>
      <c r="BU357" s="517"/>
      <c r="BV357" s="518"/>
      <c r="BW357" s="518"/>
      <c r="BX357" s="518"/>
      <c r="BY357" s="518"/>
      <c r="BZ357" s="518"/>
      <c r="CA357" s="518"/>
      <c r="CB357" s="518"/>
      <c r="CC357" s="518"/>
      <c r="CD357" s="518"/>
      <c r="CE357" s="518"/>
    </row>
    <row r="358" spans="1:83" ht="15" hidden="1" customHeight="1">
      <c r="A358" s="516"/>
      <c r="B358"/>
      <c r="C358"/>
      <c r="D358" s="3622"/>
      <c r="E358" s="3618" t="s">
        <v>830</v>
      </c>
      <c r="F358" s="3619"/>
      <c r="G358" s="3620"/>
      <c r="H358" s="3614" t="str">
        <f>IF(A356="","",INDEX(DIFFERENTIATION_UNMERGE_SYSTEM,MATCH(A356,DIFFERENTIATION_ID_DIFF,0)))</f>
        <v>6-й Орловской дивизии,14</v>
      </c>
      <c r="I358" s="3614"/>
      <c r="J358" s="3614"/>
      <c r="K358" s="3614"/>
      <c r="L358" s="3614"/>
      <c r="M358" s="3614"/>
      <c r="N358" s="3614"/>
      <c r="O358" s="3614"/>
      <c r="P358" s="3614"/>
      <c r="Q358" s="3614"/>
      <c r="R358" s="3614"/>
      <c r="S358" s="609"/>
      <c r="T358" s="606"/>
      <c r="U358" s="517"/>
      <c r="V358" s="517"/>
      <c r="W358" s="518"/>
      <c r="X358" s="518"/>
      <c r="Y358" s="518"/>
      <c r="Z358" s="518"/>
      <c r="AA358" s="519"/>
      <c r="AB358" s="520"/>
      <c r="AC358" s="3617"/>
      <c r="AD358" s="521"/>
      <c r="AE358" s="522"/>
      <c r="AF358" s="522"/>
      <c r="AG358" s="523"/>
      <c r="AH358" s="524"/>
      <c r="AI358" s="517"/>
      <c r="AJ358" s="517"/>
      <c r="AK358" s="517"/>
      <c r="AL358" s="517"/>
      <c r="AM358" s="517"/>
      <c r="AN358" s="517"/>
      <c r="AO358" s="517"/>
      <c r="AP358" s="517"/>
      <c r="AQ358" s="517"/>
      <c r="AR358" s="517"/>
      <c r="AS358" s="517"/>
      <c r="AT358" s="517"/>
      <c r="AU358" s="517"/>
      <c r="AV358" s="517"/>
      <c r="AW358" s="517"/>
      <c r="AX358" s="517"/>
      <c r="AY358" s="517"/>
      <c r="AZ358" s="517"/>
      <c r="BA358" s="517"/>
      <c r="BB358" s="517"/>
      <c r="BC358" s="517"/>
      <c r="BD358" s="517"/>
      <c r="BE358" s="517"/>
      <c r="BF358" s="517"/>
      <c r="BG358" s="517"/>
      <c r="BH358" s="517"/>
      <c r="BI358" s="517"/>
      <c r="BJ358" s="517"/>
      <c r="BK358" s="517"/>
      <c r="BL358" s="517"/>
      <c r="BM358" s="517"/>
      <c r="BN358" s="517"/>
      <c r="BO358" s="517"/>
      <c r="BP358" s="517"/>
      <c r="BQ358" s="517"/>
      <c r="BR358" s="517"/>
      <c r="BS358" s="517"/>
      <c r="BT358" s="517"/>
      <c r="BU358" s="517"/>
      <c r="BV358" s="518"/>
      <c r="BW358" s="518"/>
      <c r="BX358" s="518"/>
      <c r="BY358" s="518"/>
      <c r="BZ358" s="518"/>
      <c r="CA358" s="518"/>
      <c r="CB358" s="518"/>
      <c r="CC358" s="518"/>
      <c r="CD358" s="518"/>
      <c r="CE358" s="518"/>
    </row>
    <row r="359" spans="1:83" ht="24.75" hidden="1" customHeight="1">
      <c r="A359" s="1649"/>
      <c r="B359" s="1023"/>
      <c r="C359" s="319"/>
      <c r="D359" s="3622"/>
      <c r="E359" s="3616" t="s">
        <v>875</v>
      </c>
      <c r="F359" s="3616"/>
      <c r="G359" s="3616"/>
      <c r="H359" s="3616"/>
      <c r="I359" s="3616"/>
      <c r="J359" s="3616"/>
      <c r="K359" s="3616"/>
      <c r="L359" s="3616"/>
      <c r="M359" s="3616"/>
      <c r="N359" s="3616"/>
      <c r="O359" s="3616"/>
      <c r="P359" s="3616"/>
      <c r="Q359" s="455">
        <f>SUMIF(T360:T361,"i",Q360:Q361)</f>
        <v>0</v>
      </c>
      <c r="R359" s="887"/>
      <c r="S359" s="1641" t="s">
        <v>876</v>
      </c>
      <c r="T359" s="607" t="s">
        <v>877</v>
      </c>
      <c r="U359" s="3532">
        <v>1</v>
      </c>
      <c r="V359" s="3532" t="s">
        <v>840</v>
      </c>
      <c r="W359" s="1023"/>
      <c r="X359" s="1023"/>
      <c r="Y359" s="1023"/>
      <c r="Z359" s="1023"/>
      <c r="AA359" s="1481"/>
      <c r="AB359" s="1023"/>
      <c r="AC359" s="3617"/>
      <c r="AD359" s="521"/>
      <c r="AE359" s="1023"/>
      <c r="AF359" s="1023"/>
      <c r="AG359" s="1481"/>
      <c r="AH359" s="1481"/>
      <c r="AI359" s="1481"/>
      <c r="AJ359" s="1481"/>
      <c r="AK359" s="1481"/>
      <c r="AL359" s="1481"/>
      <c r="AM359" s="1481"/>
      <c r="AN359" s="1481"/>
      <c r="AO359" s="1481"/>
      <c r="AP359" s="1481"/>
      <c r="AQ359" s="1481"/>
      <c r="AR359" s="1481"/>
      <c r="AS359" s="1481"/>
      <c r="AT359" s="1481"/>
      <c r="AU359" s="1481"/>
      <c r="AV359" s="1481"/>
      <c r="AW359" s="1481"/>
      <c r="AX359" s="1481"/>
      <c r="AY359" s="1481"/>
      <c r="AZ359" s="1481"/>
      <c r="BA359" s="1481"/>
      <c r="BB359" s="1481"/>
      <c r="BC359" s="1481"/>
      <c r="BD359" s="1481"/>
      <c r="BE359" s="1481"/>
      <c r="BF359" s="1481"/>
      <c r="BG359" s="1481"/>
      <c r="BH359" s="1481"/>
      <c r="BI359" s="1481"/>
      <c r="BJ359" s="1481"/>
      <c r="BK359" s="1481"/>
      <c r="BL359" s="1481"/>
      <c r="BM359" s="1481"/>
      <c r="BN359" s="1481"/>
      <c r="BO359" s="1481"/>
      <c r="BP359" s="1481"/>
      <c r="BQ359" s="1481"/>
      <c r="BR359" s="1481"/>
      <c r="BS359" s="1481"/>
      <c r="BT359" s="1481"/>
      <c r="BU359" s="1481"/>
      <c r="BV359" s="1023"/>
      <c r="BW359" s="1023"/>
      <c r="BX359" s="1023"/>
      <c r="BY359" s="1023"/>
      <c r="BZ359" s="1023"/>
      <c r="CA359" s="1023"/>
      <c r="CB359" s="1023"/>
      <c r="CC359" s="1023"/>
      <c r="CD359" s="1023"/>
      <c r="CE359" s="1023"/>
    </row>
    <row r="360" spans="1:83" ht="11.25" hidden="1" customHeight="1">
      <c r="A360" s="1636"/>
      <c r="B360" s="1481"/>
      <c r="C360" s="1481"/>
      <c r="D360" s="3622"/>
      <c r="E360" s="527"/>
      <c r="F360" s="527">
        <v>0</v>
      </c>
      <c r="G360" s="527"/>
      <c r="H360" s="527"/>
      <c r="I360" s="527"/>
      <c r="J360" s="527"/>
      <c r="K360" s="527"/>
      <c r="L360" s="527"/>
      <c r="M360" s="527"/>
      <c r="N360" s="527"/>
      <c r="O360" s="527"/>
      <c r="P360" s="527"/>
      <c r="Q360" s="527"/>
      <c r="R360" s="527"/>
      <c r="S360" s="528"/>
      <c r="T360" s="608"/>
      <c r="U360" s="3532"/>
      <c r="V360" s="3532"/>
      <c r="W360" s="1481"/>
      <c r="X360" s="1481"/>
      <c r="Y360" s="1481"/>
      <c r="Z360" s="1481"/>
      <c r="AA360" s="1481"/>
      <c r="AB360" s="1023"/>
      <c r="AC360" s="3617"/>
      <c r="AD360" s="521"/>
      <c r="AE360" s="1023"/>
      <c r="AF360" s="1023"/>
      <c r="AG360" s="1481"/>
      <c r="AH360" s="1481"/>
      <c r="AI360" s="1481"/>
      <c r="AJ360" s="1481"/>
      <c r="AK360" s="1481"/>
      <c r="AL360" s="1481"/>
      <c r="AM360" s="1481"/>
      <c r="AN360" s="1481"/>
      <c r="AO360" s="1481"/>
      <c r="AP360" s="1481"/>
      <c r="AQ360" s="1481"/>
      <c r="AR360" s="1481"/>
      <c r="AS360" s="1481"/>
      <c r="AT360" s="1481"/>
      <c r="AU360" s="1481"/>
      <c r="AV360" s="1481"/>
      <c r="AW360" s="1481"/>
      <c r="AX360" s="1481"/>
      <c r="AY360" s="1481"/>
      <c r="AZ360" s="1481"/>
      <c r="BA360" s="1481"/>
      <c r="BB360" s="1481"/>
      <c r="BC360" s="1481"/>
      <c r="BD360" s="1481"/>
      <c r="BE360" s="1481"/>
      <c r="BF360" s="1481"/>
      <c r="BG360" s="1481"/>
      <c r="BH360" s="1481"/>
      <c r="BI360" s="1481"/>
      <c r="BJ360" s="1481"/>
      <c r="BK360" s="1481"/>
      <c r="BL360" s="1481"/>
      <c r="BM360" s="1481"/>
      <c r="BN360" s="1481"/>
      <c r="BO360" s="1481"/>
      <c r="BP360" s="1481"/>
      <c r="BQ360" s="1481"/>
      <c r="BR360" s="1481"/>
      <c r="BS360" s="1481"/>
      <c r="BT360" s="1481"/>
      <c r="BU360" s="1481"/>
      <c r="BV360" s="1481"/>
      <c r="BW360" s="1481"/>
      <c r="BX360" s="1481"/>
      <c r="BY360" s="1481"/>
      <c r="BZ360" s="1481"/>
      <c r="CA360" s="1481"/>
      <c r="CB360" s="1481"/>
      <c r="CC360" s="1481"/>
      <c r="CD360" s="1481"/>
      <c r="CE360" s="1481"/>
    </row>
    <row r="361" spans="1:83" ht="11.25" hidden="1" customHeight="1">
      <c r="A361" s="1649"/>
      <c r="B361" s="1023"/>
      <c r="C361" s="319"/>
      <c r="D361" s="3622"/>
      <c r="E361" s="541" t="s">
        <v>18</v>
      </c>
      <c r="F361" s="1031" t="s">
        <v>18</v>
      </c>
      <c r="G361" s="1031" t="s">
        <v>880</v>
      </c>
      <c r="H361" s="543" t="s">
        <v>18</v>
      </c>
      <c r="I361" s="543"/>
      <c r="J361" s="543"/>
      <c r="K361" s="543"/>
      <c r="L361" s="543"/>
      <c r="M361" s="543"/>
      <c r="N361" s="543"/>
      <c r="O361" s="543"/>
      <c r="P361" s="543"/>
      <c r="Q361" s="543"/>
      <c r="R361" s="544"/>
      <c r="S361" s="545"/>
      <c r="T361" s="608"/>
      <c r="U361" s="3532"/>
      <c r="V361" s="3532"/>
      <c r="W361" s="1023"/>
      <c r="X361" s="1023"/>
      <c r="Y361" s="1023"/>
      <c r="Z361" s="1023"/>
      <c r="AA361" s="1481"/>
      <c r="AB361" s="1023"/>
      <c r="AC361" s="3617"/>
      <c r="AD361" s="521"/>
      <c r="AE361" s="1023"/>
      <c r="AF361" s="1023"/>
      <c r="AG361" s="1481"/>
      <c r="AH361" s="1481"/>
      <c r="AI361" s="1481"/>
      <c r="AJ361" s="1481"/>
      <c r="AK361" s="1481"/>
      <c r="AL361" s="1481"/>
      <c r="AM361" s="1481"/>
      <c r="AN361" s="1481"/>
      <c r="AO361" s="1481"/>
      <c r="AP361" s="1481"/>
      <c r="AQ361" s="1481"/>
      <c r="AR361" s="1481"/>
      <c r="AS361" s="1481"/>
      <c r="AT361" s="1481"/>
      <c r="AU361" s="1481"/>
      <c r="AV361" s="1481"/>
      <c r="AW361" s="1481"/>
      <c r="AX361" s="1481"/>
      <c r="AY361" s="1481"/>
      <c r="AZ361" s="1481"/>
      <c r="BA361" s="1481"/>
      <c r="BB361" s="1481"/>
      <c r="BC361" s="1481"/>
      <c r="BD361" s="1481"/>
      <c r="BE361" s="1481"/>
      <c r="BF361" s="1481"/>
      <c r="BG361" s="1481"/>
      <c r="BH361" s="1481"/>
      <c r="BI361" s="1481"/>
      <c r="BJ361" s="1481"/>
      <c r="BK361" s="1481"/>
      <c r="BL361" s="1481"/>
      <c r="BM361" s="1481"/>
      <c r="BN361" s="1481"/>
      <c r="BO361" s="1481"/>
      <c r="BP361" s="1481"/>
      <c r="BQ361" s="1481"/>
      <c r="BR361" s="1481"/>
      <c r="BS361" s="1481"/>
      <c r="BT361" s="1481"/>
      <c r="BU361" s="1481"/>
      <c r="BV361" s="1023"/>
      <c r="BW361" s="1023"/>
      <c r="BX361" s="1023"/>
      <c r="BY361" s="1023"/>
      <c r="BZ361" s="1023"/>
      <c r="CA361" s="1023"/>
      <c r="CB361" s="1023"/>
      <c r="CC361" s="1023"/>
      <c r="CD361" s="1023"/>
      <c r="CE361" s="1023"/>
    </row>
    <row r="362" spans="1:83" ht="5.25" hidden="1" customHeight="1">
      <c r="A362" s="1636"/>
      <c r="B362" s="1481"/>
      <c r="C362" s="1481"/>
      <c r="D362" s="3622"/>
      <c r="E362" s="909"/>
      <c r="F362" s="909"/>
      <c r="G362" s="909"/>
      <c r="H362" s="909"/>
      <c r="I362" s="909"/>
      <c r="J362" s="909"/>
      <c r="K362" s="909"/>
      <c r="L362" s="909"/>
      <c r="M362" s="909"/>
      <c r="N362" s="909"/>
      <c r="O362" s="909"/>
      <c r="P362" s="909"/>
      <c r="Q362" s="910"/>
      <c r="R362" s="911"/>
      <c r="S362" s="912"/>
      <c r="T362" s="607" t="s">
        <v>877</v>
      </c>
      <c r="U362" s="3532">
        <v>1</v>
      </c>
      <c r="V362" s="3532" t="s">
        <v>840</v>
      </c>
      <c r="W362" s="1481"/>
      <c r="X362" s="1481"/>
      <c r="Y362" s="1481"/>
      <c r="Z362" s="1481"/>
      <c r="AA362" s="1481"/>
      <c r="AB362" s="1481"/>
      <c r="AC362" s="907"/>
      <c r="AD362" s="908"/>
      <c r="AE362" s="1481"/>
      <c r="AF362" s="1481"/>
      <c r="AG362" s="1481"/>
      <c r="AH362" s="1481"/>
      <c r="AI362" s="1481"/>
      <c r="AJ362" s="1481"/>
      <c r="AK362" s="1481"/>
      <c r="AL362" s="1481"/>
      <c r="AM362" s="1481"/>
      <c r="AN362" s="1481"/>
      <c r="AO362" s="1481"/>
      <c r="AP362" s="1481"/>
      <c r="AQ362" s="1481"/>
      <c r="AR362" s="1481"/>
      <c r="AS362" s="1481"/>
      <c r="AT362" s="1481"/>
      <c r="AU362" s="1481"/>
      <c r="AV362" s="1481"/>
      <c r="AW362" s="1481"/>
      <c r="AX362" s="1481"/>
      <c r="AY362" s="1481"/>
      <c r="AZ362" s="1481"/>
      <c r="BA362" s="1481"/>
      <c r="BB362" s="1481"/>
      <c r="BC362" s="1481"/>
      <c r="BD362" s="1481"/>
      <c r="BE362" s="1481"/>
      <c r="BF362" s="1481"/>
      <c r="BG362" s="1481"/>
      <c r="BH362" s="1481"/>
      <c r="BI362" s="1481"/>
      <c r="BJ362" s="1481"/>
      <c r="BK362" s="1481"/>
      <c r="BL362" s="1481"/>
      <c r="BM362" s="1481"/>
      <c r="BN362" s="1481"/>
      <c r="BO362" s="1481"/>
      <c r="BP362" s="1481"/>
      <c r="BQ362" s="1481"/>
      <c r="BR362" s="1481"/>
      <c r="BS362" s="1481"/>
      <c r="BT362" s="1481"/>
      <c r="BU362" s="1481"/>
      <c r="BV362" s="1481"/>
      <c r="BW362" s="1481"/>
      <c r="BX362" s="1481"/>
      <c r="BY362" s="1481"/>
      <c r="BZ362" s="1481"/>
      <c r="CA362" s="1481"/>
      <c r="CB362" s="1481"/>
      <c r="CC362" s="1481"/>
      <c r="CD362" s="1481"/>
      <c r="CE362" s="1481"/>
    </row>
    <row r="363" spans="1:83" ht="5.25" hidden="1" customHeight="1">
      <c r="A363" s="1636"/>
      <c r="B363" s="1481"/>
      <c r="C363" s="1481"/>
      <c r="D363" s="3622"/>
      <c r="E363" s="527"/>
      <c r="F363" s="527"/>
      <c r="G363" s="527"/>
      <c r="H363" s="527"/>
      <c r="I363" s="527"/>
      <c r="J363" s="527"/>
      <c r="K363" s="527"/>
      <c r="L363" s="527"/>
      <c r="M363" s="527"/>
      <c r="N363" s="527"/>
      <c r="O363" s="527"/>
      <c r="P363" s="527"/>
      <c r="Q363" s="527"/>
      <c r="R363" s="527"/>
      <c r="S363" s="528"/>
      <c r="T363" s="608"/>
      <c r="U363" s="3532"/>
      <c r="V363" s="3532"/>
      <c r="W363" s="1481"/>
      <c r="X363" s="1481"/>
      <c r="Y363" s="1481"/>
      <c r="Z363" s="1481"/>
      <c r="AA363" s="1481"/>
      <c r="AB363" s="1481"/>
      <c r="AC363" s="907"/>
      <c r="AD363" s="908"/>
      <c r="AE363" s="1481"/>
      <c r="AF363" s="1481"/>
      <c r="AG363" s="1481"/>
      <c r="AH363" s="1481"/>
      <c r="AI363" s="1481"/>
      <c r="AJ363" s="1481"/>
      <c r="AK363" s="1481"/>
      <c r="AL363" s="1481"/>
      <c r="AM363" s="1481"/>
      <c r="AN363" s="1481"/>
      <c r="AO363" s="1481"/>
      <c r="AP363" s="1481"/>
      <c r="AQ363" s="1481"/>
      <c r="AR363" s="1481"/>
      <c r="AS363" s="1481"/>
      <c r="AT363" s="1481"/>
      <c r="AU363" s="1481"/>
      <c r="AV363" s="1481"/>
      <c r="AW363" s="1481"/>
      <c r="AX363" s="1481"/>
      <c r="AY363" s="1481"/>
      <c r="AZ363" s="1481"/>
      <c r="BA363" s="1481"/>
      <c r="BB363" s="1481"/>
      <c r="BC363" s="1481"/>
      <c r="BD363" s="1481"/>
      <c r="BE363" s="1481"/>
      <c r="BF363" s="1481"/>
      <c r="BG363" s="1481"/>
      <c r="BH363" s="1481"/>
      <c r="BI363" s="1481"/>
      <c r="BJ363" s="1481"/>
      <c r="BK363" s="1481"/>
      <c r="BL363" s="1481"/>
      <c r="BM363" s="1481"/>
      <c r="BN363" s="1481"/>
      <c r="BO363" s="1481"/>
      <c r="BP363" s="1481"/>
      <c r="BQ363" s="1481"/>
      <c r="BR363" s="1481"/>
      <c r="BS363" s="1481"/>
      <c r="BT363" s="1481"/>
      <c r="BU363" s="1481"/>
      <c r="BV363" s="1481"/>
      <c r="BW363" s="1481"/>
      <c r="BX363" s="1481"/>
      <c r="BY363" s="1481"/>
      <c r="BZ363" s="1481"/>
      <c r="CA363" s="1481"/>
      <c r="CB363" s="1481"/>
      <c r="CC363" s="1481"/>
      <c r="CD363" s="1481"/>
      <c r="CE363" s="1481"/>
    </row>
    <row r="364" spans="1:83" ht="5.25" hidden="1" customHeight="1">
      <c r="A364" s="1636"/>
      <c r="B364" s="1481"/>
      <c r="C364" s="1481"/>
      <c r="D364" s="3623"/>
      <c r="E364" s="913"/>
      <c r="F364" s="914"/>
      <c r="G364" s="914"/>
      <c r="H364" s="915"/>
      <c r="I364" s="915"/>
      <c r="J364" s="915"/>
      <c r="K364" s="915"/>
      <c r="L364" s="915"/>
      <c r="M364" s="915"/>
      <c r="N364" s="915"/>
      <c r="O364" s="915"/>
      <c r="P364" s="915"/>
      <c r="Q364" s="915"/>
      <c r="R364" s="818"/>
      <c r="S364" s="916"/>
      <c r="T364" s="608"/>
      <c r="U364" s="3532"/>
      <c r="V364" s="3532"/>
      <c r="W364" s="1481"/>
      <c r="X364" s="1481"/>
      <c r="Y364" s="1481"/>
      <c r="Z364" s="1481"/>
      <c r="AA364" s="1481"/>
      <c r="AB364" s="1481"/>
      <c r="AC364" s="907"/>
      <c r="AD364" s="908"/>
      <c r="AE364" s="1481"/>
      <c r="AF364" s="1481"/>
      <c r="AG364" s="1481"/>
      <c r="AH364" s="1481"/>
      <c r="AI364" s="1481"/>
      <c r="AJ364" s="1481"/>
      <c r="AK364" s="1481"/>
      <c r="AL364" s="1481"/>
      <c r="AM364" s="1481"/>
      <c r="AN364" s="1481"/>
      <c r="AO364" s="1481"/>
      <c r="AP364" s="1481"/>
      <c r="AQ364" s="1481"/>
      <c r="AR364" s="1481"/>
      <c r="AS364" s="1481"/>
      <c r="AT364" s="1481"/>
      <c r="AU364" s="1481"/>
      <c r="AV364" s="1481"/>
      <c r="AW364" s="1481"/>
      <c r="AX364" s="1481"/>
      <c r="AY364" s="1481"/>
      <c r="AZ364" s="1481"/>
      <c r="BA364" s="1481"/>
      <c r="BB364" s="1481"/>
      <c r="BC364" s="1481"/>
      <c r="BD364" s="1481"/>
      <c r="BE364" s="1481"/>
      <c r="BF364" s="1481"/>
      <c r="BG364" s="1481"/>
      <c r="BH364" s="1481"/>
      <c r="BI364" s="1481"/>
      <c r="BJ364" s="1481"/>
      <c r="BK364" s="1481"/>
      <c r="BL364" s="1481"/>
      <c r="BM364" s="1481"/>
      <c r="BN364" s="1481"/>
      <c r="BO364" s="1481"/>
      <c r="BP364" s="1481"/>
      <c r="BQ364" s="1481"/>
      <c r="BR364" s="1481"/>
      <c r="BS364" s="1481"/>
      <c r="BT364" s="1481"/>
      <c r="BU364" s="1481"/>
      <c r="BV364" s="1481"/>
      <c r="BW364" s="1481"/>
      <c r="BX364" s="1481"/>
      <c r="BY364" s="1481"/>
      <c r="BZ364" s="1481"/>
      <c r="CA364" s="1481"/>
      <c r="CB364" s="1481"/>
      <c r="CC364" s="1481"/>
      <c r="CD364" s="1481"/>
      <c r="CE364" s="1481"/>
    </row>
    <row r="365" spans="1:83" ht="15" hidden="1" customHeight="1">
      <c r="A365" s="516" t="s">
        <v>227</v>
      </c>
      <c r="B365"/>
      <c r="C365" t="s">
        <v>18</v>
      </c>
      <c r="D365" s="3621" t="s">
        <v>918</v>
      </c>
      <c r="E365" s="3618" t="s">
        <v>102</v>
      </c>
      <c r="F365" s="3619"/>
      <c r="G365" s="3620"/>
      <c r="H365" s="3614" t="str">
        <f>IF(A365="","",INDEX(DIFFERENTIATION_UNMERGE_VD,MATCH(A365,DIFFERENTIATION_ID_DIFF,0)))</f>
        <v>Производство тепловой энергии. Некомбинированная выработка</v>
      </c>
      <c r="I365" s="3614"/>
      <c r="J365" s="3614"/>
      <c r="K365" s="3614"/>
      <c r="L365" s="3614"/>
      <c r="M365" s="3614"/>
      <c r="N365" s="3614"/>
      <c r="O365" s="3614"/>
      <c r="P365" s="3614"/>
      <c r="Q365" s="3614"/>
      <c r="R365" s="3614"/>
      <c r="S365" s="609"/>
      <c r="T365" s="606"/>
      <c r="U365" s="517"/>
      <c r="V365" s="517"/>
      <c r="W365" s="518"/>
      <c r="X365" s="518"/>
      <c r="Y365" s="518"/>
      <c r="Z365" s="518"/>
      <c r="AA365" s="519"/>
      <c r="AB365" s="520"/>
      <c r="AC365" s="3617"/>
      <c r="AD365" s="521"/>
      <c r="AE365" s="522" t="s">
        <v>18</v>
      </c>
      <c r="AF365" s="522"/>
      <c r="AG365" s="523" t="s">
        <v>874</v>
      </c>
      <c r="AH365" s="524">
        <v>3</v>
      </c>
      <c r="AI365" s="517"/>
      <c r="AJ365" s="517"/>
      <c r="AK365" s="517"/>
      <c r="AL365" s="517"/>
      <c r="AM365" s="517"/>
      <c r="AN365" s="517"/>
      <c r="AO365" s="517"/>
      <c r="AP365" s="517"/>
      <c r="AQ365" s="517"/>
      <c r="AR365" s="517"/>
      <c r="AS365" s="517"/>
      <c r="AT365" s="517"/>
      <c r="AU365" s="517"/>
      <c r="AV365" s="517"/>
      <c r="AW365" s="517"/>
      <c r="AX365" s="517"/>
      <c r="AY365" s="517"/>
      <c r="AZ365" s="517"/>
      <c r="BA365" s="517"/>
      <c r="BB365" s="517"/>
      <c r="BC365" s="517"/>
      <c r="BD365" s="517"/>
      <c r="BE365" s="517"/>
      <c r="BF365" s="517"/>
      <c r="BG365" s="517"/>
      <c r="BH365" s="517"/>
      <c r="BI365" s="517"/>
      <c r="BJ365" s="517"/>
      <c r="BK365" s="517"/>
      <c r="BL365" s="517"/>
      <c r="BM365" s="517"/>
      <c r="BN365" s="517"/>
      <c r="BO365" s="517"/>
      <c r="BP365" s="517"/>
      <c r="BQ365" s="517"/>
      <c r="BR365" s="517"/>
      <c r="BS365" s="517"/>
      <c r="BT365" s="517"/>
      <c r="BU365" s="517"/>
      <c r="BV365" s="518"/>
      <c r="BW365" s="518"/>
      <c r="BX365" s="518"/>
      <c r="BY365" s="518"/>
      <c r="BZ365" s="518"/>
      <c r="CA365" s="518"/>
      <c r="CB365" s="518"/>
      <c r="CC365" s="518"/>
      <c r="CD365" s="518"/>
      <c r="CE365" s="518"/>
    </row>
    <row r="366" spans="1:83" ht="15" hidden="1" customHeight="1">
      <c r="A366" s="516"/>
      <c r="B366"/>
      <c r="C366"/>
      <c r="D366" s="3622"/>
      <c r="E366" s="3618" t="s">
        <v>829</v>
      </c>
      <c r="F366" s="3619"/>
      <c r="G366" s="3620"/>
      <c r="H366" s="3614" t="str">
        <f>IF(A365="","",INDEX(DIFFERENTIATION_UNMERGE_AREA,MATCH(A365,DIFFERENTIATION_ID_DIFF,0)))</f>
        <v>Территория 1</v>
      </c>
      <c r="I366" s="3614"/>
      <c r="J366" s="3614"/>
      <c r="K366" s="3614"/>
      <c r="L366" s="3614"/>
      <c r="M366" s="3614"/>
      <c r="N366" s="3614"/>
      <c r="O366" s="3614"/>
      <c r="P366" s="3614"/>
      <c r="Q366" s="3614"/>
      <c r="R366" s="3614"/>
      <c r="S366" s="609"/>
      <c r="T366" s="606"/>
      <c r="U366" s="517"/>
      <c r="V366" s="517"/>
      <c r="W366" s="518"/>
      <c r="X366" s="518"/>
      <c r="Y366" s="518"/>
      <c r="Z366" s="518"/>
      <c r="AA366" s="519"/>
      <c r="AB366" s="520"/>
      <c r="AC366" s="3617"/>
      <c r="AD366" s="521"/>
      <c r="AE366" s="522"/>
      <c r="AF366" s="522"/>
      <c r="AG366" s="523"/>
      <c r="AH366" s="524"/>
      <c r="AI366" s="517"/>
      <c r="AJ366" s="517"/>
      <c r="AK366" s="517"/>
      <c r="AL366" s="517"/>
      <c r="AM366" s="517"/>
      <c r="AN366" s="517"/>
      <c r="AO366" s="517"/>
      <c r="AP366" s="517"/>
      <c r="AQ366" s="517"/>
      <c r="AR366" s="517"/>
      <c r="AS366" s="517"/>
      <c r="AT366" s="517"/>
      <c r="AU366" s="517"/>
      <c r="AV366" s="517"/>
      <c r="AW366" s="517"/>
      <c r="AX366" s="517"/>
      <c r="AY366" s="517"/>
      <c r="AZ366" s="517"/>
      <c r="BA366" s="517"/>
      <c r="BB366" s="517"/>
      <c r="BC366" s="517"/>
      <c r="BD366" s="517"/>
      <c r="BE366" s="517"/>
      <c r="BF366" s="517"/>
      <c r="BG366" s="517"/>
      <c r="BH366" s="517"/>
      <c r="BI366" s="517"/>
      <c r="BJ366" s="517"/>
      <c r="BK366" s="517"/>
      <c r="BL366" s="517"/>
      <c r="BM366" s="517"/>
      <c r="BN366" s="517"/>
      <c r="BO366" s="517"/>
      <c r="BP366" s="517"/>
      <c r="BQ366" s="517"/>
      <c r="BR366" s="517"/>
      <c r="BS366" s="517"/>
      <c r="BT366" s="517"/>
      <c r="BU366" s="517"/>
      <c r="BV366" s="518"/>
      <c r="BW366" s="518"/>
      <c r="BX366" s="518"/>
      <c r="BY366" s="518"/>
      <c r="BZ366" s="518"/>
      <c r="CA366" s="518"/>
      <c r="CB366" s="518"/>
      <c r="CC366" s="518"/>
      <c r="CD366" s="518"/>
      <c r="CE366" s="518"/>
    </row>
    <row r="367" spans="1:83" ht="15" hidden="1" customHeight="1">
      <c r="A367" s="516"/>
      <c r="B367"/>
      <c r="C367"/>
      <c r="D367" s="3622"/>
      <c r="E367" s="3618" t="s">
        <v>830</v>
      </c>
      <c r="F367" s="3619"/>
      <c r="G367" s="3620"/>
      <c r="H367" s="3614" t="str">
        <f>IF(A365="","",INDEX(DIFFERENTIATION_UNMERGE_SYSTEM,MATCH(A365,DIFFERENTIATION_ID_DIFF,0)))</f>
        <v>Пищевой, 9а</v>
      </c>
      <c r="I367" s="3614"/>
      <c r="J367" s="3614"/>
      <c r="K367" s="3614"/>
      <c r="L367" s="3614"/>
      <c r="M367" s="3614"/>
      <c r="N367" s="3614"/>
      <c r="O367" s="3614"/>
      <c r="P367" s="3614"/>
      <c r="Q367" s="3614"/>
      <c r="R367" s="3614"/>
      <c r="S367" s="609"/>
      <c r="T367" s="606"/>
      <c r="U367" s="517"/>
      <c r="V367" s="517"/>
      <c r="W367" s="518"/>
      <c r="X367" s="518"/>
      <c r="Y367" s="518"/>
      <c r="Z367" s="518"/>
      <c r="AA367" s="519"/>
      <c r="AB367" s="520"/>
      <c r="AC367" s="3617"/>
      <c r="AD367" s="521"/>
      <c r="AE367" s="522"/>
      <c r="AF367" s="522"/>
      <c r="AG367" s="523"/>
      <c r="AH367" s="524"/>
      <c r="AI367" s="517"/>
      <c r="AJ367" s="517"/>
      <c r="AK367" s="517"/>
      <c r="AL367" s="517"/>
      <c r="AM367" s="517"/>
      <c r="AN367" s="517"/>
      <c r="AO367" s="517"/>
      <c r="AP367" s="517"/>
      <c r="AQ367" s="517"/>
      <c r="AR367" s="517"/>
      <c r="AS367" s="517"/>
      <c r="AT367" s="517"/>
      <c r="AU367" s="517"/>
      <c r="AV367" s="517"/>
      <c r="AW367" s="517"/>
      <c r="AX367" s="517"/>
      <c r="AY367" s="517"/>
      <c r="AZ367" s="517"/>
      <c r="BA367" s="517"/>
      <c r="BB367" s="517"/>
      <c r="BC367" s="517"/>
      <c r="BD367" s="517"/>
      <c r="BE367" s="517"/>
      <c r="BF367" s="517"/>
      <c r="BG367" s="517"/>
      <c r="BH367" s="517"/>
      <c r="BI367" s="517"/>
      <c r="BJ367" s="517"/>
      <c r="BK367" s="517"/>
      <c r="BL367" s="517"/>
      <c r="BM367" s="517"/>
      <c r="BN367" s="517"/>
      <c r="BO367" s="517"/>
      <c r="BP367" s="517"/>
      <c r="BQ367" s="517"/>
      <c r="BR367" s="517"/>
      <c r="BS367" s="517"/>
      <c r="BT367" s="517"/>
      <c r="BU367" s="517"/>
      <c r="BV367" s="518"/>
      <c r="BW367" s="518"/>
      <c r="BX367" s="518"/>
      <c r="BY367" s="518"/>
      <c r="BZ367" s="518"/>
      <c r="CA367" s="518"/>
      <c r="CB367" s="518"/>
      <c r="CC367" s="518"/>
      <c r="CD367" s="518"/>
      <c r="CE367" s="518"/>
    </row>
    <row r="368" spans="1:83" ht="24.75" hidden="1" customHeight="1">
      <c r="A368" s="1649"/>
      <c r="B368" s="1023"/>
      <c r="C368" s="319"/>
      <c r="D368" s="3622"/>
      <c r="E368" s="3616" t="s">
        <v>875</v>
      </c>
      <c r="F368" s="3616"/>
      <c r="G368" s="3616"/>
      <c r="H368" s="3616"/>
      <c r="I368" s="3616"/>
      <c r="J368" s="3616"/>
      <c r="K368" s="3616"/>
      <c r="L368" s="3616"/>
      <c r="M368" s="3616"/>
      <c r="N368" s="3616"/>
      <c r="O368" s="3616"/>
      <c r="P368" s="3616"/>
      <c r="Q368" s="455">
        <f>SUMIF(T369:T370,"i",Q369:Q370)</f>
        <v>0</v>
      </c>
      <c r="R368" s="887"/>
      <c r="S368" s="1641" t="s">
        <v>876</v>
      </c>
      <c r="T368" s="607" t="s">
        <v>877</v>
      </c>
      <c r="U368" s="3532">
        <v>1</v>
      </c>
      <c r="V368" s="3532" t="s">
        <v>840</v>
      </c>
      <c r="W368" s="1023"/>
      <c r="X368" s="1023"/>
      <c r="Y368" s="1023"/>
      <c r="Z368" s="1023"/>
      <c r="AA368" s="1481"/>
      <c r="AB368" s="1023"/>
      <c r="AC368" s="3617"/>
      <c r="AD368" s="521"/>
      <c r="AE368" s="1023"/>
      <c r="AF368" s="1023"/>
      <c r="AG368" s="1481"/>
      <c r="AH368" s="1481"/>
      <c r="AI368" s="1481"/>
      <c r="AJ368" s="1481"/>
      <c r="AK368" s="1481"/>
      <c r="AL368" s="1481"/>
      <c r="AM368" s="1481"/>
      <c r="AN368" s="1481"/>
      <c r="AO368" s="1481"/>
      <c r="AP368" s="1481"/>
      <c r="AQ368" s="1481"/>
      <c r="AR368" s="1481"/>
      <c r="AS368" s="1481"/>
      <c r="AT368" s="1481"/>
      <c r="AU368" s="1481"/>
      <c r="AV368" s="1481"/>
      <c r="AW368" s="1481"/>
      <c r="AX368" s="1481"/>
      <c r="AY368" s="1481"/>
      <c r="AZ368" s="1481"/>
      <c r="BA368" s="1481"/>
      <c r="BB368" s="1481"/>
      <c r="BC368" s="1481"/>
      <c r="BD368" s="1481"/>
      <c r="BE368" s="1481"/>
      <c r="BF368" s="1481"/>
      <c r="BG368" s="1481"/>
      <c r="BH368" s="1481"/>
      <c r="BI368" s="1481"/>
      <c r="BJ368" s="1481"/>
      <c r="BK368" s="1481"/>
      <c r="BL368" s="1481"/>
      <c r="BM368" s="1481"/>
      <c r="BN368" s="1481"/>
      <c r="BO368" s="1481"/>
      <c r="BP368" s="1481"/>
      <c r="BQ368" s="1481"/>
      <c r="BR368" s="1481"/>
      <c r="BS368" s="1481"/>
      <c r="BT368" s="1481"/>
      <c r="BU368" s="1481"/>
      <c r="BV368" s="1023"/>
      <c r="BW368" s="1023"/>
      <c r="BX368" s="1023"/>
      <c r="BY368" s="1023"/>
      <c r="BZ368" s="1023"/>
      <c r="CA368" s="1023"/>
      <c r="CB368" s="1023"/>
      <c r="CC368" s="1023"/>
      <c r="CD368" s="1023"/>
      <c r="CE368" s="1023"/>
    </row>
    <row r="369" spans="1:83" ht="11.25" hidden="1" customHeight="1">
      <c r="A369" s="1636"/>
      <c r="B369" s="1481"/>
      <c r="C369" s="1481"/>
      <c r="D369" s="3622"/>
      <c r="E369" s="527"/>
      <c r="F369" s="527">
        <v>0</v>
      </c>
      <c r="G369" s="527"/>
      <c r="H369" s="527"/>
      <c r="I369" s="527"/>
      <c r="J369" s="527"/>
      <c r="K369" s="527"/>
      <c r="L369" s="527"/>
      <c r="M369" s="527"/>
      <c r="N369" s="527"/>
      <c r="O369" s="527"/>
      <c r="P369" s="527"/>
      <c r="Q369" s="527"/>
      <c r="R369" s="527"/>
      <c r="S369" s="528"/>
      <c r="T369" s="608"/>
      <c r="U369" s="3532"/>
      <c r="V369" s="3532"/>
      <c r="W369" s="1481"/>
      <c r="X369" s="1481"/>
      <c r="Y369" s="1481"/>
      <c r="Z369" s="1481"/>
      <c r="AA369" s="1481"/>
      <c r="AB369" s="1023"/>
      <c r="AC369" s="3617"/>
      <c r="AD369" s="521"/>
      <c r="AE369" s="1023"/>
      <c r="AF369" s="1023"/>
      <c r="AG369" s="1481"/>
      <c r="AH369" s="1481"/>
      <c r="AI369" s="1481"/>
      <c r="AJ369" s="1481"/>
      <c r="AK369" s="1481"/>
      <c r="AL369" s="1481"/>
      <c r="AM369" s="1481"/>
      <c r="AN369" s="1481"/>
      <c r="AO369" s="1481"/>
      <c r="AP369" s="1481"/>
      <c r="AQ369" s="1481"/>
      <c r="AR369" s="1481"/>
      <c r="AS369" s="1481"/>
      <c r="AT369" s="1481"/>
      <c r="AU369" s="1481"/>
      <c r="AV369" s="1481"/>
      <c r="AW369" s="1481"/>
      <c r="AX369" s="1481"/>
      <c r="AY369" s="1481"/>
      <c r="AZ369" s="1481"/>
      <c r="BA369" s="1481"/>
      <c r="BB369" s="1481"/>
      <c r="BC369" s="1481"/>
      <c r="BD369" s="1481"/>
      <c r="BE369" s="1481"/>
      <c r="BF369" s="1481"/>
      <c r="BG369" s="1481"/>
      <c r="BH369" s="1481"/>
      <c r="BI369" s="1481"/>
      <c r="BJ369" s="1481"/>
      <c r="BK369" s="1481"/>
      <c r="BL369" s="1481"/>
      <c r="BM369" s="1481"/>
      <c r="BN369" s="1481"/>
      <c r="BO369" s="1481"/>
      <c r="BP369" s="1481"/>
      <c r="BQ369" s="1481"/>
      <c r="BR369" s="1481"/>
      <c r="BS369" s="1481"/>
      <c r="BT369" s="1481"/>
      <c r="BU369" s="1481"/>
      <c r="BV369" s="1481"/>
      <c r="BW369" s="1481"/>
      <c r="BX369" s="1481"/>
      <c r="BY369" s="1481"/>
      <c r="BZ369" s="1481"/>
      <c r="CA369" s="1481"/>
      <c r="CB369" s="1481"/>
      <c r="CC369" s="1481"/>
      <c r="CD369" s="1481"/>
      <c r="CE369" s="1481"/>
    </row>
    <row r="370" spans="1:83" ht="11.25" hidden="1" customHeight="1">
      <c r="A370" s="1649"/>
      <c r="B370" s="1023"/>
      <c r="C370" s="319"/>
      <c r="D370" s="3622"/>
      <c r="E370" s="541" t="s">
        <v>18</v>
      </c>
      <c r="F370" s="1031" t="s">
        <v>18</v>
      </c>
      <c r="G370" s="1031" t="s">
        <v>880</v>
      </c>
      <c r="H370" s="543" t="s">
        <v>18</v>
      </c>
      <c r="I370" s="543"/>
      <c r="J370" s="543"/>
      <c r="K370" s="543"/>
      <c r="L370" s="543"/>
      <c r="M370" s="543"/>
      <c r="N370" s="543"/>
      <c r="O370" s="543"/>
      <c r="P370" s="543"/>
      <c r="Q370" s="543"/>
      <c r="R370" s="544"/>
      <c r="S370" s="545"/>
      <c r="T370" s="608"/>
      <c r="U370" s="3532"/>
      <c r="V370" s="3532"/>
      <c r="W370" s="1023"/>
      <c r="X370" s="1023"/>
      <c r="Y370" s="1023"/>
      <c r="Z370" s="1023"/>
      <c r="AA370" s="1481"/>
      <c r="AB370" s="1023"/>
      <c r="AC370" s="3617"/>
      <c r="AD370" s="521"/>
      <c r="AE370" s="1023"/>
      <c r="AF370" s="1023"/>
      <c r="AG370" s="1481"/>
      <c r="AH370" s="1481"/>
      <c r="AI370" s="1481"/>
      <c r="AJ370" s="1481"/>
      <c r="AK370" s="1481"/>
      <c r="AL370" s="1481"/>
      <c r="AM370" s="1481"/>
      <c r="AN370" s="1481"/>
      <c r="AO370" s="1481"/>
      <c r="AP370" s="1481"/>
      <c r="AQ370" s="1481"/>
      <c r="AR370" s="1481"/>
      <c r="AS370" s="1481"/>
      <c r="AT370" s="1481"/>
      <c r="AU370" s="1481"/>
      <c r="AV370" s="1481"/>
      <c r="AW370" s="1481"/>
      <c r="AX370" s="1481"/>
      <c r="AY370" s="1481"/>
      <c r="AZ370" s="1481"/>
      <c r="BA370" s="1481"/>
      <c r="BB370" s="1481"/>
      <c r="BC370" s="1481"/>
      <c r="BD370" s="1481"/>
      <c r="BE370" s="1481"/>
      <c r="BF370" s="1481"/>
      <c r="BG370" s="1481"/>
      <c r="BH370" s="1481"/>
      <c r="BI370" s="1481"/>
      <c r="BJ370" s="1481"/>
      <c r="BK370" s="1481"/>
      <c r="BL370" s="1481"/>
      <c r="BM370" s="1481"/>
      <c r="BN370" s="1481"/>
      <c r="BO370" s="1481"/>
      <c r="BP370" s="1481"/>
      <c r="BQ370" s="1481"/>
      <c r="BR370" s="1481"/>
      <c r="BS370" s="1481"/>
      <c r="BT370" s="1481"/>
      <c r="BU370" s="1481"/>
      <c r="BV370" s="1023"/>
      <c r="BW370" s="1023"/>
      <c r="BX370" s="1023"/>
      <c r="BY370" s="1023"/>
      <c r="BZ370" s="1023"/>
      <c r="CA370" s="1023"/>
      <c r="CB370" s="1023"/>
      <c r="CC370" s="1023"/>
      <c r="CD370" s="1023"/>
      <c r="CE370" s="1023"/>
    </row>
    <row r="371" spans="1:83" ht="5.25" hidden="1" customHeight="1">
      <c r="A371" s="1636"/>
      <c r="B371" s="1481"/>
      <c r="C371" s="1481"/>
      <c r="D371" s="3622"/>
      <c r="E371" s="909"/>
      <c r="F371" s="909"/>
      <c r="G371" s="909"/>
      <c r="H371" s="909"/>
      <c r="I371" s="909"/>
      <c r="J371" s="909"/>
      <c r="K371" s="909"/>
      <c r="L371" s="909"/>
      <c r="M371" s="909"/>
      <c r="N371" s="909"/>
      <c r="O371" s="909"/>
      <c r="P371" s="909"/>
      <c r="Q371" s="910"/>
      <c r="R371" s="911"/>
      <c r="S371" s="912"/>
      <c r="T371" s="607" t="s">
        <v>877</v>
      </c>
      <c r="U371" s="3532">
        <v>1</v>
      </c>
      <c r="V371" s="3532" t="s">
        <v>840</v>
      </c>
      <c r="W371" s="1481"/>
      <c r="X371" s="1481"/>
      <c r="Y371" s="1481"/>
      <c r="Z371" s="1481"/>
      <c r="AA371" s="1481"/>
      <c r="AB371" s="1481"/>
      <c r="AC371" s="907"/>
      <c r="AD371" s="908"/>
      <c r="AE371" s="1481"/>
      <c r="AF371" s="1481"/>
      <c r="AG371" s="1481"/>
      <c r="AH371" s="1481"/>
      <c r="AI371" s="1481"/>
      <c r="AJ371" s="1481"/>
      <c r="AK371" s="1481"/>
      <c r="AL371" s="1481"/>
      <c r="AM371" s="1481"/>
      <c r="AN371" s="1481"/>
      <c r="AO371" s="1481"/>
      <c r="AP371" s="1481"/>
      <c r="AQ371" s="1481"/>
      <c r="AR371" s="1481"/>
      <c r="AS371" s="1481"/>
      <c r="AT371" s="1481"/>
      <c r="AU371" s="1481"/>
      <c r="AV371" s="1481"/>
      <c r="AW371" s="1481"/>
      <c r="AX371" s="1481"/>
      <c r="AY371" s="1481"/>
      <c r="AZ371" s="1481"/>
      <c r="BA371" s="1481"/>
      <c r="BB371" s="1481"/>
      <c r="BC371" s="1481"/>
      <c r="BD371" s="1481"/>
      <c r="BE371" s="1481"/>
      <c r="BF371" s="1481"/>
      <c r="BG371" s="1481"/>
      <c r="BH371" s="1481"/>
      <c r="BI371" s="1481"/>
      <c r="BJ371" s="1481"/>
      <c r="BK371" s="1481"/>
      <c r="BL371" s="1481"/>
      <c r="BM371" s="1481"/>
      <c r="BN371" s="1481"/>
      <c r="BO371" s="1481"/>
      <c r="BP371" s="1481"/>
      <c r="BQ371" s="1481"/>
      <c r="BR371" s="1481"/>
      <c r="BS371" s="1481"/>
      <c r="BT371" s="1481"/>
      <c r="BU371" s="1481"/>
      <c r="BV371" s="1481"/>
      <c r="BW371" s="1481"/>
      <c r="BX371" s="1481"/>
      <c r="BY371" s="1481"/>
      <c r="BZ371" s="1481"/>
      <c r="CA371" s="1481"/>
      <c r="CB371" s="1481"/>
      <c r="CC371" s="1481"/>
      <c r="CD371" s="1481"/>
      <c r="CE371" s="1481"/>
    </row>
    <row r="372" spans="1:83" ht="5.25" hidden="1" customHeight="1">
      <c r="A372" s="1636"/>
      <c r="B372" s="1481"/>
      <c r="C372" s="1481"/>
      <c r="D372" s="3622"/>
      <c r="E372" s="527"/>
      <c r="F372" s="527"/>
      <c r="G372" s="527"/>
      <c r="H372" s="527"/>
      <c r="I372" s="527"/>
      <c r="J372" s="527"/>
      <c r="K372" s="527"/>
      <c r="L372" s="527"/>
      <c r="M372" s="527"/>
      <c r="N372" s="527"/>
      <c r="O372" s="527"/>
      <c r="P372" s="527"/>
      <c r="Q372" s="527"/>
      <c r="R372" s="527"/>
      <c r="S372" s="528"/>
      <c r="T372" s="608"/>
      <c r="U372" s="3532"/>
      <c r="V372" s="3532"/>
      <c r="W372" s="1481"/>
      <c r="X372" s="1481"/>
      <c r="Y372" s="1481"/>
      <c r="Z372" s="1481"/>
      <c r="AA372" s="1481"/>
      <c r="AB372" s="1481"/>
      <c r="AC372" s="907"/>
      <c r="AD372" s="908"/>
      <c r="AE372" s="1481"/>
      <c r="AF372" s="1481"/>
      <c r="AG372" s="1481"/>
      <c r="AH372" s="1481"/>
      <c r="AI372" s="1481"/>
      <c r="AJ372" s="1481"/>
      <c r="AK372" s="1481"/>
      <c r="AL372" s="1481"/>
      <c r="AM372" s="1481"/>
      <c r="AN372" s="1481"/>
      <c r="AO372" s="1481"/>
      <c r="AP372" s="1481"/>
      <c r="AQ372" s="1481"/>
      <c r="AR372" s="1481"/>
      <c r="AS372" s="1481"/>
      <c r="AT372" s="1481"/>
      <c r="AU372" s="1481"/>
      <c r="AV372" s="1481"/>
      <c r="AW372" s="1481"/>
      <c r="AX372" s="1481"/>
      <c r="AY372" s="1481"/>
      <c r="AZ372" s="1481"/>
      <c r="BA372" s="1481"/>
      <c r="BB372" s="1481"/>
      <c r="BC372" s="1481"/>
      <c r="BD372" s="1481"/>
      <c r="BE372" s="1481"/>
      <c r="BF372" s="1481"/>
      <c r="BG372" s="1481"/>
      <c r="BH372" s="1481"/>
      <c r="BI372" s="1481"/>
      <c r="BJ372" s="1481"/>
      <c r="BK372" s="1481"/>
      <c r="BL372" s="1481"/>
      <c r="BM372" s="1481"/>
      <c r="BN372" s="1481"/>
      <c r="BO372" s="1481"/>
      <c r="BP372" s="1481"/>
      <c r="BQ372" s="1481"/>
      <c r="BR372" s="1481"/>
      <c r="BS372" s="1481"/>
      <c r="BT372" s="1481"/>
      <c r="BU372" s="1481"/>
      <c r="BV372" s="1481"/>
      <c r="BW372" s="1481"/>
      <c r="BX372" s="1481"/>
      <c r="BY372" s="1481"/>
      <c r="BZ372" s="1481"/>
      <c r="CA372" s="1481"/>
      <c r="CB372" s="1481"/>
      <c r="CC372" s="1481"/>
      <c r="CD372" s="1481"/>
      <c r="CE372" s="1481"/>
    </row>
    <row r="373" spans="1:83" ht="5.25" hidden="1" customHeight="1">
      <c r="A373" s="1636"/>
      <c r="B373" s="1481"/>
      <c r="C373" s="1481"/>
      <c r="D373" s="3623"/>
      <c r="E373" s="913"/>
      <c r="F373" s="914"/>
      <c r="G373" s="914"/>
      <c r="H373" s="915"/>
      <c r="I373" s="915"/>
      <c r="J373" s="915"/>
      <c r="K373" s="915"/>
      <c r="L373" s="915"/>
      <c r="M373" s="915"/>
      <c r="N373" s="915"/>
      <c r="O373" s="915"/>
      <c r="P373" s="915"/>
      <c r="Q373" s="915"/>
      <c r="R373" s="818"/>
      <c r="S373" s="916"/>
      <c r="T373" s="608"/>
      <c r="U373" s="3532"/>
      <c r="V373" s="3532"/>
      <c r="W373" s="1481"/>
      <c r="X373" s="1481"/>
      <c r="Y373" s="1481"/>
      <c r="Z373" s="1481"/>
      <c r="AA373" s="1481"/>
      <c r="AB373" s="1481"/>
      <c r="AC373" s="907"/>
      <c r="AD373" s="908"/>
      <c r="AE373" s="1481"/>
      <c r="AF373" s="1481"/>
      <c r="AG373" s="1481"/>
      <c r="AH373" s="1481"/>
      <c r="AI373" s="1481"/>
      <c r="AJ373" s="1481"/>
      <c r="AK373" s="1481"/>
      <c r="AL373" s="1481"/>
      <c r="AM373" s="1481"/>
      <c r="AN373" s="1481"/>
      <c r="AO373" s="1481"/>
      <c r="AP373" s="1481"/>
      <c r="AQ373" s="1481"/>
      <c r="AR373" s="1481"/>
      <c r="AS373" s="1481"/>
      <c r="AT373" s="1481"/>
      <c r="AU373" s="1481"/>
      <c r="AV373" s="1481"/>
      <c r="AW373" s="1481"/>
      <c r="AX373" s="1481"/>
      <c r="AY373" s="1481"/>
      <c r="AZ373" s="1481"/>
      <c r="BA373" s="1481"/>
      <c r="BB373" s="1481"/>
      <c r="BC373" s="1481"/>
      <c r="BD373" s="1481"/>
      <c r="BE373" s="1481"/>
      <c r="BF373" s="1481"/>
      <c r="BG373" s="1481"/>
      <c r="BH373" s="1481"/>
      <c r="BI373" s="1481"/>
      <c r="BJ373" s="1481"/>
      <c r="BK373" s="1481"/>
      <c r="BL373" s="1481"/>
      <c r="BM373" s="1481"/>
      <c r="BN373" s="1481"/>
      <c r="BO373" s="1481"/>
      <c r="BP373" s="1481"/>
      <c r="BQ373" s="1481"/>
      <c r="BR373" s="1481"/>
      <c r="BS373" s="1481"/>
      <c r="BT373" s="1481"/>
      <c r="BU373" s="1481"/>
      <c r="BV373" s="1481"/>
      <c r="BW373" s="1481"/>
      <c r="BX373" s="1481"/>
      <c r="BY373" s="1481"/>
      <c r="BZ373" s="1481"/>
      <c r="CA373" s="1481"/>
      <c r="CB373" s="1481"/>
      <c r="CC373" s="1481"/>
      <c r="CD373" s="1481"/>
      <c r="CE373" s="1481"/>
    </row>
    <row r="374" spans="1:83" ht="15" hidden="1" customHeight="1">
      <c r="A374" s="516" t="s">
        <v>230</v>
      </c>
      <c r="B374"/>
      <c r="C374" t="s">
        <v>18</v>
      </c>
      <c r="D374" s="3621" t="s">
        <v>919</v>
      </c>
      <c r="E374" s="3618" t="s">
        <v>102</v>
      </c>
      <c r="F374" s="3619"/>
      <c r="G374" s="3620"/>
      <c r="H374" s="3614" t="str">
        <f>IF(A374="","",INDEX(DIFFERENTIATION_UNMERGE_VD,MATCH(A374,DIFFERENTIATION_ID_DIFF,0)))</f>
        <v>Производство тепловой энергии. Некомбинированная выработка</v>
      </c>
      <c r="I374" s="3614"/>
      <c r="J374" s="3614"/>
      <c r="K374" s="3614"/>
      <c r="L374" s="3614"/>
      <c r="M374" s="3614"/>
      <c r="N374" s="3614"/>
      <c r="O374" s="3614"/>
      <c r="P374" s="3614"/>
      <c r="Q374" s="3614"/>
      <c r="R374" s="3614"/>
      <c r="S374" s="609"/>
      <c r="T374" s="606"/>
      <c r="U374" s="517"/>
      <c r="V374" s="517"/>
      <c r="W374" s="518"/>
      <c r="X374" s="518"/>
      <c r="Y374" s="518"/>
      <c r="Z374" s="518"/>
      <c r="AA374" s="519"/>
      <c r="AB374" s="520"/>
      <c r="AC374" s="3617"/>
      <c r="AD374" s="521"/>
      <c r="AE374" s="522" t="s">
        <v>18</v>
      </c>
      <c r="AF374" s="522"/>
      <c r="AG374" s="523" t="s">
        <v>874</v>
      </c>
      <c r="AH374" s="524">
        <v>3</v>
      </c>
      <c r="AI374" s="517"/>
      <c r="AJ374" s="517"/>
      <c r="AK374" s="517"/>
      <c r="AL374" s="517"/>
      <c r="AM374" s="517"/>
      <c r="AN374" s="517"/>
      <c r="AO374" s="517"/>
      <c r="AP374" s="517"/>
      <c r="AQ374" s="517"/>
      <c r="AR374" s="517"/>
      <c r="AS374" s="517"/>
      <c r="AT374" s="517"/>
      <c r="AU374" s="517"/>
      <c r="AV374" s="517"/>
      <c r="AW374" s="517"/>
      <c r="AX374" s="517"/>
      <c r="AY374" s="517"/>
      <c r="AZ374" s="517"/>
      <c r="BA374" s="517"/>
      <c r="BB374" s="517"/>
      <c r="BC374" s="517"/>
      <c r="BD374" s="517"/>
      <c r="BE374" s="517"/>
      <c r="BF374" s="517"/>
      <c r="BG374" s="517"/>
      <c r="BH374" s="517"/>
      <c r="BI374" s="517"/>
      <c r="BJ374" s="517"/>
      <c r="BK374" s="517"/>
      <c r="BL374" s="517"/>
      <c r="BM374" s="517"/>
      <c r="BN374" s="517"/>
      <c r="BO374" s="517"/>
      <c r="BP374" s="517"/>
      <c r="BQ374" s="517"/>
      <c r="BR374" s="517"/>
      <c r="BS374" s="517"/>
      <c r="BT374" s="517"/>
      <c r="BU374" s="517"/>
      <c r="BV374" s="518"/>
      <c r="BW374" s="518"/>
      <c r="BX374" s="518"/>
      <c r="BY374" s="518"/>
      <c r="BZ374" s="518"/>
      <c r="CA374" s="518"/>
      <c r="CB374" s="518"/>
      <c r="CC374" s="518"/>
      <c r="CD374" s="518"/>
      <c r="CE374" s="518"/>
    </row>
    <row r="375" spans="1:83" ht="15" hidden="1" customHeight="1">
      <c r="A375" s="516"/>
      <c r="B375"/>
      <c r="C375"/>
      <c r="D375" s="3622"/>
      <c r="E375" s="3618" t="s">
        <v>829</v>
      </c>
      <c r="F375" s="3619"/>
      <c r="G375" s="3620"/>
      <c r="H375" s="3614" t="str">
        <f>IF(A374="","",INDEX(DIFFERENTIATION_UNMERGE_AREA,MATCH(A374,DIFFERENTIATION_ID_DIFF,0)))</f>
        <v>Территория 1</v>
      </c>
      <c r="I375" s="3614"/>
      <c r="J375" s="3614"/>
      <c r="K375" s="3614"/>
      <c r="L375" s="3614"/>
      <c r="M375" s="3614"/>
      <c r="N375" s="3614"/>
      <c r="O375" s="3614"/>
      <c r="P375" s="3614"/>
      <c r="Q375" s="3614"/>
      <c r="R375" s="3614"/>
      <c r="S375" s="609"/>
      <c r="T375" s="606"/>
      <c r="U375" s="517"/>
      <c r="V375" s="517"/>
      <c r="W375" s="518"/>
      <c r="X375" s="518"/>
      <c r="Y375" s="518"/>
      <c r="Z375" s="518"/>
      <c r="AA375" s="519"/>
      <c r="AB375" s="520"/>
      <c r="AC375" s="3617"/>
      <c r="AD375" s="521"/>
      <c r="AE375" s="522"/>
      <c r="AF375" s="522"/>
      <c r="AG375" s="523"/>
      <c r="AH375" s="524"/>
      <c r="AI375" s="517"/>
      <c r="AJ375" s="517"/>
      <c r="AK375" s="517"/>
      <c r="AL375" s="517"/>
      <c r="AM375" s="517"/>
      <c r="AN375" s="517"/>
      <c r="AO375" s="517"/>
      <c r="AP375" s="517"/>
      <c r="AQ375" s="517"/>
      <c r="AR375" s="517"/>
      <c r="AS375" s="517"/>
      <c r="AT375" s="517"/>
      <c r="AU375" s="517"/>
      <c r="AV375" s="517"/>
      <c r="AW375" s="517"/>
      <c r="AX375" s="517"/>
      <c r="AY375" s="517"/>
      <c r="AZ375" s="517"/>
      <c r="BA375" s="517"/>
      <c r="BB375" s="517"/>
      <c r="BC375" s="517"/>
      <c r="BD375" s="517"/>
      <c r="BE375" s="517"/>
      <c r="BF375" s="517"/>
      <c r="BG375" s="517"/>
      <c r="BH375" s="517"/>
      <c r="BI375" s="517"/>
      <c r="BJ375" s="517"/>
      <c r="BK375" s="517"/>
      <c r="BL375" s="517"/>
      <c r="BM375" s="517"/>
      <c r="BN375" s="517"/>
      <c r="BO375" s="517"/>
      <c r="BP375" s="517"/>
      <c r="BQ375" s="517"/>
      <c r="BR375" s="517"/>
      <c r="BS375" s="517"/>
      <c r="BT375" s="517"/>
      <c r="BU375" s="517"/>
      <c r="BV375" s="518"/>
      <c r="BW375" s="518"/>
      <c r="BX375" s="518"/>
      <c r="BY375" s="518"/>
      <c r="BZ375" s="518"/>
      <c r="CA375" s="518"/>
      <c r="CB375" s="518"/>
      <c r="CC375" s="518"/>
      <c r="CD375" s="518"/>
      <c r="CE375" s="518"/>
    </row>
    <row r="376" spans="1:83" ht="15" hidden="1" customHeight="1">
      <c r="A376" s="516"/>
      <c r="B376"/>
      <c r="C376"/>
      <c r="D376" s="3622"/>
      <c r="E376" s="3618" t="s">
        <v>830</v>
      </c>
      <c r="F376" s="3619"/>
      <c r="G376" s="3620"/>
      <c r="H376" s="3614" t="str">
        <f>IF(A374="","",INDEX(DIFFERENTIATION_UNMERGE_SYSTEM,MATCH(A374,DIFFERENTIATION_ID_DIFF,0)))</f>
        <v>2-а Посадская, 19а</v>
      </c>
      <c r="I376" s="3614"/>
      <c r="J376" s="3614"/>
      <c r="K376" s="3614"/>
      <c r="L376" s="3614"/>
      <c r="M376" s="3614"/>
      <c r="N376" s="3614"/>
      <c r="O376" s="3614"/>
      <c r="P376" s="3614"/>
      <c r="Q376" s="3614"/>
      <c r="R376" s="3614"/>
      <c r="S376" s="609"/>
      <c r="T376" s="606"/>
      <c r="U376" s="517"/>
      <c r="V376" s="517"/>
      <c r="W376" s="518"/>
      <c r="X376" s="518"/>
      <c r="Y376" s="518"/>
      <c r="Z376" s="518"/>
      <c r="AA376" s="519"/>
      <c r="AB376" s="520"/>
      <c r="AC376" s="3617"/>
      <c r="AD376" s="521"/>
      <c r="AE376" s="522"/>
      <c r="AF376" s="522"/>
      <c r="AG376" s="523"/>
      <c r="AH376" s="524"/>
      <c r="AI376" s="517"/>
      <c r="AJ376" s="517"/>
      <c r="AK376" s="517"/>
      <c r="AL376" s="517"/>
      <c r="AM376" s="517"/>
      <c r="AN376" s="517"/>
      <c r="AO376" s="517"/>
      <c r="AP376" s="517"/>
      <c r="AQ376" s="517"/>
      <c r="AR376" s="517"/>
      <c r="AS376" s="517"/>
      <c r="AT376" s="517"/>
      <c r="AU376" s="517"/>
      <c r="AV376" s="517"/>
      <c r="AW376" s="517"/>
      <c r="AX376" s="517"/>
      <c r="AY376" s="517"/>
      <c r="AZ376" s="517"/>
      <c r="BA376" s="517"/>
      <c r="BB376" s="517"/>
      <c r="BC376" s="517"/>
      <c r="BD376" s="517"/>
      <c r="BE376" s="517"/>
      <c r="BF376" s="517"/>
      <c r="BG376" s="517"/>
      <c r="BH376" s="517"/>
      <c r="BI376" s="517"/>
      <c r="BJ376" s="517"/>
      <c r="BK376" s="517"/>
      <c r="BL376" s="517"/>
      <c r="BM376" s="517"/>
      <c r="BN376" s="517"/>
      <c r="BO376" s="517"/>
      <c r="BP376" s="517"/>
      <c r="BQ376" s="517"/>
      <c r="BR376" s="517"/>
      <c r="BS376" s="517"/>
      <c r="BT376" s="517"/>
      <c r="BU376" s="517"/>
      <c r="BV376" s="518"/>
      <c r="BW376" s="518"/>
      <c r="BX376" s="518"/>
      <c r="BY376" s="518"/>
      <c r="BZ376" s="518"/>
      <c r="CA376" s="518"/>
      <c r="CB376" s="518"/>
      <c r="CC376" s="518"/>
      <c r="CD376" s="518"/>
      <c r="CE376" s="518"/>
    </row>
    <row r="377" spans="1:83" ht="24.75" hidden="1" customHeight="1">
      <c r="A377" s="1649"/>
      <c r="B377" s="1023"/>
      <c r="C377" s="319"/>
      <c r="D377" s="3622"/>
      <c r="E377" s="3616" t="s">
        <v>875</v>
      </c>
      <c r="F377" s="3616"/>
      <c r="G377" s="3616"/>
      <c r="H377" s="3616"/>
      <c r="I377" s="3616"/>
      <c r="J377" s="3616"/>
      <c r="K377" s="3616"/>
      <c r="L377" s="3616"/>
      <c r="M377" s="3616"/>
      <c r="N377" s="3616"/>
      <c r="O377" s="3616"/>
      <c r="P377" s="3616"/>
      <c r="Q377" s="455">
        <f>SUMIF(T378:T379,"i",Q378:Q379)</f>
        <v>0</v>
      </c>
      <c r="R377" s="887"/>
      <c r="S377" s="1641" t="s">
        <v>876</v>
      </c>
      <c r="T377" s="607" t="s">
        <v>877</v>
      </c>
      <c r="U377" s="3532">
        <v>1</v>
      </c>
      <c r="V377" s="3532" t="s">
        <v>840</v>
      </c>
      <c r="W377" s="1023"/>
      <c r="X377" s="1023"/>
      <c r="Y377" s="1023"/>
      <c r="Z377" s="1023"/>
      <c r="AA377" s="1481"/>
      <c r="AB377" s="1023"/>
      <c r="AC377" s="3617"/>
      <c r="AD377" s="521"/>
      <c r="AE377" s="1023"/>
      <c r="AF377" s="1023"/>
      <c r="AG377" s="1481"/>
      <c r="AH377" s="1481"/>
      <c r="AI377" s="1481"/>
      <c r="AJ377" s="1481"/>
      <c r="AK377" s="1481"/>
      <c r="AL377" s="1481"/>
      <c r="AM377" s="1481"/>
      <c r="AN377" s="1481"/>
      <c r="AO377" s="1481"/>
      <c r="AP377" s="1481"/>
      <c r="AQ377" s="1481"/>
      <c r="AR377" s="1481"/>
      <c r="AS377" s="1481"/>
      <c r="AT377" s="1481"/>
      <c r="AU377" s="1481"/>
      <c r="AV377" s="1481"/>
      <c r="AW377" s="1481"/>
      <c r="AX377" s="1481"/>
      <c r="AY377" s="1481"/>
      <c r="AZ377" s="1481"/>
      <c r="BA377" s="1481"/>
      <c r="BB377" s="1481"/>
      <c r="BC377" s="1481"/>
      <c r="BD377" s="1481"/>
      <c r="BE377" s="1481"/>
      <c r="BF377" s="1481"/>
      <c r="BG377" s="1481"/>
      <c r="BH377" s="1481"/>
      <c r="BI377" s="1481"/>
      <c r="BJ377" s="1481"/>
      <c r="BK377" s="1481"/>
      <c r="BL377" s="1481"/>
      <c r="BM377" s="1481"/>
      <c r="BN377" s="1481"/>
      <c r="BO377" s="1481"/>
      <c r="BP377" s="1481"/>
      <c r="BQ377" s="1481"/>
      <c r="BR377" s="1481"/>
      <c r="BS377" s="1481"/>
      <c r="BT377" s="1481"/>
      <c r="BU377" s="1481"/>
      <c r="BV377" s="1023"/>
      <c r="BW377" s="1023"/>
      <c r="BX377" s="1023"/>
      <c r="BY377" s="1023"/>
      <c r="BZ377" s="1023"/>
      <c r="CA377" s="1023"/>
      <c r="CB377" s="1023"/>
      <c r="CC377" s="1023"/>
      <c r="CD377" s="1023"/>
      <c r="CE377" s="1023"/>
    </row>
    <row r="378" spans="1:83" ht="11.25" hidden="1" customHeight="1">
      <c r="A378" s="1636"/>
      <c r="B378" s="1481"/>
      <c r="C378" s="1481"/>
      <c r="D378" s="3622"/>
      <c r="E378" s="527"/>
      <c r="F378" s="527">
        <v>0</v>
      </c>
      <c r="G378" s="527"/>
      <c r="H378" s="527"/>
      <c r="I378" s="527"/>
      <c r="J378" s="527"/>
      <c r="K378" s="527"/>
      <c r="L378" s="527"/>
      <c r="M378" s="527"/>
      <c r="N378" s="527"/>
      <c r="O378" s="527"/>
      <c r="P378" s="527"/>
      <c r="Q378" s="527"/>
      <c r="R378" s="527"/>
      <c r="S378" s="528"/>
      <c r="T378" s="608"/>
      <c r="U378" s="3532"/>
      <c r="V378" s="3532"/>
      <c r="W378" s="1481"/>
      <c r="X378" s="1481"/>
      <c r="Y378" s="1481"/>
      <c r="Z378" s="1481"/>
      <c r="AA378" s="1481"/>
      <c r="AB378" s="1023"/>
      <c r="AC378" s="3617"/>
      <c r="AD378" s="521"/>
      <c r="AE378" s="1023"/>
      <c r="AF378" s="1023"/>
      <c r="AG378" s="1481"/>
      <c r="AH378" s="1481"/>
      <c r="AI378" s="1481"/>
      <c r="AJ378" s="1481"/>
      <c r="AK378" s="1481"/>
      <c r="AL378" s="1481"/>
      <c r="AM378" s="1481"/>
      <c r="AN378" s="1481"/>
      <c r="AO378" s="1481"/>
      <c r="AP378" s="1481"/>
      <c r="AQ378" s="1481"/>
      <c r="AR378" s="1481"/>
      <c r="AS378" s="1481"/>
      <c r="AT378" s="1481"/>
      <c r="AU378" s="1481"/>
      <c r="AV378" s="1481"/>
      <c r="AW378" s="1481"/>
      <c r="AX378" s="1481"/>
      <c r="AY378" s="1481"/>
      <c r="AZ378" s="1481"/>
      <c r="BA378" s="1481"/>
      <c r="BB378" s="1481"/>
      <c r="BC378" s="1481"/>
      <c r="BD378" s="1481"/>
      <c r="BE378" s="1481"/>
      <c r="BF378" s="1481"/>
      <c r="BG378" s="1481"/>
      <c r="BH378" s="1481"/>
      <c r="BI378" s="1481"/>
      <c r="BJ378" s="1481"/>
      <c r="BK378" s="1481"/>
      <c r="BL378" s="1481"/>
      <c r="BM378" s="1481"/>
      <c r="BN378" s="1481"/>
      <c r="BO378" s="1481"/>
      <c r="BP378" s="1481"/>
      <c r="BQ378" s="1481"/>
      <c r="BR378" s="1481"/>
      <c r="BS378" s="1481"/>
      <c r="BT378" s="1481"/>
      <c r="BU378" s="1481"/>
      <c r="BV378" s="1481"/>
      <c r="BW378" s="1481"/>
      <c r="BX378" s="1481"/>
      <c r="BY378" s="1481"/>
      <c r="BZ378" s="1481"/>
      <c r="CA378" s="1481"/>
      <c r="CB378" s="1481"/>
      <c r="CC378" s="1481"/>
      <c r="CD378" s="1481"/>
      <c r="CE378" s="1481"/>
    </row>
    <row r="379" spans="1:83" ht="11.25" hidden="1" customHeight="1">
      <c r="A379" s="1649"/>
      <c r="B379" s="1023"/>
      <c r="C379" s="319"/>
      <c r="D379" s="3622"/>
      <c r="E379" s="541" t="s">
        <v>18</v>
      </c>
      <c r="F379" s="1031" t="s">
        <v>18</v>
      </c>
      <c r="G379" s="1031" t="s">
        <v>880</v>
      </c>
      <c r="H379" s="543" t="s">
        <v>18</v>
      </c>
      <c r="I379" s="543"/>
      <c r="J379" s="543"/>
      <c r="K379" s="543"/>
      <c r="L379" s="543"/>
      <c r="M379" s="543"/>
      <c r="N379" s="543"/>
      <c r="O379" s="543"/>
      <c r="P379" s="543"/>
      <c r="Q379" s="543"/>
      <c r="R379" s="544"/>
      <c r="S379" s="545"/>
      <c r="T379" s="608"/>
      <c r="U379" s="3532"/>
      <c r="V379" s="3532"/>
      <c r="W379" s="1023"/>
      <c r="X379" s="1023"/>
      <c r="Y379" s="1023"/>
      <c r="Z379" s="1023"/>
      <c r="AA379" s="1481"/>
      <c r="AB379" s="1023"/>
      <c r="AC379" s="3617"/>
      <c r="AD379" s="521"/>
      <c r="AE379" s="1023"/>
      <c r="AF379" s="1023"/>
      <c r="AG379" s="1481"/>
      <c r="AH379" s="1481"/>
      <c r="AI379" s="1481"/>
      <c r="AJ379" s="1481"/>
      <c r="AK379" s="1481"/>
      <c r="AL379" s="1481"/>
      <c r="AM379" s="1481"/>
      <c r="AN379" s="1481"/>
      <c r="AO379" s="1481"/>
      <c r="AP379" s="1481"/>
      <c r="AQ379" s="1481"/>
      <c r="AR379" s="1481"/>
      <c r="AS379" s="1481"/>
      <c r="AT379" s="1481"/>
      <c r="AU379" s="1481"/>
      <c r="AV379" s="1481"/>
      <c r="AW379" s="1481"/>
      <c r="AX379" s="1481"/>
      <c r="AY379" s="1481"/>
      <c r="AZ379" s="1481"/>
      <c r="BA379" s="1481"/>
      <c r="BB379" s="1481"/>
      <c r="BC379" s="1481"/>
      <c r="BD379" s="1481"/>
      <c r="BE379" s="1481"/>
      <c r="BF379" s="1481"/>
      <c r="BG379" s="1481"/>
      <c r="BH379" s="1481"/>
      <c r="BI379" s="1481"/>
      <c r="BJ379" s="1481"/>
      <c r="BK379" s="1481"/>
      <c r="BL379" s="1481"/>
      <c r="BM379" s="1481"/>
      <c r="BN379" s="1481"/>
      <c r="BO379" s="1481"/>
      <c r="BP379" s="1481"/>
      <c r="BQ379" s="1481"/>
      <c r="BR379" s="1481"/>
      <c r="BS379" s="1481"/>
      <c r="BT379" s="1481"/>
      <c r="BU379" s="1481"/>
      <c r="BV379" s="1023"/>
      <c r="BW379" s="1023"/>
      <c r="BX379" s="1023"/>
      <c r="BY379" s="1023"/>
      <c r="BZ379" s="1023"/>
      <c r="CA379" s="1023"/>
      <c r="CB379" s="1023"/>
      <c r="CC379" s="1023"/>
      <c r="CD379" s="1023"/>
      <c r="CE379" s="1023"/>
    </row>
    <row r="380" spans="1:83" ht="5.25" hidden="1" customHeight="1">
      <c r="A380" s="1636"/>
      <c r="B380" s="1481"/>
      <c r="C380" s="1481"/>
      <c r="D380" s="3622"/>
      <c r="E380" s="909"/>
      <c r="F380" s="909"/>
      <c r="G380" s="909"/>
      <c r="H380" s="909"/>
      <c r="I380" s="909"/>
      <c r="J380" s="909"/>
      <c r="K380" s="909"/>
      <c r="L380" s="909"/>
      <c r="M380" s="909"/>
      <c r="N380" s="909"/>
      <c r="O380" s="909"/>
      <c r="P380" s="909"/>
      <c r="Q380" s="910"/>
      <c r="R380" s="911"/>
      <c r="S380" s="912"/>
      <c r="T380" s="607" t="s">
        <v>877</v>
      </c>
      <c r="U380" s="3532">
        <v>1</v>
      </c>
      <c r="V380" s="3532" t="s">
        <v>840</v>
      </c>
      <c r="W380" s="1481"/>
      <c r="X380" s="1481"/>
      <c r="Y380" s="1481"/>
      <c r="Z380" s="1481"/>
      <c r="AA380" s="1481"/>
      <c r="AB380" s="1481"/>
      <c r="AC380" s="907"/>
      <c r="AD380" s="908"/>
      <c r="AE380" s="1481"/>
      <c r="AF380" s="1481"/>
      <c r="AG380" s="1481"/>
      <c r="AH380" s="1481"/>
      <c r="AI380" s="1481"/>
      <c r="AJ380" s="1481"/>
      <c r="AK380" s="1481"/>
      <c r="AL380" s="1481"/>
      <c r="AM380" s="1481"/>
      <c r="AN380" s="1481"/>
      <c r="AO380" s="1481"/>
      <c r="AP380" s="1481"/>
      <c r="AQ380" s="1481"/>
      <c r="AR380" s="1481"/>
      <c r="AS380" s="1481"/>
      <c r="AT380" s="1481"/>
      <c r="AU380" s="1481"/>
      <c r="AV380" s="1481"/>
      <c r="AW380" s="1481"/>
      <c r="AX380" s="1481"/>
      <c r="AY380" s="1481"/>
      <c r="AZ380" s="1481"/>
      <c r="BA380" s="1481"/>
      <c r="BB380" s="1481"/>
      <c r="BC380" s="1481"/>
      <c r="BD380" s="1481"/>
      <c r="BE380" s="1481"/>
      <c r="BF380" s="1481"/>
      <c r="BG380" s="1481"/>
      <c r="BH380" s="1481"/>
      <c r="BI380" s="1481"/>
      <c r="BJ380" s="1481"/>
      <c r="BK380" s="1481"/>
      <c r="BL380" s="1481"/>
      <c r="BM380" s="1481"/>
      <c r="BN380" s="1481"/>
      <c r="BO380" s="1481"/>
      <c r="BP380" s="1481"/>
      <c r="BQ380" s="1481"/>
      <c r="BR380" s="1481"/>
      <c r="BS380" s="1481"/>
      <c r="BT380" s="1481"/>
      <c r="BU380" s="1481"/>
      <c r="BV380" s="1481"/>
      <c r="BW380" s="1481"/>
      <c r="BX380" s="1481"/>
      <c r="BY380" s="1481"/>
      <c r="BZ380" s="1481"/>
      <c r="CA380" s="1481"/>
      <c r="CB380" s="1481"/>
      <c r="CC380" s="1481"/>
      <c r="CD380" s="1481"/>
      <c r="CE380" s="1481"/>
    </row>
    <row r="381" spans="1:83" ht="5.25" hidden="1" customHeight="1">
      <c r="A381" s="1636"/>
      <c r="B381" s="1481"/>
      <c r="C381" s="1481"/>
      <c r="D381" s="3622"/>
      <c r="E381" s="527"/>
      <c r="F381" s="527"/>
      <c r="G381" s="527"/>
      <c r="H381" s="527"/>
      <c r="I381" s="527"/>
      <c r="J381" s="527"/>
      <c r="K381" s="527"/>
      <c r="L381" s="527"/>
      <c r="M381" s="527"/>
      <c r="N381" s="527"/>
      <c r="O381" s="527"/>
      <c r="P381" s="527"/>
      <c r="Q381" s="527"/>
      <c r="R381" s="527"/>
      <c r="S381" s="528"/>
      <c r="T381" s="608"/>
      <c r="U381" s="3532"/>
      <c r="V381" s="3532"/>
      <c r="W381" s="1481"/>
      <c r="X381" s="1481"/>
      <c r="Y381" s="1481"/>
      <c r="Z381" s="1481"/>
      <c r="AA381" s="1481"/>
      <c r="AB381" s="1481"/>
      <c r="AC381" s="907"/>
      <c r="AD381" s="908"/>
      <c r="AE381" s="1481"/>
      <c r="AF381" s="1481"/>
      <c r="AG381" s="1481"/>
      <c r="AH381" s="1481"/>
      <c r="AI381" s="1481"/>
      <c r="AJ381" s="1481"/>
      <c r="AK381" s="1481"/>
      <c r="AL381" s="1481"/>
      <c r="AM381" s="1481"/>
      <c r="AN381" s="1481"/>
      <c r="AO381" s="1481"/>
      <c r="AP381" s="1481"/>
      <c r="AQ381" s="1481"/>
      <c r="AR381" s="1481"/>
      <c r="AS381" s="1481"/>
      <c r="AT381" s="1481"/>
      <c r="AU381" s="1481"/>
      <c r="AV381" s="1481"/>
      <c r="AW381" s="1481"/>
      <c r="AX381" s="1481"/>
      <c r="AY381" s="1481"/>
      <c r="AZ381" s="1481"/>
      <c r="BA381" s="1481"/>
      <c r="BB381" s="1481"/>
      <c r="BC381" s="1481"/>
      <c r="BD381" s="1481"/>
      <c r="BE381" s="1481"/>
      <c r="BF381" s="1481"/>
      <c r="BG381" s="1481"/>
      <c r="BH381" s="1481"/>
      <c r="BI381" s="1481"/>
      <c r="BJ381" s="1481"/>
      <c r="BK381" s="1481"/>
      <c r="BL381" s="1481"/>
      <c r="BM381" s="1481"/>
      <c r="BN381" s="1481"/>
      <c r="BO381" s="1481"/>
      <c r="BP381" s="1481"/>
      <c r="BQ381" s="1481"/>
      <c r="BR381" s="1481"/>
      <c r="BS381" s="1481"/>
      <c r="BT381" s="1481"/>
      <c r="BU381" s="1481"/>
      <c r="BV381" s="1481"/>
      <c r="BW381" s="1481"/>
      <c r="BX381" s="1481"/>
      <c r="BY381" s="1481"/>
      <c r="BZ381" s="1481"/>
      <c r="CA381" s="1481"/>
      <c r="CB381" s="1481"/>
      <c r="CC381" s="1481"/>
      <c r="CD381" s="1481"/>
      <c r="CE381" s="1481"/>
    </row>
    <row r="382" spans="1:83" ht="5.25" hidden="1" customHeight="1">
      <c r="A382" s="1636"/>
      <c r="B382" s="1481"/>
      <c r="C382" s="1481"/>
      <c r="D382" s="3623"/>
      <c r="E382" s="913"/>
      <c r="F382" s="914"/>
      <c r="G382" s="914"/>
      <c r="H382" s="915"/>
      <c r="I382" s="915"/>
      <c r="J382" s="915"/>
      <c r="K382" s="915"/>
      <c r="L382" s="915"/>
      <c r="M382" s="915"/>
      <c r="N382" s="915"/>
      <c r="O382" s="915"/>
      <c r="P382" s="915"/>
      <c r="Q382" s="915"/>
      <c r="R382" s="818"/>
      <c r="S382" s="916"/>
      <c r="T382" s="608"/>
      <c r="U382" s="3532"/>
      <c r="V382" s="3532"/>
      <c r="W382" s="1481"/>
      <c r="X382" s="1481"/>
      <c r="Y382" s="1481"/>
      <c r="Z382" s="1481"/>
      <c r="AA382" s="1481"/>
      <c r="AB382" s="1481"/>
      <c r="AC382" s="907"/>
      <c r="AD382" s="908"/>
      <c r="AE382" s="1481"/>
      <c r="AF382" s="1481"/>
      <c r="AG382" s="1481"/>
      <c r="AH382" s="1481"/>
      <c r="AI382" s="1481"/>
      <c r="AJ382" s="1481"/>
      <c r="AK382" s="1481"/>
      <c r="AL382" s="1481"/>
      <c r="AM382" s="1481"/>
      <c r="AN382" s="1481"/>
      <c r="AO382" s="1481"/>
      <c r="AP382" s="1481"/>
      <c r="AQ382" s="1481"/>
      <c r="AR382" s="1481"/>
      <c r="AS382" s="1481"/>
      <c r="AT382" s="1481"/>
      <c r="AU382" s="1481"/>
      <c r="AV382" s="1481"/>
      <c r="AW382" s="1481"/>
      <c r="AX382" s="1481"/>
      <c r="AY382" s="1481"/>
      <c r="AZ382" s="1481"/>
      <c r="BA382" s="1481"/>
      <c r="BB382" s="1481"/>
      <c r="BC382" s="1481"/>
      <c r="BD382" s="1481"/>
      <c r="BE382" s="1481"/>
      <c r="BF382" s="1481"/>
      <c r="BG382" s="1481"/>
      <c r="BH382" s="1481"/>
      <c r="BI382" s="1481"/>
      <c r="BJ382" s="1481"/>
      <c r="BK382" s="1481"/>
      <c r="BL382" s="1481"/>
      <c r="BM382" s="1481"/>
      <c r="BN382" s="1481"/>
      <c r="BO382" s="1481"/>
      <c r="BP382" s="1481"/>
      <c r="BQ382" s="1481"/>
      <c r="BR382" s="1481"/>
      <c r="BS382" s="1481"/>
      <c r="BT382" s="1481"/>
      <c r="BU382" s="1481"/>
      <c r="BV382" s="1481"/>
      <c r="BW382" s="1481"/>
      <c r="BX382" s="1481"/>
      <c r="BY382" s="1481"/>
      <c r="BZ382" s="1481"/>
      <c r="CA382" s="1481"/>
      <c r="CB382" s="1481"/>
      <c r="CC382" s="1481"/>
      <c r="CD382" s="1481"/>
      <c r="CE382" s="1481"/>
    </row>
    <row r="383" spans="1:83" ht="15" hidden="1" customHeight="1">
      <c r="A383" s="516" t="s">
        <v>233</v>
      </c>
      <c r="B383"/>
      <c r="C383" t="s">
        <v>18</v>
      </c>
      <c r="D383" s="3621" t="s">
        <v>920</v>
      </c>
      <c r="E383" s="3618" t="s">
        <v>102</v>
      </c>
      <c r="F383" s="3619"/>
      <c r="G383" s="3620"/>
      <c r="H383" s="3614" t="str">
        <f>IF(A383="","",INDEX(DIFFERENTIATION_UNMERGE_VD,MATCH(A383,DIFFERENTIATION_ID_DIFF,0)))</f>
        <v>Производство тепловой энергии. Некомбинированная выработка</v>
      </c>
      <c r="I383" s="3614"/>
      <c r="J383" s="3614"/>
      <c r="K383" s="3614"/>
      <c r="L383" s="3614"/>
      <c r="M383" s="3614"/>
      <c r="N383" s="3614"/>
      <c r="O383" s="3614"/>
      <c r="P383" s="3614"/>
      <c r="Q383" s="3614"/>
      <c r="R383" s="3614"/>
      <c r="S383" s="609"/>
      <c r="T383" s="606"/>
      <c r="U383" s="517"/>
      <c r="V383" s="517"/>
      <c r="W383" s="518"/>
      <c r="X383" s="518"/>
      <c r="Y383" s="518"/>
      <c r="Z383" s="518"/>
      <c r="AA383" s="519"/>
      <c r="AB383" s="520"/>
      <c r="AC383" s="3617"/>
      <c r="AD383" s="521"/>
      <c r="AE383" s="522" t="s">
        <v>18</v>
      </c>
      <c r="AF383" s="522"/>
      <c r="AG383" s="523" t="s">
        <v>874</v>
      </c>
      <c r="AH383" s="524">
        <v>3</v>
      </c>
      <c r="AI383" s="517"/>
      <c r="AJ383" s="517"/>
      <c r="AK383" s="517"/>
      <c r="AL383" s="517"/>
      <c r="AM383" s="517"/>
      <c r="AN383" s="517"/>
      <c r="AO383" s="517"/>
      <c r="AP383" s="517"/>
      <c r="AQ383" s="517"/>
      <c r="AR383" s="517"/>
      <c r="AS383" s="517"/>
      <c r="AT383" s="517"/>
      <c r="AU383" s="517"/>
      <c r="AV383" s="517"/>
      <c r="AW383" s="517"/>
      <c r="AX383" s="517"/>
      <c r="AY383" s="517"/>
      <c r="AZ383" s="517"/>
      <c r="BA383" s="517"/>
      <c r="BB383" s="517"/>
      <c r="BC383" s="517"/>
      <c r="BD383" s="517"/>
      <c r="BE383" s="517"/>
      <c r="BF383" s="517"/>
      <c r="BG383" s="517"/>
      <c r="BH383" s="517"/>
      <c r="BI383" s="517"/>
      <c r="BJ383" s="517"/>
      <c r="BK383" s="517"/>
      <c r="BL383" s="517"/>
      <c r="BM383" s="517"/>
      <c r="BN383" s="517"/>
      <c r="BO383" s="517"/>
      <c r="BP383" s="517"/>
      <c r="BQ383" s="517"/>
      <c r="BR383" s="517"/>
      <c r="BS383" s="517"/>
      <c r="BT383" s="517"/>
      <c r="BU383" s="517"/>
      <c r="BV383" s="518"/>
      <c r="BW383" s="518"/>
      <c r="BX383" s="518"/>
      <c r="BY383" s="518"/>
      <c r="BZ383" s="518"/>
      <c r="CA383" s="518"/>
      <c r="CB383" s="518"/>
      <c r="CC383" s="518"/>
      <c r="CD383" s="518"/>
      <c r="CE383" s="518"/>
    </row>
    <row r="384" spans="1:83" ht="15" hidden="1" customHeight="1">
      <c r="A384" s="516"/>
      <c r="B384"/>
      <c r="C384"/>
      <c r="D384" s="3622"/>
      <c r="E384" s="3618" t="s">
        <v>829</v>
      </c>
      <c r="F384" s="3619"/>
      <c r="G384" s="3620"/>
      <c r="H384" s="3614" t="str">
        <f>IF(A383="","",INDEX(DIFFERENTIATION_UNMERGE_AREA,MATCH(A383,DIFFERENTIATION_ID_DIFF,0)))</f>
        <v>Территория 1</v>
      </c>
      <c r="I384" s="3614"/>
      <c r="J384" s="3614"/>
      <c r="K384" s="3614"/>
      <c r="L384" s="3614"/>
      <c r="M384" s="3614"/>
      <c r="N384" s="3614"/>
      <c r="O384" s="3614"/>
      <c r="P384" s="3614"/>
      <c r="Q384" s="3614"/>
      <c r="R384" s="3614"/>
      <c r="S384" s="609"/>
      <c r="T384" s="606"/>
      <c r="U384" s="517"/>
      <c r="V384" s="517"/>
      <c r="W384" s="518"/>
      <c r="X384" s="518"/>
      <c r="Y384" s="518"/>
      <c r="Z384" s="518"/>
      <c r="AA384" s="519"/>
      <c r="AB384" s="520"/>
      <c r="AC384" s="3617"/>
      <c r="AD384" s="521"/>
      <c r="AE384" s="522"/>
      <c r="AF384" s="522"/>
      <c r="AG384" s="523"/>
      <c r="AH384" s="524"/>
      <c r="AI384" s="517"/>
      <c r="AJ384" s="517"/>
      <c r="AK384" s="517"/>
      <c r="AL384" s="517"/>
      <c r="AM384" s="517"/>
      <c r="AN384" s="517"/>
      <c r="AO384" s="517"/>
      <c r="AP384" s="517"/>
      <c r="AQ384" s="517"/>
      <c r="AR384" s="517"/>
      <c r="AS384" s="517"/>
      <c r="AT384" s="517"/>
      <c r="AU384" s="517"/>
      <c r="AV384" s="517"/>
      <c r="AW384" s="517"/>
      <c r="AX384" s="517"/>
      <c r="AY384" s="517"/>
      <c r="AZ384" s="517"/>
      <c r="BA384" s="517"/>
      <c r="BB384" s="517"/>
      <c r="BC384" s="517"/>
      <c r="BD384" s="517"/>
      <c r="BE384" s="517"/>
      <c r="BF384" s="517"/>
      <c r="BG384" s="517"/>
      <c r="BH384" s="517"/>
      <c r="BI384" s="517"/>
      <c r="BJ384" s="517"/>
      <c r="BK384" s="517"/>
      <c r="BL384" s="517"/>
      <c r="BM384" s="517"/>
      <c r="BN384" s="517"/>
      <c r="BO384" s="517"/>
      <c r="BP384" s="517"/>
      <c r="BQ384" s="517"/>
      <c r="BR384" s="517"/>
      <c r="BS384" s="517"/>
      <c r="BT384" s="517"/>
      <c r="BU384" s="517"/>
      <c r="BV384" s="518"/>
      <c r="BW384" s="518"/>
      <c r="BX384" s="518"/>
      <c r="BY384" s="518"/>
      <c r="BZ384" s="518"/>
      <c r="CA384" s="518"/>
      <c r="CB384" s="518"/>
      <c r="CC384" s="518"/>
      <c r="CD384" s="518"/>
      <c r="CE384" s="518"/>
    </row>
    <row r="385" spans="1:83" ht="15" hidden="1" customHeight="1">
      <c r="A385" s="516"/>
      <c r="B385"/>
      <c r="C385"/>
      <c r="D385" s="3622"/>
      <c r="E385" s="3618" t="s">
        <v>830</v>
      </c>
      <c r="F385" s="3619"/>
      <c r="G385" s="3620"/>
      <c r="H385" s="3614" t="str">
        <f>IF(A383="","",INDEX(DIFFERENTIATION_UNMERGE_SYSTEM,MATCH(A383,DIFFERENTIATION_ID_DIFF,0)))</f>
        <v>1-я Пушкарная, 20а</v>
      </c>
      <c r="I385" s="3614"/>
      <c r="J385" s="3614"/>
      <c r="K385" s="3614"/>
      <c r="L385" s="3614"/>
      <c r="M385" s="3614"/>
      <c r="N385" s="3614"/>
      <c r="O385" s="3614"/>
      <c r="P385" s="3614"/>
      <c r="Q385" s="3614"/>
      <c r="R385" s="3614"/>
      <c r="S385" s="609"/>
      <c r="T385" s="606"/>
      <c r="U385" s="517"/>
      <c r="V385" s="517"/>
      <c r="W385" s="518"/>
      <c r="X385" s="518"/>
      <c r="Y385" s="518"/>
      <c r="Z385" s="518"/>
      <c r="AA385" s="519"/>
      <c r="AB385" s="520"/>
      <c r="AC385" s="3617"/>
      <c r="AD385" s="521"/>
      <c r="AE385" s="522"/>
      <c r="AF385" s="522"/>
      <c r="AG385" s="523"/>
      <c r="AH385" s="524"/>
      <c r="AI385" s="517"/>
      <c r="AJ385" s="517"/>
      <c r="AK385" s="517"/>
      <c r="AL385" s="517"/>
      <c r="AM385" s="517"/>
      <c r="AN385" s="517"/>
      <c r="AO385" s="517"/>
      <c r="AP385" s="517"/>
      <c r="AQ385" s="517"/>
      <c r="AR385" s="517"/>
      <c r="AS385" s="517"/>
      <c r="AT385" s="517"/>
      <c r="AU385" s="517"/>
      <c r="AV385" s="517"/>
      <c r="AW385" s="517"/>
      <c r="AX385" s="517"/>
      <c r="AY385" s="517"/>
      <c r="AZ385" s="517"/>
      <c r="BA385" s="517"/>
      <c r="BB385" s="517"/>
      <c r="BC385" s="517"/>
      <c r="BD385" s="517"/>
      <c r="BE385" s="517"/>
      <c r="BF385" s="517"/>
      <c r="BG385" s="517"/>
      <c r="BH385" s="517"/>
      <c r="BI385" s="517"/>
      <c r="BJ385" s="517"/>
      <c r="BK385" s="517"/>
      <c r="BL385" s="517"/>
      <c r="BM385" s="517"/>
      <c r="BN385" s="517"/>
      <c r="BO385" s="517"/>
      <c r="BP385" s="517"/>
      <c r="BQ385" s="517"/>
      <c r="BR385" s="517"/>
      <c r="BS385" s="517"/>
      <c r="BT385" s="517"/>
      <c r="BU385" s="517"/>
      <c r="BV385" s="518"/>
      <c r="BW385" s="518"/>
      <c r="BX385" s="518"/>
      <c r="BY385" s="518"/>
      <c r="BZ385" s="518"/>
      <c r="CA385" s="518"/>
      <c r="CB385" s="518"/>
      <c r="CC385" s="518"/>
      <c r="CD385" s="518"/>
      <c r="CE385" s="518"/>
    </row>
    <row r="386" spans="1:83" ht="24.75" hidden="1" customHeight="1">
      <c r="A386" s="1649"/>
      <c r="B386" s="1023"/>
      <c r="C386" s="319"/>
      <c r="D386" s="3622"/>
      <c r="E386" s="3616" t="s">
        <v>875</v>
      </c>
      <c r="F386" s="3616"/>
      <c r="G386" s="3616"/>
      <c r="H386" s="3616"/>
      <c r="I386" s="3616"/>
      <c r="J386" s="3616"/>
      <c r="K386" s="3616"/>
      <c r="L386" s="3616"/>
      <c r="M386" s="3616"/>
      <c r="N386" s="3616"/>
      <c r="O386" s="3616"/>
      <c r="P386" s="3616"/>
      <c r="Q386" s="455">
        <f>SUMIF(T387:T388,"i",Q387:Q388)</f>
        <v>0</v>
      </c>
      <c r="R386" s="887"/>
      <c r="S386" s="1641" t="s">
        <v>876</v>
      </c>
      <c r="T386" s="607" t="s">
        <v>877</v>
      </c>
      <c r="U386" s="3532">
        <v>1</v>
      </c>
      <c r="V386" s="3532" t="s">
        <v>840</v>
      </c>
      <c r="W386" s="1023"/>
      <c r="X386" s="1023"/>
      <c r="Y386" s="1023"/>
      <c r="Z386" s="1023"/>
      <c r="AA386" s="1481"/>
      <c r="AB386" s="1023"/>
      <c r="AC386" s="3617"/>
      <c r="AD386" s="521"/>
      <c r="AE386" s="1023"/>
      <c r="AF386" s="1023"/>
      <c r="AG386" s="1481"/>
      <c r="AH386" s="1481"/>
      <c r="AI386" s="1481"/>
      <c r="AJ386" s="1481"/>
      <c r="AK386" s="1481"/>
      <c r="AL386" s="1481"/>
      <c r="AM386" s="1481"/>
      <c r="AN386" s="1481"/>
      <c r="AO386" s="1481"/>
      <c r="AP386" s="1481"/>
      <c r="AQ386" s="1481"/>
      <c r="AR386" s="1481"/>
      <c r="AS386" s="1481"/>
      <c r="AT386" s="1481"/>
      <c r="AU386" s="1481"/>
      <c r="AV386" s="1481"/>
      <c r="AW386" s="1481"/>
      <c r="AX386" s="1481"/>
      <c r="AY386" s="1481"/>
      <c r="AZ386" s="1481"/>
      <c r="BA386" s="1481"/>
      <c r="BB386" s="1481"/>
      <c r="BC386" s="1481"/>
      <c r="BD386" s="1481"/>
      <c r="BE386" s="1481"/>
      <c r="BF386" s="1481"/>
      <c r="BG386" s="1481"/>
      <c r="BH386" s="1481"/>
      <c r="BI386" s="1481"/>
      <c r="BJ386" s="1481"/>
      <c r="BK386" s="1481"/>
      <c r="BL386" s="1481"/>
      <c r="BM386" s="1481"/>
      <c r="BN386" s="1481"/>
      <c r="BO386" s="1481"/>
      <c r="BP386" s="1481"/>
      <c r="BQ386" s="1481"/>
      <c r="BR386" s="1481"/>
      <c r="BS386" s="1481"/>
      <c r="BT386" s="1481"/>
      <c r="BU386" s="1481"/>
      <c r="BV386" s="1023"/>
      <c r="BW386" s="1023"/>
      <c r="BX386" s="1023"/>
      <c r="BY386" s="1023"/>
      <c r="BZ386" s="1023"/>
      <c r="CA386" s="1023"/>
      <c r="CB386" s="1023"/>
      <c r="CC386" s="1023"/>
      <c r="CD386" s="1023"/>
      <c r="CE386" s="1023"/>
    </row>
    <row r="387" spans="1:83" ht="11.25" hidden="1" customHeight="1">
      <c r="A387" s="1636"/>
      <c r="B387" s="1481"/>
      <c r="C387" s="1481"/>
      <c r="D387" s="3622"/>
      <c r="E387" s="527"/>
      <c r="F387" s="527">
        <v>0</v>
      </c>
      <c r="G387" s="527"/>
      <c r="H387" s="527"/>
      <c r="I387" s="527"/>
      <c r="J387" s="527"/>
      <c r="K387" s="527"/>
      <c r="L387" s="527"/>
      <c r="M387" s="527"/>
      <c r="N387" s="527"/>
      <c r="O387" s="527"/>
      <c r="P387" s="527"/>
      <c r="Q387" s="527"/>
      <c r="R387" s="527"/>
      <c r="S387" s="528"/>
      <c r="T387" s="608"/>
      <c r="U387" s="3532"/>
      <c r="V387" s="3532"/>
      <c r="W387" s="1481"/>
      <c r="X387" s="1481"/>
      <c r="Y387" s="1481"/>
      <c r="Z387" s="1481"/>
      <c r="AA387" s="1481"/>
      <c r="AB387" s="1023"/>
      <c r="AC387" s="3617"/>
      <c r="AD387" s="521"/>
      <c r="AE387" s="1023"/>
      <c r="AF387" s="1023"/>
      <c r="AG387" s="1481"/>
      <c r="AH387" s="1481"/>
      <c r="AI387" s="1481"/>
      <c r="AJ387" s="1481"/>
      <c r="AK387" s="1481"/>
      <c r="AL387" s="1481"/>
      <c r="AM387" s="1481"/>
      <c r="AN387" s="1481"/>
      <c r="AO387" s="1481"/>
      <c r="AP387" s="1481"/>
      <c r="AQ387" s="1481"/>
      <c r="AR387" s="1481"/>
      <c r="AS387" s="1481"/>
      <c r="AT387" s="1481"/>
      <c r="AU387" s="1481"/>
      <c r="AV387" s="1481"/>
      <c r="AW387" s="1481"/>
      <c r="AX387" s="1481"/>
      <c r="AY387" s="1481"/>
      <c r="AZ387" s="1481"/>
      <c r="BA387" s="1481"/>
      <c r="BB387" s="1481"/>
      <c r="BC387" s="1481"/>
      <c r="BD387" s="1481"/>
      <c r="BE387" s="1481"/>
      <c r="BF387" s="1481"/>
      <c r="BG387" s="1481"/>
      <c r="BH387" s="1481"/>
      <c r="BI387" s="1481"/>
      <c r="BJ387" s="1481"/>
      <c r="BK387" s="1481"/>
      <c r="BL387" s="1481"/>
      <c r="BM387" s="1481"/>
      <c r="BN387" s="1481"/>
      <c r="BO387" s="1481"/>
      <c r="BP387" s="1481"/>
      <c r="BQ387" s="1481"/>
      <c r="BR387" s="1481"/>
      <c r="BS387" s="1481"/>
      <c r="BT387" s="1481"/>
      <c r="BU387" s="1481"/>
      <c r="BV387" s="1481"/>
      <c r="BW387" s="1481"/>
      <c r="BX387" s="1481"/>
      <c r="BY387" s="1481"/>
      <c r="BZ387" s="1481"/>
      <c r="CA387" s="1481"/>
      <c r="CB387" s="1481"/>
      <c r="CC387" s="1481"/>
      <c r="CD387" s="1481"/>
      <c r="CE387" s="1481"/>
    </row>
    <row r="388" spans="1:83" ht="11.25" hidden="1" customHeight="1">
      <c r="A388" s="1649"/>
      <c r="B388" s="1023"/>
      <c r="C388" s="319"/>
      <c r="D388" s="3622"/>
      <c r="E388" s="541" t="s">
        <v>18</v>
      </c>
      <c r="F388" s="1031" t="s">
        <v>18</v>
      </c>
      <c r="G388" s="1031" t="s">
        <v>880</v>
      </c>
      <c r="H388" s="543" t="s">
        <v>18</v>
      </c>
      <c r="I388" s="543"/>
      <c r="J388" s="543"/>
      <c r="K388" s="543"/>
      <c r="L388" s="543"/>
      <c r="M388" s="543"/>
      <c r="N388" s="543"/>
      <c r="O388" s="543"/>
      <c r="P388" s="543"/>
      <c r="Q388" s="543"/>
      <c r="R388" s="544"/>
      <c r="S388" s="545"/>
      <c r="T388" s="608"/>
      <c r="U388" s="3532"/>
      <c r="V388" s="3532"/>
      <c r="W388" s="1023"/>
      <c r="X388" s="1023"/>
      <c r="Y388" s="1023"/>
      <c r="Z388" s="1023"/>
      <c r="AA388" s="1481"/>
      <c r="AB388" s="1023"/>
      <c r="AC388" s="3617"/>
      <c r="AD388" s="521"/>
      <c r="AE388" s="1023"/>
      <c r="AF388" s="1023"/>
      <c r="AG388" s="1481"/>
      <c r="AH388" s="1481"/>
      <c r="AI388" s="1481"/>
      <c r="AJ388" s="1481"/>
      <c r="AK388" s="1481"/>
      <c r="AL388" s="1481"/>
      <c r="AM388" s="1481"/>
      <c r="AN388" s="1481"/>
      <c r="AO388" s="1481"/>
      <c r="AP388" s="1481"/>
      <c r="AQ388" s="1481"/>
      <c r="AR388" s="1481"/>
      <c r="AS388" s="1481"/>
      <c r="AT388" s="1481"/>
      <c r="AU388" s="1481"/>
      <c r="AV388" s="1481"/>
      <c r="AW388" s="1481"/>
      <c r="AX388" s="1481"/>
      <c r="AY388" s="1481"/>
      <c r="AZ388" s="1481"/>
      <c r="BA388" s="1481"/>
      <c r="BB388" s="1481"/>
      <c r="BC388" s="1481"/>
      <c r="BD388" s="1481"/>
      <c r="BE388" s="1481"/>
      <c r="BF388" s="1481"/>
      <c r="BG388" s="1481"/>
      <c r="BH388" s="1481"/>
      <c r="BI388" s="1481"/>
      <c r="BJ388" s="1481"/>
      <c r="BK388" s="1481"/>
      <c r="BL388" s="1481"/>
      <c r="BM388" s="1481"/>
      <c r="BN388" s="1481"/>
      <c r="BO388" s="1481"/>
      <c r="BP388" s="1481"/>
      <c r="BQ388" s="1481"/>
      <c r="BR388" s="1481"/>
      <c r="BS388" s="1481"/>
      <c r="BT388" s="1481"/>
      <c r="BU388" s="1481"/>
      <c r="BV388" s="1023"/>
      <c r="BW388" s="1023"/>
      <c r="BX388" s="1023"/>
      <c r="BY388" s="1023"/>
      <c r="BZ388" s="1023"/>
      <c r="CA388" s="1023"/>
      <c r="CB388" s="1023"/>
      <c r="CC388" s="1023"/>
      <c r="CD388" s="1023"/>
      <c r="CE388" s="1023"/>
    </row>
    <row r="389" spans="1:83" ht="5.25" hidden="1" customHeight="1">
      <c r="A389" s="1636"/>
      <c r="B389" s="1481"/>
      <c r="C389" s="1481"/>
      <c r="D389" s="3622"/>
      <c r="E389" s="909"/>
      <c r="F389" s="909"/>
      <c r="G389" s="909"/>
      <c r="H389" s="909"/>
      <c r="I389" s="909"/>
      <c r="J389" s="909"/>
      <c r="K389" s="909"/>
      <c r="L389" s="909"/>
      <c r="M389" s="909"/>
      <c r="N389" s="909"/>
      <c r="O389" s="909"/>
      <c r="P389" s="909"/>
      <c r="Q389" s="910"/>
      <c r="R389" s="911"/>
      <c r="S389" s="912"/>
      <c r="T389" s="607" t="s">
        <v>877</v>
      </c>
      <c r="U389" s="3532">
        <v>1</v>
      </c>
      <c r="V389" s="3532" t="s">
        <v>840</v>
      </c>
      <c r="W389" s="1481"/>
      <c r="X389" s="1481"/>
      <c r="Y389" s="1481"/>
      <c r="Z389" s="1481"/>
      <c r="AA389" s="1481"/>
      <c r="AB389" s="1481"/>
      <c r="AC389" s="907"/>
      <c r="AD389" s="908"/>
      <c r="AE389" s="1481"/>
      <c r="AF389" s="1481"/>
      <c r="AG389" s="1481"/>
      <c r="AH389" s="1481"/>
      <c r="AI389" s="1481"/>
      <c r="AJ389" s="1481"/>
      <c r="AK389" s="1481"/>
      <c r="AL389" s="1481"/>
      <c r="AM389" s="1481"/>
      <c r="AN389" s="1481"/>
      <c r="AO389" s="1481"/>
      <c r="AP389" s="1481"/>
      <c r="AQ389" s="1481"/>
      <c r="AR389" s="1481"/>
      <c r="AS389" s="1481"/>
      <c r="AT389" s="1481"/>
      <c r="AU389" s="1481"/>
      <c r="AV389" s="1481"/>
      <c r="AW389" s="1481"/>
      <c r="AX389" s="1481"/>
      <c r="AY389" s="1481"/>
      <c r="AZ389" s="1481"/>
      <c r="BA389" s="1481"/>
      <c r="BB389" s="1481"/>
      <c r="BC389" s="1481"/>
      <c r="BD389" s="1481"/>
      <c r="BE389" s="1481"/>
      <c r="BF389" s="1481"/>
      <c r="BG389" s="1481"/>
      <c r="BH389" s="1481"/>
      <c r="BI389" s="1481"/>
      <c r="BJ389" s="1481"/>
      <c r="BK389" s="1481"/>
      <c r="BL389" s="1481"/>
      <c r="BM389" s="1481"/>
      <c r="BN389" s="1481"/>
      <c r="BO389" s="1481"/>
      <c r="BP389" s="1481"/>
      <c r="BQ389" s="1481"/>
      <c r="BR389" s="1481"/>
      <c r="BS389" s="1481"/>
      <c r="BT389" s="1481"/>
      <c r="BU389" s="1481"/>
      <c r="BV389" s="1481"/>
      <c r="BW389" s="1481"/>
      <c r="BX389" s="1481"/>
      <c r="BY389" s="1481"/>
      <c r="BZ389" s="1481"/>
      <c r="CA389" s="1481"/>
      <c r="CB389" s="1481"/>
      <c r="CC389" s="1481"/>
      <c r="CD389" s="1481"/>
      <c r="CE389" s="1481"/>
    </row>
    <row r="390" spans="1:83" ht="5.25" hidden="1" customHeight="1">
      <c r="A390" s="1636"/>
      <c r="B390" s="1481"/>
      <c r="C390" s="1481"/>
      <c r="D390" s="3622"/>
      <c r="E390" s="527"/>
      <c r="F390" s="527"/>
      <c r="G390" s="527"/>
      <c r="H390" s="527"/>
      <c r="I390" s="527"/>
      <c r="J390" s="527"/>
      <c r="K390" s="527"/>
      <c r="L390" s="527"/>
      <c r="M390" s="527"/>
      <c r="N390" s="527"/>
      <c r="O390" s="527"/>
      <c r="P390" s="527"/>
      <c r="Q390" s="527"/>
      <c r="R390" s="527"/>
      <c r="S390" s="528"/>
      <c r="T390" s="608"/>
      <c r="U390" s="3532"/>
      <c r="V390" s="3532"/>
      <c r="W390" s="1481"/>
      <c r="X390" s="1481"/>
      <c r="Y390" s="1481"/>
      <c r="Z390" s="1481"/>
      <c r="AA390" s="1481"/>
      <c r="AB390" s="1481"/>
      <c r="AC390" s="907"/>
      <c r="AD390" s="908"/>
      <c r="AE390" s="1481"/>
      <c r="AF390" s="1481"/>
      <c r="AG390" s="1481"/>
      <c r="AH390" s="1481"/>
      <c r="AI390" s="1481"/>
      <c r="AJ390" s="1481"/>
      <c r="AK390" s="1481"/>
      <c r="AL390" s="1481"/>
      <c r="AM390" s="1481"/>
      <c r="AN390" s="1481"/>
      <c r="AO390" s="1481"/>
      <c r="AP390" s="1481"/>
      <c r="AQ390" s="1481"/>
      <c r="AR390" s="1481"/>
      <c r="AS390" s="1481"/>
      <c r="AT390" s="1481"/>
      <c r="AU390" s="1481"/>
      <c r="AV390" s="1481"/>
      <c r="AW390" s="1481"/>
      <c r="AX390" s="1481"/>
      <c r="AY390" s="1481"/>
      <c r="AZ390" s="1481"/>
      <c r="BA390" s="1481"/>
      <c r="BB390" s="1481"/>
      <c r="BC390" s="1481"/>
      <c r="BD390" s="1481"/>
      <c r="BE390" s="1481"/>
      <c r="BF390" s="1481"/>
      <c r="BG390" s="1481"/>
      <c r="BH390" s="1481"/>
      <c r="BI390" s="1481"/>
      <c r="BJ390" s="1481"/>
      <c r="BK390" s="1481"/>
      <c r="BL390" s="1481"/>
      <c r="BM390" s="1481"/>
      <c r="BN390" s="1481"/>
      <c r="BO390" s="1481"/>
      <c r="BP390" s="1481"/>
      <c r="BQ390" s="1481"/>
      <c r="BR390" s="1481"/>
      <c r="BS390" s="1481"/>
      <c r="BT390" s="1481"/>
      <c r="BU390" s="1481"/>
      <c r="BV390" s="1481"/>
      <c r="BW390" s="1481"/>
      <c r="BX390" s="1481"/>
      <c r="BY390" s="1481"/>
      <c r="BZ390" s="1481"/>
      <c r="CA390" s="1481"/>
      <c r="CB390" s="1481"/>
      <c r="CC390" s="1481"/>
      <c r="CD390" s="1481"/>
      <c r="CE390" s="1481"/>
    </row>
    <row r="391" spans="1:83" ht="5.25" hidden="1" customHeight="1">
      <c r="A391" s="1636"/>
      <c r="B391" s="1481"/>
      <c r="C391" s="1481"/>
      <c r="D391" s="3623"/>
      <c r="E391" s="913"/>
      <c r="F391" s="914"/>
      <c r="G391" s="914"/>
      <c r="H391" s="915"/>
      <c r="I391" s="915"/>
      <c r="J391" s="915"/>
      <c r="K391" s="915"/>
      <c r="L391" s="915"/>
      <c r="M391" s="915"/>
      <c r="N391" s="915"/>
      <c r="O391" s="915"/>
      <c r="P391" s="915"/>
      <c r="Q391" s="915"/>
      <c r="R391" s="818"/>
      <c r="S391" s="916"/>
      <c r="T391" s="608"/>
      <c r="U391" s="3532"/>
      <c r="V391" s="3532"/>
      <c r="W391" s="1481"/>
      <c r="X391" s="1481"/>
      <c r="Y391" s="1481"/>
      <c r="Z391" s="1481"/>
      <c r="AA391" s="1481"/>
      <c r="AB391" s="1481"/>
      <c r="AC391" s="907"/>
      <c r="AD391" s="908"/>
      <c r="AE391" s="1481"/>
      <c r="AF391" s="1481"/>
      <c r="AG391" s="1481"/>
      <c r="AH391" s="1481"/>
      <c r="AI391" s="1481"/>
      <c r="AJ391" s="1481"/>
      <c r="AK391" s="1481"/>
      <c r="AL391" s="1481"/>
      <c r="AM391" s="1481"/>
      <c r="AN391" s="1481"/>
      <c r="AO391" s="1481"/>
      <c r="AP391" s="1481"/>
      <c r="AQ391" s="1481"/>
      <c r="AR391" s="1481"/>
      <c r="AS391" s="1481"/>
      <c r="AT391" s="1481"/>
      <c r="AU391" s="1481"/>
      <c r="AV391" s="1481"/>
      <c r="AW391" s="1481"/>
      <c r="AX391" s="1481"/>
      <c r="AY391" s="1481"/>
      <c r="AZ391" s="1481"/>
      <c r="BA391" s="1481"/>
      <c r="BB391" s="1481"/>
      <c r="BC391" s="1481"/>
      <c r="BD391" s="1481"/>
      <c r="BE391" s="1481"/>
      <c r="BF391" s="1481"/>
      <c r="BG391" s="1481"/>
      <c r="BH391" s="1481"/>
      <c r="BI391" s="1481"/>
      <c r="BJ391" s="1481"/>
      <c r="BK391" s="1481"/>
      <c r="BL391" s="1481"/>
      <c r="BM391" s="1481"/>
      <c r="BN391" s="1481"/>
      <c r="BO391" s="1481"/>
      <c r="BP391" s="1481"/>
      <c r="BQ391" s="1481"/>
      <c r="BR391" s="1481"/>
      <c r="BS391" s="1481"/>
      <c r="BT391" s="1481"/>
      <c r="BU391" s="1481"/>
      <c r="BV391" s="1481"/>
      <c r="BW391" s="1481"/>
      <c r="BX391" s="1481"/>
      <c r="BY391" s="1481"/>
      <c r="BZ391" s="1481"/>
      <c r="CA391" s="1481"/>
      <c r="CB391" s="1481"/>
      <c r="CC391" s="1481"/>
      <c r="CD391" s="1481"/>
      <c r="CE391" s="1481"/>
    </row>
    <row r="392" spans="1:83" ht="15" hidden="1" customHeight="1">
      <c r="A392" s="516" t="s">
        <v>236</v>
      </c>
      <c r="B392"/>
      <c r="C392" t="s">
        <v>18</v>
      </c>
      <c r="D392" s="3621" t="s">
        <v>921</v>
      </c>
      <c r="E392" s="3618" t="s">
        <v>102</v>
      </c>
      <c r="F392" s="3619"/>
      <c r="G392" s="3620"/>
      <c r="H392" s="3614" t="str">
        <f>IF(A392="","",INDEX(DIFFERENTIATION_UNMERGE_VD,MATCH(A392,DIFFERENTIATION_ID_DIFF,0)))</f>
        <v>Производство тепловой энергии. Некомбинированная выработка</v>
      </c>
      <c r="I392" s="3614"/>
      <c r="J392" s="3614"/>
      <c r="K392" s="3614"/>
      <c r="L392" s="3614"/>
      <c r="M392" s="3614"/>
      <c r="N392" s="3614"/>
      <c r="O392" s="3614"/>
      <c r="P392" s="3614"/>
      <c r="Q392" s="3614"/>
      <c r="R392" s="3614"/>
      <c r="S392" s="609"/>
      <c r="T392" s="606"/>
      <c r="U392" s="517"/>
      <c r="V392" s="517"/>
      <c r="W392" s="518"/>
      <c r="X392" s="518"/>
      <c r="Y392" s="518"/>
      <c r="Z392" s="518"/>
      <c r="AA392" s="519"/>
      <c r="AB392" s="520"/>
      <c r="AC392" s="3617"/>
      <c r="AD392" s="521"/>
      <c r="AE392" s="522" t="s">
        <v>18</v>
      </c>
      <c r="AF392" s="522"/>
      <c r="AG392" s="523" t="s">
        <v>874</v>
      </c>
      <c r="AH392" s="524">
        <v>3</v>
      </c>
      <c r="AI392" s="517"/>
      <c r="AJ392" s="517"/>
      <c r="AK392" s="517"/>
      <c r="AL392" s="517"/>
      <c r="AM392" s="517"/>
      <c r="AN392" s="517"/>
      <c r="AO392" s="517"/>
      <c r="AP392" s="517"/>
      <c r="AQ392" s="517"/>
      <c r="AR392" s="517"/>
      <c r="AS392" s="517"/>
      <c r="AT392" s="517"/>
      <c r="AU392" s="517"/>
      <c r="AV392" s="517"/>
      <c r="AW392" s="517"/>
      <c r="AX392" s="517"/>
      <c r="AY392" s="517"/>
      <c r="AZ392" s="517"/>
      <c r="BA392" s="517"/>
      <c r="BB392" s="517"/>
      <c r="BC392" s="517"/>
      <c r="BD392" s="517"/>
      <c r="BE392" s="517"/>
      <c r="BF392" s="517"/>
      <c r="BG392" s="517"/>
      <c r="BH392" s="517"/>
      <c r="BI392" s="517"/>
      <c r="BJ392" s="517"/>
      <c r="BK392" s="517"/>
      <c r="BL392" s="517"/>
      <c r="BM392" s="517"/>
      <c r="BN392" s="517"/>
      <c r="BO392" s="517"/>
      <c r="BP392" s="517"/>
      <c r="BQ392" s="517"/>
      <c r="BR392" s="517"/>
      <c r="BS392" s="517"/>
      <c r="BT392" s="517"/>
      <c r="BU392" s="517"/>
      <c r="BV392" s="518"/>
      <c r="BW392" s="518"/>
      <c r="BX392" s="518"/>
      <c r="BY392" s="518"/>
      <c r="BZ392" s="518"/>
      <c r="CA392" s="518"/>
      <c r="CB392" s="518"/>
      <c r="CC392" s="518"/>
      <c r="CD392" s="518"/>
      <c r="CE392" s="518"/>
    </row>
    <row r="393" spans="1:83" ht="15" hidden="1" customHeight="1">
      <c r="A393" s="516"/>
      <c r="B393"/>
      <c r="C393"/>
      <c r="D393" s="3622"/>
      <c r="E393" s="3618" t="s">
        <v>829</v>
      </c>
      <c r="F393" s="3619"/>
      <c r="G393" s="3620"/>
      <c r="H393" s="3614" t="str">
        <f>IF(A392="","",INDEX(DIFFERENTIATION_UNMERGE_AREA,MATCH(A392,DIFFERENTIATION_ID_DIFF,0)))</f>
        <v>Территория 1</v>
      </c>
      <c r="I393" s="3614"/>
      <c r="J393" s="3614"/>
      <c r="K393" s="3614"/>
      <c r="L393" s="3614"/>
      <c r="M393" s="3614"/>
      <c r="N393" s="3614"/>
      <c r="O393" s="3614"/>
      <c r="P393" s="3614"/>
      <c r="Q393" s="3614"/>
      <c r="R393" s="3614"/>
      <c r="S393" s="609"/>
      <c r="T393" s="606"/>
      <c r="U393" s="517"/>
      <c r="V393" s="517"/>
      <c r="W393" s="518"/>
      <c r="X393" s="518"/>
      <c r="Y393" s="518"/>
      <c r="Z393" s="518"/>
      <c r="AA393" s="519"/>
      <c r="AB393" s="520"/>
      <c r="AC393" s="3617"/>
      <c r="AD393" s="521"/>
      <c r="AE393" s="522"/>
      <c r="AF393" s="522"/>
      <c r="AG393" s="523"/>
      <c r="AH393" s="524"/>
      <c r="AI393" s="517"/>
      <c r="AJ393" s="517"/>
      <c r="AK393" s="517"/>
      <c r="AL393" s="517"/>
      <c r="AM393" s="517"/>
      <c r="AN393" s="517"/>
      <c r="AO393" s="517"/>
      <c r="AP393" s="517"/>
      <c r="AQ393" s="517"/>
      <c r="AR393" s="517"/>
      <c r="AS393" s="517"/>
      <c r="AT393" s="517"/>
      <c r="AU393" s="517"/>
      <c r="AV393" s="517"/>
      <c r="AW393" s="517"/>
      <c r="AX393" s="517"/>
      <c r="AY393" s="517"/>
      <c r="AZ393" s="517"/>
      <c r="BA393" s="517"/>
      <c r="BB393" s="517"/>
      <c r="BC393" s="517"/>
      <c r="BD393" s="517"/>
      <c r="BE393" s="517"/>
      <c r="BF393" s="517"/>
      <c r="BG393" s="517"/>
      <c r="BH393" s="517"/>
      <c r="BI393" s="517"/>
      <c r="BJ393" s="517"/>
      <c r="BK393" s="517"/>
      <c r="BL393" s="517"/>
      <c r="BM393" s="517"/>
      <c r="BN393" s="517"/>
      <c r="BO393" s="517"/>
      <c r="BP393" s="517"/>
      <c r="BQ393" s="517"/>
      <c r="BR393" s="517"/>
      <c r="BS393" s="517"/>
      <c r="BT393" s="517"/>
      <c r="BU393" s="517"/>
      <c r="BV393" s="518"/>
      <c r="BW393" s="518"/>
      <c r="BX393" s="518"/>
      <c r="BY393" s="518"/>
      <c r="BZ393" s="518"/>
      <c r="CA393" s="518"/>
      <c r="CB393" s="518"/>
      <c r="CC393" s="518"/>
      <c r="CD393" s="518"/>
      <c r="CE393" s="518"/>
    </row>
    <row r="394" spans="1:83" ht="15" hidden="1" customHeight="1">
      <c r="A394" s="516"/>
      <c r="B394"/>
      <c r="C394"/>
      <c r="D394" s="3622"/>
      <c r="E394" s="3618" t="s">
        <v>830</v>
      </c>
      <c r="F394" s="3619"/>
      <c r="G394" s="3620"/>
      <c r="H394" s="3614" t="str">
        <f>IF(A392="","",INDEX(DIFFERENTIATION_UNMERGE_SYSTEM,MATCH(A392,DIFFERENTIATION_ID_DIFF,0)))</f>
        <v>1-я Пушкарная, 21а</v>
      </c>
      <c r="I394" s="3614"/>
      <c r="J394" s="3614"/>
      <c r="K394" s="3614"/>
      <c r="L394" s="3614"/>
      <c r="M394" s="3614"/>
      <c r="N394" s="3614"/>
      <c r="O394" s="3614"/>
      <c r="P394" s="3614"/>
      <c r="Q394" s="3614"/>
      <c r="R394" s="3614"/>
      <c r="S394" s="609"/>
      <c r="T394" s="606"/>
      <c r="U394" s="517"/>
      <c r="V394" s="517"/>
      <c r="W394" s="518"/>
      <c r="X394" s="518"/>
      <c r="Y394" s="518"/>
      <c r="Z394" s="518"/>
      <c r="AA394" s="519"/>
      <c r="AB394" s="520"/>
      <c r="AC394" s="3617"/>
      <c r="AD394" s="521"/>
      <c r="AE394" s="522"/>
      <c r="AF394" s="522"/>
      <c r="AG394" s="523"/>
      <c r="AH394" s="524"/>
      <c r="AI394" s="517"/>
      <c r="AJ394" s="517"/>
      <c r="AK394" s="517"/>
      <c r="AL394" s="517"/>
      <c r="AM394" s="517"/>
      <c r="AN394" s="517"/>
      <c r="AO394" s="517"/>
      <c r="AP394" s="517"/>
      <c r="AQ394" s="517"/>
      <c r="AR394" s="517"/>
      <c r="AS394" s="517"/>
      <c r="AT394" s="517"/>
      <c r="AU394" s="517"/>
      <c r="AV394" s="517"/>
      <c r="AW394" s="517"/>
      <c r="AX394" s="517"/>
      <c r="AY394" s="517"/>
      <c r="AZ394" s="517"/>
      <c r="BA394" s="517"/>
      <c r="BB394" s="517"/>
      <c r="BC394" s="517"/>
      <c r="BD394" s="517"/>
      <c r="BE394" s="517"/>
      <c r="BF394" s="517"/>
      <c r="BG394" s="517"/>
      <c r="BH394" s="517"/>
      <c r="BI394" s="517"/>
      <c r="BJ394" s="517"/>
      <c r="BK394" s="517"/>
      <c r="BL394" s="517"/>
      <c r="BM394" s="517"/>
      <c r="BN394" s="517"/>
      <c r="BO394" s="517"/>
      <c r="BP394" s="517"/>
      <c r="BQ394" s="517"/>
      <c r="BR394" s="517"/>
      <c r="BS394" s="517"/>
      <c r="BT394" s="517"/>
      <c r="BU394" s="517"/>
      <c r="BV394" s="518"/>
      <c r="BW394" s="518"/>
      <c r="BX394" s="518"/>
      <c r="BY394" s="518"/>
      <c r="BZ394" s="518"/>
      <c r="CA394" s="518"/>
      <c r="CB394" s="518"/>
      <c r="CC394" s="518"/>
      <c r="CD394" s="518"/>
      <c r="CE394" s="518"/>
    </row>
    <row r="395" spans="1:83" ht="24.75" hidden="1" customHeight="1">
      <c r="A395" s="1649"/>
      <c r="B395" s="1023"/>
      <c r="C395" s="319"/>
      <c r="D395" s="3622"/>
      <c r="E395" s="3616" t="s">
        <v>875</v>
      </c>
      <c r="F395" s="3616"/>
      <c r="G395" s="3616"/>
      <c r="H395" s="3616"/>
      <c r="I395" s="3616"/>
      <c r="J395" s="3616"/>
      <c r="K395" s="3616"/>
      <c r="L395" s="3616"/>
      <c r="M395" s="3616"/>
      <c r="N395" s="3616"/>
      <c r="O395" s="3616"/>
      <c r="P395" s="3616"/>
      <c r="Q395" s="455">
        <f>SUMIF(T396:T397,"i",Q396:Q397)</f>
        <v>0</v>
      </c>
      <c r="R395" s="887"/>
      <c r="S395" s="1641" t="s">
        <v>876</v>
      </c>
      <c r="T395" s="607" t="s">
        <v>877</v>
      </c>
      <c r="U395" s="3532">
        <v>1</v>
      </c>
      <c r="V395" s="3532" t="s">
        <v>840</v>
      </c>
      <c r="W395" s="1023"/>
      <c r="X395" s="1023"/>
      <c r="Y395" s="1023"/>
      <c r="Z395" s="1023"/>
      <c r="AA395" s="1481"/>
      <c r="AB395" s="1023"/>
      <c r="AC395" s="3617"/>
      <c r="AD395" s="521"/>
      <c r="AE395" s="1023"/>
      <c r="AF395" s="1023"/>
      <c r="AG395" s="1481"/>
      <c r="AH395" s="1481"/>
      <c r="AI395" s="1481"/>
      <c r="AJ395" s="1481"/>
      <c r="AK395" s="1481"/>
      <c r="AL395" s="1481"/>
      <c r="AM395" s="1481"/>
      <c r="AN395" s="1481"/>
      <c r="AO395" s="1481"/>
      <c r="AP395" s="1481"/>
      <c r="AQ395" s="1481"/>
      <c r="AR395" s="1481"/>
      <c r="AS395" s="1481"/>
      <c r="AT395" s="1481"/>
      <c r="AU395" s="1481"/>
      <c r="AV395" s="1481"/>
      <c r="AW395" s="1481"/>
      <c r="AX395" s="1481"/>
      <c r="AY395" s="1481"/>
      <c r="AZ395" s="1481"/>
      <c r="BA395" s="1481"/>
      <c r="BB395" s="1481"/>
      <c r="BC395" s="1481"/>
      <c r="BD395" s="1481"/>
      <c r="BE395" s="1481"/>
      <c r="BF395" s="1481"/>
      <c r="BG395" s="1481"/>
      <c r="BH395" s="1481"/>
      <c r="BI395" s="1481"/>
      <c r="BJ395" s="1481"/>
      <c r="BK395" s="1481"/>
      <c r="BL395" s="1481"/>
      <c r="BM395" s="1481"/>
      <c r="BN395" s="1481"/>
      <c r="BO395" s="1481"/>
      <c r="BP395" s="1481"/>
      <c r="BQ395" s="1481"/>
      <c r="BR395" s="1481"/>
      <c r="BS395" s="1481"/>
      <c r="BT395" s="1481"/>
      <c r="BU395" s="1481"/>
      <c r="BV395" s="1023"/>
      <c r="BW395" s="1023"/>
      <c r="BX395" s="1023"/>
      <c r="BY395" s="1023"/>
      <c r="BZ395" s="1023"/>
      <c r="CA395" s="1023"/>
      <c r="CB395" s="1023"/>
      <c r="CC395" s="1023"/>
      <c r="CD395" s="1023"/>
      <c r="CE395" s="1023"/>
    </row>
    <row r="396" spans="1:83" ht="11.25" hidden="1" customHeight="1">
      <c r="A396" s="1636"/>
      <c r="B396" s="1481"/>
      <c r="C396" s="1481"/>
      <c r="D396" s="3622"/>
      <c r="E396" s="527"/>
      <c r="F396" s="527">
        <v>0</v>
      </c>
      <c r="G396" s="527"/>
      <c r="H396" s="527"/>
      <c r="I396" s="527"/>
      <c r="J396" s="527"/>
      <c r="K396" s="527"/>
      <c r="L396" s="527"/>
      <c r="M396" s="527"/>
      <c r="N396" s="527"/>
      <c r="O396" s="527"/>
      <c r="P396" s="527"/>
      <c r="Q396" s="527"/>
      <c r="R396" s="527"/>
      <c r="S396" s="528"/>
      <c r="T396" s="608"/>
      <c r="U396" s="3532"/>
      <c r="V396" s="3532"/>
      <c r="W396" s="1481"/>
      <c r="X396" s="1481"/>
      <c r="Y396" s="1481"/>
      <c r="Z396" s="1481"/>
      <c r="AA396" s="1481"/>
      <c r="AB396" s="1023"/>
      <c r="AC396" s="3617"/>
      <c r="AD396" s="521"/>
      <c r="AE396" s="1023"/>
      <c r="AF396" s="1023"/>
      <c r="AG396" s="1481"/>
      <c r="AH396" s="1481"/>
      <c r="AI396" s="1481"/>
      <c r="AJ396" s="1481"/>
      <c r="AK396" s="1481"/>
      <c r="AL396" s="1481"/>
      <c r="AM396" s="1481"/>
      <c r="AN396" s="1481"/>
      <c r="AO396" s="1481"/>
      <c r="AP396" s="1481"/>
      <c r="AQ396" s="1481"/>
      <c r="AR396" s="1481"/>
      <c r="AS396" s="1481"/>
      <c r="AT396" s="1481"/>
      <c r="AU396" s="1481"/>
      <c r="AV396" s="1481"/>
      <c r="AW396" s="1481"/>
      <c r="AX396" s="1481"/>
      <c r="AY396" s="1481"/>
      <c r="AZ396" s="1481"/>
      <c r="BA396" s="1481"/>
      <c r="BB396" s="1481"/>
      <c r="BC396" s="1481"/>
      <c r="BD396" s="1481"/>
      <c r="BE396" s="1481"/>
      <c r="BF396" s="1481"/>
      <c r="BG396" s="1481"/>
      <c r="BH396" s="1481"/>
      <c r="BI396" s="1481"/>
      <c r="BJ396" s="1481"/>
      <c r="BK396" s="1481"/>
      <c r="BL396" s="1481"/>
      <c r="BM396" s="1481"/>
      <c r="BN396" s="1481"/>
      <c r="BO396" s="1481"/>
      <c r="BP396" s="1481"/>
      <c r="BQ396" s="1481"/>
      <c r="BR396" s="1481"/>
      <c r="BS396" s="1481"/>
      <c r="BT396" s="1481"/>
      <c r="BU396" s="1481"/>
      <c r="BV396" s="1481"/>
      <c r="BW396" s="1481"/>
      <c r="BX396" s="1481"/>
      <c r="BY396" s="1481"/>
      <c r="BZ396" s="1481"/>
      <c r="CA396" s="1481"/>
      <c r="CB396" s="1481"/>
      <c r="CC396" s="1481"/>
      <c r="CD396" s="1481"/>
      <c r="CE396" s="1481"/>
    </row>
    <row r="397" spans="1:83" ht="11.25" hidden="1" customHeight="1">
      <c r="A397" s="1649"/>
      <c r="B397" s="1023"/>
      <c r="C397" s="319"/>
      <c r="D397" s="3622"/>
      <c r="E397" s="541" t="s">
        <v>18</v>
      </c>
      <c r="F397" s="1031" t="s">
        <v>18</v>
      </c>
      <c r="G397" s="1031" t="s">
        <v>880</v>
      </c>
      <c r="H397" s="543" t="s">
        <v>18</v>
      </c>
      <c r="I397" s="543"/>
      <c r="J397" s="543"/>
      <c r="K397" s="543"/>
      <c r="L397" s="543"/>
      <c r="M397" s="543"/>
      <c r="N397" s="543"/>
      <c r="O397" s="543"/>
      <c r="P397" s="543"/>
      <c r="Q397" s="543"/>
      <c r="R397" s="544"/>
      <c r="S397" s="545"/>
      <c r="T397" s="608"/>
      <c r="U397" s="3532"/>
      <c r="V397" s="3532"/>
      <c r="W397" s="1023"/>
      <c r="X397" s="1023"/>
      <c r="Y397" s="1023"/>
      <c r="Z397" s="1023"/>
      <c r="AA397" s="1481"/>
      <c r="AB397" s="1023"/>
      <c r="AC397" s="3617"/>
      <c r="AD397" s="521"/>
      <c r="AE397" s="1023"/>
      <c r="AF397" s="1023"/>
      <c r="AG397" s="1481"/>
      <c r="AH397" s="1481"/>
      <c r="AI397" s="1481"/>
      <c r="AJ397" s="1481"/>
      <c r="AK397" s="1481"/>
      <c r="AL397" s="1481"/>
      <c r="AM397" s="1481"/>
      <c r="AN397" s="1481"/>
      <c r="AO397" s="1481"/>
      <c r="AP397" s="1481"/>
      <c r="AQ397" s="1481"/>
      <c r="AR397" s="1481"/>
      <c r="AS397" s="1481"/>
      <c r="AT397" s="1481"/>
      <c r="AU397" s="1481"/>
      <c r="AV397" s="1481"/>
      <c r="AW397" s="1481"/>
      <c r="AX397" s="1481"/>
      <c r="AY397" s="1481"/>
      <c r="AZ397" s="1481"/>
      <c r="BA397" s="1481"/>
      <c r="BB397" s="1481"/>
      <c r="BC397" s="1481"/>
      <c r="BD397" s="1481"/>
      <c r="BE397" s="1481"/>
      <c r="BF397" s="1481"/>
      <c r="BG397" s="1481"/>
      <c r="BH397" s="1481"/>
      <c r="BI397" s="1481"/>
      <c r="BJ397" s="1481"/>
      <c r="BK397" s="1481"/>
      <c r="BL397" s="1481"/>
      <c r="BM397" s="1481"/>
      <c r="BN397" s="1481"/>
      <c r="BO397" s="1481"/>
      <c r="BP397" s="1481"/>
      <c r="BQ397" s="1481"/>
      <c r="BR397" s="1481"/>
      <c r="BS397" s="1481"/>
      <c r="BT397" s="1481"/>
      <c r="BU397" s="1481"/>
      <c r="BV397" s="1023"/>
      <c r="BW397" s="1023"/>
      <c r="BX397" s="1023"/>
      <c r="BY397" s="1023"/>
      <c r="BZ397" s="1023"/>
      <c r="CA397" s="1023"/>
      <c r="CB397" s="1023"/>
      <c r="CC397" s="1023"/>
      <c r="CD397" s="1023"/>
      <c r="CE397" s="1023"/>
    </row>
    <row r="398" spans="1:83" ht="5.25" hidden="1" customHeight="1">
      <c r="A398" s="1636"/>
      <c r="B398" s="1481"/>
      <c r="C398" s="1481"/>
      <c r="D398" s="3622"/>
      <c r="E398" s="909"/>
      <c r="F398" s="909"/>
      <c r="G398" s="909"/>
      <c r="H398" s="909"/>
      <c r="I398" s="909"/>
      <c r="J398" s="909"/>
      <c r="K398" s="909"/>
      <c r="L398" s="909"/>
      <c r="M398" s="909"/>
      <c r="N398" s="909"/>
      <c r="O398" s="909"/>
      <c r="P398" s="909"/>
      <c r="Q398" s="910"/>
      <c r="R398" s="911"/>
      <c r="S398" s="912"/>
      <c r="T398" s="607" t="s">
        <v>877</v>
      </c>
      <c r="U398" s="3532">
        <v>1</v>
      </c>
      <c r="V398" s="3532" t="s">
        <v>840</v>
      </c>
      <c r="W398" s="1481"/>
      <c r="X398" s="1481"/>
      <c r="Y398" s="1481"/>
      <c r="Z398" s="1481"/>
      <c r="AA398" s="1481"/>
      <c r="AB398" s="1481"/>
      <c r="AC398" s="907"/>
      <c r="AD398" s="908"/>
      <c r="AE398" s="1481"/>
      <c r="AF398" s="1481"/>
      <c r="AG398" s="1481"/>
      <c r="AH398" s="1481"/>
      <c r="AI398" s="1481"/>
      <c r="AJ398" s="1481"/>
      <c r="AK398" s="1481"/>
      <c r="AL398" s="1481"/>
      <c r="AM398" s="1481"/>
      <c r="AN398" s="1481"/>
      <c r="AO398" s="1481"/>
      <c r="AP398" s="1481"/>
      <c r="AQ398" s="1481"/>
      <c r="AR398" s="1481"/>
      <c r="AS398" s="1481"/>
      <c r="AT398" s="1481"/>
      <c r="AU398" s="1481"/>
      <c r="AV398" s="1481"/>
      <c r="AW398" s="1481"/>
      <c r="AX398" s="1481"/>
      <c r="AY398" s="1481"/>
      <c r="AZ398" s="1481"/>
      <c r="BA398" s="1481"/>
      <c r="BB398" s="1481"/>
      <c r="BC398" s="1481"/>
      <c r="BD398" s="1481"/>
      <c r="BE398" s="1481"/>
      <c r="BF398" s="1481"/>
      <c r="BG398" s="1481"/>
      <c r="BH398" s="1481"/>
      <c r="BI398" s="1481"/>
      <c r="BJ398" s="1481"/>
      <c r="BK398" s="1481"/>
      <c r="BL398" s="1481"/>
      <c r="BM398" s="1481"/>
      <c r="BN398" s="1481"/>
      <c r="BO398" s="1481"/>
      <c r="BP398" s="1481"/>
      <c r="BQ398" s="1481"/>
      <c r="BR398" s="1481"/>
      <c r="BS398" s="1481"/>
      <c r="BT398" s="1481"/>
      <c r="BU398" s="1481"/>
      <c r="BV398" s="1481"/>
      <c r="BW398" s="1481"/>
      <c r="BX398" s="1481"/>
      <c r="BY398" s="1481"/>
      <c r="BZ398" s="1481"/>
      <c r="CA398" s="1481"/>
      <c r="CB398" s="1481"/>
      <c r="CC398" s="1481"/>
      <c r="CD398" s="1481"/>
      <c r="CE398" s="1481"/>
    </row>
    <row r="399" spans="1:83" ht="5.25" hidden="1" customHeight="1">
      <c r="A399" s="1636"/>
      <c r="B399" s="1481"/>
      <c r="C399" s="1481"/>
      <c r="D399" s="3622"/>
      <c r="E399" s="527"/>
      <c r="F399" s="527"/>
      <c r="G399" s="527"/>
      <c r="H399" s="527"/>
      <c r="I399" s="527"/>
      <c r="J399" s="527"/>
      <c r="K399" s="527"/>
      <c r="L399" s="527"/>
      <c r="M399" s="527"/>
      <c r="N399" s="527"/>
      <c r="O399" s="527"/>
      <c r="P399" s="527"/>
      <c r="Q399" s="527"/>
      <c r="R399" s="527"/>
      <c r="S399" s="528"/>
      <c r="T399" s="608"/>
      <c r="U399" s="3532"/>
      <c r="V399" s="3532"/>
      <c r="W399" s="1481"/>
      <c r="X399" s="1481"/>
      <c r="Y399" s="1481"/>
      <c r="Z399" s="1481"/>
      <c r="AA399" s="1481"/>
      <c r="AB399" s="1481"/>
      <c r="AC399" s="907"/>
      <c r="AD399" s="908"/>
      <c r="AE399" s="1481"/>
      <c r="AF399" s="1481"/>
      <c r="AG399" s="1481"/>
      <c r="AH399" s="1481"/>
      <c r="AI399" s="1481"/>
      <c r="AJ399" s="1481"/>
      <c r="AK399" s="1481"/>
      <c r="AL399" s="1481"/>
      <c r="AM399" s="1481"/>
      <c r="AN399" s="1481"/>
      <c r="AO399" s="1481"/>
      <c r="AP399" s="1481"/>
      <c r="AQ399" s="1481"/>
      <c r="AR399" s="1481"/>
      <c r="AS399" s="1481"/>
      <c r="AT399" s="1481"/>
      <c r="AU399" s="1481"/>
      <c r="AV399" s="1481"/>
      <c r="AW399" s="1481"/>
      <c r="AX399" s="1481"/>
      <c r="AY399" s="1481"/>
      <c r="AZ399" s="1481"/>
      <c r="BA399" s="1481"/>
      <c r="BB399" s="1481"/>
      <c r="BC399" s="1481"/>
      <c r="BD399" s="1481"/>
      <c r="BE399" s="1481"/>
      <c r="BF399" s="1481"/>
      <c r="BG399" s="1481"/>
      <c r="BH399" s="1481"/>
      <c r="BI399" s="1481"/>
      <c r="BJ399" s="1481"/>
      <c r="BK399" s="1481"/>
      <c r="BL399" s="1481"/>
      <c r="BM399" s="1481"/>
      <c r="BN399" s="1481"/>
      <c r="BO399" s="1481"/>
      <c r="BP399" s="1481"/>
      <c r="BQ399" s="1481"/>
      <c r="BR399" s="1481"/>
      <c r="BS399" s="1481"/>
      <c r="BT399" s="1481"/>
      <c r="BU399" s="1481"/>
      <c r="BV399" s="1481"/>
      <c r="BW399" s="1481"/>
      <c r="BX399" s="1481"/>
      <c r="BY399" s="1481"/>
      <c r="BZ399" s="1481"/>
      <c r="CA399" s="1481"/>
      <c r="CB399" s="1481"/>
      <c r="CC399" s="1481"/>
      <c r="CD399" s="1481"/>
      <c r="CE399" s="1481"/>
    </row>
    <row r="400" spans="1:83" ht="5.25" hidden="1" customHeight="1">
      <c r="A400" s="1636"/>
      <c r="B400" s="1481"/>
      <c r="C400" s="1481"/>
      <c r="D400" s="3623"/>
      <c r="E400" s="913"/>
      <c r="F400" s="914"/>
      <c r="G400" s="914"/>
      <c r="H400" s="915"/>
      <c r="I400" s="915"/>
      <c r="J400" s="915"/>
      <c r="K400" s="915"/>
      <c r="L400" s="915"/>
      <c r="M400" s="915"/>
      <c r="N400" s="915"/>
      <c r="O400" s="915"/>
      <c r="P400" s="915"/>
      <c r="Q400" s="915"/>
      <c r="R400" s="818"/>
      <c r="S400" s="916"/>
      <c r="T400" s="608"/>
      <c r="U400" s="3532"/>
      <c r="V400" s="3532"/>
      <c r="W400" s="1481"/>
      <c r="X400" s="1481"/>
      <c r="Y400" s="1481"/>
      <c r="Z400" s="1481"/>
      <c r="AA400" s="1481"/>
      <c r="AB400" s="1481"/>
      <c r="AC400" s="907"/>
      <c r="AD400" s="908"/>
      <c r="AE400" s="1481"/>
      <c r="AF400" s="1481"/>
      <c r="AG400" s="1481"/>
      <c r="AH400" s="1481"/>
      <c r="AI400" s="1481"/>
      <c r="AJ400" s="1481"/>
      <c r="AK400" s="1481"/>
      <c r="AL400" s="1481"/>
      <c r="AM400" s="1481"/>
      <c r="AN400" s="1481"/>
      <c r="AO400" s="1481"/>
      <c r="AP400" s="1481"/>
      <c r="AQ400" s="1481"/>
      <c r="AR400" s="1481"/>
      <c r="AS400" s="1481"/>
      <c r="AT400" s="1481"/>
      <c r="AU400" s="1481"/>
      <c r="AV400" s="1481"/>
      <c r="AW400" s="1481"/>
      <c r="AX400" s="1481"/>
      <c r="AY400" s="1481"/>
      <c r="AZ400" s="1481"/>
      <c r="BA400" s="1481"/>
      <c r="BB400" s="1481"/>
      <c r="BC400" s="1481"/>
      <c r="BD400" s="1481"/>
      <c r="BE400" s="1481"/>
      <c r="BF400" s="1481"/>
      <c r="BG400" s="1481"/>
      <c r="BH400" s="1481"/>
      <c r="BI400" s="1481"/>
      <c r="BJ400" s="1481"/>
      <c r="BK400" s="1481"/>
      <c r="BL400" s="1481"/>
      <c r="BM400" s="1481"/>
      <c r="BN400" s="1481"/>
      <c r="BO400" s="1481"/>
      <c r="BP400" s="1481"/>
      <c r="BQ400" s="1481"/>
      <c r="BR400" s="1481"/>
      <c r="BS400" s="1481"/>
      <c r="BT400" s="1481"/>
      <c r="BU400" s="1481"/>
      <c r="BV400" s="1481"/>
      <c r="BW400" s="1481"/>
      <c r="BX400" s="1481"/>
      <c r="BY400" s="1481"/>
      <c r="BZ400" s="1481"/>
      <c r="CA400" s="1481"/>
      <c r="CB400" s="1481"/>
      <c r="CC400" s="1481"/>
      <c r="CD400" s="1481"/>
      <c r="CE400" s="1481"/>
    </row>
    <row r="401" spans="1:83" ht="15" hidden="1" customHeight="1">
      <c r="A401" s="516" t="s">
        <v>239</v>
      </c>
      <c r="B401"/>
      <c r="C401" t="s">
        <v>18</v>
      </c>
      <c r="D401" s="3621" t="s">
        <v>922</v>
      </c>
      <c r="E401" s="3618" t="s">
        <v>102</v>
      </c>
      <c r="F401" s="3619"/>
      <c r="G401" s="3620"/>
      <c r="H401" s="3614" t="str">
        <f>IF(A401="","",INDEX(DIFFERENTIATION_UNMERGE_VD,MATCH(A401,DIFFERENTIATION_ID_DIFF,0)))</f>
        <v>Производство тепловой энергии. Некомбинированная выработка</v>
      </c>
      <c r="I401" s="3614"/>
      <c r="J401" s="3614"/>
      <c r="K401" s="3614"/>
      <c r="L401" s="3614"/>
      <c r="M401" s="3614"/>
      <c r="N401" s="3614"/>
      <c r="O401" s="3614"/>
      <c r="P401" s="3614"/>
      <c r="Q401" s="3614"/>
      <c r="R401" s="3614"/>
      <c r="S401" s="609"/>
      <c r="T401" s="606"/>
      <c r="U401" s="517"/>
      <c r="V401" s="517"/>
      <c r="W401" s="518"/>
      <c r="X401" s="518"/>
      <c r="Y401" s="518"/>
      <c r="Z401" s="518"/>
      <c r="AA401" s="519"/>
      <c r="AB401" s="520"/>
      <c r="AC401" s="3617"/>
      <c r="AD401" s="521"/>
      <c r="AE401" s="522" t="s">
        <v>18</v>
      </c>
      <c r="AF401" s="522"/>
      <c r="AG401" s="523" t="s">
        <v>874</v>
      </c>
      <c r="AH401" s="524">
        <v>3</v>
      </c>
      <c r="AI401" s="517"/>
      <c r="AJ401" s="517"/>
      <c r="AK401" s="517"/>
      <c r="AL401" s="517"/>
      <c r="AM401" s="517"/>
      <c r="AN401" s="517"/>
      <c r="AO401" s="517"/>
      <c r="AP401" s="517"/>
      <c r="AQ401" s="517"/>
      <c r="AR401" s="517"/>
      <c r="AS401" s="517"/>
      <c r="AT401" s="517"/>
      <c r="AU401" s="517"/>
      <c r="AV401" s="517"/>
      <c r="AW401" s="517"/>
      <c r="AX401" s="517"/>
      <c r="AY401" s="517"/>
      <c r="AZ401" s="517"/>
      <c r="BA401" s="517"/>
      <c r="BB401" s="517"/>
      <c r="BC401" s="517"/>
      <c r="BD401" s="517"/>
      <c r="BE401" s="517"/>
      <c r="BF401" s="517"/>
      <c r="BG401" s="517"/>
      <c r="BH401" s="517"/>
      <c r="BI401" s="517"/>
      <c r="BJ401" s="517"/>
      <c r="BK401" s="517"/>
      <c r="BL401" s="517"/>
      <c r="BM401" s="517"/>
      <c r="BN401" s="517"/>
      <c r="BO401" s="517"/>
      <c r="BP401" s="517"/>
      <c r="BQ401" s="517"/>
      <c r="BR401" s="517"/>
      <c r="BS401" s="517"/>
      <c r="BT401" s="517"/>
      <c r="BU401" s="517"/>
      <c r="BV401" s="518"/>
      <c r="BW401" s="518"/>
      <c r="BX401" s="518"/>
      <c r="BY401" s="518"/>
      <c r="BZ401" s="518"/>
      <c r="CA401" s="518"/>
      <c r="CB401" s="518"/>
      <c r="CC401" s="518"/>
      <c r="CD401" s="518"/>
      <c r="CE401" s="518"/>
    </row>
    <row r="402" spans="1:83" ht="15" hidden="1" customHeight="1">
      <c r="A402" s="516"/>
      <c r="B402"/>
      <c r="C402"/>
      <c r="D402" s="3622"/>
      <c r="E402" s="3618" t="s">
        <v>829</v>
      </c>
      <c r="F402" s="3619"/>
      <c r="G402" s="3620"/>
      <c r="H402" s="3614" t="str">
        <f>IF(A401="","",INDEX(DIFFERENTIATION_UNMERGE_AREA,MATCH(A401,DIFFERENTIATION_ID_DIFF,0)))</f>
        <v>Территория 1</v>
      </c>
      <c r="I402" s="3614"/>
      <c r="J402" s="3614"/>
      <c r="K402" s="3614"/>
      <c r="L402" s="3614"/>
      <c r="M402" s="3614"/>
      <c r="N402" s="3614"/>
      <c r="O402" s="3614"/>
      <c r="P402" s="3614"/>
      <c r="Q402" s="3614"/>
      <c r="R402" s="3614"/>
      <c r="S402" s="609"/>
      <c r="T402" s="606"/>
      <c r="U402" s="517"/>
      <c r="V402" s="517"/>
      <c r="W402" s="518"/>
      <c r="X402" s="518"/>
      <c r="Y402" s="518"/>
      <c r="Z402" s="518"/>
      <c r="AA402" s="519"/>
      <c r="AB402" s="520"/>
      <c r="AC402" s="3617"/>
      <c r="AD402" s="521"/>
      <c r="AE402" s="522"/>
      <c r="AF402" s="522"/>
      <c r="AG402" s="523"/>
      <c r="AH402" s="524"/>
      <c r="AI402" s="517"/>
      <c r="AJ402" s="517"/>
      <c r="AK402" s="517"/>
      <c r="AL402" s="517"/>
      <c r="AM402" s="517"/>
      <c r="AN402" s="517"/>
      <c r="AO402" s="517"/>
      <c r="AP402" s="517"/>
      <c r="AQ402" s="517"/>
      <c r="AR402" s="517"/>
      <c r="AS402" s="517"/>
      <c r="AT402" s="517"/>
      <c r="AU402" s="517"/>
      <c r="AV402" s="517"/>
      <c r="AW402" s="517"/>
      <c r="AX402" s="517"/>
      <c r="AY402" s="517"/>
      <c r="AZ402" s="517"/>
      <c r="BA402" s="517"/>
      <c r="BB402" s="517"/>
      <c r="BC402" s="517"/>
      <c r="BD402" s="517"/>
      <c r="BE402" s="517"/>
      <c r="BF402" s="517"/>
      <c r="BG402" s="517"/>
      <c r="BH402" s="517"/>
      <c r="BI402" s="517"/>
      <c r="BJ402" s="517"/>
      <c r="BK402" s="517"/>
      <c r="BL402" s="517"/>
      <c r="BM402" s="517"/>
      <c r="BN402" s="517"/>
      <c r="BO402" s="517"/>
      <c r="BP402" s="517"/>
      <c r="BQ402" s="517"/>
      <c r="BR402" s="517"/>
      <c r="BS402" s="517"/>
      <c r="BT402" s="517"/>
      <c r="BU402" s="517"/>
      <c r="BV402" s="518"/>
      <c r="BW402" s="518"/>
      <c r="BX402" s="518"/>
      <c r="BY402" s="518"/>
      <c r="BZ402" s="518"/>
      <c r="CA402" s="518"/>
      <c r="CB402" s="518"/>
      <c r="CC402" s="518"/>
      <c r="CD402" s="518"/>
      <c r="CE402" s="518"/>
    </row>
    <row r="403" spans="1:83" ht="15" hidden="1" customHeight="1">
      <c r="A403" s="516"/>
      <c r="B403"/>
      <c r="C403"/>
      <c r="D403" s="3622"/>
      <c r="E403" s="3618" t="s">
        <v>830</v>
      </c>
      <c r="F403" s="3619"/>
      <c r="G403" s="3620"/>
      <c r="H403" s="3614" t="str">
        <f>IF(A401="","",INDEX(DIFFERENTIATION_UNMERGE_SYSTEM,MATCH(A401,DIFFERENTIATION_ID_DIFF,0)))</f>
        <v>Связистов, 1а</v>
      </c>
      <c r="I403" s="3614"/>
      <c r="J403" s="3614"/>
      <c r="K403" s="3614"/>
      <c r="L403" s="3614"/>
      <c r="M403" s="3614"/>
      <c r="N403" s="3614"/>
      <c r="O403" s="3614"/>
      <c r="P403" s="3614"/>
      <c r="Q403" s="3614"/>
      <c r="R403" s="3614"/>
      <c r="S403" s="609"/>
      <c r="T403" s="606"/>
      <c r="U403" s="517"/>
      <c r="V403" s="517"/>
      <c r="W403" s="518"/>
      <c r="X403" s="518"/>
      <c r="Y403" s="518"/>
      <c r="Z403" s="518"/>
      <c r="AA403" s="519"/>
      <c r="AB403" s="520"/>
      <c r="AC403" s="3617"/>
      <c r="AD403" s="521"/>
      <c r="AE403" s="522"/>
      <c r="AF403" s="522"/>
      <c r="AG403" s="523"/>
      <c r="AH403" s="524"/>
      <c r="AI403" s="517"/>
      <c r="AJ403" s="517"/>
      <c r="AK403" s="517"/>
      <c r="AL403" s="517"/>
      <c r="AM403" s="517"/>
      <c r="AN403" s="517"/>
      <c r="AO403" s="517"/>
      <c r="AP403" s="517"/>
      <c r="AQ403" s="517"/>
      <c r="AR403" s="517"/>
      <c r="AS403" s="517"/>
      <c r="AT403" s="517"/>
      <c r="AU403" s="517"/>
      <c r="AV403" s="517"/>
      <c r="AW403" s="517"/>
      <c r="AX403" s="517"/>
      <c r="AY403" s="517"/>
      <c r="AZ403" s="517"/>
      <c r="BA403" s="517"/>
      <c r="BB403" s="517"/>
      <c r="BC403" s="517"/>
      <c r="BD403" s="517"/>
      <c r="BE403" s="517"/>
      <c r="BF403" s="517"/>
      <c r="BG403" s="517"/>
      <c r="BH403" s="517"/>
      <c r="BI403" s="517"/>
      <c r="BJ403" s="517"/>
      <c r="BK403" s="517"/>
      <c r="BL403" s="517"/>
      <c r="BM403" s="517"/>
      <c r="BN403" s="517"/>
      <c r="BO403" s="517"/>
      <c r="BP403" s="517"/>
      <c r="BQ403" s="517"/>
      <c r="BR403" s="517"/>
      <c r="BS403" s="517"/>
      <c r="BT403" s="517"/>
      <c r="BU403" s="517"/>
      <c r="BV403" s="518"/>
      <c r="BW403" s="518"/>
      <c r="BX403" s="518"/>
      <c r="BY403" s="518"/>
      <c r="BZ403" s="518"/>
      <c r="CA403" s="518"/>
      <c r="CB403" s="518"/>
      <c r="CC403" s="518"/>
      <c r="CD403" s="518"/>
      <c r="CE403" s="518"/>
    </row>
    <row r="404" spans="1:83" ht="24.75" hidden="1" customHeight="1">
      <c r="A404" s="1649"/>
      <c r="B404" s="1023"/>
      <c r="C404" s="319"/>
      <c r="D404" s="3622"/>
      <c r="E404" s="3616" t="s">
        <v>875</v>
      </c>
      <c r="F404" s="3616"/>
      <c r="G404" s="3616"/>
      <c r="H404" s="3616"/>
      <c r="I404" s="3616"/>
      <c r="J404" s="3616"/>
      <c r="K404" s="3616"/>
      <c r="L404" s="3616"/>
      <c r="M404" s="3616"/>
      <c r="N404" s="3616"/>
      <c r="O404" s="3616"/>
      <c r="P404" s="3616"/>
      <c r="Q404" s="455">
        <f>SUMIF(T405:T406,"i",Q405:Q406)</f>
        <v>0</v>
      </c>
      <c r="R404" s="887"/>
      <c r="S404" s="1641" t="s">
        <v>876</v>
      </c>
      <c r="T404" s="607" t="s">
        <v>877</v>
      </c>
      <c r="U404" s="3532">
        <v>1</v>
      </c>
      <c r="V404" s="3532" t="s">
        <v>840</v>
      </c>
      <c r="W404" s="1023"/>
      <c r="X404" s="1023"/>
      <c r="Y404" s="1023"/>
      <c r="Z404" s="1023"/>
      <c r="AA404" s="1481"/>
      <c r="AB404" s="1023"/>
      <c r="AC404" s="3617"/>
      <c r="AD404" s="521"/>
      <c r="AE404" s="1023"/>
      <c r="AF404" s="1023"/>
      <c r="AG404" s="1481"/>
      <c r="AH404" s="1481"/>
      <c r="AI404" s="1481"/>
      <c r="AJ404" s="1481"/>
      <c r="AK404" s="1481"/>
      <c r="AL404" s="1481"/>
      <c r="AM404" s="1481"/>
      <c r="AN404" s="1481"/>
      <c r="AO404" s="1481"/>
      <c r="AP404" s="1481"/>
      <c r="AQ404" s="1481"/>
      <c r="AR404" s="1481"/>
      <c r="AS404" s="1481"/>
      <c r="AT404" s="1481"/>
      <c r="AU404" s="1481"/>
      <c r="AV404" s="1481"/>
      <c r="AW404" s="1481"/>
      <c r="AX404" s="1481"/>
      <c r="AY404" s="1481"/>
      <c r="AZ404" s="1481"/>
      <c r="BA404" s="1481"/>
      <c r="BB404" s="1481"/>
      <c r="BC404" s="1481"/>
      <c r="BD404" s="1481"/>
      <c r="BE404" s="1481"/>
      <c r="BF404" s="1481"/>
      <c r="BG404" s="1481"/>
      <c r="BH404" s="1481"/>
      <c r="BI404" s="1481"/>
      <c r="BJ404" s="1481"/>
      <c r="BK404" s="1481"/>
      <c r="BL404" s="1481"/>
      <c r="BM404" s="1481"/>
      <c r="BN404" s="1481"/>
      <c r="BO404" s="1481"/>
      <c r="BP404" s="1481"/>
      <c r="BQ404" s="1481"/>
      <c r="BR404" s="1481"/>
      <c r="BS404" s="1481"/>
      <c r="BT404" s="1481"/>
      <c r="BU404" s="1481"/>
      <c r="BV404" s="1023"/>
      <c r="BW404" s="1023"/>
      <c r="BX404" s="1023"/>
      <c r="BY404" s="1023"/>
      <c r="BZ404" s="1023"/>
      <c r="CA404" s="1023"/>
      <c r="CB404" s="1023"/>
      <c r="CC404" s="1023"/>
      <c r="CD404" s="1023"/>
      <c r="CE404" s="1023"/>
    </row>
    <row r="405" spans="1:83" ht="11.25" hidden="1" customHeight="1">
      <c r="A405" s="1636"/>
      <c r="B405" s="1481"/>
      <c r="C405" s="1481"/>
      <c r="D405" s="3622"/>
      <c r="E405" s="527"/>
      <c r="F405" s="527">
        <v>0</v>
      </c>
      <c r="G405" s="527"/>
      <c r="H405" s="527"/>
      <c r="I405" s="527"/>
      <c r="J405" s="527"/>
      <c r="K405" s="527"/>
      <c r="L405" s="527"/>
      <c r="M405" s="527"/>
      <c r="N405" s="527"/>
      <c r="O405" s="527"/>
      <c r="P405" s="527"/>
      <c r="Q405" s="527"/>
      <c r="R405" s="527"/>
      <c r="S405" s="528"/>
      <c r="T405" s="608"/>
      <c r="U405" s="3532"/>
      <c r="V405" s="3532"/>
      <c r="W405" s="1481"/>
      <c r="X405" s="1481"/>
      <c r="Y405" s="1481"/>
      <c r="Z405" s="1481"/>
      <c r="AA405" s="1481"/>
      <c r="AB405" s="1023"/>
      <c r="AC405" s="3617"/>
      <c r="AD405" s="521"/>
      <c r="AE405" s="1023"/>
      <c r="AF405" s="1023"/>
      <c r="AG405" s="1481"/>
      <c r="AH405" s="1481"/>
      <c r="AI405" s="1481"/>
      <c r="AJ405" s="1481"/>
      <c r="AK405" s="1481"/>
      <c r="AL405" s="1481"/>
      <c r="AM405" s="1481"/>
      <c r="AN405" s="1481"/>
      <c r="AO405" s="1481"/>
      <c r="AP405" s="1481"/>
      <c r="AQ405" s="1481"/>
      <c r="AR405" s="1481"/>
      <c r="AS405" s="1481"/>
      <c r="AT405" s="1481"/>
      <c r="AU405" s="1481"/>
      <c r="AV405" s="1481"/>
      <c r="AW405" s="1481"/>
      <c r="AX405" s="1481"/>
      <c r="AY405" s="1481"/>
      <c r="AZ405" s="1481"/>
      <c r="BA405" s="1481"/>
      <c r="BB405" s="1481"/>
      <c r="BC405" s="1481"/>
      <c r="BD405" s="1481"/>
      <c r="BE405" s="1481"/>
      <c r="BF405" s="1481"/>
      <c r="BG405" s="1481"/>
      <c r="BH405" s="1481"/>
      <c r="BI405" s="1481"/>
      <c r="BJ405" s="1481"/>
      <c r="BK405" s="1481"/>
      <c r="BL405" s="1481"/>
      <c r="BM405" s="1481"/>
      <c r="BN405" s="1481"/>
      <c r="BO405" s="1481"/>
      <c r="BP405" s="1481"/>
      <c r="BQ405" s="1481"/>
      <c r="BR405" s="1481"/>
      <c r="BS405" s="1481"/>
      <c r="BT405" s="1481"/>
      <c r="BU405" s="1481"/>
      <c r="BV405" s="1481"/>
      <c r="BW405" s="1481"/>
      <c r="BX405" s="1481"/>
      <c r="BY405" s="1481"/>
      <c r="BZ405" s="1481"/>
      <c r="CA405" s="1481"/>
      <c r="CB405" s="1481"/>
      <c r="CC405" s="1481"/>
      <c r="CD405" s="1481"/>
      <c r="CE405" s="1481"/>
    </row>
    <row r="406" spans="1:83" ht="11.25" hidden="1" customHeight="1">
      <c r="A406" s="1649"/>
      <c r="B406" s="1023"/>
      <c r="C406" s="319"/>
      <c r="D406" s="3622"/>
      <c r="E406" s="541" t="s">
        <v>18</v>
      </c>
      <c r="F406" s="1031" t="s">
        <v>18</v>
      </c>
      <c r="G406" s="1031" t="s">
        <v>880</v>
      </c>
      <c r="H406" s="543" t="s">
        <v>18</v>
      </c>
      <c r="I406" s="543"/>
      <c r="J406" s="543"/>
      <c r="K406" s="543"/>
      <c r="L406" s="543"/>
      <c r="M406" s="543"/>
      <c r="N406" s="543"/>
      <c r="O406" s="543"/>
      <c r="P406" s="543"/>
      <c r="Q406" s="543"/>
      <c r="R406" s="544"/>
      <c r="S406" s="545"/>
      <c r="T406" s="608"/>
      <c r="U406" s="3532"/>
      <c r="V406" s="3532"/>
      <c r="W406" s="1023"/>
      <c r="X406" s="1023"/>
      <c r="Y406" s="1023"/>
      <c r="Z406" s="1023"/>
      <c r="AA406" s="1481"/>
      <c r="AB406" s="1023"/>
      <c r="AC406" s="3617"/>
      <c r="AD406" s="521"/>
      <c r="AE406" s="1023"/>
      <c r="AF406" s="1023"/>
      <c r="AG406" s="1481"/>
      <c r="AH406" s="1481"/>
      <c r="AI406" s="1481"/>
      <c r="AJ406" s="1481"/>
      <c r="AK406" s="1481"/>
      <c r="AL406" s="1481"/>
      <c r="AM406" s="1481"/>
      <c r="AN406" s="1481"/>
      <c r="AO406" s="1481"/>
      <c r="AP406" s="1481"/>
      <c r="AQ406" s="1481"/>
      <c r="AR406" s="1481"/>
      <c r="AS406" s="1481"/>
      <c r="AT406" s="1481"/>
      <c r="AU406" s="1481"/>
      <c r="AV406" s="1481"/>
      <c r="AW406" s="1481"/>
      <c r="AX406" s="1481"/>
      <c r="AY406" s="1481"/>
      <c r="AZ406" s="1481"/>
      <c r="BA406" s="1481"/>
      <c r="BB406" s="1481"/>
      <c r="BC406" s="1481"/>
      <c r="BD406" s="1481"/>
      <c r="BE406" s="1481"/>
      <c r="BF406" s="1481"/>
      <c r="BG406" s="1481"/>
      <c r="BH406" s="1481"/>
      <c r="BI406" s="1481"/>
      <c r="BJ406" s="1481"/>
      <c r="BK406" s="1481"/>
      <c r="BL406" s="1481"/>
      <c r="BM406" s="1481"/>
      <c r="BN406" s="1481"/>
      <c r="BO406" s="1481"/>
      <c r="BP406" s="1481"/>
      <c r="BQ406" s="1481"/>
      <c r="BR406" s="1481"/>
      <c r="BS406" s="1481"/>
      <c r="BT406" s="1481"/>
      <c r="BU406" s="1481"/>
      <c r="BV406" s="1023"/>
      <c r="BW406" s="1023"/>
      <c r="BX406" s="1023"/>
      <c r="BY406" s="1023"/>
      <c r="BZ406" s="1023"/>
      <c r="CA406" s="1023"/>
      <c r="CB406" s="1023"/>
      <c r="CC406" s="1023"/>
      <c r="CD406" s="1023"/>
      <c r="CE406" s="1023"/>
    </row>
    <row r="407" spans="1:83" ht="5.25" hidden="1" customHeight="1">
      <c r="A407" s="1636"/>
      <c r="B407" s="1481"/>
      <c r="C407" s="1481"/>
      <c r="D407" s="3622"/>
      <c r="E407" s="909"/>
      <c r="F407" s="909"/>
      <c r="G407" s="909"/>
      <c r="H407" s="909"/>
      <c r="I407" s="909"/>
      <c r="J407" s="909"/>
      <c r="K407" s="909"/>
      <c r="L407" s="909"/>
      <c r="M407" s="909"/>
      <c r="N407" s="909"/>
      <c r="O407" s="909"/>
      <c r="P407" s="909"/>
      <c r="Q407" s="910"/>
      <c r="R407" s="911"/>
      <c r="S407" s="912"/>
      <c r="T407" s="607" t="s">
        <v>877</v>
      </c>
      <c r="U407" s="3532">
        <v>1</v>
      </c>
      <c r="V407" s="3532" t="s">
        <v>840</v>
      </c>
      <c r="W407" s="1481"/>
      <c r="X407" s="1481"/>
      <c r="Y407" s="1481"/>
      <c r="Z407" s="1481"/>
      <c r="AA407" s="1481"/>
      <c r="AB407" s="1481"/>
      <c r="AC407" s="907"/>
      <c r="AD407" s="908"/>
      <c r="AE407" s="1481"/>
      <c r="AF407" s="1481"/>
      <c r="AG407" s="1481"/>
      <c r="AH407" s="1481"/>
      <c r="AI407" s="1481"/>
      <c r="AJ407" s="1481"/>
      <c r="AK407" s="1481"/>
      <c r="AL407" s="1481"/>
      <c r="AM407" s="1481"/>
      <c r="AN407" s="1481"/>
      <c r="AO407" s="1481"/>
      <c r="AP407" s="1481"/>
      <c r="AQ407" s="1481"/>
      <c r="AR407" s="1481"/>
      <c r="AS407" s="1481"/>
      <c r="AT407" s="1481"/>
      <c r="AU407" s="1481"/>
      <c r="AV407" s="1481"/>
      <c r="AW407" s="1481"/>
      <c r="AX407" s="1481"/>
      <c r="AY407" s="1481"/>
      <c r="AZ407" s="1481"/>
      <c r="BA407" s="1481"/>
      <c r="BB407" s="1481"/>
      <c r="BC407" s="1481"/>
      <c r="BD407" s="1481"/>
      <c r="BE407" s="1481"/>
      <c r="BF407" s="1481"/>
      <c r="BG407" s="1481"/>
      <c r="BH407" s="1481"/>
      <c r="BI407" s="1481"/>
      <c r="BJ407" s="1481"/>
      <c r="BK407" s="1481"/>
      <c r="BL407" s="1481"/>
      <c r="BM407" s="1481"/>
      <c r="BN407" s="1481"/>
      <c r="BO407" s="1481"/>
      <c r="BP407" s="1481"/>
      <c r="BQ407" s="1481"/>
      <c r="BR407" s="1481"/>
      <c r="BS407" s="1481"/>
      <c r="BT407" s="1481"/>
      <c r="BU407" s="1481"/>
      <c r="BV407" s="1481"/>
      <c r="BW407" s="1481"/>
      <c r="BX407" s="1481"/>
      <c r="BY407" s="1481"/>
      <c r="BZ407" s="1481"/>
      <c r="CA407" s="1481"/>
      <c r="CB407" s="1481"/>
      <c r="CC407" s="1481"/>
      <c r="CD407" s="1481"/>
      <c r="CE407" s="1481"/>
    </row>
    <row r="408" spans="1:83" ht="5.25" hidden="1" customHeight="1">
      <c r="A408" s="1636"/>
      <c r="B408" s="1481"/>
      <c r="C408" s="1481"/>
      <c r="D408" s="3622"/>
      <c r="E408" s="527"/>
      <c r="F408" s="527"/>
      <c r="G408" s="527"/>
      <c r="H408" s="527"/>
      <c r="I408" s="527"/>
      <c r="J408" s="527"/>
      <c r="K408" s="527"/>
      <c r="L408" s="527"/>
      <c r="M408" s="527"/>
      <c r="N408" s="527"/>
      <c r="O408" s="527"/>
      <c r="P408" s="527"/>
      <c r="Q408" s="527"/>
      <c r="R408" s="527"/>
      <c r="S408" s="528"/>
      <c r="T408" s="608"/>
      <c r="U408" s="3532"/>
      <c r="V408" s="3532"/>
      <c r="W408" s="1481"/>
      <c r="X408" s="1481"/>
      <c r="Y408" s="1481"/>
      <c r="Z408" s="1481"/>
      <c r="AA408" s="1481"/>
      <c r="AB408" s="1481"/>
      <c r="AC408" s="907"/>
      <c r="AD408" s="908"/>
      <c r="AE408" s="1481"/>
      <c r="AF408" s="1481"/>
      <c r="AG408" s="1481"/>
      <c r="AH408" s="1481"/>
      <c r="AI408" s="1481"/>
      <c r="AJ408" s="1481"/>
      <c r="AK408" s="1481"/>
      <c r="AL408" s="1481"/>
      <c r="AM408" s="1481"/>
      <c r="AN408" s="1481"/>
      <c r="AO408" s="1481"/>
      <c r="AP408" s="1481"/>
      <c r="AQ408" s="1481"/>
      <c r="AR408" s="1481"/>
      <c r="AS408" s="1481"/>
      <c r="AT408" s="1481"/>
      <c r="AU408" s="1481"/>
      <c r="AV408" s="1481"/>
      <c r="AW408" s="1481"/>
      <c r="AX408" s="1481"/>
      <c r="AY408" s="1481"/>
      <c r="AZ408" s="1481"/>
      <c r="BA408" s="1481"/>
      <c r="BB408" s="1481"/>
      <c r="BC408" s="1481"/>
      <c r="BD408" s="1481"/>
      <c r="BE408" s="1481"/>
      <c r="BF408" s="1481"/>
      <c r="BG408" s="1481"/>
      <c r="BH408" s="1481"/>
      <c r="BI408" s="1481"/>
      <c r="BJ408" s="1481"/>
      <c r="BK408" s="1481"/>
      <c r="BL408" s="1481"/>
      <c r="BM408" s="1481"/>
      <c r="BN408" s="1481"/>
      <c r="BO408" s="1481"/>
      <c r="BP408" s="1481"/>
      <c r="BQ408" s="1481"/>
      <c r="BR408" s="1481"/>
      <c r="BS408" s="1481"/>
      <c r="BT408" s="1481"/>
      <c r="BU408" s="1481"/>
      <c r="BV408" s="1481"/>
      <c r="BW408" s="1481"/>
      <c r="BX408" s="1481"/>
      <c r="BY408" s="1481"/>
      <c r="BZ408" s="1481"/>
      <c r="CA408" s="1481"/>
      <c r="CB408" s="1481"/>
      <c r="CC408" s="1481"/>
      <c r="CD408" s="1481"/>
      <c r="CE408" s="1481"/>
    </row>
    <row r="409" spans="1:83" ht="5.25" hidden="1" customHeight="1">
      <c r="A409" s="1636"/>
      <c r="B409" s="1481"/>
      <c r="C409" s="1481"/>
      <c r="D409" s="3623"/>
      <c r="E409" s="913"/>
      <c r="F409" s="914"/>
      <c r="G409" s="914"/>
      <c r="H409" s="915"/>
      <c r="I409" s="915"/>
      <c r="J409" s="915"/>
      <c r="K409" s="915"/>
      <c r="L409" s="915"/>
      <c r="M409" s="915"/>
      <c r="N409" s="915"/>
      <c r="O409" s="915"/>
      <c r="P409" s="915"/>
      <c r="Q409" s="915"/>
      <c r="R409" s="818"/>
      <c r="S409" s="916"/>
      <c r="T409" s="608"/>
      <c r="U409" s="3532"/>
      <c r="V409" s="3532"/>
      <c r="W409" s="1481"/>
      <c r="X409" s="1481"/>
      <c r="Y409" s="1481"/>
      <c r="Z409" s="1481"/>
      <c r="AA409" s="1481"/>
      <c r="AB409" s="1481"/>
      <c r="AC409" s="907"/>
      <c r="AD409" s="908"/>
      <c r="AE409" s="1481"/>
      <c r="AF409" s="1481"/>
      <c r="AG409" s="1481"/>
      <c r="AH409" s="1481"/>
      <c r="AI409" s="1481"/>
      <c r="AJ409" s="1481"/>
      <c r="AK409" s="1481"/>
      <c r="AL409" s="1481"/>
      <c r="AM409" s="1481"/>
      <c r="AN409" s="1481"/>
      <c r="AO409" s="1481"/>
      <c r="AP409" s="1481"/>
      <c r="AQ409" s="1481"/>
      <c r="AR409" s="1481"/>
      <c r="AS409" s="1481"/>
      <c r="AT409" s="1481"/>
      <c r="AU409" s="1481"/>
      <c r="AV409" s="1481"/>
      <c r="AW409" s="1481"/>
      <c r="AX409" s="1481"/>
      <c r="AY409" s="1481"/>
      <c r="AZ409" s="1481"/>
      <c r="BA409" s="1481"/>
      <c r="BB409" s="1481"/>
      <c r="BC409" s="1481"/>
      <c r="BD409" s="1481"/>
      <c r="BE409" s="1481"/>
      <c r="BF409" s="1481"/>
      <c r="BG409" s="1481"/>
      <c r="BH409" s="1481"/>
      <c r="BI409" s="1481"/>
      <c r="BJ409" s="1481"/>
      <c r="BK409" s="1481"/>
      <c r="BL409" s="1481"/>
      <c r="BM409" s="1481"/>
      <c r="BN409" s="1481"/>
      <c r="BO409" s="1481"/>
      <c r="BP409" s="1481"/>
      <c r="BQ409" s="1481"/>
      <c r="BR409" s="1481"/>
      <c r="BS409" s="1481"/>
      <c r="BT409" s="1481"/>
      <c r="BU409" s="1481"/>
      <c r="BV409" s="1481"/>
      <c r="BW409" s="1481"/>
      <c r="BX409" s="1481"/>
      <c r="BY409" s="1481"/>
      <c r="BZ409" s="1481"/>
      <c r="CA409" s="1481"/>
      <c r="CB409" s="1481"/>
      <c r="CC409" s="1481"/>
      <c r="CD409" s="1481"/>
      <c r="CE409" s="1481"/>
    </row>
    <row r="410" spans="1:83" ht="15" hidden="1" customHeight="1">
      <c r="A410" s="516" t="s">
        <v>242</v>
      </c>
      <c r="B410"/>
      <c r="C410" t="s">
        <v>18</v>
      </c>
      <c r="D410" s="3621" t="s">
        <v>923</v>
      </c>
      <c r="E410" s="3618" t="s">
        <v>102</v>
      </c>
      <c r="F410" s="3619"/>
      <c r="G410" s="3620"/>
      <c r="H410" s="3614" t="str">
        <f>IF(A410="","",INDEX(DIFFERENTIATION_UNMERGE_VD,MATCH(A410,DIFFERENTIATION_ID_DIFF,0)))</f>
        <v>Производство тепловой энергии. Некомбинированная выработка</v>
      </c>
      <c r="I410" s="3614"/>
      <c r="J410" s="3614"/>
      <c r="K410" s="3614"/>
      <c r="L410" s="3614"/>
      <c r="M410" s="3614"/>
      <c r="N410" s="3614"/>
      <c r="O410" s="3614"/>
      <c r="P410" s="3614"/>
      <c r="Q410" s="3614"/>
      <c r="R410" s="3614"/>
      <c r="S410" s="609"/>
      <c r="T410" s="606"/>
      <c r="U410" s="517"/>
      <c r="V410" s="517"/>
      <c r="W410" s="518"/>
      <c r="X410" s="518"/>
      <c r="Y410" s="518"/>
      <c r="Z410" s="518"/>
      <c r="AA410" s="519"/>
      <c r="AB410" s="520"/>
      <c r="AC410" s="3617"/>
      <c r="AD410" s="521"/>
      <c r="AE410" s="522" t="s">
        <v>18</v>
      </c>
      <c r="AF410" s="522"/>
      <c r="AG410" s="523" t="s">
        <v>874</v>
      </c>
      <c r="AH410" s="524">
        <v>3</v>
      </c>
      <c r="AI410" s="517"/>
      <c r="AJ410" s="517"/>
      <c r="AK410" s="517"/>
      <c r="AL410" s="517"/>
      <c r="AM410" s="517"/>
      <c r="AN410" s="517"/>
      <c r="AO410" s="517"/>
      <c r="AP410" s="517"/>
      <c r="AQ410" s="517"/>
      <c r="AR410" s="517"/>
      <c r="AS410" s="517"/>
      <c r="AT410" s="517"/>
      <c r="AU410" s="517"/>
      <c r="AV410" s="517"/>
      <c r="AW410" s="517"/>
      <c r="AX410" s="517"/>
      <c r="AY410" s="517"/>
      <c r="AZ410" s="517"/>
      <c r="BA410" s="517"/>
      <c r="BB410" s="517"/>
      <c r="BC410" s="517"/>
      <c r="BD410" s="517"/>
      <c r="BE410" s="517"/>
      <c r="BF410" s="517"/>
      <c r="BG410" s="517"/>
      <c r="BH410" s="517"/>
      <c r="BI410" s="517"/>
      <c r="BJ410" s="517"/>
      <c r="BK410" s="517"/>
      <c r="BL410" s="517"/>
      <c r="BM410" s="517"/>
      <c r="BN410" s="517"/>
      <c r="BO410" s="517"/>
      <c r="BP410" s="517"/>
      <c r="BQ410" s="517"/>
      <c r="BR410" s="517"/>
      <c r="BS410" s="517"/>
      <c r="BT410" s="517"/>
      <c r="BU410" s="517"/>
      <c r="BV410" s="518"/>
      <c r="BW410" s="518"/>
      <c r="BX410" s="518"/>
      <c r="BY410" s="518"/>
      <c r="BZ410" s="518"/>
      <c r="CA410" s="518"/>
      <c r="CB410" s="518"/>
      <c r="CC410" s="518"/>
      <c r="CD410" s="518"/>
      <c r="CE410" s="518"/>
    </row>
    <row r="411" spans="1:83" ht="15" hidden="1" customHeight="1">
      <c r="A411" s="516"/>
      <c r="B411"/>
      <c r="C411"/>
      <c r="D411" s="3622"/>
      <c r="E411" s="3618" t="s">
        <v>829</v>
      </c>
      <c r="F411" s="3619"/>
      <c r="G411" s="3620"/>
      <c r="H411" s="3614" t="str">
        <f>IF(A410="","",INDEX(DIFFERENTIATION_UNMERGE_AREA,MATCH(A410,DIFFERENTIATION_ID_DIFF,0)))</f>
        <v>Территория 1</v>
      </c>
      <c r="I411" s="3614"/>
      <c r="J411" s="3614"/>
      <c r="K411" s="3614"/>
      <c r="L411" s="3614"/>
      <c r="M411" s="3614"/>
      <c r="N411" s="3614"/>
      <c r="O411" s="3614"/>
      <c r="P411" s="3614"/>
      <c r="Q411" s="3614"/>
      <c r="R411" s="3614"/>
      <c r="S411" s="609"/>
      <c r="T411" s="606"/>
      <c r="U411" s="517"/>
      <c r="V411" s="517"/>
      <c r="W411" s="518"/>
      <c r="X411" s="518"/>
      <c r="Y411" s="518"/>
      <c r="Z411" s="518"/>
      <c r="AA411" s="519"/>
      <c r="AB411" s="520"/>
      <c r="AC411" s="3617"/>
      <c r="AD411" s="521"/>
      <c r="AE411" s="522"/>
      <c r="AF411" s="522"/>
      <c r="AG411" s="523"/>
      <c r="AH411" s="524"/>
      <c r="AI411" s="517"/>
      <c r="AJ411" s="517"/>
      <c r="AK411" s="517"/>
      <c r="AL411" s="517"/>
      <c r="AM411" s="517"/>
      <c r="AN411" s="517"/>
      <c r="AO411" s="517"/>
      <c r="AP411" s="517"/>
      <c r="AQ411" s="517"/>
      <c r="AR411" s="517"/>
      <c r="AS411" s="517"/>
      <c r="AT411" s="517"/>
      <c r="AU411" s="517"/>
      <c r="AV411" s="517"/>
      <c r="AW411" s="517"/>
      <c r="AX411" s="517"/>
      <c r="AY411" s="517"/>
      <c r="AZ411" s="517"/>
      <c r="BA411" s="517"/>
      <c r="BB411" s="517"/>
      <c r="BC411" s="517"/>
      <c r="BD411" s="517"/>
      <c r="BE411" s="517"/>
      <c r="BF411" s="517"/>
      <c r="BG411" s="517"/>
      <c r="BH411" s="517"/>
      <c r="BI411" s="517"/>
      <c r="BJ411" s="517"/>
      <c r="BK411" s="517"/>
      <c r="BL411" s="517"/>
      <c r="BM411" s="517"/>
      <c r="BN411" s="517"/>
      <c r="BO411" s="517"/>
      <c r="BP411" s="517"/>
      <c r="BQ411" s="517"/>
      <c r="BR411" s="517"/>
      <c r="BS411" s="517"/>
      <c r="BT411" s="517"/>
      <c r="BU411" s="517"/>
      <c r="BV411" s="518"/>
      <c r="BW411" s="518"/>
      <c r="BX411" s="518"/>
      <c r="BY411" s="518"/>
      <c r="BZ411" s="518"/>
      <c r="CA411" s="518"/>
      <c r="CB411" s="518"/>
      <c r="CC411" s="518"/>
      <c r="CD411" s="518"/>
      <c r="CE411" s="518"/>
    </row>
    <row r="412" spans="1:83" ht="15" hidden="1" customHeight="1">
      <c r="A412" s="516"/>
      <c r="B412"/>
      <c r="C412"/>
      <c r="D412" s="3622"/>
      <c r="E412" s="3618" t="s">
        <v>830</v>
      </c>
      <c r="F412" s="3619"/>
      <c r="G412" s="3620"/>
      <c r="H412" s="3614" t="str">
        <f>IF(A410="","",INDEX(DIFFERENTIATION_UNMERGE_SYSTEM,MATCH(A410,DIFFERENTIATION_ID_DIFF,0)))</f>
        <v>Спивака, 85</v>
      </c>
      <c r="I412" s="3614"/>
      <c r="J412" s="3614"/>
      <c r="K412" s="3614"/>
      <c r="L412" s="3614"/>
      <c r="M412" s="3614"/>
      <c r="N412" s="3614"/>
      <c r="O412" s="3614"/>
      <c r="P412" s="3614"/>
      <c r="Q412" s="3614"/>
      <c r="R412" s="3614"/>
      <c r="S412" s="609"/>
      <c r="T412" s="606"/>
      <c r="U412" s="517"/>
      <c r="V412" s="517"/>
      <c r="W412" s="518"/>
      <c r="X412" s="518"/>
      <c r="Y412" s="518"/>
      <c r="Z412" s="518"/>
      <c r="AA412" s="519"/>
      <c r="AB412" s="520"/>
      <c r="AC412" s="3617"/>
      <c r="AD412" s="521"/>
      <c r="AE412" s="522"/>
      <c r="AF412" s="522"/>
      <c r="AG412" s="523"/>
      <c r="AH412" s="524"/>
      <c r="AI412" s="517"/>
      <c r="AJ412" s="517"/>
      <c r="AK412" s="517"/>
      <c r="AL412" s="517"/>
      <c r="AM412" s="517"/>
      <c r="AN412" s="517"/>
      <c r="AO412" s="517"/>
      <c r="AP412" s="517"/>
      <c r="AQ412" s="517"/>
      <c r="AR412" s="517"/>
      <c r="AS412" s="517"/>
      <c r="AT412" s="517"/>
      <c r="AU412" s="517"/>
      <c r="AV412" s="517"/>
      <c r="AW412" s="517"/>
      <c r="AX412" s="517"/>
      <c r="AY412" s="517"/>
      <c r="AZ412" s="517"/>
      <c r="BA412" s="517"/>
      <c r="BB412" s="517"/>
      <c r="BC412" s="517"/>
      <c r="BD412" s="517"/>
      <c r="BE412" s="517"/>
      <c r="BF412" s="517"/>
      <c r="BG412" s="517"/>
      <c r="BH412" s="517"/>
      <c r="BI412" s="517"/>
      <c r="BJ412" s="517"/>
      <c r="BK412" s="517"/>
      <c r="BL412" s="517"/>
      <c r="BM412" s="517"/>
      <c r="BN412" s="517"/>
      <c r="BO412" s="517"/>
      <c r="BP412" s="517"/>
      <c r="BQ412" s="517"/>
      <c r="BR412" s="517"/>
      <c r="BS412" s="517"/>
      <c r="BT412" s="517"/>
      <c r="BU412" s="517"/>
      <c r="BV412" s="518"/>
      <c r="BW412" s="518"/>
      <c r="BX412" s="518"/>
      <c r="BY412" s="518"/>
      <c r="BZ412" s="518"/>
      <c r="CA412" s="518"/>
      <c r="CB412" s="518"/>
      <c r="CC412" s="518"/>
      <c r="CD412" s="518"/>
      <c r="CE412" s="518"/>
    </row>
    <row r="413" spans="1:83" ht="24.75" hidden="1" customHeight="1">
      <c r="A413" s="1649"/>
      <c r="B413" s="1023"/>
      <c r="C413" s="319"/>
      <c r="D413" s="3622"/>
      <c r="E413" s="3616" t="s">
        <v>875</v>
      </c>
      <c r="F413" s="3616"/>
      <c r="G413" s="3616"/>
      <c r="H413" s="3616"/>
      <c r="I413" s="3616"/>
      <c r="J413" s="3616"/>
      <c r="K413" s="3616"/>
      <c r="L413" s="3616"/>
      <c r="M413" s="3616"/>
      <c r="N413" s="3616"/>
      <c r="O413" s="3616"/>
      <c r="P413" s="3616"/>
      <c r="Q413" s="455">
        <f>SUMIF(T414:T415,"i",Q414:Q415)</f>
        <v>0</v>
      </c>
      <c r="R413" s="887"/>
      <c r="S413" s="1641" t="s">
        <v>876</v>
      </c>
      <c r="T413" s="607" t="s">
        <v>877</v>
      </c>
      <c r="U413" s="3532">
        <v>1</v>
      </c>
      <c r="V413" s="3532" t="s">
        <v>840</v>
      </c>
      <c r="W413" s="1023"/>
      <c r="X413" s="1023"/>
      <c r="Y413" s="1023"/>
      <c r="Z413" s="1023"/>
      <c r="AA413" s="1481"/>
      <c r="AB413" s="1023"/>
      <c r="AC413" s="3617"/>
      <c r="AD413" s="521"/>
      <c r="AE413" s="1023"/>
      <c r="AF413" s="1023"/>
      <c r="AG413" s="1481"/>
      <c r="AH413" s="1481"/>
      <c r="AI413" s="1481"/>
      <c r="AJ413" s="1481"/>
      <c r="AK413" s="1481"/>
      <c r="AL413" s="1481"/>
      <c r="AM413" s="1481"/>
      <c r="AN413" s="1481"/>
      <c r="AO413" s="1481"/>
      <c r="AP413" s="1481"/>
      <c r="AQ413" s="1481"/>
      <c r="AR413" s="1481"/>
      <c r="AS413" s="1481"/>
      <c r="AT413" s="1481"/>
      <c r="AU413" s="1481"/>
      <c r="AV413" s="1481"/>
      <c r="AW413" s="1481"/>
      <c r="AX413" s="1481"/>
      <c r="AY413" s="1481"/>
      <c r="AZ413" s="1481"/>
      <c r="BA413" s="1481"/>
      <c r="BB413" s="1481"/>
      <c r="BC413" s="1481"/>
      <c r="BD413" s="1481"/>
      <c r="BE413" s="1481"/>
      <c r="BF413" s="1481"/>
      <c r="BG413" s="1481"/>
      <c r="BH413" s="1481"/>
      <c r="BI413" s="1481"/>
      <c r="BJ413" s="1481"/>
      <c r="BK413" s="1481"/>
      <c r="BL413" s="1481"/>
      <c r="BM413" s="1481"/>
      <c r="BN413" s="1481"/>
      <c r="BO413" s="1481"/>
      <c r="BP413" s="1481"/>
      <c r="BQ413" s="1481"/>
      <c r="BR413" s="1481"/>
      <c r="BS413" s="1481"/>
      <c r="BT413" s="1481"/>
      <c r="BU413" s="1481"/>
      <c r="BV413" s="1023"/>
      <c r="BW413" s="1023"/>
      <c r="BX413" s="1023"/>
      <c r="BY413" s="1023"/>
      <c r="BZ413" s="1023"/>
      <c r="CA413" s="1023"/>
      <c r="CB413" s="1023"/>
      <c r="CC413" s="1023"/>
      <c r="CD413" s="1023"/>
      <c r="CE413" s="1023"/>
    </row>
    <row r="414" spans="1:83" ht="11.25" hidden="1" customHeight="1">
      <c r="A414" s="1636"/>
      <c r="B414" s="1481"/>
      <c r="C414" s="1481"/>
      <c r="D414" s="3622"/>
      <c r="E414" s="527"/>
      <c r="F414" s="527">
        <v>0</v>
      </c>
      <c r="G414" s="527"/>
      <c r="H414" s="527"/>
      <c r="I414" s="527"/>
      <c r="J414" s="527"/>
      <c r="K414" s="527"/>
      <c r="L414" s="527"/>
      <c r="M414" s="527"/>
      <c r="N414" s="527"/>
      <c r="O414" s="527"/>
      <c r="P414" s="527"/>
      <c r="Q414" s="527"/>
      <c r="R414" s="527"/>
      <c r="S414" s="528"/>
      <c r="T414" s="608"/>
      <c r="U414" s="3532"/>
      <c r="V414" s="3532"/>
      <c r="W414" s="1481"/>
      <c r="X414" s="1481"/>
      <c r="Y414" s="1481"/>
      <c r="Z414" s="1481"/>
      <c r="AA414" s="1481"/>
      <c r="AB414" s="1023"/>
      <c r="AC414" s="3617"/>
      <c r="AD414" s="521"/>
      <c r="AE414" s="1023"/>
      <c r="AF414" s="1023"/>
      <c r="AG414" s="1481"/>
      <c r="AH414" s="1481"/>
      <c r="AI414" s="1481"/>
      <c r="AJ414" s="1481"/>
      <c r="AK414" s="1481"/>
      <c r="AL414" s="1481"/>
      <c r="AM414" s="1481"/>
      <c r="AN414" s="1481"/>
      <c r="AO414" s="1481"/>
      <c r="AP414" s="1481"/>
      <c r="AQ414" s="1481"/>
      <c r="AR414" s="1481"/>
      <c r="AS414" s="1481"/>
      <c r="AT414" s="1481"/>
      <c r="AU414" s="1481"/>
      <c r="AV414" s="1481"/>
      <c r="AW414" s="1481"/>
      <c r="AX414" s="1481"/>
      <c r="AY414" s="1481"/>
      <c r="AZ414" s="1481"/>
      <c r="BA414" s="1481"/>
      <c r="BB414" s="1481"/>
      <c r="BC414" s="1481"/>
      <c r="BD414" s="1481"/>
      <c r="BE414" s="1481"/>
      <c r="BF414" s="1481"/>
      <c r="BG414" s="1481"/>
      <c r="BH414" s="1481"/>
      <c r="BI414" s="1481"/>
      <c r="BJ414" s="1481"/>
      <c r="BK414" s="1481"/>
      <c r="BL414" s="1481"/>
      <c r="BM414" s="1481"/>
      <c r="BN414" s="1481"/>
      <c r="BO414" s="1481"/>
      <c r="BP414" s="1481"/>
      <c r="BQ414" s="1481"/>
      <c r="BR414" s="1481"/>
      <c r="BS414" s="1481"/>
      <c r="BT414" s="1481"/>
      <c r="BU414" s="1481"/>
      <c r="BV414" s="1481"/>
      <c r="BW414" s="1481"/>
      <c r="BX414" s="1481"/>
      <c r="BY414" s="1481"/>
      <c r="BZ414" s="1481"/>
      <c r="CA414" s="1481"/>
      <c r="CB414" s="1481"/>
      <c r="CC414" s="1481"/>
      <c r="CD414" s="1481"/>
      <c r="CE414" s="1481"/>
    </row>
    <row r="415" spans="1:83" ht="11.25" hidden="1" customHeight="1">
      <c r="A415" s="1649"/>
      <c r="B415" s="1023"/>
      <c r="C415" s="319"/>
      <c r="D415" s="3622"/>
      <c r="E415" s="541" t="s">
        <v>18</v>
      </c>
      <c r="F415" s="1031" t="s">
        <v>18</v>
      </c>
      <c r="G415" s="1031" t="s">
        <v>880</v>
      </c>
      <c r="H415" s="543" t="s">
        <v>18</v>
      </c>
      <c r="I415" s="543"/>
      <c r="J415" s="543"/>
      <c r="K415" s="543"/>
      <c r="L415" s="543"/>
      <c r="M415" s="543"/>
      <c r="N415" s="543"/>
      <c r="O415" s="543"/>
      <c r="P415" s="543"/>
      <c r="Q415" s="543"/>
      <c r="R415" s="544"/>
      <c r="S415" s="545"/>
      <c r="T415" s="608"/>
      <c r="U415" s="3532"/>
      <c r="V415" s="3532"/>
      <c r="W415" s="1023"/>
      <c r="X415" s="1023"/>
      <c r="Y415" s="1023"/>
      <c r="Z415" s="1023"/>
      <c r="AA415" s="1481"/>
      <c r="AB415" s="1023"/>
      <c r="AC415" s="3617"/>
      <c r="AD415" s="521"/>
      <c r="AE415" s="1023"/>
      <c r="AF415" s="1023"/>
      <c r="AG415" s="1481"/>
      <c r="AH415" s="1481"/>
      <c r="AI415" s="1481"/>
      <c r="AJ415" s="1481"/>
      <c r="AK415" s="1481"/>
      <c r="AL415" s="1481"/>
      <c r="AM415" s="1481"/>
      <c r="AN415" s="1481"/>
      <c r="AO415" s="1481"/>
      <c r="AP415" s="1481"/>
      <c r="AQ415" s="1481"/>
      <c r="AR415" s="1481"/>
      <c r="AS415" s="1481"/>
      <c r="AT415" s="1481"/>
      <c r="AU415" s="1481"/>
      <c r="AV415" s="1481"/>
      <c r="AW415" s="1481"/>
      <c r="AX415" s="1481"/>
      <c r="AY415" s="1481"/>
      <c r="AZ415" s="1481"/>
      <c r="BA415" s="1481"/>
      <c r="BB415" s="1481"/>
      <c r="BC415" s="1481"/>
      <c r="BD415" s="1481"/>
      <c r="BE415" s="1481"/>
      <c r="BF415" s="1481"/>
      <c r="BG415" s="1481"/>
      <c r="BH415" s="1481"/>
      <c r="BI415" s="1481"/>
      <c r="BJ415" s="1481"/>
      <c r="BK415" s="1481"/>
      <c r="BL415" s="1481"/>
      <c r="BM415" s="1481"/>
      <c r="BN415" s="1481"/>
      <c r="BO415" s="1481"/>
      <c r="BP415" s="1481"/>
      <c r="BQ415" s="1481"/>
      <c r="BR415" s="1481"/>
      <c r="BS415" s="1481"/>
      <c r="BT415" s="1481"/>
      <c r="BU415" s="1481"/>
      <c r="BV415" s="1023"/>
      <c r="BW415" s="1023"/>
      <c r="BX415" s="1023"/>
      <c r="BY415" s="1023"/>
      <c r="BZ415" s="1023"/>
      <c r="CA415" s="1023"/>
      <c r="CB415" s="1023"/>
      <c r="CC415" s="1023"/>
      <c r="CD415" s="1023"/>
      <c r="CE415" s="1023"/>
    </row>
    <row r="416" spans="1:83" ht="5.25" hidden="1" customHeight="1">
      <c r="A416" s="1636"/>
      <c r="B416" s="1481"/>
      <c r="C416" s="1481"/>
      <c r="D416" s="3622"/>
      <c r="E416" s="909"/>
      <c r="F416" s="909"/>
      <c r="G416" s="909"/>
      <c r="H416" s="909"/>
      <c r="I416" s="909"/>
      <c r="J416" s="909"/>
      <c r="K416" s="909"/>
      <c r="L416" s="909"/>
      <c r="M416" s="909"/>
      <c r="N416" s="909"/>
      <c r="O416" s="909"/>
      <c r="P416" s="909"/>
      <c r="Q416" s="910"/>
      <c r="R416" s="911"/>
      <c r="S416" s="912"/>
      <c r="T416" s="607" t="s">
        <v>877</v>
      </c>
      <c r="U416" s="3532">
        <v>1</v>
      </c>
      <c r="V416" s="3532" t="s">
        <v>840</v>
      </c>
      <c r="W416" s="1481"/>
      <c r="X416" s="1481"/>
      <c r="Y416" s="1481"/>
      <c r="Z416" s="1481"/>
      <c r="AA416" s="1481"/>
      <c r="AB416" s="1481"/>
      <c r="AC416" s="907"/>
      <c r="AD416" s="908"/>
      <c r="AE416" s="1481"/>
      <c r="AF416" s="1481"/>
      <c r="AG416" s="1481"/>
      <c r="AH416" s="1481"/>
      <c r="AI416" s="1481"/>
      <c r="AJ416" s="1481"/>
      <c r="AK416" s="1481"/>
      <c r="AL416" s="1481"/>
      <c r="AM416" s="1481"/>
      <c r="AN416" s="1481"/>
      <c r="AO416" s="1481"/>
      <c r="AP416" s="1481"/>
      <c r="AQ416" s="1481"/>
      <c r="AR416" s="1481"/>
      <c r="AS416" s="1481"/>
      <c r="AT416" s="1481"/>
      <c r="AU416" s="1481"/>
      <c r="AV416" s="1481"/>
      <c r="AW416" s="1481"/>
      <c r="AX416" s="1481"/>
      <c r="AY416" s="1481"/>
      <c r="AZ416" s="1481"/>
      <c r="BA416" s="1481"/>
      <c r="BB416" s="1481"/>
      <c r="BC416" s="1481"/>
      <c r="BD416" s="1481"/>
      <c r="BE416" s="1481"/>
      <c r="BF416" s="1481"/>
      <c r="BG416" s="1481"/>
      <c r="BH416" s="1481"/>
      <c r="BI416" s="1481"/>
      <c r="BJ416" s="1481"/>
      <c r="BK416" s="1481"/>
      <c r="BL416" s="1481"/>
      <c r="BM416" s="1481"/>
      <c r="BN416" s="1481"/>
      <c r="BO416" s="1481"/>
      <c r="BP416" s="1481"/>
      <c r="BQ416" s="1481"/>
      <c r="BR416" s="1481"/>
      <c r="BS416" s="1481"/>
      <c r="BT416" s="1481"/>
      <c r="BU416" s="1481"/>
      <c r="BV416" s="1481"/>
      <c r="BW416" s="1481"/>
      <c r="BX416" s="1481"/>
      <c r="BY416" s="1481"/>
      <c r="BZ416" s="1481"/>
      <c r="CA416" s="1481"/>
      <c r="CB416" s="1481"/>
      <c r="CC416" s="1481"/>
      <c r="CD416" s="1481"/>
      <c r="CE416" s="1481"/>
    </row>
    <row r="417" spans="1:83" ht="5.25" hidden="1" customHeight="1">
      <c r="A417" s="1636"/>
      <c r="B417" s="1481"/>
      <c r="C417" s="1481"/>
      <c r="D417" s="3622"/>
      <c r="E417" s="527"/>
      <c r="F417" s="527"/>
      <c r="G417" s="527"/>
      <c r="H417" s="527"/>
      <c r="I417" s="527"/>
      <c r="J417" s="527"/>
      <c r="K417" s="527"/>
      <c r="L417" s="527"/>
      <c r="M417" s="527"/>
      <c r="N417" s="527"/>
      <c r="O417" s="527"/>
      <c r="P417" s="527"/>
      <c r="Q417" s="527"/>
      <c r="R417" s="527"/>
      <c r="S417" s="528"/>
      <c r="T417" s="608"/>
      <c r="U417" s="3532"/>
      <c r="V417" s="3532"/>
      <c r="W417" s="1481"/>
      <c r="X417" s="1481"/>
      <c r="Y417" s="1481"/>
      <c r="Z417" s="1481"/>
      <c r="AA417" s="1481"/>
      <c r="AB417" s="1481"/>
      <c r="AC417" s="907"/>
      <c r="AD417" s="908"/>
      <c r="AE417" s="1481"/>
      <c r="AF417" s="1481"/>
      <c r="AG417" s="1481"/>
      <c r="AH417" s="1481"/>
      <c r="AI417" s="1481"/>
      <c r="AJ417" s="1481"/>
      <c r="AK417" s="1481"/>
      <c r="AL417" s="1481"/>
      <c r="AM417" s="1481"/>
      <c r="AN417" s="1481"/>
      <c r="AO417" s="1481"/>
      <c r="AP417" s="1481"/>
      <c r="AQ417" s="1481"/>
      <c r="AR417" s="1481"/>
      <c r="AS417" s="1481"/>
      <c r="AT417" s="1481"/>
      <c r="AU417" s="1481"/>
      <c r="AV417" s="1481"/>
      <c r="AW417" s="1481"/>
      <c r="AX417" s="1481"/>
      <c r="AY417" s="1481"/>
      <c r="AZ417" s="1481"/>
      <c r="BA417" s="1481"/>
      <c r="BB417" s="1481"/>
      <c r="BC417" s="1481"/>
      <c r="BD417" s="1481"/>
      <c r="BE417" s="1481"/>
      <c r="BF417" s="1481"/>
      <c r="BG417" s="1481"/>
      <c r="BH417" s="1481"/>
      <c r="BI417" s="1481"/>
      <c r="BJ417" s="1481"/>
      <c r="BK417" s="1481"/>
      <c r="BL417" s="1481"/>
      <c r="BM417" s="1481"/>
      <c r="BN417" s="1481"/>
      <c r="BO417" s="1481"/>
      <c r="BP417" s="1481"/>
      <c r="BQ417" s="1481"/>
      <c r="BR417" s="1481"/>
      <c r="BS417" s="1481"/>
      <c r="BT417" s="1481"/>
      <c r="BU417" s="1481"/>
      <c r="BV417" s="1481"/>
      <c r="BW417" s="1481"/>
      <c r="BX417" s="1481"/>
      <c r="BY417" s="1481"/>
      <c r="BZ417" s="1481"/>
      <c r="CA417" s="1481"/>
      <c r="CB417" s="1481"/>
      <c r="CC417" s="1481"/>
      <c r="CD417" s="1481"/>
      <c r="CE417" s="1481"/>
    </row>
    <row r="418" spans="1:83" ht="5.25" hidden="1" customHeight="1">
      <c r="A418" s="1636"/>
      <c r="B418" s="1481"/>
      <c r="C418" s="1481"/>
      <c r="D418" s="3623"/>
      <c r="E418" s="913"/>
      <c r="F418" s="914"/>
      <c r="G418" s="914"/>
      <c r="H418" s="915"/>
      <c r="I418" s="915"/>
      <c r="J418" s="915"/>
      <c r="K418" s="915"/>
      <c r="L418" s="915"/>
      <c r="M418" s="915"/>
      <c r="N418" s="915"/>
      <c r="O418" s="915"/>
      <c r="P418" s="915"/>
      <c r="Q418" s="915"/>
      <c r="R418" s="818"/>
      <c r="S418" s="916"/>
      <c r="T418" s="608"/>
      <c r="U418" s="3532"/>
      <c r="V418" s="3532"/>
      <c r="W418" s="1481"/>
      <c r="X418" s="1481"/>
      <c r="Y418" s="1481"/>
      <c r="Z418" s="1481"/>
      <c r="AA418" s="1481"/>
      <c r="AB418" s="1481"/>
      <c r="AC418" s="907"/>
      <c r="AD418" s="908"/>
      <c r="AE418" s="1481"/>
      <c r="AF418" s="1481"/>
      <c r="AG418" s="1481"/>
      <c r="AH418" s="1481"/>
      <c r="AI418" s="1481"/>
      <c r="AJ418" s="1481"/>
      <c r="AK418" s="1481"/>
      <c r="AL418" s="1481"/>
      <c r="AM418" s="1481"/>
      <c r="AN418" s="1481"/>
      <c r="AO418" s="1481"/>
      <c r="AP418" s="1481"/>
      <c r="AQ418" s="1481"/>
      <c r="AR418" s="1481"/>
      <c r="AS418" s="1481"/>
      <c r="AT418" s="1481"/>
      <c r="AU418" s="1481"/>
      <c r="AV418" s="1481"/>
      <c r="AW418" s="1481"/>
      <c r="AX418" s="1481"/>
      <c r="AY418" s="1481"/>
      <c r="AZ418" s="1481"/>
      <c r="BA418" s="1481"/>
      <c r="BB418" s="1481"/>
      <c r="BC418" s="1481"/>
      <c r="BD418" s="1481"/>
      <c r="BE418" s="1481"/>
      <c r="BF418" s="1481"/>
      <c r="BG418" s="1481"/>
      <c r="BH418" s="1481"/>
      <c r="BI418" s="1481"/>
      <c r="BJ418" s="1481"/>
      <c r="BK418" s="1481"/>
      <c r="BL418" s="1481"/>
      <c r="BM418" s="1481"/>
      <c r="BN418" s="1481"/>
      <c r="BO418" s="1481"/>
      <c r="BP418" s="1481"/>
      <c r="BQ418" s="1481"/>
      <c r="BR418" s="1481"/>
      <c r="BS418" s="1481"/>
      <c r="BT418" s="1481"/>
      <c r="BU418" s="1481"/>
      <c r="BV418" s="1481"/>
      <c r="BW418" s="1481"/>
      <c r="BX418" s="1481"/>
      <c r="BY418" s="1481"/>
      <c r="BZ418" s="1481"/>
      <c r="CA418" s="1481"/>
      <c r="CB418" s="1481"/>
      <c r="CC418" s="1481"/>
      <c r="CD418" s="1481"/>
      <c r="CE418" s="1481"/>
    </row>
    <row r="419" spans="1:83" ht="15" hidden="1" customHeight="1">
      <c r="A419" s="516" t="s">
        <v>245</v>
      </c>
      <c r="B419"/>
      <c r="C419" t="s">
        <v>18</v>
      </c>
      <c r="D419" s="3621" t="s">
        <v>924</v>
      </c>
      <c r="E419" s="3618" t="s">
        <v>102</v>
      </c>
      <c r="F419" s="3619"/>
      <c r="G419" s="3620"/>
      <c r="H419" s="3614" t="str">
        <f>IF(A419="","",INDEX(DIFFERENTIATION_UNMERGE_VD,MATCH(A419,DIFFERENTIATION_ID_DIFF,0)))</f>
        <v>Производство тепловой энергии. Некомбинированная выработка</v>
      </c>
      <c r="I419" s="3614"/>
      <c r="J419" s="3614"/>
      <c r="K419" s="3614"/>
      <c r="L419" s="3614"/>
      <c r="M419" s="3614"/>
      <c r="N419" s="3614"/>
      <c r="O419" s="3614"/>
      <c r="P419" s="3614"/>
      <c r="Q419" s="3614"/>
      <c r="R419" s="3614"/>
      <c r="S419" s="609"/>
      <c r="T419" s="606"/>
      <c r="U419" s="517"/>
      <c r="V419" s="517"/>
      <c r="W419" s="518"/>
      <c r="X419" s="518"/>
      <c r="Y419" s="518"/>
      <c r="Z419" s="518"/>
      <c r="AA419" s="519"/>
      <c r="AB419" s="520"/>
      <c r="AC419" s="3617"/>
      <c r="AD419" s="521"/>
      <c r="AE419" s="522" t="s">
        <v>18</v>
      </c>
      <c r="AF419" s="522"/>
      <c r="AG419" s="523" t="s">
        <v>874</v>
      </c>
      <c r="AH419" s="524">
        <v>3</v>
      </c>
      <c r="AI419" s="517"/>
      <c r="AJ419" s="517"/>
      <c r="AK419" s="517"/>
      <c r="AL419" s="517"/>
      <c r="AM419" s="517"/>
      <c r="AN419" s="517"/>
      <c r="AO419" s="517"/>
      <c r="AP419" s="517"/>
      <c r="AQ419" s="517"/>
      <c r="AR419" s="517"/>
      <c r="AS419" s="517"/>
      <c r="AT419" s="517"/>
      <c r="AU419" s="517"/>
      <c r="AV419" s="517"/>
      <c r="AW419" s="517"/>
      <c r="AX419" s="517"/>
      <c r="AY419" s="517"/>
      <c r="AZ419" s="517"/>
      <c r="BA419" s="517"/>
      <c r="BB419" s="517"/>
      <c r="BC419" s="517"/>
      <c r="BD419" s="517"/>
      <c r="BE419" s="517"/>
      <c r="BF419" s="517"/>
      <c r="BG419" s="517"/>
      <c r="BH419" s="517"/>
      <c r="BI419" s="517"/>
      <c r="BJ419" s="517"/>
      <c r="BK419" s="517"/>
      <c r="BL419" s="517"/>
      <c r="BM419" s="517"/>
      <c r="BN419" s="517"/>
      <c r="BO419" s="517"/>
      <c r="BP419" s="517"/>
      <c r="BQ419" s="517"/>
      <c r="BR419" s="517"/>
      <c r="BS419" s="517"/>
      <c r="BT419" s="517"/>
      <c r="BU419" s="517"/>
      <c r="BV419" s="518"/>
      <c r="BW419" s="518"/>
      <c r="BX419" s="518"/>
      <c r="BY419" s="518"/>
      <c r="BZ419" s="518"/>
      <c r="CA419" s="518"/>
      <c r="CB419" s="518"/>
      <c r="CC419" s="518"/>
      <c r="CD419" s="518"/>
      <c r="CE419" s="518"/>
    </row>
    <row r="420" spans="1:83" ht="15" hidden="1" customHeight="1">
      <c r="A420" s="516"/>
      <c r="B420"/>
      <c r="C420"/>
      <c r="D420" s="3622"/>
      <c r="E420" s="3618" t="s">
        <v>829</v>
      </c>
      <c r="F420" s="3619"/>
      <c r="G420" s="3620"/>
      <c r="H420" s="3614" t="str">
        <f>IF(A419="","",INDEX(DIFFERENTIATION_UNMERGE_AREA,MATCH(A419,DIFFERENTIATION_ID_DIFF,0)))</f>
        <v>Территория 1</v>
      </c>
      <c r="I420" s="3614"/>
      <c r="J420" s="3614"/>
      <c r="K420" s="3614"/>
      <c r="L420" s="3614"/>
      <c r="M420" s="3614"/>
      <c r="N420" s="3614"/>
      <c r="O420" s="3614"/>
      <c r="P420" s="3614"/>
      <c r="Q420" s="3614"/>
      <c r="R420" s="3614"/>
      <c r="S420" s="609"/>
      <c r="T420" s="606"/>
      <c r="U420" s="517"/>
      <c r="V420" s="517"/>
      <c r="W420" s="518"/>
      <c r="X420" s="518"/>
      <c r="Y420" s="518"/>
      <c r="Z420" s="518"/>
      <c r="AA420" s="519"/>
      <c r="AB420" s="520"/>
      <c r="AC420" s="3617"/>
      <c r="AD420" s="521"/>
      <c r="AE420" s="522"/>
      <c r="AF420" s="522"/>
      <c r="AG420" s="523"/>
      <c r="AH420" s="524"/>
      <c r="AI420" s="517"/>
      <c r="AJ420" s="517"/>
      <c r="AK420" s="517"/>
      <c r="AL420" s="517"/>
      <c r="AM420" s="517"/>
      <c r="AN420" s="517"/>
      <c r="AO420" s="517"/>
      <c r="AP420" s="517"/>
      <c r="AQ420" s="517"/>
      <c r="AR420" s="517"/>
      <c r="AS420" s="517"/>
      <c r="AT420" s="517"/>
      <c r="AU420" s="517"/>
      <c r="AV420" s="517"/>
      <c r="AW420" s="517"/>
      <c r="AX420" s="517"/>
      <c r="AY420" s="517"/>
      <c r="AZ420" s="517"/>
      <c r="BA420" s="517"/>
      <c r="BB420" s="517"/>
      <c r="BC420" s="517"/>
      <c r="BD420" s="517"/>
      <c r="BE420" s="517"/>
      <c r="BF420" s="517"/>
      <c r="BG420" s="517"/>
      <c r="BH420" s="517"/>
      <c r="BI420" s="517"/>
      <c r="BJ420" s="517"/>
      <c r="BK420" s="517"/>
      <c r="BL420" s="517"/>
      <c r="BM420" s="517"/>
      <c r="BN420" s="517"/>
      <c r="BO420" s="517"/>
      <c r="BP420" s="517"/>
      <c r="BQ420" s="517"/>
      <c r="BR420" s="517"/>
      <c r="BS420" s="517"/>
      <c r="BT420" s="517"/>
      <c r="BU420" s="517"/>
      <c r="BV420" s="518"/>
      <c r="BW420" s="518"/>
      <c r="BX420" s="518"/>
      <c r="BY420" s="518"/>
      <c r="BZ420" s="518"/>
      <c r="CA420" s="518"/>
      <c r="CB420" s="518"/>
      <c r="CC420" s="518"/>
      <c r="CD420" s="518"/>
      <c r="CE420" s="518"/>
    </row>
    <row r="421" spans="1:83" ht="15" hidden="1" customHeight="1">
      <c r="A421" s="516"/>
      <c r="B421"/>
      <c r="C421"/>
      <c r="D421" s="3622"/>
      <c r="E421" s="3618" t="s">
        <v>830</v>
      </c>
      <c r="F421" s="3619"/>
      <c r="G421" s="3620"/>
      <c r="H421" s="3614" t="str">
        <f>IF(A419="","",INDEX(DIFFERENTIATION_UNMERGE_SYSTEM,MATCH(A419,DIFFERENTIATION_ID_DIFF,0)))</f>
        <v>Федотовой, 12</v>
      </c>
      <c r="I421" s="3614"/>
      <c r="J421" s="3614"/>
      <c r="K421" s="3614"/>
      <c r="L421" s="3614"/>
      <c r="M421" s="3614"/>
      <c r="N421" s="3614"/>
      <c r="O421" s="3614"/>
      <c r="P421" s="3614"/>
      <c r="Q421" s="3614"/>
      <c r="R421" s="3614"/>
      <c r="S421" s="609"/>
      <c r="T421" s="606"/>
      <c r="U421" s="517"/>
      <c r="V421" s="517"/>
      <c r="W421" s="518"/>
      <c r="X421" s="518"/>
      <c r="Y421" s="518"/>
      <c r="Z421" s="518"/>
      <c r="AA421" s="519"/>
      <c r="AB421" s="520"/>
      <c r="AC421" s="3617"/>
      <c r="AD421" s="521"/>
      <c r="AE421" s="522"/>
      <c r="AF421" s="522"/>
      <c r="AG421" s="523"/>
      <c r="AH421" s="524"/>
      <c r="AI421" s="517"/>
      <c r="AJ421" s="517"/>
      <c r="AK421" s="517"/>
      <c r="AL421" s="517"/>
      <c r="AM421" s="517"/>
      <c r="AN421" s="517"/>
      <c r="AO421" s="517"/>
      <c r="AP421" s="517"/>
      <c r="AQ421" s="517"/>
      <c r="AR421" s="517"/>
      <c r="AS421" s="517"/>
      <c r="AT421" s="517"/>
      <c r="AU421" s="517"/>
      <c r="AV421" s="517"/>
      <c r="AW421" s="517"/>
      <c r="AX421" s="517"/>
      <c r="AY421" s="517"/>
      <c r="AZ421" s="517"/>
      <c r="BA421" s="517"/>
      <c r="BB421" s="517"/>
      <c r="BC421" s="517"/>
      <c r="BD421" s="517"/>
      <c r="BE421" s="517"/>
      <c r="BF421" s="517"/>
      <c r="BG421" s="517"/>
      <c r="BH421" s="517"/>
      <c r="BI421" s="517"/>
      <c r="BJ421" s="517"/>
      <c r="BK421" s="517"/>
      <c r="BL421" s="517"/>
      <c r="BM421" s="517"/>
      <c r="BN421" s="517"/>
      <c r="BO421" s="517"/>
      <c r="BP421" s="517"/>
      <c r="BQ421" s="517"/>
      <c r="BR421" s="517"/>
      <c r="BS421" s="517"/>
      <c r="BT421" s="517"/>
      <c r="BU421" s="517"/>
      <c r="BV421" s="518"/>
      <c r="BW421" s="518"/>
      <c r="BX421" s="518"/>
      <c r="BY421" s="518"/>
      <c r="BZ421" s="518"/>
      <c r="CA421" s="518"/>
      <c r="CB421" s="518"/>
      <c r="CC421" s="518"/>
      <c r="CD421" s="518"/>
      <c r="CE421" s="518"/>
    </row>
    <row r="422" spans="1:83" ht="24.75" hidden="1" customHeight="1">
      <c r="A422" s="1649"/>
      <c r="B422" s="1023"/>
      <c r="C422" s="319"/>
      <c r="D422" s="3622"/>
      <c r="E422" s="3616" t="s">
        <v>875</v>
      </c>
      <c r="F422" s="3616"/>
      <c r="G422" s="3616"/>
      <c r="H422" s="3616"/>
      <c r="I422" s="3616"/>
      <c r="J422" s="3616"/>
      <c r="K422" s="3616"/>
      <c r="L422" s="3616"/>
      <c r="M422" s="3616"/>
      <c r="N422" s="3616"/>
      <c r="O422" s="3616"/>
      <c r="P422" s="3616"/>
      <c r="Q422" s="455">
        <f>SUMIF(T423:T424,"i",Q423:Q424)</f>
        <v>0</v>
      </c>
      <c r="R422" s="887"/>
      <c r="S422" s="1641" t="s">
        <v>876</v>
      </c>
      <c r="T422" s="607" t="s">
        <v>877</v>
      </c>
      <c r="U422" s="3532">
        <v>1</v>
      </c>
      <c r="V422" s="3532" t="s">
        <v>840</v>
      </c>
      <c r="W422" s="1023"/>
      <c r="X422" s="1023"/>
      <c r="Y422" s="1023"/>
      <c r="Z422" s="1023"/>
      <c r="AA422" s="1481"/>
      <c r="AB422" s="1023"/>
      <c r="AC422" s="3617"/>
      <c r="AD422" s="521"/>
      <c r="AE422" s="1023"/>
      <c r="AF422" s="1023"/>
      <c r="AG422" s="1481"/>
      <c r="AH422" s="1481"/>
      <c r="AI422" s="1481"/>
      <c r="AJ422" s="1481"/>
      <c r="AK422" s="1481"/>
      <c r="AL422" s="1481"/>
      <c r="AM422" s="1481"/>
      <c r="AN422" s="1481"/>
      <c r="AO422" s="1481"/>
      <c r="AP422" s="1481"/>
      <c r="AQ422" s="1481"/>
      <c r="AR422" s="1481"/>
      <c r="AS422" s="1481"/>
      <c r="AT422" s="1481"/>
      <c r="AU422" s="1481"/>
      <c r="AV422" s="1481"/>
      <c r="AW422" s="1481"/>
      <c r="AX422" s="1481"/>
      <c r="AY422" s="1481"/>
      <c r="AZ422" s="1481"/>
      <c r="BA422" s="1481"/>
      <c r="BB422" s="1481"/>
      <c r="BC422" s="1481"/>
      <c r="BD422" s="1481"/>
      <c r="BE422" s="1481"/>
      <c r="BF422" s="1481"/>
      <c r="BG422" s="1481"/>
      <c r="BH422" s="1481"/>
      <c r="BI422" s="1481"/>
      <c r="BJ422" s="1481"/>
      <c r="BK422" s="1481"/>
      <c r="BL422" s="1481"/>
      <c r="BM422" s="1481"/>
      <c r="BN422" s="1481"/>
      <c r="BO422" s="1481"/>
      <c r="BP422" s="1481"/>
      <c r="BQ422" s="1481"/>
      <c r="BR422" s="1481"/>
      <c r="BS422" s="1481"/>
      <c r="BT422" s="1481"/>
      <c r="BU422" s="1481"/>
      <c r="BV422" s="1023"/>
      <c r="BW422" s="1023"/>
      <c r="BX422" s="1023"/>
      <c r="BY422" s="1023"/>
      <c r="BZ422" s="1023"/>
      <c r="CA422" s="1023"/>
      <c r="CB422" s="1023"/>
      <c r="CC422" s="1023"/>
      <c r="CD422" s="1023"/>
      <c r="CE422" s="1023"/>
    </row>
    <row r="423" spans="1:83" ht="11.25" hidden="1" customHeight="1">
      <c r="A423" s="1636"/>
      <c r="B423" s="1481"/>
      <c r="C423" s="1481"/>
      <c r="D423" s="3622"/>
      <c r="E423" s="527"/>
      <c r="F423" s="527">
        <v>0</v>
      </c>
      <c r="G423" s="527"/>
      <c r="H423" s="527"/>
      <c r="I423" s="527"/>
      <c r="J423" s="527"/>
      <c r="K423" s="527"/>
      <c r="L423" s="527"/>
      <c r="M423" s="527"/>
      <c r="N423" s="527"/>
      <c r="O423" s="527"/>
      <c r="P423" s="527"/>
      <c r="Q423" s="527"/>
      <c r="R423" s="527"/>
      <c r="S423" s="528"/>
      <c r="T423" s="608"/>
      <c r="U423" s="3532"/>
      <c r="V423" s="3532"/>
      <c r="W423" s="1481"/>
      <c r="X423" s="1481"/>
      <c r="Y423" s="1481"/>
      <c r="Z423" s="1481"/>
      <c r="AA423" s="1481"/>
      <c r="AB423" s="1023"/>
      <c r="AC423" s="3617"/>
      <c r="AD423" s="521"/>
      <c r="AE423" s="1023"/>
      <c r="AF423" s="1023"/>
      <c r="AG423" s="1481"/>
      <c r="AH423" s="1481"/>
      <c r="AI423" s="1481"/>
      <c r="AJ423" s="1481"/>
      <c r="AK423" s="1481"/>
      <c r="AL423" s="1481"/>
      <c r="AM423" s="1481"/>
      <c r="AN423" s="1481"/>
      <c r="AO423" s="1481"/>
      <c r="AP423" s="1481"/>
      <c r="AQ423" s="1481"/>
      <c r="AR423" s="1481"/>
      <c r="AS423" s="1481"/>
      <c r="AT423" s="1481"/>
      <c r="AU423" s="1481"/>
      <c r="AV423" s="1481"/>
      <c r="AW423" s="1481"/>
      <c r="AX423" s="1481"/>
      <c r="AY423" s="1481"/>
      <c r="AZ423" s="1481"/>
      <c r="BA423" s="1481"/>
      <c r="BB423" s="1481"/>
      <c r="BC423" s="1481"/>
      <c r="BD423" s="1481"/>
      <c r="BE423" s="1481"/>
      <c r="BF423" s="1481"/>
      <c r="BG423" s="1481"/>
      <c r="BH423" s="1481"/>
      <c r="BI423" s="1481"/>
      <c r="BJ423" s="1481"/>
      <c r="BK423" s="1481"/>
      <c r="BL423" s="1481"/>
      <c r="BM423" s="1481"/>
      <c r="BN423" s="1481"/>
      <c r="BO423" s="1481"/>
      <c r="BP423" s="1481"/>
      <c r="BQ423" s="1481"/>
      <c r="BR423" s="1481"/>
      <c r="BS423" s="1481"/>
      <c r="BT423" s="1481"/>
      <c r="BU423" s="1481"/>
      <c r="BV423" s="1481"/>
      <c r="BW423" s="1481"/>
      <c r="BX423" s="1481"/>
      <c r="BY423" s="1481"/>
      <c r="BZ423" s="1481"/>
      <c r="CA423" s="1481"/>
      <c r="CB423" s="1481"/>
      <c r="CC423" s="1481"/>
      <c r="CD423" s="1481"/>
      <c r="CE423" s="1481"/>
    </row>
    <row r="424" spans="1:83" ht="11.25" hidden="1" customHeight="1">
      <c r="A424" s="1649"/>
      <c r="B424" s="1023"/>
      <c r="C424" s="319"/>
      <c r="D424" s="3622"/>
      <c r="E424" s="541" t="s">
        <v>18</v>
      </c>
      <c r="F424" s="1031" t="s">
        <v>18</v>
      </c>
      <c r="G424" s="1031" t="s">
        <v>880</v>
      </c>
      <c r="H424" s="543" t="s">
        <v>18</v>
      </c>
      <c r="I424" s="543"/>
      <c r="J424" s="543"/>
      <c r="K424" s="543"/>
      <c r="L424" s="543"/>
      <c r="M424" s="543"/>
      <c r="N424" s="543"/>
      <c r="O424" s="543"/>
      <c r="P424" s="543"/>
      <c r="Q424" s="543"/>
      <c r="R424" s="544"/>
      <c r="S424" s="545"/>
      <c r="T424" s="608"/>
      <c r="U424" s="3532"/>
      <c r="V424" s="3532"/>
      <c r="W424" s="1023"/>
      <c r="X424" s="1023"/>
      <c r="Y424" s="1023"/>
      <c r="Z424" s="1023"/>
      <c r="AA424" s="1481"/>
      <c r="AB424" s="1023"/>
      <c r="AC424" s="3617"/>
      <c r="AD424" s="521"/>
      <c r="AE424" s="1023"/>
      <c r="AF424" s="1023"/>
      <c r="AG424" s="1481"/>
      <c r="AH424" s="1481"/>
      <c r="AI424" s="1481"/>
      <c r="AJ424" s="1481"/>
      <c r="AK424" s="1481"/>
      <c r="AL424" s="1481"/>
      <c r="AM424" s="1481"/>
      <c r="AN424" s="1481"/>
      <c r="AO424" s="1481"/>
      <c r="AP424" s="1481"/>
      <c r="AQ424" s="1481"/>
      <c r="AR424" s="1481"/>
      <c r="AS424" s="1481"/>
      <c r="AT424" s="1481"/>
      <c r="AU424" s="1481"/>
      <c r="AV424" s="1481"/>
      <c r="AW424" s="1481"/>
      <c r="AX424" s="1481"/>
      <c r="AY424" s="1481"/>
      <c r="AZ424" s="1481"/>
      <c r="BA424" s="1481"/>
      <c r="BB424" s="1481"/>
      <c r="BC424" s="1481"/>
      <c r="BD424" s="1481"/>
      <c r="BE424" s="1481"/>
      <c r="BF424" s="1481"/>
      <c r="BG424" s="1481"/>
      <c r="BH424" s="1481"/>
      <c r="BI424" s="1481"/>
      <c r="BJ424" s="1481"/>
      <c r="BK424" s="1481"/>
      <c r="BL424" s="1481"/>
      <c r="BM424" s="1481"/>
      <c r="BN424" s="1481"/>
      <c r="BO424" s="1481"/>
      <c r="BP424" s="1481"/>
      <c r="BQ424" s="1481"/>
      <c r="BR424" s="1481"/>
      <c r="BS424" s="1481"/>
      <c r="BT424" s="1481"/>
      <c r="BU424" s="1481"/>
      <c r="BV424" s="1023"/>
      <c r="BW424" s="1023"/>
      <c r="BX424" s="1023"/>
      <c r="BY424" s="1023"/>
      <c r="BZ424" s="1023"/>
      <c r="CA424" s="1023"/>
      <c r="CB424" s="1023"/>
      <c r="CC424" s="1023"/>
      <c r="CD424" s="1023"/>
      <c r="CE424" s="1023"/>
    </row>
    <row r="425" spans="1:83" ht="5.25" hidden="1" customHeight="1">
      <c r="A425" s="1636"/>
      <c r="B425" s="1481"/>
      <c r="C425" s="1481"/>
      <c r="D425" s="3622"/>
      <c r="E425" s="909"/>
      <c r="F425" s="909"/>
      <c r="G425" s="909"/>
      <c r="H425" s="909"/>
      <c r="I425" s="909"/>
      <c r="J425" s="909"/>
      <c r="K425" s="909"/>
      <c r="L425" s="909"/>
      <c r="M425" s="909"/>
      <c r="N425" s="909"/>
      <c r="O425" s="909"/>
      <c r="P425" s="909"/>
      <c r="Q425" s="910"/>
      <c r="R425" s="911"/>
      <c r="S425" s="912"/>
      <c r="T425" s="607" t="s">
        <v>877</v>
      </c>
      <c r="U425" s="3532">
        <v>1</v>
      </c>
      <c r="V425" s="3532" t="s">
        <v>840</v>
      </c>
      <c r="W425" s="1481"/>
      <c r="X425" s="1481"/>
      <c r="Y425" s="1481"/>
      <c r="Z425" s="1481"/>
      <c r="AA425" s="1481"/>
      <c r="AB425" s="1481"/>
      <c r="AC425" s="907"/>
      <c r="AD425" s="908"/>
      <c r="AE425" s="1481"/>
      <c r="AF425" s="1481"/>
      <c r="AG425" s="1481"/>
      <c r="AH425" s="1481"/>
      <c r="AI425" s="1481"/>
      <c r="AJ425" s="1481"/>
      <c r="AK425" s="1481"/>
      <c r="AL425" s="1481"/>
      <c r="AM425" s="1481"/>
      <c r="AN425" s="1481"/>
      <c r="AO425" s="1481"/>
      <c r="AP425" s="1481"/>
      <c r="AQ425" s="1481"/>
      <c r="AR425" s="1481"/>
      <c r="AS425" s="1481"/>
      <c r="AT425" s="1481"/>
      <c r="AU425" s="1481"/>
      <c r="AV425" s="1481"/>
      <c r="AW425" s="1481"/>
      <c r="AX425" s="1481"/>
      <c r="AY425" s="1481"/>
      <c r="AZ425" s="1481"/>
      <c r="BA425" s="1481"/>
      <c r="BB425" s="1481"/>
      <c r="BC425" s="1481"/>
      <c r="BD425" s="1481"/>
      <c r="BE425" s="1481"/>
      <c r="BF425" s="1481"/>
      <c r="BG425" s="1481"/>
      <c r="BH425" s="1481"/>
      <c r="BI425" s="1481"/>
      <c r="BJ425" s="1481"/>
      <c r="BK425" s="1481"/>
      <c r="BL425" s="1481"/>
      <c r="BM425" s="1481"/>
      <c r="BN425" s="1481"/>
      <c r="BO425" s="1481"/>
      <c r="BP425" s="1481"/>
      <c r="BQ425" s="1481"/>
      <c r="BR425" s="1481"/>
      <c r="BS425" s="1481"/>
      <c r="BT425" s="1481"/>
      <c r="BU425" s="1481"/>
      <c r="BV425" s="1481"/>
      <c r="BW425" s="1481"/>
      <c r="BX425" s="1481"/>
      <c r="BY425" s="1481"/>
      <c r="BZ425" s="1481"/>
      <c r="CA425" s="1481"/>
      <c r="CB425" s="1481"/>
      <c r="CC425" s="1481"/>
      <c r="CD425" s="1481"/>
      <c r="CE425" s="1481"/>
    </row>
    <row r="426" spans="1:83" ht="5.25" hidden="1" customHeight="1">
      <c r="A426" s="1636"/>
      <c r="B426" s="1481"/>
      <c r="C426" s="1481"/>
      <c r="D426" s="3622"/>
      <c r="E426" s="527"/>
      <c r="F426" s="527"/>
      <c r="G426" s="527"/>
      <c r="H426" s="527"/>
      <c r="I426" s="527"/>
      <c r="J426" s="527"/>
      <c r="K426" s="527"/>
      <c r="L426" s="527"/>
      <c r="M426" s="527"/>
      <c r="N426" s="527"/>
      <c r="O426" s="527"/>
      <c r="P426" s="527"/>
      <c r="Q426" s="527"/>
      <c r="R426" s="527"/>
      <c r="S426" s="528"/>
      <c r="T426" s="608"/>
      <c r="U426" s="3532"/>
      <c r="V426" s="3532"/>
      <c r="W426" s="1481"/>
      <c r="X426" s="1481"/>
      <c r="Y426" s="1481"/>
      <c r="Z426" s="1481"/>
      <c r="AA426" s="1481"/>
      <c r="AB426" s="1481"/>
      <c r="AC426" s="907"/>
      <c r="AD426" s="908"/>
      <c r="AE426" s="1481"/>
      <c r="AF426" s="1481"/>
      <c r="AG426" s="1481"/>
      <c r="AH426" s="1481"/>
      <c r="AI426" s="1481"/>
      <c r="AJ426" s="1481"/>
      <c r="AK426" s="1481"/>
      <c r="AL426" s="1481"/>
      <c r="AM426" s="1481"/>
      <c r="AN426" s="1481"/>
      <c r="AO426" s="1481"/>
      <c r="AP426" s="1481"/>
      <c r="AQ426" s="1481"/>
      <c r="AR426" s="1481"/>
      <c r="AS426" s="1481"/>
      <c r="AT426" s="1481"/>
      <c r="AU426" s="1481"/>
      <c r="AV426" s="1481"/>
      <c r="AW426" s="1481"/>
      <c r="AX426" s="1481"/>
      <c r="AY426" s="1481"/>
      <c r="AZ426" s="1481"/>
      <c r="BA426" s="1481"/>
      <c r="BB426" s="1481"/>
      <c r="BC426" s="1481"/>
      <c r="BD426" s="1481"/>
      <c r="BE426" s="1481"/>
      <c r="BF426" s="1481"/>
      <c r="BG426" s="1481"/>
      <c r="BH426" s="1481"/>
      <c r="BI426" s="1481"/>
      <c r="BJ426" s="1481"/>
      <c r="BK426" s="1481"/>
      <c r="BL426" s="1481"/>
      <c r="BM426" s="1481"/>
      <c r="BN426" s="1481"/>
      <c r="BO426" s="1481"/>
      <c r="BP426" s="1481"/>
      <c r="BQ426" s="1481"/>
      <c r="BR426" s="1481"/>
      <c r="BS426" s="1481"/>
      <c r="BT426" s="1481"/>
      <c r="BU426" s="1481"/>
      <c r="BV426" s="1481"/>
      <c r="BW426" s="1481"/>
      <c r="BX426" s="1481"/>
      <c r="BY426" s="1481"/>
      <c r="BZ426" s="1481"/>
      <c r="CA426" s="1481"/>
      <c r="CB426" s="1481"/>
      <c r="CC426" s="1481"/>
      <c r="CD426" s="1481"/>
      <c r="CE426" s="1481"/>
    </row>
    <row r="427" spans="1:83" ht="5.25" hidden="1" customHeight="1">
      <c r="A427" s="1636"/>
      <c r="B427" s="1481"/>
      <c r="C427" s="1481"/>
      <c r="D427" s="3623"/>
      <c r="E427" s="913"/>
      <c r="F427" s="914"/>
      <c r="G427" s="914"/>
      <c r="H427" s="915"/>
      <c r="I427" s="915"/>
      <c r="J427" s="915"/>
      <c r="K427" s="915"/>
      <c r="L427" s="915"/>
      <c r="M427" s="915"/>
      <c r="N427" s="915"/>
      <c r="O427" s="915"/>
      <c r="P427" s="915"/>
      <c r="Q427" s="915"/>
      <c r="R427" s="818"/>
      <c r="S427" s="916"/>
      <c r="T427" s="608"/>
      <c r="U427" s="3532"/>
      <c r="V427" s="3532"/>
      <c r="W427" s="1481"/>
      <c r="X427" s="1481"/>
      <c r="Y427" s="1481"/>
      <c r="Z427" s="1481"/>
      <c r="AA427" s="1481"/>
      <c r="AB427" s="1481"/>
      <c r="AC427" s="907"/>
      <c r="AD427" s="908"/>
      <c r="AE427" s="1481"/>
      <c r="AF427" s="1481"/>
      <c r="AG427" s="1481"/>
      <c r="AH427" s="1481"/>
      <c r="AI427" s="1481"/>
      <c r="AJ427" s="1481"/>
      <c r="AK427" s="1481"/>
      <c r="AL427" s="1481"/>
      <c r="AM427" s="1481"/>
      <c r="AN427" s="1481"/>
      <c r="AO427" s="1481"/>
      <c r="AP427" s="1481"/>
      <c r="AQ427" s="1481"/>
      <c r="AR427" s="1481"/>
      <c r="AS427" s="1481"/>
      <c r="AT427" s="1481"/>
      <c r="AU427" s="1481"/>
      <c r="AV427" s="1481"/>
      <c r="AW427" s="1481"/>
      <c r="AX427" s="1481"/>
      <c r="AY427" s="1481"/>
      <c r="AZ427" s="1481"/>
      <c r="BA427" s="1481"/>
      <c r="BB427" s="1481"/>
      <c r="BC427" s="1481"/>
      <c r="BD427" s="1481"/>
      <c r="BE427" s="1481"/>
      <c r="BF427" s="1481"/>
      <c r="BG427" s="1481"/>
      <c r="BH427" s="1481"/>
      <c r="BI427" s="1481"/>
      <c r="BJ427" s="1481"/>
      <c r="BK427" s="1481"/>
      <c r="BL427" s="1481"/>
      <c r="BM427" s="1481"/>
      <c r="BN427" s="1481"/>
      <c r="BO427" s="1481"/>
      <c r="BP427" s="1481"/>
      <c r="BQ427" s="1481"/>
      <c r="BR427" s="1481"/>
      <c r="BS427" s="1481"/>
      <c r="BT427" s="1481"/>
      <c r="BU427" s="1481"/>
      <c r="BV427" s="1481"/>
      <c r="BW427" s="1481"/>
      <c r="BX427" s="1481"/>
      <c r="BY427" s="1481"/>
      <c r="BZ427" s="1481"/>
      <c r="CA427" s="1481"/>
      <c r="CB427" s="1481"/>
      <c r="CC427" s="1481"/>
      <c r="CD427" s="1481"/>
      <c r="CE427" s="1481"/>
    </row>
    <row r="428" spans="1:83" ht="15" hidden="1" customHeight="1">
      <c r="A428" s="516" t="s">
        <v>248</v>
      </c>
      <c r="B428"/>
      <c r="C428" t="s">
        <v>18</v>
      </c>
      <c r="D428" s="3621" t="s">
        <v>925</v>
      </c>
      <c r="E428" s="3618" t="s">
        <v>102</v>
      </c>
      <c r="F428" s="3619"/>
      <c r="G428" s="3620"/>
      <c r="H428" s="3614" t="str">
        <f>IF(A428="","",INDEX(DIFFERENTIATION_UNMERGE_VD,MATCH(A428,DIFFERENTIATION_ID_DIFF,0)))</f>
        <v>Производство тепловой энергии. Некомбинированная выработка</v>
      </c>
      <c r="I428" s="3614"/>
      <c r="J428" s="3614"/>
      <c r="K428" s="3614"/>
      <c r="L428" s="3614"/>
      <c r="M428" s="3614"/>
      <c r="N428" s="3614"/>
      <c r="O428" s="3614"/>
      <c r="P428" s="3614"/>
      <c r="Q428" s="3614"/>
      <c r="R428" s="3614"/>
      <c r="S428" s="609"/>
      <c r="T428" s="606"/>
      <c r="U428" s="517"/>
      <c r="V428" s="517"/>
      <c r="W428" s="518"/>
      <c r="X428" s="518"/>
      <c r="Y428" s="518"/>
      <c r="Z428" s="518"/>
      <c r="AA428" s="519"/>
      <c r="AB428" s="520"/>
      <c r="AC428" s="3617"/>
      <c r="AD428" s="521"/>
      <c r="AE428" s="522" t="s">
        <v>18</v>
      </c>
      <c r="AF428" s="522"/>
      <c r="AG428" s="523" t="s">
        <v>874</v>
      </c>
      <c r="AH428" s="524">
        <v>3</v>
      </c>
      <c r="AI428" s="517"/>
      <c r="AJ428" s="517"/>
      <c r="AK428" s="517"/>
      <c r="AL428" s="517"/>
      <c r="AM428" s="517"/>
      <c r="AN428" s="517"/>
      <c r="AO428" s="517"/>
      <c r="AP428" s="517"/>
      <c r="AQ428" s="517"/>
      <c r="AR428" s="517"/>
      <c r="AS428" s="517"/>
      <c r="AT428" s="517"/>
      <c r="AU428" s="517"/>
      <c r="AV428" s="517"/>
      <c r="AW428" s="517"/>
      <c r="AX428" s="517"/>
      <c r="AY428" s="517"/>
      <c r="AZ428" s="517"/>
      <c r="BA428" s="517"/>
      <c r="BB428" s="517"/>
      <c r="BC428" s="517"/>
      <c r="BD428" s="517"/>
      <c r="BE428" s="517"/>
      <c r="BF428" s="517"/>
      <c r="BG428" s="517"/>
      <c r="BH428" s="517"/>
      <c r="BI428" s="517"/>
      <c r="BJ428" s="517"/>
      <c r="BK428" s="517"/>
      <c r="BL428" s="517"/>
      <c r="BM428" s="517"/>
      <c r="BN428" s="517"/>
      <c r="BO428" s="517"/>
      <c r="BP428" s="517"/>
      <c r="BQ428" s="517"/>
      <c r="BR428" s="517"/>
      <c r="BS428" s="517"/>
      <c r="BT428" s="517"/>
      <c r="BU428" s="517"/>
      <c r="BV428" s="518"/>
      <c r="BW428" s="518"/>
      <c r="BX428" s="518"/>
      <c r="BY428" s="518"/>
      <c r="BZ428" s="518"/>
      <c r="CA428" s="518"/>
      <c r="CB428" s="518"/>
      <c r="CC428" s="518"/>
      <c r="CD428" s="518"/>
      <c r="CE428" s="518"/>
    </row>
    <row r="429" spans="1:83" ht="15" hidden="1" customHeight="1">
      <c r="A429" s="516"/>
      <c r="B429"/>
      <c r="C429"/>
      <c r="D429" s="3622"/>
      <c r="E429" s="3618" t="s">
        <v>829</v>
      </c>
      <c r="F429" s="3619"/>
      <c r="G429" s="3620"/>
      <c r="H429" s="3614" t="str">
        <f>IF(A428="","",INDEX(DIFFERENTIATION_UNMERGE_AREA,MATCH(A428,DIFFERENTIATION_ID_DIFF,0)))</f>
        <v>Территория 1</v>
      </c>
      <c r="I429" s="3614"/>
      <c r="J429" s="3614"/>
      <c r="K429" s="3614"/>
      <c r="L429" s="3614"/>
      <c r="M429" s="3614"/>
      <c r="N429" s="3614"/>
      <c r="O429" s="3614"/>
      <c r="P429" s="3614"/>
      <c r="Q429" s="3614"/>
      <c r="R429" s="3614"/>
      <c r="S429" s="609"/>
      <c r="T429" s="606"/>
      <c r="U429" s="517"/>
      <c r="V429" s="517"/>
      <c r="W429" s="518"/>
      <c r="X429" s="518"/>
      <c r="Y429" s="518"/>
      <c r="Z429" s="518"/>
      <c r="AA429" s="519"/>
      <c r="AB429" s="520"/>
      <c r="AC429" s="3617"/>
      <c r="AD429" s="521"/>
      <c r="AE429" s="522"/>
      <c r="AF429" s="522"/>
      <c r="AG429" s="523"/>
      <c r="AH429" s="524"/>
      <c r="AI429" s="517"/>
      <c r="AJ429" s="517"/>
      <c r="AK429" s="517"/>
      <c r="AL429" s="517"/>
      <c r="AM429" s="517"/>
      <c r="AN429" s="517"/>
      <c r="AO429" s="517"/>
      <c r="AP429" s="517"/>
      <c r="AQ429" s="517"/>
      <c r="AR429" s="517"/>
      <c r="AS429" s="517"/>
      <c r="AT429" s="517"/>
      <c r="AU429" s="517"/>
      <c r="AV429" s="517"/>
      <c r="AW429" s="517"/>
      <c r="AX429" s="517"/>
      <c r="AY429" s="517"/>
      <c r="AZ429" s="517"/>
      <c r="BA429" s="517"/>
      <c r="BB429" s="517"/>
      <c r="BC429" s="517"/>
      <c r="BD429" s="517"/>
      <c r="BE429" s="517"/>
      <c r="BF429" s="517"/>
      <c r="BG429" s="517"/>
      <c r="BH429" s="517"/>
      <c r="BI429" s="517"/>
      <c r="BJ429" s="517"/>
      <c r="BK429" s="517"/>
      <c r="BL429" s="517"/>
      <c r="BM429" s="517"/>
      <c r="BN429" s="517"/>
      <c r="BO429" s="517"/>
      <c r="BP429" s="517"/>
      <c r="BQ429" s="517"/>
      <c r="BR429" s="517"/>
      <c r="BS429" s="517"/>
      <c r="BT429" s="517"/>
      <c r="BU429" s="517"/>
      <c r="BV429" s="518"/>
      <c r="BW429" s="518"/>
      <c r="BX429" s="518"/>
      <c r="BY429" s="518"/>
      <c r="BZ429" s="518"/>
      <c r="CA429" s="518"/>
      <c r="CB429" s="518"/>
      <c r="CC429" s="518"/>
      <c r="CD429" s="518"/>
      <c r="CE429" s="518"/>
    </row>
    <row r="430" spans="1:83" ht="15" hidden="1" customHeight="1">
      <c r="A430" s="516"/>
      <c r="B430"/>
      <c r="C430"/>
      <c r="D430" s="3622"/>
      <c r="E430" s="3618" t="s">
        <v>830</v>
      </c>
      <c r="F430" s="3619"/>
      <c r="G430" s="3620"/>
      <c r="H430" s="3614" t="str">
        <f>IF(A428="","",INDEX(DIFFERENTIATION_UNMERGE_SYSTEM,MATCH(A428,DIFFERENTIATION_ID_DIFF,0)))</f>
        <v>Циолковского,1б</v>
      </c>
      <c r="I430" s="3614"/>
      <c r="J430" s="3614"/>
      <c r="K430" s="3614"/>
      <c r="L430" s="3614"/>
      <c r="M430" s="3614"/>
      <c r="N430" s="3614"/>
      <c r="O430" s="3614"/>
      <c r="P430" s="3614"/>
      <c r="Q430" s="3614"/>
      <c r="R430" s="3614"/>
      <c r="S430" s="609"/>
      <c r="T430" s="606"/>
      <c r="U430" s="517"/>
      <c r="V430" s="517"/>
      <c r="W430" s="518"/>
      <c r="X430" s="518"/>
      <c r="Y430" s="518"/>
      <c r="Z430" s="518"/>
      <c r="AA430" s="519"/>
      <c r="AB430" s="520"/>
      <c r="AC430" s="3617"/>
      <c r="AD430" s="521"/>
      <c r="AE430" s="522"/>
      <c r="AF430" s="522"/>
      <c r="AG430" s="523"/>
      <c r="AH430" s="524"/>
      <c r="AI430" s="517"/>
      <c r="AJ430" s="517"/>
      <c r="AK430" s="517"/>
      <c r="AL430" s="517"/>
      <c r="AM430" s="517"/>
      <c r="AN430" s="517"/>
      <c r="AO430" s="517"/>
      <c r="AP430" s="517"/>
      <c r="AQ430" s="517"/>
      <c r="AR430" s="517"/>
      <c r="AS430" s="517"/>
      <c r="AT430" s="517"/>
      <c r="AU430" s="517"/>
      <c r="AV430" s="517"/>
      <c r="AW430" s="517"/>
      <c r="AX430" s="517"/>
      <c r="AY430" s="517"/>
      <c r="AZ430" s="517"/>
      <c r="BA430" s="517"/>
      <c r="BB430" s="517"/>
      <c r="BC430" s="517"/>
      <c r="BD430" s="517"/>
      <c r="BE430" s="517"/>
      <c r="BF430" s="517"/>
      <c r="BG430" s="517"/>
      <c r="BH430" s="517"/>
      <c r="BI430" s="517"/>
      <c r="BJ430" s="517"/>
      <c r="BK430" s="517"/>
      <c r="BL430" s="517"/>
      <c r="BM430" s="517"/>
      <c r="BN430" s="517"/>
      <c r="BO430" s="517"/>
      <c r="BP430" s="517"/>
      <c r="BQ430" s="517"/>
      <c r="BR430" s="517"/>
      <c r="BS430" s="517"/>
      <c r="BT430" s="517"/>
      <c r="BU430" s="517"/>
      <c r="BV430" s="518"/>
      <c r="BW430" s="518"/>
      <c r="BX430" s="518"/>
      <c r="BY430" s="518"/>
      <c r="BZ430" s="518"/>
      <c r="CA430" s="518"/>
      <c r="CB430" s="518"/>
      <c r="CC430" s="518"/>
      <c r="CD430" s="518"/>
      <c r="CE430" s="518"/>
    </row>
    <row r="431" spans="1:83" ht="24.75" hidden="1" customHeight="1">
      <c r="A431" s="1649"/>
      <c r="B431" s="1023"/>
      <c r="C431" s="319"/>
      <c r="D431" s="3622"/>
      <c r="E431" s="3616" t="s">
        <v>875</v>
      </c>
      <c r="F431" s="3616"/>
      <c r="G431" s="3616"/>
      <c r="H431" s="3616"/>
      <c r="I431" s="3616"/>
      <c r="J431" s="3616"/>
      <c r="K431" s="3616"/>
      <c r="L431" s="3616"/>
      <c r="M431" s="3616"/>
      <c r="N431" s="3616"/>
      <c r="O431" s="3616"/>
      <c r="P431" s="3616"/>
      <c r="Q431" s="455">
        <f>SUMIF(T432:T433,"i",Q432:Q433)</f>
        <v>0</v>
      </c>
      <c r="R431" s="887"/>
      <c r="S431" s="1641" t="s">
        <v>876</v>
      </c>
      <c r="T431" s="607" t="s">
        <v>877</v>
      </c>
      <c r="U431" s="3532">
        <v>1</v>
      </c>
      <c r="V431" s="3532" t="s">
        <v>840</v>
      </c>
      <c r="W431" s="1023"/>
      <c r="X431" s="1023"/>
      <c r="Y431" s="1023"/>
      <c r="Z431" s="1023"/>
      <c r="AA431" s="1481"/>
      <c r="AB431" s="1023"/>
      <c r="AC431" s="3617"/>
      <c r="AD431" s="521"/>
      <c r="AE431" s="1023"/>
      <c r="AF431" s="1023"/>
      <c r="AG431" s="1481"/>
      <c r="AH431" s="1481"/>
      <c r="AI431" s="1481"/>
      <c r="AJ431" s="1481"/>
      <c r="AK431" s="1481"/>
      <c r="AL431" s="1481"/>
      <c r="AM431" s="1481"/>
      <c r="AN431" s="1481"/>
      <c r="AO431" s="1481"/>
      <c r="AP431" s="1481"/>
      <c r="AQ431" s="1481"/>
      <c r="AR431" s="1481"/>
      <c r="AS431" s="1481"/>
      <c r="AT431" s="1481"/>
      <c r="AU431" s="1481"/>
      <c r="AV431" s="1481"/>
      <c r="AW431" s="1481"/>
      <c r="AX431" s="1481"/>
      <c r="AY431" s="1481"/>
      <c r="AZ431" s="1481"/>
      <c r="BA431" s="1481"/>
      <c r="BB431" s="1481"/>
      <c r="BC431" s="1481"/>
      <c r="BD431" s="1481"/>
      <c r="BE431" s="1481"/>
      <c r="BF431" s="1481"/>
      <c r="BG431" s="1481"/>
      <c r="BH431" s="1481"/>
      <c r="BI431" s="1481"/>
      <c r="BJ431" s="1481"/>
      <c r="BK431" s="1481"/>
      <c r="BL431" s="1481"/>
      <c r="BM431" s="1481"/>
      <c r="BN431" s="1481"/>
      <c r="BO431" s="1481"/>
      <c r="BP431" s="1481"/>
      <c r="BQ431" s="1481"/>
      <c r="BR431" s="1481"/>
      <c r="BS431" s="1481"/>
      <c r="BT431" s="1481"/>
      <c r="BU431" s="1481"/>
      <c r="BV431" s="1023"/>
      <c r="BW431" s="1023"/>
      <c r="BX431" s="1023"/>
      <c r="BY431" s="1023"/>
      <c r="BZ431" s="1023"/>
      <c r="CA431" s="1023"/>
      <c r="CB431" s="1023"/>
      <c r="CC431" s="1023"/>
      <c r="CD431" s="1023"/>
      <c r="CE431" s="1023"/>
    </row>
    <row r="432" spans="1:83" ht="11.25" hidden="1" customHeight="1">
      <c r="A432" s="1636"/>
      <c r="B432" s="1481"/>
      <c r="C432" s="1481"/>
      <c r="D432" s="3622"/>
      <c r="E432" s="527"/>
      <c r="F432" s="527">
        <v>0</v>
      </c>
      <c r="G432" s="527"/>
      <c r="H432" s="527"/>
      <c r="I432" s="527"/>
      <c r="J432" s="527"/>
      <c r="K432" s="527"/>
      <c r="L432" s="527"/>
      <c r="M432" s="527"/>
      <c r="N432" s="527"/>
      <c r="O432" s="527"/>
      <c r="P432" s="527"/>
      <c r="Q432" s="527"/>
      <c r="R432" s="527"/>
      <c r="S432" s="528"/>
      <c r="T432" s="608"/>
      <c r="U432" s="3532"/>
      <c r="V432" s="3532"/>
      <c r="W432" s="1481"/>
      <c r="X432" s="1481"/>
      <c r="Y432" s="1481"/>
      <c r="Z432" s="1481"/>
      <c r="AA432" s="1481"/>
      <c r="AB432" s="1023"/>
      <c r="AC432" s="3617"/>
      <c r="AD432" s="521"/>
      <c r="AE432" s="1023"/>
      <c r="AF432" s="1023"/>
      <c r="AG432" s="1481"/>
      <c r="AH432" s="1481"/>
      <c r="AI432" s="1481"/>
      <c r="AJ432" s="1481"/>
      <c r="AK432" s="1481"/>
      <c r="AL432" s="1481"/>
      <c r="AM432" s="1481"/>
      <c r="AN432" s="1481"/>
      <c r="AO432" s="1481"/>
      <c r="AP432" s="1481"/>
      <c r="AQ432" s="1481"/>
      <c r="AR432" s="1481"/>
      <c r="AS432" s="1481"/>
      <c r="AT432" s="1481"/>
      <c r="AU432" s="1481"/>
      <c r="AV432" s="1481"/>
      <c r="AW432" s="1481"/>
      <c r="AX432" s="1481"/>
      <c r="AY432" s="1481"/>
      <c r="AZ432" s="1481"/>
      <c r="BA432" s="1481"/>
      <c r="BB432" s="1481"/>
      <c r="BC432" s="1481"/>
      <c r="BD432" s="1481"/>
      <c r="BE432" s="1481"/>
      <c r="BF432" s="1481"/>
      <c r="BG432" s="1481"/>
      <c r="BH432" s="1481"/>
      <c r="BI432" s="1481"/>
      <c r="BJ432" s="1481"/>
      <c r="BK432" s="1481"/>
      <c r="BL432" s="1481"/>
      <c r="BM432" s="1481"/>
      <c r="BN432" s="1481"/>
      <c r="BO432" s="1481"/>
      <c r="BP432" s="1481"/>
      <c r="BQ432" s="1481"/>
      <c r="BR432" s="1481"/>
      <c r="BS432" s="1481"/>
      <c r="BT432" s="1481"/>
      <c r="BU432" s="1481"/>
      <c r="BV432" s="1481"/>
      <c r="BW432" s="1481"/>
      <c r="BX432" s="1481"/>
      <c r="BY432" s="1481"/>
      <c r="BZ432" s="1481"/>
      <c r="CA432" s="1481"/>
      <c r="CB432" s="1481"/>
      <c r="CC432" s="1481"/>
      <c r="CD432" s="1481"/>
      <c r="CE432" s="1481"/>
    </row>
    <row r="433" spans="1:83" ht="11.25" hidden="1" customHeight="1">
      <c r="A433" s="1649"/>
      <c r="B433" s="1023"/>
      <c r="C433" s="319"/>
      <c r="D433" s="3622"/>
      <c r="E433" s="541" t="s">
        <v>18</v>
      </c>
      <c r="F433" s="1031" t="s">
        <v>18</v>
      </c>
      <c r="G433" s="1031" t="s">
        <v>880</v>
      </c>
      <c r="H433" s="543" t="s">
        <v>18</v>
      </c>
      <c r="I433" s="543"/>
      <c r="J433" s="543"/>
      <c r="K433" s="543"/>
      <c r="L433" s="543"/>
      <c r="M433" s="543"/>
      <c r="N433" s="543"/>
      <c r="O433" s="543"/>
      <c r="P433" s="543"/>
      <c r="Q433" s="543"/>
      <c r="R433" s="544"/>
      <c r="S433" s="545"/>
      <c r="T433" s="608"/>
      <c r="U433" s="3532"/>
      <c r="V433" s="3532"/>
      <c r="W433" s="1023"/>
      <c r="X433" s="1023"/>
      <c r="Y433" s="1023"/>
      <c r="Z433" s="1023"/>
      <c r="AA433" s="1481"/>
      <c r="AB433" s="1023"/>
      <c r="AC433" s="3617"/>
      <c r="AD433" s="521"/>
      <c r="AE433" s="1023"/>
      <c r="AF433" s="1023"/>
      <c r="AG433" s="1481"/>
      <c r="AH433" s="1481"/>
      <c r="AI433" s="1481"/>
      <c r="AJ433" s="1481"/>
      <c r="AK433" s="1481"/>
      <c r="AL433" s="1481"/>
      <c r="AM433" s="1481"/>
      <c r="AN433" s="1481"/>
      <c r="AO433" s="1481"/>
      <c r="AP433" s="1481"/>
      <c r="AQ433" s="1481"/>
      <c r="AR433" s="1481"/>
      <c r="AS433" s="1481"/>
      <c r="AT433" s="1481"/>
      <c r="AU433" s="1481"/>
      <c r="AV433" s="1481"/>
      <c r="AW433" s="1481"/>
      <c r="AX433" s="1481"/>
      <c r="AY433" s="1481"/>
      <c r="AZ433" s="1481"/>
      <c r="BA433" s="1481"/>
      <c r="BB433" s="1481"/>
      <c r="BC433" s="1481"/>
      <c r="BD433" s="1481"/>
      <c r="BE433" s="1481"/>
      <c r="BF433" s="1481"/>
      <c r="BG433" s="1481"/>
      <c r="BH433" s="1481"/>
      <c r="BI433" s="1481"/>
      <c r="BJ433" s="1481"/>
      <c r="BK433" s="1481"/>
      <c r="BL433" s="1481"/>
      <c r="BM433" s="1481"/>
      <c r="BN433" s="1481"/>
      <c r="BO433" s="1481"/>
      <c r="BP433" s="1481"/>
      <c r="BQ433" s="1481"/>
      <c r="BR433" s="1481"/>
      <c r="BS433" s="1481"/>
      <c r="BT433" s="1481"/>
      <c r="BU433" s="1481"/>
      <c r="BV433" s="1023"/>
      <c r="BW433" s="1023"/>
      <c r="BX433" s="1023"/>
      <c r="BY433" s="1023"/>
      <c r="BZ433" s="1023"/>
      <c r="CA433" s="1023"/>
      <c r="CB433" s="1023"/>
      <c r="CC433" s="1023"/>
      <c r="CD433" s="1023"/>
      <c r="CE433" s="1023"/>
    </row>
    <row r="434" spans="1:83" ht="5.25" hidden="1" customHeight="1">
      <c r="A434" s="1636"/>
      <c r="B434" s="1481"/>
      <c r="C434" s="1481"/>
      <c r="D434" s="3622"/>
      <c r="E434" s="909"/>
      <c r="F434" s="909"/>
      <c r="G434" s="909"/>
      <c r="H434" s="909"/>
      <c r="I434" s="909"/>
      <c r="J434" s="909"/>
      <c r="K434" s="909"/>
      <c r="L434" s="909"/>
      <c r="M434" s="909"/>
      <c r="N434" s="909"/>
      <c r="O434" s="909"/>
      <c r="P434" s="909"/>
      <c r="Q434" s="910"/>
      <c r="R434" s="911"/>
      <c r="S434" s="912"/>
      <c r="T434" s="607" t="s">
        <v>877</v>
      </c>
      <c r="U434" s="3532">
        <v>1</v>
      </c>
      <c r="V434" s="3532" t="s">
        <v>840</v>
      </c>
      <c r="W434" s="1481"/>
      <c r="X434" s="1481"/>
      <c r="Y434" s="1481"/>
      <c r="Z434" s="1481"/>
      <c r="AA434" s="1481"/>
      <c r="AB434" s="1481"/>
      <c r="AC434" s="907"/>
      <c r="AD434" s="908"/>
      <c r="AE434" s="1481"/>
      <c r="AF434" s="1481"/>
      <c r="AG434" s="1481"/>
      <c r="AH434" s="1481"/>
      <c r="AI434" s="1481"/>
      <c r="AJ434" s="1481"/>
      <c r="AK434" s="1481"/>
      <c r="AL434" s="1481"/>
      <c r="AM434" s="1481"/>
      <c r="AN434" s="1481"/>
      <c r="AO434" s="1481"/>
      <c r="AP434" s="1481"/>
      <c r="AQ434" s="1481"/>
      <c r="AR434" s="1481"/>
      <c r="AS434" s="1481"/>
      <c r="AT434" s="1481"/>
      <c r="AU434" s="1481"/>
      <c r="AV434" s="1481"/>
      <c r="AW434" s="1481"/>
      <c r="AX434" s="1481"/>
      <c r="AY434" s="1481"/>
      <c r="AZ434" s="1481"/>
      <c r="BA434" s="1481"/>
      <c r="BB434" s="1481"/>
      <c r="BC434" s="1481"/>
      <c r="BD434" s="1481"/>
      <c r="BE434" s="1481"/>
      <c r="BF434" s="1481"/>
      <c r="BG434" s="1481"/>
      <c r="BH434" s="1481"/>
      <c r="BI434" s="1481"/>
      <c r="BJ434" s="1481"/>
      <c r="BK434" s="1481"/>
      <c r="BL434" s="1481"/>
      <c r="BM434" s="1481"/>
      <c r="BN434" s="1481"/>
      <c r="BO434" s="1481"/>
      <c r="BP434" s="1481"/>
      <c r="BQ434" s="1481"/>
      <c r="BR434" s="1481"/>
      <c r="BS434" s="1481"/>
      <c r="BT434" s="1481"/>
      <c r="BU434" s="1481"/>
      <c r="BV434" s="1481"/>
      <c r="BW434" s="1481"/>
      <c r="BX434" s="1481"/>
      <c r="BY434" s="1481"/>
      <c r="BZ434" s="1481"/>
      <c r="CA434" s="1481"/>
      <c r="CB434" s="1481"/>
      <c r="CC434" s="1481"/>
      <c r="CD434" s="1481"/>
      <c r="CE434" s="1481"/>
    </row>
    <row r="435" spans="1:83" ht="5.25" hidden="1" customHeight="1">
      <c r="A435" s="1636"/>
      <c r="B435" s="1481"/>
      <c r="C435" s="1481"/>
      <c r="D435" s="3622"/>
      <c r="E435" s="527"/>
      <c r="F435" s="527"/>
      <c r="G435" s="527"/>
      <c r="H435" s="527"/>
      <c r="I435" s="527"/>
      <c r="J435" s="527"/>
      <c r="K435" s="527"/>
      <c r="L435" s="527"/>
      <c r="M435" s="527"/>
      <c r="N435" s="527"/>
      <c r="O435" s="527"/>
      <c r="P435" s="527"/>
      <c r="Q435" s="527"/>
      <c r="R435" s="527"/>
      <c r="S435" s="528"/>
      <c r="T435" s="608"/>
      <c r="U435" s="3532"/>
      <c r="V435" s="3532"/>
      <c r="W435" s="1481"/>
      <c r="X435" s="1481"/>
      <c r="Y435" s="1481"/>
      <c r="Z435" s="1481"/>
      <c r="AA435" s="1481"/>
      <c r="AB435" s="1481"/>
      <c r="AC435" s="907"/>
      <c r="AD435" s="908"/>
      <c r="AE435" s="1481"/>
      <c r="AF435" s="1481"/>
      <c r="AG435" s="1481"/>
      <c r="AH435" s="1481"/>
      <c r="AI435" s="1481"/>
      <c r="AJ435" s="1481"/>
      <c r="AK435" s="1481"/>
      <c r="AL435" s="1481"/>
      <c r="AM435" s="1481"/>
      <c r="AN435" s="1481"/>
      <c r="AO435" s="1481"/>
      <c r="AP435" s="1481"/>
      <c r="AQ435" s="1481"/>
      <c r="AR435" s="1481"/>
      <c r="AS435" s="1481"/>
      <c r="AT435" s="1481"/>
      <c r="AU435" s="1481"/>
      <c r="AV435" s="1481"/>
      <c r="AW435" s="1481"/>
      <c r="AX435" s="1481"/>
      <c r="AY435" s="1481"/>
      <c r="AZ435" s="1481"/>
      <c r="BA435" s="1481"/>
      <c r="BB435" s="1481"/>
      <c r="BC435" s="1481"/>
      <c r="BD435" s="1481"/>
      <c r="BE435" s="1481"/>
      <c r="BF435" s="1481"/>
      <c r="BG435" s="1481"/>
      <c r="BH435" s="1481"/>
      <c r="BI435" s="1481"/>
      <c r="BJ435" s="1481"/>
      <c r="BK435" s="1481"/>
      <c r="BL435" s="1481"/>
      <c r="BM435" s="1481"/>
      <c r="BN435" s="1481"/>
      <c r="BO435" s="1481"/>
      <c r="BP435" s="1481"/>
      <c r="BQ435" s="1481"/>
      <c r="BR435" s="1481"/>
      <c r="BS435" s="1481"/>
      <c r="BT435" s="1481"/>
      <c r="BU435" s="1481"/>
      <c r="BV435" s="1481"/>
      <c r="BW435" s="1481"/>
      <c r="BX435" s="1481"/>
      <c r="BY435" s="1481"/>
      <c r="BZ435" s="1481"/>
      <c r="CA435" s="1481"/>
      <c r="CB435" s="1481"/>
      <c r="CC435" s="1481"/>
      <c r="CD435" s="1481"/>
      <c r="CE435" s="1481"/>
    </row>
    <row r="436" spans="1:83" ht="5.25" hidden="1" customHeight="1">
      <c r="A436" s="1636"/>
      <c r="B436" s="1481"/>
      <c r="C436" s="1481"/>
      <c r="D436" s="3623"/>
      <c r="E436" s="913"/>
      <c r="F436" s="914"/>
      <c r="G436" s="914"/>
      <c r="H436" s="915"/>
      <c r="I436" s="915"/>
      <c r="J436" s="915"/>
      <c r="K436" s="915"/>
      <c r="L436" s="915"/>
      <c r="M436" s="915"/>
      <c r="N436" s="915"/>
      <c r="O436" s="915"/>
      <c r="P436" s="915"/>
      <c r="Q436" s="915"/>
      <c r="R436" s="818"/>
      <c r="S436" s="916"/>
      <c r="T436" s="608"/>
      <c r="U436" s="3532"/>
      <c r="V436" s="3532"/>
      <c r="W436" s="1481"/>
      <c r="X436" s="1481"/>
      <c r="Y436" s="1481"/>
      <c r="Z436" s="1481"/>
      <c r="AA436" s="1481"/>
      <c r="AB436" s="1481"/>
      <c r="AC436" s="907"/>
      <c r="AD436" s="908"/>
      <c r="AE436" s="1481"/>
      <c r="AF436" s="1481"/>
      <c r="AG436" s="1481"/>
      <c r="AH436" s="1481"/>
      <c r="AI436" s="1481"/>
      <c r="AJ436" s="1481"/>
      <c r="AK436" s="1481"/>
      <c r="AL436" s="1481"/>
      <c r="AM436" s="1481"/>
      <c r="AN436" s="1481"/>
      <c r="AO436" s="1481"/>
      <c r="AP436" s="1481"/>
      <c r="AQ436" s="1481"/>
      <c r="AR436" s="1481"/>
      <c r="AS436" s="1481"/>
      <c r="AT436" s="1481"/>
      <c r="AU436" s="1481"/>
      <c r="AV436" s="1481"/>
      <c r="AW436" s="1481"/>
      <c r="AX436" s="1481"/>
      <c r="AY436" s="1481"/>
      <c r="AZ436" s="1481"/>
      <c r="BA436" s="1481"/>
      <c r="BB436" s="1481"/>
      <c r="BC436" s="1481"/>
      <c r="BD436" s="1481"/>
      <c r="BE436" s="1481"/>
      <c r="BF436" s="1481"/>
      <c r="BG436" s="1481"/>
      <c r="BH436" s="1481"/>
      <c r="BI436" s="1481"/>
      <c r="BJ436" s="1481"/>
      <c r="BK436" s="1481"/>
      <c r="BL436" s="1481"/>
      <c r="BM436" s="1481"/>
      <c r="BN436" s="1481"/>
      <c r="BO436" s="1481"/>
      <c r="BP436" s="1481"/>
      <c r="BQ436" s="1481"/>
      <c r="BR436" s="1481"/>
      <c r="BS436" s="1481"/>
      <c r="BT436" s="1481"/>
      <c r="BU436" s="1481"/>
      <c r="BV436" s="1481"/>
      <c r="BW436" s="1481"/>
      <c r="BX436" s="1481"/>
      <c r="BY436" s="1481"/>
      <c r="BZ436" s="1481"/>
      <c r="CA436" s="1481"/>
      <c r="CB436" s="1481"/>
      <c r="CC436" s="1481"/>
      <c r="CD436" s="1481"/>
      <c r="CE436" s="1481"/>
    </row>
    <row r="437" spans="1:83" ht="15" hidden="1" customHeight="1">
      <c r="A437" s="516" t="s">
        <v>251</v>
      </c>
      <c r="B437"/>
      <c r="C437" t="s">
        <v>18</v>
      </c>
      <c r="D437" s="3621" t="s">
        <v>926</v>
      </c>
      <c r="E437" s="3618" t="s">
        <v>102</v>
      </c>
      <c r="F437" s="3619"/>
      <c r="G437" s="3620"/>
      <c r="H437" s="3614" t="str">
        <f>IF(A437="","",INDEX(DIFFERENTIATION_UNMERGE_VD,MATCH(A437,DIFFERENTIATION_ID_DIFF,0)))</f>
        <v>Производство тепловой энергии. Некомбинированная выработка</v>
      </c>
      <c r="I437" s="3614"/>
      <c r="J437" s="3614"/>
      <c r="K437" s="3614"/>
      <c r="L437" s="3614"/>
      <c r="M437" s="3614"/>
      <c r="N437" s="3614"/>
      <c r="O437" s="3614"/>
      <c r="P437" s="3614"/>
      <c r="Q437" s="3614"/>
      <c r="R437" s="3614"/>
      <c r="S437" s="609"/>
      <c r="T437" s="606"/>
      <c r="U437" s="517"/>
      <c r="V437" s="517"/>
      <c r="W437" s="518"/>
      <c r="X437" s="518"/>
      <c r="Y437" s="518"/>
      <c r="Z437" s="518"/>
      <c r="AA437" s="519"/>
      <c r="AB437" s="520"/>
      <c r="AC437" s="3617"/>
      <c r="AD437" s="521"/>
      <c r="AE437" s="522" t="s">
        <v>18</v>
      </c>
      <c r="AF437" s="522"/>
      <c r="AG437" s="523" t="s">
        <v>874</v>
      </c>
      <c r="AH437" s="524">
        <v>3</v>
      </c>
      <c r="AI437" s="517"/>
      <c r="AJ437" s="517"/>
      <c r="AK437" s="517"/>
      <c r="AL437" s="517"/>
      <c r="AM437" s="517"/>
      <c r="AN437" s="517"/>
      <c r="AO437" s="517"/>
      <c r="AP437" s="517"/>
      <c r="AQ437" s="517"/>
      <c r="AR437" s="517"/>
      <c r="AS437" s="517"/>
      <c r="AT437" s="517"/>
      <c r="AU437" s="517"/>
      <c r="AV437" s="517"/>
      <c r="AW437" s="517"/>
      <c r="AX437" s="517"/>
      <c r="AY437" s="517"/>
      <c r="AZ437" s="517"/>
      <c r="BA437" s="517"/>
      <c r="BB437" s="517"/>
      <c r="BC437" s="517"/>
      <c r="BD437" s="517"/>
      <c r="BE437" s="517"/>
      <c r="BF437" s="517"/>
      <c r="BG437" s="517"/>
      <c r="BH437" s="517"/>
      <c r="BI437" s="517"/>
      <c r="BJ437" s="517"/>
      <c r="BK437" s="517"/>
      <c r="BL437" s="517"/>
      <c r="BM437" s="517"/>
      <c r="BN437" s="517"/>
      <c r="BO437" s="517"/>
      <c r="BP437" s="517"/>
      <c r="BQ437" s="517"/>
      <c r="BR437" s="517"/>
      <c r="BS437" s="517"/>
      <c r="BT437" s="517"/>
      <c r="BU437" s="517"/>
      <c r="BV437" s="518"/>
      <c r="BW437" s="518"/>
      <c r="BX437" s="518"/>
      <c r="BY437" s="518"/>
      <c r="BZ437" s="518"/>
      <c r="CA437" s="518"/>
      <c r="CB437" s="518"/>
      <c r="CC437" s="518"/>
      <c r="CD437" s="518"/>
      <c r="CE437" s="518"/>
    </row>
    <row r="438" spans="1:83" ht="15" hidden="1" customHeight="1">
      <c r="A438" s="516"/>
      <c r="B438"/>
      <c r="C438"/>
      <c r="D438" s="3622"/>
      <c r="E438" s="3618" t="s">
        <v>829</v>
      </c>
      <c r="F438" s="3619"/>
      <c r="G438" s="3620"/>
      <c r="H438" s="3614" t="str">
        <f>IF(A437="","",INDEX(DIFFERENTIATION_UNMERGE_AREA,MATCH(A437,DIFFERENTIATION_ID_DIFF,0)))</f>
        <v>Территория 1</v>
      </c>
      <c r="I438" s="3614"/>
      <c r="J438" s="3614"/>
      <c r="K438" s="3614"/>
      <c r="L438" s="3614"/>
      <c r="M438" s="3614"/>
      <c r="N438" s="3614"/>
      <c r="O438" s="3614"/>
      <c r="P438" s="3614"/>
      <c r="Q438" s="3614"/>
      <c r="R438" s="3614"/>
      <c r="S438" s="609"/>
      <c r="T438" s="606"/>
      <c r="U438" s="517"/>
      <c r="V438" s="517"/>
      <c r="W438" s="518"/>
      <c r="X438" s="518"/>
      <c r="Y438" s="518"/>
      <c r="Z438" s="518"/>
      <c r="AA438" s="519"/>
      <c r="AB438" s="520"/>
      <c r="AC438" s="3617"/>
      <c r="AD438" s="521"/>
      <c r="AE438" s="522"/>
      <c r="AF438" s="522"/>
      <c r="AG438" s="523"/>
      <c r="AH438" s="524"/>
      <c r="AI438" s="517"/>
      <c r="AJ438" s="517"/>
      <c r="AK438" s="517"/>
      <c r="AL438" s="517"/>
      <c r="AM438" s="517"/>
      <c r="AN438" s="517"/>
      <c r="AO438" s="517"/>
      <c r="AP438" s="517"/>
      <c r="AQ438" s="517"/>
      <c r="AR438" s="517"/>
      <c r="AS438" s="517"/>
      <c r="AT438" s="517"/>
      <c r="AU438" s="517"/>
      <c r="AV438" s="517"/>
      <c r="AW438" s="517"/>
      <c r="AX438" s="517"/>
      <c r="AY438" s="517"/>
      <c r="AZ438" s="517"/>
      <c r="BA438" s="517"/>
      <c r="BB438" s="517"/>
      <c r="BC438" s="517"/>
      <c r="BD438" s="517"/>
      <c r="BE438" s="517"/>
      <c r="BF438" s="517"/>
      <c r="BG438" s="517"/>
      <c r="BH438" s="517"/>
      <c r="BI438" s="517"/>
      <c r="BJ438" s="517"/>
      <c r="BK438" s="517"/>
      <c r="BL438" s="517"/>
      <c r="BM438" s="517"/>
      <c r="BN438" s="517"/>
      <c r="BO438" s="517"/>
      <c r="BP438" s="517"/>
      <c r="BQ438" s="517"/>
      <c r="BR438" s="517"/>
      <c r="BS438" s="517"/>
      <c r="BT438" s="517"/>
      <c r="BU438" s="517"/>
      <c r="BV438" s="518"/>
      <c r="BW438" s="518"/>
      <c r="BX438" s="518"/>
      <c r="BY438" s="518"/>
      <c r="BZ438" s="518"/>
      <c r="CA438" s="518"/>
      <c r="CB438" s="518"/>
      <c r="CC438" s="518"/>
      <c r="CD438" s="518"/>
      <c r="CE438" s="518"/>
    </row>
    <row r="439" spans="1:83" ht="15" hidden="1" customHeight="1">
      <c r="A439" s="516"/>
      <c r="B439"/>
      <c r="C439"/>
      <c r="D439" s="3622"/>
      <c r="E439" s="3618" t="s">
        <v>830</v>
      </c>
      <c r="F439" s="3619"/>
      <c r="G439" s="3620"/>
      <c r="H439" s="3614" t="str">
        <f>IF(A437="","",INDEX(DIFFERENTIATION_UNMERGE_SYSTEM,MATCH(A437,DIFFERENTIATION_ID_DIFF,0)))</f>
        <v>Циолковского,51а</v>
      </c>
      <c r="I439" s="3614"/>
      <c r="J439" s="3614"/>
      <c r="K439" s="3614"/>
      <c r="L439" s="3614"/>
      <c r="M439" s="3614"/>
      <c r="N439" s="3614"/>
      <c r="O439" s="3614"/>
      <c r="P439" s="3614"/>
      <c r="Q439" s="3614"/>
      <c r="R439" s="3614"/>
      <c r="S439" s="609"/>
      <c r="T439" s="606"/>
      <c r="U439" s="517"/>
      <c r="V439" s="517"/>
      <c r="W439" s="518"/>
      <c r="X439" s="518"/>
      <c r="Y439" s="518"/>
      <c r="Z439" s="518"/>
      <c r="AA439" s="519"/>
      <c r="AB439" s="520"/>
      <c r="AC439" s="3617"/>
      <c r="AD439" s="521"/>
      <c r="AE439" s="522"/>
      <c r="AF439" s="522"/>
      <c r="AG439" s="523"/>
      <c r="AH439" s="524"/>
      <c r="AI439" s="517"/>
      <c r="AJ439" s="517"/>
      <c r="AK439" s="517"/>
      <c r="AL439" s="517"/>
      <c r="AM439" s="517"/>
      <c r="AN439" s="517"/>
      <c r="AO439" s="517"/>
      <c r="AP439" s="517"/>
      <c r="AQ439" s="517"/>
      <c r="AR439" s="517"/>
      <c r="AS439" s="517"/>
      <c r="AT439" s="517"/>
      <c r="AU439" s="517"/>
      <c r="AV439" s="517"/>
      <c r="AW439" s="517"/>
      <c r="AX439" s="517"/>
      <c r="AY439" s="517"/>
      <c r="AZ439" s="517"/>
      <c r="BA439" s="517"/>
      <c r="BB439" s="517"/>
      <c r="BC439" s="517"/>
      <c r="BD439" s="517"/>
      <c r="BE439" s="517"/>
      <c r="BF439" s="517"/>
      <c r="BG439" s="517"/>
      <c r="BH439" s="517"/>
      <c r="BI439" s="517"/>
      <c r="BJ439" s="517"/>
      <c r="BK439" s="517"/>
      <c r="BL439" s="517"/>
      <c r="BM439" s="517"/>
      <c r="BN439" s="517"/>
      <c r="BO439" s="517"/>
      <c r="BP439" s="517"/>
      <c r="BQ439" s="517"/>
      <c r="BR439" s="517"/>
      <c r="BS439" s="517"/>
      <c r="BT439" s="517"/>
      <c r="BU439" s="517"/>
      <c r="BV439" s="518"/>
      <c r="BW439" s="518"/>
      <c r="BX439" s="518"/>
      <c r="BY439" s="518"/>
      <c r="BZ439" s="518"/>
      <c r="CA439" s="518"/>
      <c r="CB439" s="518"/>
      <c r="CC439" s="518"/>
      <c r="CD439" s="518"/>
      <c r="CE439" s="518"/>
    </row>
    <row r="440" spans="1:83" ht="24.75" hidden="1" customHeight="1">
      <c r="A440" s="1649"/>
      <c r="B440" s="1023"/>
      <c r="C440" s="319"/>
      <c r="D440" s="3622"/>
      <c r="E440" s="3616" t="s">
        <v>875</v>
      </c>
      <c r="F440" s="3616"/>
      <c r="G440" s="3616"/>
      <c r="H440" s="3616"/>
      <c r="I440" s="3616"/>
      <c r="J440" s="3616"/>
      <c r="K440" s="3616"/>
      <c r="L440" s="3616"/>
      <c r="M440" s="3616"/>
      <c r="N440" s="3616"/>
      <c r="O440" s="3616"/>
      <c r="P440" s="3616"/>
      <c r="Q440" s="455">
        <f>SUMIF(T441:T442,"i",Q441:Q442)</f>
        <v>0</v>
      </c>
      <c r="R440" s="887"/>
      <c r="S440" s="1641" t="s">
        <v>876</v>
      </c>
      <c r="T440" s="607" t="s">
        <v>877</v>
      </c>
      <c r="U440" s="3532">
        <v>1</v>
      </c>
      <c r="V440" s="3532" t="s">
        <v>840</v>
      </c>
      <c r="W440" s="1023"/>
      <c r="X440" s="1023"/>
      <c r="Y440" s="1023"/>
      <c r="Z440" s="1023"/>
      <c r="AA440" s="1481"/>
      <c r="AB440" s="1023"/>
      <c r="AC440" s="3617"/>
      <c r="AD440" s="521"/>
      <c r="AE440" s="1023"/>
      <c r="AF440" s="1023"/>
      <c r="AG440" s="1481"/>
      <c r="AH440" s="1481"/>
      <c r="AI440" s="1481"/>
      <c r="AJ440" s="1481"/>
      <c r="AK440" s="1481"/>
      <c r="AL440" s="1481"/>
      <c r="AM440" s="1481"/>
      <c r="AN440" s="1481"/>
      <c r="AO440" s="1481"/>
      <c r="AP440" s="1481"/>
      <c r="AQ440" s="1481"/>
      <c r="AR440" s="1481"/>
      <c r="AS440" s="1481"/>
      <c r="AT440" s="1481"/>
      <c r="AU440" s="1481"/>
      <c r="AV440" s="1481"/>
      <c r="AW440" s="1481"/>
      <c r="AX440" s="1481"/>
      <c r="AY440" s="1481"/>
      <c r="AZ440" s="1481"/>
      <c r="BA440" s="1481"/>
      <c r="BB440" s="1481"/>
      <c r="BC440" s="1481"/>
      <c r="BD440" s="1481"/>
      <c r="BE440" s="1481"/>
      <c r="BF440" s="1481"/>
      <c r="BG440" s="1481"/>
      <c r="BH440" s="1481"/>
      <c r="BI440" s="1481"/>
      <c r="BJ440" s="1481"/>
      <c r="BK440" s="1481"/>
      <c r="BL440" s="1481"/>
      <c r="BM440" s="1481"/>
      <c r="BN440" s="1481"/>
      <c r="BO440" s="1481"/>
      <c r="BP440" s="1481"/>
      <c r="BQ440" s="1481"/>
      <c r="BR440" s="1481"/>
      <c r="BS440" s="1481"/>
      <c r="BT440" s="1481"/>
      <c r="BU440" s="1481"/>
      <c r="BV440" s="1023"/>
      <c r="BW440" s="1023"/>
      <c r="BX440" s="1023"/>
      <c r="BY440" s="1023"/>
      <c r="BZ440" s="1023"/>
      <c r="CA440" s="1023"/>
      <c r="CB440" s="1023"/>
      <c r="CC440" s="1023"/>
      <c r="CD440" s="1023"/>
      <c r="CE440" s="1023"/>
    </row>
    <row r="441" spans="1:83" ht="11.25" hidden="1" customHeight="1">
      <c r="A441" s="1636"/>
      <c r="B441" s="1481"/>
      <c r="C441" s="1481"/>
      <c r="D441" s="3622"/>
      <c r="E441" s="527"/>
      <c r="F441" s="527">
        <v>0</v>
      </c>
      <c r="G441" s="527"/>
      <c r="H441" s="527"/>
      <c r="I441" s="527"/>
      <c r="J441" s="527"/>
      <c r="K441" s="527"/>
      <c r="L441" s="527"/>
      <c r="M441" s="527"/>
      <c r="N441" s="527"/>
      <c r="O441" s="527"/>
      <c r="P441" s="527"/>
      <c r="Q441" s="527"/>
      <c r="R441" s="527"/>
      <c r="S441" s="528"/>
      <c r="T441" s="608"/>
      <c r="U441" s="3532"/>
      <c r="V441" s="3532"/>
      <c r="W441" s="1481"/>
      <c r="X441" s="1481"/>
      <c r="Y441" s="1481"/>
      <c r="Z441" s="1481"/>
      <c r="AA441" s="1481"/>
      <c r="AB441" s="1023"/>
      <c r="AC441" s="3617"/>
      <c r="AD441" s="521"/>
      <c r="AE441" s="1023"/>
      <c r="AF441" s="1023"/>
      <c r="AG441" s="1481"/>
      <c r="AH441" s="1481"/>
      <c r="AI441" s="1481"/>
      <c r="AJ441" s="1481"/>
      <c r="AK441" s="1481"/>
      <c r="AL441" s="1481"/>
      <c r="AM441" s="1481"/>
      <c r="AN441" s="1481"/>
      <c r="AO441" s="1481"/>
      <c r="AP441" s="1481"/>
      <c r="AQ441" s="1481"/>
      <c r="AR441" s="1481"/>
      <c r="AS441" s="1481"/>
      <c r="AT441" s="1481"/>
      <c r="AU441" s="1481"/>
      <c r="AV441" s="1481"/>
      <c r="AW441" s="1481"/>
      <c r="AX441" s="1481"/>
      <c r="AY441" s="1481"/>
      <c r="AZ441" s="1481"/>
      <c r="BA441" s="1481"/>
      <c r="BB441" s="1481"/>
      <c r="BC441" s="1481"/>
      <c r="BD441" s="1481"/>
      <c r="BE441" s="1481"/>
      <c r="BF441" s="1481"/>
      <c r="BG441" s="1481"/>
      <c r="BH441" s="1481"/>
      <c r="BI441" s="1481"/>
      <c r="BJ441" s="1481"/>
      <c r="BK441" s="1481"/>
      <c r="BL441" s="1481"/>
      <c r="BM441" s="1481"/>
      <c r="BN441" s="1481"/>
      <c r="BO441" s="1481"/>
      <c r="BP441" s="1481"/>
      <c r="BQ441" s="1481"/>
      <c r="BR441" s="1481"/>
      <c r="BS441" s="1481"/>
      <c r="BT441" s="1481"/>
      <c r="BU441" s="1481"/>
      <c r="BV441" s="1481"/>
      <c r="BW441" s="1481"/>
      <c r="BX441" s="1481"/>
      <c r="BY441" s="1481"/>
      <c r="BZ441" s="1481"/>
      <c r="CA441" s="1481"/>
      <c r="CB441" s="1481"/>
      <c r="CC441" s="1481"/>
      <c r="CD441" s="1481"/>
      <c r="CE441" s="1481"/>
    </row>
    <row r="442" spans="1:83" ht="11.25" hidden="1" customHeight="1">
      <c r="A442" s="1649"/>
      <c r="B442" s="1023"/>
      <c r="C442" s="319"/>
      <c r="D442" s="3622"/>
      <c r="E442" s="541" t="s">
        <v>18</v>
      </c>
      <c r="F442" s="1031" t="s">
        <v>18</v>
      </c>
      <c r="G442" s="1031" t="s">
        <v>880</v>
      </c>
      <c r="H442" s="543" t="s">
        <v>18</v>
      </c>
      <c r="I442" s="543"/>
      <c r="J442" s="543"/>
      <c r="K442" s="543"/>
      <c r="L442" s="543"/>
      <c r="M442" s="543"/>
      <c r="N442" s="543"/>
      <c r="O442" s="543"/>
      <c r="P442" s="543"/>
      <c r="Q442" s="543"/>
      <c r="R442" s="544"/>
      <c r="S442" s="545"/>
      <c r="T442" s="608"/>
      <c r="U442" s="3532"/>
      <c r="V442" s="3532"/>
      <c r="W442" s="1023"/>
      <c r="X442" s="1023"/>
      <c r="Y442" s="1023"/>
      <c r="Z442" s="1023"/>
      <c r="AA442" s="1481"/>
      <c r="AB442" s="1023"/>
      <c r="AC442" s="3617"/>
      <c r="AD442" s="521"/>
      <c r="AE442" s="1023"/>
      <c r="AF442" s="1023"/>
      <c r="AG442" s="1481"/>
      <c r="AH442" s="1481"/>
      <c r="AI442" s="1481"/>
      <c r="AJ442" s="1481"/>
      <c r="AK442" s="1481"/>
      <c r="AL442" s="1481"/>
      <c r="AM442" s="1481"/>
      <c r="AN442" s="1481"/>
      <c r="AO442" s="1481"/>
      <c r="AP442" s="1481"/>
      <c r="AQ442" s="1481"/>
      <c r="AR442" s="1481"/>
      <c r="AS442" s="1481"/>
      <c r="AT442" s="1481"/>
      <c r="AU442" s="1481"/>
      <c r="AV442" s="1481"/>
      <c r="AW442" s="1481"/>
      <c r="AX442" s="1481"/>
      <c r="AY442" s="1481"/>
      <c r="AZ442" s="1481"/>
      <c r="BA442" s="1481"/>
      <c r="BB442" s="1481"/>
      <c r="BC442" s="1481"/>
      <c r="BD442" s="1481"/>
      <c r="BE442" s="1481"/>
      <c r="BF442" s="1481"/>
      <c r="BG442" s="1481"/>
      <c r="BH442" s="1481"/>
      <c r="BI442" s="1481"/>
      <c r="BJ442" s="1481"/>
      <c r="BK442" s="1481"/>
      <c r="BL442" s="1481"/>
      <c r="BM442" s="1481"/>
      <c r="BN442" s="1481"/>
      <c r="BO442" s="1481"/>
      <c r="BP442" s="1481"/>
      <c r="BQ442" s="1481"/>
      <c r="BR442" s="1481"/>
      <c r="BS442" s="1481"/>
      <c r="BT442" s="1481"/>
      <c r="BU442" s="1481"/>
      <c r="BV442" s="1023"/>
      <c r="BW442" s="1023"/>
      <c r="BX442" s="1023"/>
      <c r="BY442" s="1023"/>
      <c r="BZ442" s="1023"/>
      <c r="CA442" s="1023"/>
      <c r="CB442" s="1023"/>
      <c r="CC442" s="1023"/>
      <c r="CD442" s="1023"/>
      <c r="CE442" s="1023"/>
    </row>
    <row r="443" spans="1:83" ht="5.25" hidden="1" customHeight="1">
      <c r="A443" s="1636"/>
      <c r="B443" s="1481"/>
      <c r="C443" s="1481"/>
      <c r="D443" s="3622"/>
      <c r="E443" s="909"/>
      <c r="F443" s="909"/>
      <c r="G443" s="909"/>
      <c r="H443" s="909"/>
      <c r="I443" s="909"/>
      <c r="J443" s="909"/>
      <c r="K443" s="909"/>
      <c r="L443" s="909"/>
      <c r="M443" s="909"/>
      <c r="N443" s="909"/>
      <c r="O443" s="909"/>
      <c r="P443" s="909"/>
      <c r="Q443" s="910"/>
      <c r="R443" s="911"/>
      <c r="S443" s="912"/>
      <c r="T443" s="607" t="s">
        <v>877</v>
      </c>
      <c r="U443" s="3532">
        <v>1</v>
      </c>
      <c r="V443" s="3532" t="s">
        <v>840</v>
      </c>
      <c r="W443" s="1481"/>
      <c r="X443" s="1481"/>
      <c r="Y443" s="1481"/>
      <c r="Z443" s="1481"/>
      <c r="AA443" s="1481"/>
      <c r="AB443" s="1481"/>
      <c r="AC443" s="907"/>
      <c r="AD443" s="908"/>
      <c r="AE443" s="1481"/>
      <c r="AF443" s="1481"/>
      <c r="AG443" s="1481"/>
      <c r="AH443" s="1481"/>
      <c r="AI443" s="1481"/>
      <c r="AJ443" s="1481"/>
      <c r="AK443" s="1481"/>
      <c r="AL443" s="1481"/>
      <c r="AM443" s="1481"/>
      <c r="AN443" s="1481"/>
      <c r="AO443" s="1481"/>
      <c r="AP443" s="1481"/>
      <c r="AQ443" s="1481"/>
      <c r="AR443" s="1481"/>
      <c r="AS443" s="1481"/>
      <c r="AT443" s="1481"/>
      <c r="AU443" s="1481"/>
      <c r="AV443" s="1481"/>
      <c r="AW443" s="1481"/>
      <c r="AX443" s="1481"/>
      <c r="AY443" s="1481"/>
      <c r="AZ443" s="1481"/>
      <c r="BA443" s="1481"/>
      <c r="BB443" s="1481"/>
      <c r="BC443" s="1481"/>
      <c r="BD443" s="1481"/>
      <c r="BE443" s="1481"/>
      <c r="BF443" s="1481"/>
      <c r="BG443" s="1481"/>
      <c r="BH443" s="1481"/>
      <c r="BI443" s="1481"/>
      <c r="BJ443" s="1481"/>
      <c r="BK443" s="1481"/>
      <c r="BL443" s="1481"/>
      <c r="BM443" s="1481"/>
      <c r="BN443" s="1481"/>
      <c r="BO443" s="1481"/>
      <c r="BP443" s="1481"/>
      <c r="BQ443" s="1481"/>
      <c r="BR443" s="1481"/>
      <c r="BS443" s="1481"/>
      <c r="BT443" s="1481"/>
      <c r="BU443" s="1481"/>
      <c r="BV443" s="1481"/>
      <c r="BW443" s="1481"/>
      <c r="BX443" s="1481"/>
      <c r="BY443" s="1481"/>
      <c r="BZ443" s="1481"/>
      <c r="CA443" s="1481"/>
      <c r="CB443" s="1481"/>
      <c r="CC443" s="1481"/>
      <c r="CD443" s="1481"/>
      <c r="CE443" s="1481"/>
    </row>
    <row r="444" spans="1:83" ht="5.25" hidden="1" customHeight="1">
      <c r="A444" s="1636"/>
      <c r="B444" s="1481"/>
      <c r="C444" s="1481"/>
      <c r="D444" s="3622"/>
      <c r="E444" s="527"/>
      <c r="F444" s="527"/>
      <c r="G444" s="527"/>
      <c r="H444" s="527"/>
      <c r="I444" s="527"/>
      <c r="J444" s="527"/>
      <c r="K444" s="527"/>
      <c r="L444" s="527"/>
      <c r="M444" s="527"/>
      <c r="N444" s="527"/>
      <c r="O444" s="527"/>
      <c r="P444" s="527"/>
      <c r="Q444" s="527"/>
      <c r="R444" s="527"/>
      <c r="S444" s="528"/>
      <c r="T444" s="608"/>
      <c r="U444" s="3532"/>
      <c r="V444" s="3532"/>
      <c r="W444" s="1481"/>
      <c r="X444" s="1481"/>
      <c r="Y444" s="1481"/>
      <c r="Z444" s="1481"/>
      <c r="AA444" s="1481"/>
      <c r="AB444" s="1481"/>
      <c r="AC444" s="907"/>
      <c r="AD444" s="908"/>
      <c r="AE444" s="1481"/>
      <c r="AF444" s="1481"/>
      <c r="AG444" s="1481"/>
      <c r="AH444" s="1481"/>
      <c r="AI444" s="1481"/>
      <c r="AJ444" s="1481"/>
      <c r="AK444" s="1481"/>
      <c r="AL444" s="1481"/>
      <c r="AM444" s="1481"/>
      <c r="AN444" s="1481"/>
      <c r="AO444" s="1481"/>
      <c r="AP444" s="1481"/>
      <c r="AQ444" s="1481"/>
      <c r="AR444" s="1481"/>
      <c r="AS444" s="1481"/>
      <c r="AT444" s="1481"/>
      <c r="AU444" s="1481"/>
      <c r="AV444" s="1481"/>
      <c r="AW444" s="1481"/>
      <c r="AX444" s="1481"/>
      <c r="AY444" s="1481"/>
      <c r="AZ444" s="1481"/>
      <c r="BA444" s="1481"/>
      <c r="BB444" s="1481"/>
      <c r="BC444" s="1481"/>
      <c r="BD444" s="1481"/>
      <c r="BE444" s="1481"/>
      <c r="BF444" s="1481"/>
      <c r="BG444" s="1481"/>
      <c r="BH444" s="1481"/>
      <c r="BI444" s="1481"/>
      <c r="BJ444" s="1481"/>
      <c r="BK444" s="1481"/>
      <c r="BL444" s="1481"/>
      <c r="BM444" s="1481"/>
      <c r="BN444" s="1481"/>
      <c r="BO444" s="1481"/>
      <c r="BP444" s="1481"/>
      <c r="BQ444" s="1481"/>
      <c r="BR444" s="1481"/>
      <c r="BS444" s="1481"/>
      <c r="BT444" s="1481"/>
      <c r="BU444" s="1481"/>
      <c r="BV444" s="1481"/>
      <c r="BW444" s="1481"/>
      <c r="BX444" s="1481"/>
      <c r="BY444" s="1481"/>
      <c r="BZ444" s="1481"/>
      <c r="CA444" s="1481"/>
      <c r="CB444" s="1481"/>
      <c r="CC444" s="1481"/>
      <c r="CD444" s="1481"/>
      <c r="CE444" s="1481"/>
    </row>
    <row r="445" spans="1:83" ht="5.25" hidden="1" customHeight="1">
      <c r="A445" s="1636"/>
      <c r="B445" s="1481"/>
      <c r="C445" s="1481"/>
      <c r="D445" s="3623"/>
      <c r="E445" s="913"/>
      <c r="F445" s="914"/>
      <c r="G445" s="914"/>
      <c r="H445" s="915"/>
      <c r="I445" s="915"/>
      <c r="J445" s="915"/>
      <c r="K445" s="915"/>
      <c r="L445" s="915"/>
      <c r="M445" s="915"/>
      <c r="N445" s="915"/>
      <c r="O445" s="915"/>
      <c r="P445" s="915"/>
      <c r="Q445" s="915"/>
      <c r="R445" s="818"/>
      <c r="S445" s="916"/>
      <c r="T445" s="608"/>
      <c r="U445" s="3532"/>
      <c r="V445" s="3532"/>
      <c r="W445" s="1481"/>
      <c r="X445" s="1481"/>
      <c r="Y445" s="1481"/>
      <c r="Z445" s="1481"/>
      <c r="AA445" s="1481"/>
      <c r="AB445" s="1481"/>
      <c r="AC445" s="907"/>
      <c r="AD445" s="908"/>
      <c r="AE445" s="1481"/>
      <c r="AF445" s="1481"/>
      <c r="AG445" s="1481"/>
      <c r="AH445" s="1481"/>
      <c r="AI445" s="1481"/>
      <c r="AJ445" s="1481"/>
      <c r="AK445" s="1481"/>
      <c r="AL445" s="1481"/>
      <c r="AM445" s="1481"/>
      <c r="AN445" s="1481"/>
      <c r="AO445" s="1481"/>
      <c r="AP445" s="1481"/>
      <c r="AQ445" s="1481"/>
      <c r="AR445" s="1481"/>
      <c r="AS445" s="1481"/>
      <c r="AT445" s="1481"/>
      <c r="AU445" s="1481"/>
      <c r="AV445" s="1481"/>
      <c r="AW445" s="1481"/>
      <c r="AX445" s="1481"/>
      <c r="AY445" s="1481"/>
      <c r="AZ445" s="1481"/>
      <c r="BA445" s="1481"/>
      <c r="BB445" s="1481"/>
      <c r="BC445" s="1481"/>
      <c r="BD445" s="1481"/>
      <c r="BE445" s="1481"/>
      <c r="BF445" s="1481"/>
      <c r="BG445" s="1481"/>
      <c r="BH445" s="1481"/>
      <c r="BI445" s="1481"/>
      <c r="BJ445" s="1481"/>
      <c r="BK445" s="1481"/>
      <c r="BL445" s="1481"/>
      <c r="BM445" s="1481"/>
      <c r="BN445" s="1481"/>
      <c r="BO445" s="1481"/>
      <c r="BP445" s="1481"/>
      <c r="BQ445" s="1481"/>
      <c r="BR445" s="1481"/>
      <c r="BS445" s="1481"/>
      <c r="BT445" s="1481"/>
      <c r="BU445" s="1481"/>
      <c r="BV445" s="1481"/>
      <c r="BW445" s="1481"/>
      <c r="BX445" s="1481"/>
      <c r="BY445" s="1481"/>
      <c r="BZ445" s="1481"/>
      <c r="CA445" s="1481"/>
      <c r="CB445" s="1481"/>
      <c r="CC445" s="1481"/>
      <c r="CD445" s="1481"/>
      <c r="CE445" s="1481"/>
    </row>
    <row r="446" spans="1:83" ht="15" hidden="1" customHeight="1">
      <c r="A446" s="516" t="s">
        <v>254</v>
      </c>
      <c r="B446"/>
      <c r="C446" t="s">
        <v>18</v>
      </c>
      <c r="D446" s="3621" t="s">
        <v>927</v>
      </c>
      <c r="E446" s="3618" t="s">
        <v>102</v>
      </c>
      <c r="F446" s="3619"/>
      <c r="G446" s="3620"/>
      <c r="H446" s="3614" t="str">
        <f>IF(A446="","",INDEX(DIFFERENTIATION_UNMERGE_VD,MATCH(A446,DIFFERENTIATION_ID_DIFF,0)))</f>
        <v>Производство тепловой энергии. Некомбинированная выработка</v>
      </c>
      <c r="I446" s="3614"/>
      <c r="J446" s="3614"/>
      <c r="K446" s="3614"/>
      <c r="L446" s="3614"/>
      <c r="M446" s="3614"/>
      <c r="N446" s="3614"/>
      <c r="O446" s="3614"/>
      <c r="P446" s="3614"/>
      <c r="Q446" s="3614"/>
      <c r="R446" s="3614"/>
      <c r="S446" s="609"/>
      <c r="T446" s="606"/>
      <c r="U446" s="517"/>
      <c r="V446" s="517"/>
      <c r="W446" s="518"/>
      <c r="X446" s="518"/>
      <c r="Y446" s="518"/>
      <c r="Z446" s="518"/>
      <c r="AA446" s="519"/>
      <c r="AB446" s="520"/>
      <c r="AC446" s="3617"/>
      <c r="AD446" s="521"/>
      <c r="AE446" s="522" t="s">
        <v>18</v>
      </c>
      <c r="AF446" s="522"/>
      <c r="AG446" s="523" t="s">
        <v>874</v>
      </c>
      <c r="AH446" s="524">
        <v>3</v>
      </c>
      <c r="AI446" s="517"/>
      <c r="AJ446" s="517"/>
      <c r="AK446" s="517"/>
      <c r="AL446" s="517"/>
      <c r="AM446" s="517"/>
      <c r="AN446" s="517"/>
      <c r="AO446" s="517"/>
      <c r="AP446" s="517"/>
      <c r="AQ446" s="517"/>
      <c r="AR446" s="517"/>
      <c r="AS446" s="517"/>
      <c r="AT446" s="517"/>
      <c r="AU446" s="517"/>
      <c r="AV446" s="517"/>
      <c r="AW446" s="517"/>
      <c r="AX446" s="517"/>
      <c r="AY446" s="517"/>
      <c r="AZ446" s="517"/>
      <c r="BA446" s="517"/>
      <c r="BB446" s="517"/>
      <c r="BC446" s="517"/>
      <c r="BD446" s="517"/>
      <c r="BE446" s="517"/>
      <c r="BF446" s="517"/>
      <c r="BG446" s="517"/>
      <c r="BH446" s="517"/>
      <c r="BI446" s="517"/>
      <c r="BJ446" s="517"/>
      <c r="BK446" s="517"/>
      <c r="BL446" s="517"/>
      <c r="BM446" s="517"/>
      <c r="BN446" s="517"/>
      <c r="BO446" s="517"/>
      <c r="BP446" s="517"/>
      <c r="BQ446" s="517"/>
      <c r="BR446" s="517"/>
      <c r="BS446" s="517"/>
      <c r="BT446" s="517"/>
      <c r="BU446" s="517"/>
      <c r="BV446" s="518"/>
      <c r="BW446" s="518"/>
      <c r="BX446" s="518"/>
      <c r="BY446" s="518"/>
      <c r="BZ446" s="518"/>
      <c r="CA446" s="518"/>
      <c r="CB446" s="518"/>
      <c r="CC446" s="518"/>
      <c r="CD446" s="518"/>
      <c r="CE446" s="518"/>
    </row>
    <row r="447" spans="1:83" ht="15" hidden="1" customHeight="1">
      <c r="A447" s="516"/>
      <c r="B447"/>
      <c r="C447"/>
      <c r="D447" s="3622"/>
      <c r="E447" s="3618" t="s">
        <v>829</v>
      </c>
      <c r="F447" s="3619"/>
      <c r="G447" s="3620"/>
      <c r="H447" s="3614" t="str">
        <f>IF(A446="","",INDEX(DIFFERENTIATION_UNMERGE_AREA,MATCH(A446,DIFFERENTIATION_ID_DIFF,0)))</f>
        <v>Территория 1</v>
      </c>
      <c r="I447" s="3614"/>
      <c r="J447" s="3614"/>
      <c r="K447" s="3614"/>
      <c r="L447" s="3614"/>
      <c r="M447" s="3614"/>
      <c r="N447" s="3614"/>
      <c r="O447" s="3614"/>
      <c r="P447" s="3614"/>
      <c r="Q447" s="3614"/>
      <c r="R447" s="3614"/>
      <c r="S447" s="609"/>
      <c r="T447" s="606"/>
      <c r="U447" s="517"/>
      <c r="V447" s="517"/>
      <c r="W447" s="518"/>
      <c r="X447" s="518"/>
      <c r="Y447" s="518"/>
      <c r="Z447" s="518"/>
      <c r="AA447" s="519"/>
      <c r="AB447" s="520"/>
      <c r="AC447" s="3617"/>
      <c r="AD447" s="521"/>
      <c r="AE447" s="522"/>
      <c r="AF447" s="522"/>
      <c r="AG447" s="523"/>
      <c r="AH447" s="524"/>
      <c r="AI447" s="517"/>
      <c r="AJ447" s="517"/>
      <c r="AK447" s="517"/>
      <c r="AL447" s="517"/>
      <c r="AM447" s="517"/>
      <c r="AN447" s="517"/>
      <c r="AO447" s="517"/>
      <c r="AP447" s="517"/>
      <c r="AQ447" s="517"/>
      <c r="AR447" s="517"/>
      <c r="AS447" s="517"/>
      <c r="AT447" s="517"/>
      <c r="AU447" s="517"/>
      <c r="AV447" s="517"/>
      <c r="AW447" s="517"/>
      <c r="AX447" s="517"/>
      <c r="AY447" s="517"/>
      <c r="AZ447" s="517"/>
      <c r="BA447" s="517"/>
      <c r="BB447" s="517"/>
      <c r="BC447" s="517"/>
      <c r="BD447" s="517"/>
      <c r="BE447" s="517"/>
      <c r="BF447" s="517"/>
      <c r="BG447" s="517"/>
      <c r="BH447" s="517"/>
      <c r="BI447" s="517"/>
      <c r="BJ447" s="517"/>
      <c r="BK447" s="517"/>
      <c r="BL447" s="517"/>
      <c r="BM447" s="517"/>
      <c r="BN447" s="517"/>
      <c r="BO447" s="517"/>
      <c r="BP447" s="517"/>
      <c r="BQ447" s="517"/>
      <c r="BR447" s="517"/>
      <c r="BS447" s="517"/>
      <c r="BT447" s="517"/>
      <c r="BU447" s="517"/>
      <c r="BV447" s="518"/>
      <c r="BW447" s="518"/>
      <c r="BX447" s="518"/>
      <c r="BY447" s="518"/>
      <c r="BZ447" s="518"/>
      <c r="CA447" s="518"/>
      <c r="CB447" s="518"/>
      <c r="CC447" s="518"/>
      <c r="CD447" s="518"/>
      <c r="CE447" s="518"/>
    </row>
    <row r="448" spans="1:83" ht="15" hidden="1" customHeight="1">
      <c r="A448" s="516"/>
      <c r="B448"/>
      <c r="C448"/>
      <c r="D448" s="3622"/>
      <c r="E448" s="3618" t="s">
        <v>830</v>
      </c>
      <c r="F448" s="3619"/>
      <c r="G448" s="3620"/>
      <c r="H448" s="3614" t="str">
        <f>IF(A446="","",INDEX(DIFFERENTIATION_UNMERGE_SYSTEM,MATCH(A446,DIFFERENTIATION_ID_DIFF,0)))</f>
        <v>Черепичная, 24б</v>
      </c>
      <c r="I448" s="3614"/>
      <c r="J448" s="3614"/>
      <c r="K448" s="3614"/>
      <c r="L448" s="3614"/>
      <c r="M448" s="3614"/>
      <c r="N448" s="3614"/>
      <c r="O448" s="3614"/>
      <c r="P448" s="3614"/>
      <c r="Q448" s="3614"/>
      <c r="R448" s="3614"/>
      <c r="S448" s="609"/>
      <c r="T448" s="606"/>
      <c r="U448" s="517"/>
      <c r="V448" s="517"/>
      <c r="W448" s="518"/>
      <c r="X448" s="518"/>
      <c r="Y448" s="518"/>
      <c r="Z448" s="518"/>
      <c r="AA448" s="519"/>
      <c r="AB448" s="520"/>
      <c r="AC448" s="3617"/>
      <c r="AD448" s="521"/>
      <c r="AE448" s="522"/>
      <c r="AF448" s="522"/>
      <c r="AG448" s="523"/>
      <c r="AH448" s="524"/>
      <c r="AI448" s="517"/>
      <c r="AJ448" s="517"/>
      <c r="AK448" s="517"/>
      <c r="AL448" s="517"/>
      <c r="AM448" s="517"/>
      <c r="AN448" s="517"/>
      <c r="AO448" s="517"/>
      <c r="AP448" s="517"/>
      <c r="AQ448" s="517"/>
      <c r="AR448" s="517"/>
      <c r="AS448" s="517"/>
      <c r="AT448" s="517"/>
      <c r="AU448" s="517"/>
      <c r="AV448" s="517"/>
      <c r="AW448" s="517"/>
      <c r="AX448" s="517"/>
      <c r="AY448" s="517"/>
      <c r="AZ448" s="517"/>
      <c r="BA448" s="517"/>
      <c r="BB448" s="517"/>
      <c r="BC448" s="517"/>
      <c r="BD448" s="517"/>
      <c r="BE448" s="517"/>
      <c r="BF448" s="517"/>
      <c r="BG448" s="517"/>
      <c r="BH448" s="517"/>
      <c r="BI448" s="517"/>
      <c r="BJ448" s="517"/>
      <c r="BK448" s="517"/>
      <c r="BL448" s="517"/>
      <c r="BM448" s="517"/>
      <c r="BN448" s="517"/>
      <c r="BO448" s="517"/>
      <c r="BP448" s="517"/>
      <c r="BQ448" s="517"/>
      <c r="BR448" s="517"/>
      <c r="BS448" s="517"/>
      <c r="BT448" s="517"/>
      <c r="BU448" s="517"/>
      <c r="BV448" s="518"/>
      <c r="BW448" s="518"/>
      <c r="BX448" s="518"/>
      <c r="BY448" s="518"/>
      <c r="BZ448" s="518"/>
      <c r="CA448" s="518"/>
      <c r="CB448" s="518"/>
      <c r="CC448" s="518"/>
      <c r="CD448" s="518"/>
      <c r="CE448" s="518"/>
    </row>
    <row r="449" spans="1:83" ht="24.75" hidden="1" customHeight="1">
      <c r="A449" s="1649"/>
      <c r="B449" s="1023"/>
      <c r="C449" s="319"/>
      <c r="D449" s="3622"/>
      <c r="E449" s="3616" t="s">
        <v>875</v>
      </c>
      <c r="F449" s="3616"/>
      <c r="G449" s="3616"/>
      <c r="H449" s="3616"/>
      <c r="I449" s="3616"/>
      <c r="J449" s="3616"/>
      <c r="K449" s="3616"/>
      <c r="L449" s="3616"/>
      <c r="M449" s="3616"/>
      <c r="N449" s="3616"/>
      <c r="O449" s="3616"/>
      <c r="P449" s="3616"/>
      <c r="Q449" s="455">
        <f>SUMIF(T450:T451,"i",Q450:Q451)</f>
        <v>0</v>
      </c>
      <c r="R449" s="887"/>
      <c r="S449" s="1641" t="s">
        <v>876</v>
      </c>
      <c r="T449" s="607" t="s">
        <v>877</v>
      </c>
      <c r="U449" s="3532">
        <v>1</v>
      </c>
      <c r="V449" s="3532" t="s">
        <v>840</v>
      </c>
      <c r="W449" s="1023"/>
      <c r="X449" s="1023"/>
      <c r="Y449" s="1023"/>
      <c r="Z449" s="1023"/>
      <c r="AA449" s="1481"/>
      <c r="AB449" s="1023"/>
      <c r="AC449" s="3617"/>
      <c r="AD449" s="521"/>
      <c r="AE449" s="1023"/>
      <c r="AF449" s="1023"/>
      <c r="AG449" s="1481"/>
      <c r="AH449" s="1481"/>
      <c r="AI449" s="1481"/>
      <c r="AJ449" s="1481"/>
      <c r="AK449" s="1481"/>
      <c r="AL449" s="1481"/>
      <c r="AM449" s="1481"/>
      <c r="AN449" s="1481"/>
      <c r="AO449" s="1481"/>
      <c r="AP449" s="1481"/>
      <c r="AQ449" s="1481"/>
      <c r="AR449" s="1481"/>
      <c r="AS449" s="1481"/>
      <c r="AT449" s="1481"/>
      <c r="AU449" s="1481"/>
      <c r="AV449" s="1481"/>
      <c r="AW449" s="1481"/>
      <c r="AX449" s="1481"/>
      <c r="AY449" s="1481"/>
      <c r="AZ449" s="1481"/>
      <c r="BA449" s="1481"/>
      <c r="BB449" s="1481"/>
      <c r="BC449" s="1481"/>
      <c r="BD449" s="1481"/>
      <c r="BE449" s="1481"/>
      <c r="BF449" s="1481"/>
      <c r="BG449" s="1481"/>
      <c r="BH449" s="1481"/>
      <c r="BI449" s="1481"/>
      <c r="BJ449" s="1481"/>
      <c r="BK449" s="1481"/>
      <c r="BL449" s="1481"/>
      <c r="BM449" s="1481"/>
      <c r="BN449" s="1481"/>
      <c r="BO449" s="1481"/>
      <c r="BP449" s="1481"/>
      <c r="BQ449" s="1481"/>
      <c r="BR449" s="1481"/>
      <c r="BS449" s="1481"/>
      <c r="BT449" s="1481"/>
      <c r="BU449" s="1481"/>
      <c r="BV449" s="1023"/>
      <c r="BW449" s="1023"/>
      <c r="BX449" s="1023"/>
      <c r="BY449" s="1023"/>
      <c r="BZ449" s="1023"/>
      <c r="CA449" s="1023"/>
      <c r="CB449" s="1023"/>
      <c r="CC449" s="1023"/>
      <c r="CD449" s="1023"/>
      <c r="CE449" s="1023"/>
    </row>
    <row r="450" spans="1:83" ht="11.25" hidden="1" customHeight="1">
      <c r="A450" s="1636"/>
      <c r="B450" s="1481"/>
      <c r="C450" s="1481"/>
      <c r="D450" s="3622"/>
      <c r="E450" s="527"/>
      <c r="F450" s="527">
        <v>0</v>
      </c>
      <c r="G450" s="527"/>
      <c r="H450" s="527"/>
      <c r="I450" s="527"/>
      <c r="J450" s="527"/>
      <c r="K450" s="527"/>
      <c r="L450" s="527"/>
      <c r="M450" s="527"/>
      <c r="N450" s="527"/>
      <c r="O450" s="527"/>
      <c r="P450" s="527"/>
      <c r="Q450" s="527"/>
      <c r="R450" s="527"/>
      <c r="S450" s="528"/>
      <c r="T450" s="608"/>
      <c r="U450" s="3532"/>
      <c r="V450" s="3532"/>
      <c r="W450" s="1481"/>
      <c r="X450" s="1481"/>
      <c r="Y450" s="1481"/>
      <c r="Z450" s="1481"/>
      <c r="AA450" s="1481"/>
      <c r="AB450" s="1023"/>
      <c r="AC450" s="3617"/>
      <c r="AD450" s="521"/>
      <c r="AE450" s="1023"/>
      <c r="AF450" s="1023"/>
      <c r="AG450" s="1481"/>
      <c r="AH450" s="1481"/>
      <c r="AI450" s="1481"/>
      <c r="AJ450" s="1481"/>
      <c r="AK450" s="1481"/>
      <c r="AL450" s="1481"/>
      <c r="AM450" s="1481"/>
      <c r="AN450" s="1481"/>
      <c r="AO450" s="1481"/>
      <c r="AP450" s="1481"/>
      <c r="AQ450" s="1481"/>
      <c r="AR450" s="1481"/>
      <c r="AS450" s="1481"/>
      <c r="AT450" s="1481"/>
      <c r="AU450" s="1481"/>
      <c r="AV450" s="1481"/>
      <c r="AW450" s="1481"/>
      <c r="AX450" s="1481"/>
      <c r="AY450" s="1481"/>
      <c r="AZ450" s="1481"/>
      <c r="BA450" s="1481"/>
      <c r="BB450" s="1481"/>
      <c r="BC450" s="1481"/>
      <c r="BD450" s="1481"/>
      <c r="BE450" s="1481"/>
      <c r="BF450" s="1481"/>
      <c r="BG450" s="1481"/>
      <c r="BH450" s="1481"/>
      <c r="BI450" s="1481"/>
      <c r="BJ450" s="1481"/>
      <c r="BK450" s="1481"/>
      <c r="BL450" s="1481"/>
      <c r="BM450" s="1481"/>
      <c r="BN450" s="1481"/>
      <c r="BO450" s="1481"/>
      <c r="BP450" s="1481"/>
      <c r="BQ450" s="1481"/>
      <c r="BR450" s="1481"/>
      <c r="BS450" s="1481"/>
      <c r="BT450" s="1481"/>
      <c r="BU450" s="1481"/>
      <c r="BV450" s="1481"/>
      <c r="BW450" s="1481"/>
      <c r="BX450" s="1481"/>
      <c r="BY450" s="1481"/>
      <c r="BZ450" s="1481"/>
      <c r="CA450" s="1481"/>
      <c r="CB450" s="1481"/>
      <c r="CC450" s="1481"/>
      <c r="CD450" s="1481"/>
      <c r="CE450" s="1481"/>
    </row>
    <row r="451" spans="1:83" ht="11.25" hidden="1" customHeight="1">
      <c r="A451" s="1649"/>
      <c r="B451" s="1023"/>
      <c r="C451" s="319"/>
      <c r="D451" s="3622"/>
      <c r="E451" s="541" t="s">
        <v>18</v>
      </c>
      <c r="F451" s="1031" t="s">
        <v>18</v>
      </c>
      <c r="G451" s="1031" t="s">
        <v>880</v>
      </c>
      <c r="H451" s="543" t="s">
        <v>18</v>
      </c>
      <c r="I451" s="543"/>
      <c r="J451" s="543"/>
      <c r="K451" s="543"/>
      <c r="L451" s="543"/>
      <c r="M451" s="543"/>
      <c r="N451" s="543"/>
      <c r="O451" s="543"/>
      <c r="P451" s="543"/>
      <c r="Q451" s="543"/>
      <c r="R451" s="544"/>
      <c r="S451" s="545"/>
      <c r="T451" s="608"/>
      <c r="U451" s="3532"/>
      <c r="V451" s="3532"/>
      <c r="W451" s="1023"/>
      <c r="X451" s="1023"/>
      <c r="Y451" s="1023"/>
      <c r="Z451" s="1023"/>
      <c r="AA451" s="1481"/>
      <c r="AB451" s="1023"/>
      <c r="AC451" s="3617"/>
      <c r="AD451" s="521"/>
      <c r="AE451" s="1023"/>
      <c r="AF451" s="1023"/>
      <c r="AG451" s="1481"/>
      <c r="AH451" s="1481"/>
      <c r="AI451" s="1481"/>
      <c r="AJ451" s="1481"/>
      <c r="AK451" s="1481"/>
      <c r="AL451" s="1481"/>
      <c r="AM451" s="1481"/>
      <c r="AN451" s="1481"/>
      <c r="AO451" s="1481"/>
      <c r="AP451" s="1481"/>
      <c r="AQ451" s="1481"/>
      <c r="AR451" s="1481"/>
      <c r="AS451" s="1481"/>
      <c r="AT451" s="1481"/>
      <c r="AU451" s="1481"/>
      <c r="AV451" s="1481"/>
      <c r="AW451" s="1481"/>
      <c r="AX451" s="1481"/>
      <c r="AY451" s="1481"/>
      <c r="AZ451" s="1481"/>
      <c r="BA451" s="1481"/>
      <c r="BB451" s="1481"/>
      <c r="BC451" s="1481"/>
      <c r="BD451" s="1481"/>
      <c r="BE451" s="1481"/>
      <c r="BF451" s="1481"/>
      <c r="BG451" s="1481"/>
      <c r="BH451" s="1481"/>
      <c r="BI451" s="1481"/>
      <c r="BJ451" s="1481"/>
      <c r="BK451" s="1481"/>
      <c r="BL451" s="1481"/>
      <c r="BM451" s="1481"/>
      <c r="BN451" s="1481"/>
      <c r="BO451" s="1481"/>
      <c r="BP451" s="1481"/>
      <c r="BQ451" s="1481"/>
      <c r="BR451" s="1481"/>
      <c r="BS451" s="1481"/>
      <c r="BT451" s="1481"/>
      <c r="BU451" s="1481"/>
      <c r="BV451" s="1023"/>
      <c r="BW451" s="1023"/>
      <c r="BX451" s="1023"/>
      <c r="BY451" s="1023"/>
      <c r="BZ451" s="1023"/>
      <c r="CA451" s="1023"/>
      <c r="CB451" s="1023"/>
      <c r="CC451" s="1023"/>
      <c r="CD451" s="1023"/>
      <c r="CE451" s="1023"/>
    </row>
    <row r="452" spans="1:83" ht="5.25" hidden="1" customHeight="1">
      <c r="A452" s="1636"/>
      <c r="B452" s="1481"/>
      <c r="C452" s="1481"/>
      <c r="D452" s="3622"/>
      <c r="E452" s="909"/>
      <c r="F452" s="909"/>
      <c r="G452" s="909"/>
      <c r="H452" s="909"/>
      <c r="I452" s="909"/>
      <c r="J452" s="909"/>
      <c r="K452" s="909"/>
      <c r="L452" s="909"/>
      <c r="M452" s="909"/>
      <c r="N452" s="909"/>
      <c r="O452" s="909"/>
      <c r="P452" s="909"/>
      <c r="Q452" s="910"/>
      <c r="R452" s="911"/>
      <c r="S452" s="912"/>
      <c r="T452" s="607" t="s">
        <v>877</v>
      </c>
      <c r="U452" s="3532">
        <v>1</v>
      </c>
      <c r="V452" s="3532" t="s">
        <v>840</v>
      </c>
      <c r="W452" s="1481"/>
      <c r="X452" s="1481"/>
      <c r="Y452" s="1481"/>
      <c r="Z452" s="1481"/>
      <c r="AA452" s="1481"/>
      <c r="AB452" s="1481"/>
      <c r="AC452" s="907"/>
      <c r="AD452" s="908"/>
      <c r="AE452" s="1481"/>
      <c r="AF452" s="1481"/>
      <c r="AG452" s="1481"/>
      <c r="AH452" s="1481"/>
      <c r="AI452" s="1481"/>
      <c r="AJ452" s="1481"/>
      <c r="AK452" s="1481"/>
      <c r="AL452" s="1481"/>
      <c r="AM452" s="1481"/>
      <c r="AN452" s="1481"/>
      <c r="AO452" s="1481"/>
      <c r="AP452" s="1481"/>
      <c r="AQ452" s="1481"/>
      <c r="AR452" s="1481"/>
      <c r="AS452" s="1481"/>
      <c r="AT452" s="1481"/>
      <c r="AU452" s="1481"/>
      <c r="AV452" s="1481"/>
      <c r="AW452" s="1481"/>
      <c r="AX452" s="1481"/>
      <c r="AY452" s="1481"/>
      <c r="AZ452" s="1481"/>
      <c r="BA452" s="1481"/>
      <c r="BB452" s="1481"/>
      <c r="BC452" s="1481"/>
      <c r="BD452" s="1481"/>
      <c r="BE452" s="1481"/>
      <c r="BF452" s="1481"/>
      <c r="BG452" s="1481"/>
      <c r="BH452" s="1481"/>
      <c r="BI452" s="1481"/>
      <c r="BJ452" s="1481"/>
      <c r="BK452" s="1481"/>
      <c r="BL452" s="1481"/>
      <c r="BM452" s="1481"/>
      <c r="BN452" s="1481"/>
      <c r="BO452" s="1481"/>
      <c r="BP452" s="1481"/>
      <c r="BQ452" s="1481"/>
      <c r="BR452" s="1481"/>
      <c r="BS452" s="1481"/>
      <c r="BT452" s="1481"/>
      <c r="BU452" s="1481"/>
      <c r="BV452" s="1481"/>
      <c r="BW452" s="1481"/>
      <c r="BX452" s="1481"/>
      <c r="BY452" s="1481"/>
      <c r="BZ452" s="1481"/>
      <c r="CA452" s="1481"/>
      <c r="CB452" s="1481"/>
      <c r="CC452" s="1481"/>
      <c r="CD452" s="1481"/>
      <c r="CE452" s="1481"/>
    </row>
    <row r="453" spans="1:83" ht="5.25" hidden="1" customHeight="1">
      <c r="A453" s="1636"/>
      <c r="B453" s="1481"/>
      <c r="C453" s="1481"/>
      <c r="D453" s="3622"/>
      <c r="E453" s="527"/>
      <c r="F453" s="527"/>
      <c r="G453" s="527"/>
      <c r="H453" s="527"/>
      <c r="I453" s="527"/>
      <c r="J453" s="527"/>
      <c r="K453" s="527"/>
      <c r="L453" s="527"/>
      <c r="M453" s="527"/>
      <c r="N453" s="527"/>
      <c r="O453" s="527"/>
      <c r="P453" s="527"/>
      <c r="Q453" s="527"/>
      <c r="R453" s="527"/>
      <c r="S453" s="528"/>
      <c r="T453" s="608"/>
      <c r="U453" s="3532"/>
      <c r="V453" s="3532"/>
      <c r="W453" s="1481"/>
      <c r="X453" s="1481"/>
      <c r="Y453" s="1481"/>
      <c r="Z453" s="1481"/>
      <c r="AA453" s="1481"/>
      <c r="AB453" s="1481"/>
      <c r="AC453" s="907"/>
      <c r="AD453" s="908"/>
      <c r="AE453" s="1481"/>
      <c r="AF453" s="1481"/>
      <c r="AG453" s="1481"/>
      <c r="AH453" s="1481"/>
      <c r="AI453" s="1481"/>
      <c r="AJ453" s="1481"/>
      <c r="AK453" s="1481"/>
      <c r="AL453" s="1481"/>
      <c r="AM453" s="1481"/>
      <c r="AN453" s="1481"/>
      <c r="AO453" s="1481"/>
      <c r="AP453" s="1481"/>
      <c r="AQ453" s="1481"/>
      <c r="AR453" s="1481"/>
      <c r="AS453" s="1481"/>
      <c r="AT453" s="1481"/>
      <c r="AU453" s="1481"/>
      <c r="AV453" s="1481"/>
      <c r="AW453" s="1481"/>
      <c r="AX453" s="1481"/>
      <c r="AY453" s="1481"/>
      <c r="AZ453" s="1481"/>
      <c r="BA453" s="1481"/>
      <c r="BB453" s="1481"/>
      <c r="BC453" s="1481"/>
      <c r="BD453" s="1481"/>
      <c r="BE453" s="1481"/>
      <c r="BF453" s="1481"/>
      <c r="BG453" s="1481"/>
      <c r="BH453" s="1481"/>
      <c r="BI453" s="1481"/>
      <c r="BJ453" s="1481"/>
      <c r="BK453" s="1481"/>
      <c r="BL453" s="1481"/>
      <c r="BM453" s="1481"/>
      <c r="BN453" s="1481"/>
      <c r="BO453" s="1481"/>
      <c r="BP453" s="1481"/>
      <c r="BQ453" s="1481"/>
      <c r="BR453" s="1481"/>
      <c r="BS453" s="1481"/>
      <c r="BT453" s="1481"/>
      <c r="BU453" s="1481"/>
      <c r="BV453" s="1481"/>
      <c r="BW453" s="1481"/>
      <c r="BX453" s="1481"/>
      <c r="BY453" s="1481"/>
      <c r="BZ453" s="1481"/>
      <c r="CA453" s="1481"/>
      <c r="CB453" s="1481"/>
      <c r="CC453" s="1481"/>
      <c r="CD453" s="1481"/>
      <c r="CE453" s="1481"/>
    </row>
    <row r="454" spans="1:83" ht="5.25" hidden="1" customHeight="1">
      <c r="A454" s="1636"/>
      <c r="B454" s="1481"/>
      <c r="C454" s="1481"/>
      <c r="D454" s="3623"/>
      <c r="E454" s="913"/>
      <c r="F454" s="914"/>
      <c r="G454" s="914"/>
      <c r="H454" s="915"/>
      <c r="I454" s="915"/>
      <c r="J454" s="915"/>
      <c r="K454" s="915"/>
      <c r="L454" s="915"/>
      <c r="M454" s="915"/>
      <c r="N454" s="915"/>
      <c r="O454" s="915"/>
      <c r="P454" s="915"/>
      <c r="Q454" s="915"/>
      <c r="R454" s="818"/>
      <c r="S454" s="916"/>
      <c r="T454" s="608"/>
      <c r="U454" s="3532"/>
      <c r="V454" s="3532"/>
      <c r="W454" s="1481"/>
      <c r="X454" s="1481"/>
      <c r="Y454" s="1481"/>
      <c r="Z454" s="1481"/>
      <c r="AA454" s="1481"/>
      <c r="AB454" s="1481"/>
      <c r="AC454" s="907"/>
      <c r="AD454" s="908"/>
      <c r="AE454" s="1481"/>
      <c r="AF454" s="1481"/>
      <c r="AG454" s="1481"/>
      <c r="AH454" s="1481"/>
      <c r="AI454" s="1481"/>
      <c r="AJ454" s="1481"/>
      <c r="AK454" s="1481"/>
      <c r="AL454" s="1481"/>
      <c r="AM454" s="1481"/>
      <c r="AN454" s="1481"/>
      <c r="AO454" s="1481"/>
      <c r="AP454" s="1481"/>
      <c r="AQ454" s="1481"/>
      <c r="AR454" s="1481"/>
      <c r="AS454" s="1481"/>
      <c r="AT454" s="1481"/>
      <c r="AU454" s="1481"/>
      <c r="AV454" s="1481"/>
      <c r="AW454" s="1481"/>
      <c r="AX454" s="1481"/>
      <c r="AY454" s="1481"/>
      <c r="AZ454" s="1481"/>
      <c r="BA454" s="1481"/>
      <c r="BB454" s="1481"/>
      <c r="BC454" s="1481"/>
      <c r="BD454" s="1481"/>
      <c r="BE454" s="1481"/>
      <c r="BF454" s="1481"/>
      <c r="BG454" s="1481"/>
      <c r="BH454" s="1481"/>
      <c r="BI454" s="1481"/>
      <c r="BJ454" s="1481"/>
      <c r="BK454" s="1481"/>
      <c r="BL454" s="1481"/>
      <c r="BM454" s="1481"/>
      <c r="BN454" s="1481"/>
      <c r="BO454" s="1481"/>
      <c r="BP454" s="1481"/>
      <c r="BQ454" s="1481"/>
      <c r="BR454" s="1481"/>
      <c r="BS454" s="1481"/>
      <c r="BT454" s="1481"/>
      <c r="BU454" s="1481"/>
      <c r="BV454" s="1481"/>
      <c r="BW454" s="1481"/>
      <c r="BX454" s="1481"/>
      <c r="BY454" s="1481"/>
      <c r="BZ454" s="1481"/>
      <c r="CA454" s="1481"/>
      <c r="CB454" s="1481"/>
      <c r="CC454" s="1481"/>
      <c r="CD454" s="1481"/>
      <c r="CE454" s="1481"/>
    </row>
    <row r="455" spans="1:83" ht="15" hidden="1" customHeight="1">
      <c r="A455" s="516" t="s">
        <v>257</v>
      </c>
      <c r="B455"/>
      <c r="C455" t="s">
        <v>18</v>
      </c>
      <c r="D455" s="3621" t="s">
        <v>928</v>
      </c>
      <c r="E455" s="3618" t="s">
        <v>102</v>
      </c>
      <c r="F455" s="3619"/>
      <c r="G455" s="3620"/>
      <c r="H455" s="3614" t="str">
        <f>IF(A455="","",INDEX(DIFFERENTIATION_UNMERGE_VD,MATCH(A455,DIFFERENTIATION_ID_DIFF,0)))</f>
        <v>Производство тепловой энергии. Некомбинированная выработка</v>
      </c>
      <c r="I455" s="3614"/>
      <c r="J455" s="3614"/>
      <c r="K455" s="3614"/>
      <c r="L455" s="3614"/>
      <c r="M455" s="3614"/>
      <c r="N455" s="3614"/>
      <c r="O455" s="3614"/>
      <c r="P455" s="3614"/>
      <c r="Q455" s="3614"/>
      <c r="R455" s="3614"/>
      <c r="S455" s="609"/>
      <c r="T455" s="606"/>
      <c r="U455" s="517"/>
      <c r="V455" s="517"/>
      <c r="W455" s="518"/>
      <c r="X455" s="518"/>
      <c r="Y455" s="518"/>
      <c r="Z455" s="518"/>
      <c r="AA455" s="519"/>
      <c r="AB455" s="520"/>
      <c r="AC455" s="3617"/>
      <c r="AD455" s="521"/>
      <c r="AE455" s="522" t="s">
        <v>18</v>
      </c>
      <c r="AF455" s="522"/>
      <c r="AG455" s="523" t="s">
        <v>874</v>
      </c>
      <c r="AH455" s="524">
        <v>3</v>
      </c>
      <c r="AI455" s="517"/>
      <c r="AJ455" s="517"/>
      <c r="AK455" s="517"/>
      <c r="AL455" s="517"/>
      <c r="AM455" s="517"/>
      <c r="AN455" s="517"/>
      <c r="AO455" s="517"/>
      <c r="AP455" s="517"/>
      <c r="AQ455" s="517"/>
      <c r="AR455" s="517"/>
      <c r="AS455" s="517"/>
      <c r="AT455" s="517"/>
      <c r="AU455" s="517"/>
      <c r="AV455" s="517"/>
      <c r="AW455" s="517"/>
      <c r="AX455" s="517"/>
      <c r="AY455" s="517"/>
      <c r="AZ455" s="517"/>
      <c r="BA455" s="517"/>
      <c r="BB455" s="517"/>
      <c r="BC455" s="517"/>
      <c r="BD455" s="517"/>
      <c r="BE455" s="517"/>
      <c r="BF455" s="517"/>
      <c r="BG455" s="517"/>
      <c r="BH455" s="517"/>
      <c r="BI455" s="517"/>
      <c r="BJ455" s="517"/>
      <c r="BK455" s="517"/>
      <c r="BL455" s="517"/>
      <c r="BM455" s="517"/>
      <c r="BN455" s="517"/>
      <c r="BO455" s="517"/>
      <c r="BP455" s="517"/>
      <c r="BQ455" s="517"/>
      <c r="BR455" s="517"/>
      <c r="BS455" s="517"/>
      <c r="BT455" s="517"/>
      <c r="BU455" s="517"/>
      <c r="BV455" s="518"/>
      <c r="BW455" s="518"/>
      <c r="BX455" s="518"/>
      <c r="BY455" s="518"/>
      <c r="BZ455" s="518"/>
      <c r="CA455" s="518"/>
      <c r="CB455" s="518"/>
      <c r="CC455" s="518"/>
      <c r="CD455" s="518"/>
      <c r="CE455" s="518"/>
    </row>
    <row r="456" spans="1:83" ht="15" hidden="1" customHeight="1">
      <c r="A456" s="516"/>
      <c r="B456"/>
      <c r="C456"/>
      <c r="D456" s="3622"/>
      <c r="E456" s="3618" t="s">
        <v>829</v>
      </c>
      <c r="F456" s="3619"/>
      <c r="G456" s="3620"/>
      <c r="H456" s="3614" t="str">
        <f>IF(A455="","",INDEX(DIFFERENTIATION_UNMERGE_AREA,MATCH(A455,DIFFERENTIATION_ID_DIFF,0)))</f>
        <v>Территория 1</v>
      </c>
      <c r="I456" s="3614"/>
      <c r="J456" s="3614"/>
      <c r="K456" s="3614"/>
      <c r="L456" s="3614"/>
      <c r="M456" s="3614"/>
      <c r="N456" s="3614"/>
      <c r="O456" s="3614"/>
      <c r="P456" s="3614"/>
      <c r="Q456" s="3614"/>
      <c r="R456" s="3614"/>
      <c r="S456" s="609"/>
      <c r="T456" s="606"/>
      <c r="U456" s="517"/>
      <c r="V456" s="517"/>
      <c r="W456" s="518"/>
      <c r="X456" s="518"/>
      <c r="Y456" s="518"/>
      <c r="Z456" s="518"/>
      <c r="AA456" s="519"/>
      <c r="AB456" s="520"/>
      <c r="AC456" s="3617"/>
      <c r="AD456" s="521"/>
      <c r="AE456" s="522"/>
      <c r="AF456" s="522"/>
      <c r="AG456" s="523"/>
      <c r="AH456" s="524"/>
      <c r="AI456" s="517"/>
      <c r="AJ456" s="517"/>
      <c r="AK456" s="517"/>
      <c r="AL456" s="517"/>
      <c r="AM456" s="517"/>
      <c r="AN456" s="517"/>
      <c r="AO456" s="517"/>
      <c r="AP456" s="517"/>
      <c r="AQ456" s="517"/>
      <c r="AR456" s="517"/>
      <c r="AS456" s="517"/>
      <c r="AT456" s="517"/>
      <c r="AU456" s="517"/>
      <c r="AV456" s="517"/>
      <c r="AW456" s="517"/>
      <c r="AX456" s="517"/>
      <c r="AY456" s="517"/>
      <c r="AZ456" s="517"/>
      <c r="BA456" s="517"/>
      <c r="BB456" s="517"/>
      <c r="BC456" s="517"/>
      <c r="BD456" s="517"/>
      <c r="BE456" s="517"/>
      <c r="BF456" s="517"/>
      <c r="BG456" s="517"/>
      <c r="BH456" s="517"/>
      <c r="BI456" s="517"/>
      <c r="BJ456" s="517"/>
      <c r="BK456" s="517"/>
      <c r="BL456" s="517"/>
      <c r="BM456" s="517"/>
      <c r="BN456" s="517"/>
      <c r="BO456" s="517"/>
      <c r="BP456" s="517"/>
      <c r="BQ456" s="517"/>
      <c r="BR456" s="517"/>
      <c r="BS456" s="517"/>
      <c r="BT456" s="517"/>
      <c r="BU456" s="517"/>
      <c r="BV456" s="518"/>
      <c r="BW456" s="518"/>
      <c r="BX456" s="518"/>
      <c r="BY456" s="518"/>
      <c r="BZ456" s="518"/>
      <c r="CA456" s="518"/>
      <c r="CB456" s="518"/>
      <c r="CC456" s="518"/>
      <c r="CD456" s="518"/>
      <c r="CE456" s="518"/>
    </row>
    <row r="457" spans="1:83" ht="15" hidden="1" customHeight="1">
      <c r="A457" s="516"/>
      <c r="B457"/>
      <c r="C457"/>
      <c r="D457" s="3622"/>
      <c r="E457" s="3618" t="s">
        <v>830</v>
      </c>
      <c r="F457" s="3619"/>
      <c r="G457" s="3620"/>
      <c r="H457" s="3614" t="str">
        <f>IF(A455="","",INDEX(DIFFERENTIATION_UNMERGE_SYSTEM,MATCH(A455,DIFFERENTIATION_ID_DIFF,0)))</f>
        <v>Шпагатный,92</v>
      </c>
      <c r="I457" s="3614"/>
      <c r="J457" s="3614"/>
      <c r="K457" s="3614"/>
      <c r="L457" s="3614"/>
      <c r="M457" s="3614"/>
      <c r="N457" s="3614"/>
      <c r="O457" s="3614"/>
      <c r="P457" s="3614"/>
      <c r="Q457" s="3614"/>
      <c r="R457" s="3614"/>
      <c r="S457" s="609"/>
      <c r="T457" s="606"/>
      <c r="U457" s="517"/>
      <c r="V457" s="517"/>
      <c r="W457" s="518"/>
      <c r="X457" s="518"/>
      <c r="Y457" s="518"/>
      <c r="Z457" s="518"/>
      <c r="AA457" s="519"/>
      <c r="AB457" s="520"/>
      <c r="AC457" s="3617"/>
      <c r="AD457" s="521"/>
      <c r="AE457" s="522"/>
      <c r="AF457" s="522"/>
      <c r="AG457" s="523"/>
      <c r="AH457" s="524"/>
      <c r="AI457" s="517"/>
      <c r="AJ457" s="517"/>
      <c r="AK457" s="517"/>
      <c r="AL457" s="517"/>
      <c r="AM457" s="517"/>
      <c r="AN457" s="517"/>
      <c r="AO457" s="517"/>
      <c r="AP457" s="517"/>
      <c r="AQ457" s="517"/>
      <c r="AR457" s="517"/>
      <c r="AS457" s="517"/>
      <c r="AT457" s="517"/>
      <c r="AU457" s="517"/>
      <c r="AV457" s="517"/>
      <c r="AW457" s="517"/>
      <c r="AX457" s="517"/>
      <c r="AY457" s="517"/>
      <c r="AZ457" s="517"/>
      <c r="BA457" s="517"/>
      <c r="BB457" s="517"/>
      <c r="BC457" s="517"/>
      <c r="BD457" s="517"/>
      <c r="BE457" s="517"/>
      <c r="BF457" s="517"/>
      <c r="BG457" s="517"/>
      <c r="BH457" s="517"/>
      <c r="BI457" s="517"/>
      <c r="BJ457" s="517"/>
      <c r="BK457" s="517"/>
      <c r="BL457" s="517"/>
      <c r="BM457" s="517"/>
      <c r="BN457" s="517"/>
      <c r="BO457" s="517"/>
      <c r="BP457" s="517"/>
      <c r="BQ457" s="517"/>
      <c r="BR457" s="517"/>
      <c r="BS457" s="517"/>
      <c r="BT457" s="517"/>
      <c r="BU457" s="517"/>
      <c r="BV457" s="518"/>
      <c r="BW457" s="518"/>
      <c r="BX457" s="518"/>
      <c r="BY457" s="518"/>
      <c r="BZ457" s="518"/>
      <c r="CA457" s="518"/>
      <c r="CB457" s="518"/>
      <c r="CC457" s="518"/>
      <c r="CD457" s="518"/>
      <c r="CE457" s="518"/>
    </row>
    <row r="458" spans="1:83" ht="24.75" hidden="1" customHeight="1">
      <c r="A458" s="1649"/>
      <c r="B458" s="1023"/>
      <c r="C458" s="319"/>
      <c r="D458" s="3622"/>
      <c r="E458" s="3616" t="s">
        <v>875</v>
      </c>
      <c r="F458" s="3616"/>
      <c r="G458" s="3616"/>
      <c r="H458" s="3616"/>
      <c r="I458" s="3616"/>
      <c r="J458" s="3616"/>
      <c r="K458" s="3616"/>
      <c r="L458" s="3616"/>
      <c r="M458" s="3616"/>
      <c r="N458" s="3616"/>
      <c r="O458" s="3616"/>
      <c r="P458" s="3616"/>
      <c r="Q458" s="455">
        <f>SUMIF(T459:T460,"i",Q459:Q460)</f>
        <v>0</v>
      </c>
      <c r="R458" s="887"/>
      <c r="S458" s="1641" t="s">
        <v>876</v>
      </c>
      <c r="T458" s="607" t="s">
        <v>877</v>
      </c>
      <c r="U458" s="3532">
        <v>1</v>
      </c>
      <c r="V458" s="3532" t="s">
        <v>840</v>
      </c>
      <c r="W458" s="1023"/>
      <c r="X458" s="1023"/>
      <c r="Y458" s="1023"/>
      <c r="Z458" s="1023"/>
      <c r="AA458" s="1481"/>
      <c r="AB458" s="1023"/>
      <c r="AC458" s="3617"/>
      <c r="AD458" s="521"/>
      <c r="AE458" s="1023"/>
      <c r="AF458" s="1023"/>
      <c r="AG458" s="1481"/>
      <c r="AH458" s="1481"/>
      <c r="AI458" s="1481"/>
      <c r="AJ458" s="1481"/>
      <c r="AK458" s="1481"/>
      <c r="AL458" s="1481"/>
      <c r="AM458" s="1481"/>
      <c r="AN458" s="1481"/>
      <c r="AO458" s="1481"/>
      <c r="AP458" s="1481"/>
      <c r="AQ458" s="1481"/>
      <c r="AR458" s="1481"/>
      <c r="AS458" s="1481"/>
      <c r="AT458" s="1481"/>
      <c r="AU458" s="1481"/>
      <c r="AV458" s="1481"/>
      <c r="AW458" s="1481"/>
      <c r="AX458" s="1481"/>
      <c r="AY458" s="1481"/>
      <c r="AZ458" s="1481"/>
      <c r="BA458" s="1481"/>
      <c r="BB458" s="1481"/>
      <c r="BC458" s="1481"/>
      <c r="BD458" s="1481"/>
      <c r="BE458" s="1481"/>
      <c r="BF458" s="1481"/>
      <c r="BG458" s="1481"/>
      <c r="BH458" s="1481"/>
      <c r="BI458" s="1481"/>
      <c r="BJ458" s="1481"/>
      <c r="BK458" s="1481"/>
      <c r="BL458" s="1481"/>
      <c r="BM458" s="1481"/>
      <c r="BN458" s="1481"/>
      <c r="BO458" s="1481"/>
      <c r="BP458" s="1481"/>
      <c r="BQ458" s="1481"/>
      <c r="BR458" s="1481"/>
      <c r="BS458" s="1481"/>
      <c r="BT458" s="1481"/>
      <c r="BU458" s="1481"/>
      <c r="BV458" s="1023"/>
      <c r="BW458" s="1023"/>
      <c r="BX458" s="1023"/>
      <c r="BY458" s="1023"/>
      <c r="BZ458" s="1023"/>
      <c r="CA458" s="1023"/>
      <c r="CB458" s="1023"/>
      <c r="CC458" s="1023"/>
      <c r="CD458" s="1023"/>
      <c r="CE458" s="1023"/>
    </row>
    <row r="459" spans="1:83" ht="11.25" hidden="1" customHeight="1">
      <c r="A459" s="1636"/>
      <c r="B459" s="1481"/>
      <c r="C459" s="1481"/>
      <c r="D459" s="3622"/>
      <c r="E459" s="527"/>
      <c r="F459" s="527">
        <v>0</v>
      </c>
      <c r="G459" s="527"/>
      <c r="H459" s="527"/>
      <c r="I459" s="527"/>
      <c r="J459" s="527"/>
      <c r="K459" s="527"/>
      <c r="L459" s="527"/>
      <c r="M459" s="527"/>
      <c r="N459" s="527"/>
      <c r="O459" s="527"/>
      <c r="P459" s="527"/>
      <c r="Q459" s="527"/>
      <c r="R459" s="527"/>
      <c r="S459" s="528"/>
      <c r="T459" s="608"/>
      <c r="U459" s="3532"/>
      <c r="V459" s="3532"/>
      <c r="W459" s="1481"/>
      <c r="X459" s="1481"/>
      <c r="Y459" s="1481"/>
      <c r="Z459" s="1481"/>
      <c r="AA459" s="1481"/>
      <c r="AB459" s="1023"/>
      <c r="AC459" s="3617"/>
      <c r="AD459" s="521"/>
      <c r="AE459" s="1023"/>
      <c r="AF459" s="1023"/>
      <c r="AG459" s="1481"/>
      <c r="AH459" s="1481"/>
      <c r="AI459" s="1481"/>
      <c r="AJ459" s="1481"/>
      <c r="AK459" s="1481"/>
      <c r="AL459" s="1481"/>
      <c r="AM459" s="1481"/>
      <c r="AN459" s="1481"/>
      <c r="AO459" s="1481"/>
      <c r="AP459" s="1481"/>
      <c r="AQ459" s="1481"/>
      <c r="AR459" s="1481"/>
      <c r="AS459" s="1481"/>
      <c r="AT459" s="1481"/>
      <c r="AU459" s="1481"/>
      <c r="AV459" s="1481"/>
      <c r="AW459" s="1481"/>
      <c r="AX459" s="1481"/>
      <c r="AY459" s="1481"/>
      <c r="AZ459" s="1481"/>
      <c r="BA459" s="1481"/>
      <c r="BB459" s="1481"/>
      <c r="BC459" s="1481"/>
      <c r="BD459" s="1481"/>
      <c r="BE459" s="1481"/>
      <c r="BF459" s="1481"/>
      <c r="BG459" s="1481"/>
      <c r="BH459" s="1481"/>
      <c r="BI459" s="1481"/>
      <c r="BJ459" s="1481"/>
      <c r="BK459" s="1481"/>
      <c r="BL459" s="1481"/>
      <c r="BM459" s="1481"/>
      <c r="BN459" s="1481"/>
      <c r="BO459" s="1481"/>
      <c r="BP459" s="1481"/>
      <c r="BQ459" s="1481"/>
      <c r="BR459" s="1481"/>
      <c r="BS459" s="1481"/>
      <c r="BT459" s="1481"/>
      <c r="BU459" s="1481"/>
      <c r="BV459" s="1481"/>
      <c r="BW459" s="1481"/>
      <c r="BX459" s="1481"/>
      <c r="BY459" s="1481"/>
      <c r="BZ459" s="1481"/>
      <c r="CA459" s="1481"/>
      <c r="CB459" s="1481"/>
      <c r="CC459" s="1481"/>
      <c r="CD459" s="1481"/>
      <c r="CE459" s="1481"/>
    </row>
    <row r="460" spans="1:83" ht="11.25" hidden="1" customHeight="1">
      <c r="A460" s="1649"/>
      <c r="B460" s="1023"/>
      <c r="C460" s="319"/>
      <c r="D460" s="3622"/>
      <c r="E460" s="541" t="s">
        <v>18</v>
      </c>
      <c r="F460" s="1031" t="s">
        <v>18</v>
      </c>
      <c r="G460" s="1031" t="s">
        <v>880</v>
      </c>
      <c r="H460" s="543" t="s">
        <v>18</v>
      </c>
      <c r="I460" s="543"/>
      <c r="J460" s="543"/>
      <c r="K460" s="543"/>
      <c r="L460" s="543"/>
      <c r="M460" s="543"/>
      <c r="N460" s="543"/>
      <c r="O460" s="543"/>
      <c r="P460" s="543"/>
      <c r="Q460" s="543"/>
      <c r="R460" s="544"/>
      <c r="S460" s="545"/>
      <c r="T460" s="608"/>
      <c r="U460" s="3532"/>
      <c r="V460" s="3532"/>
      <c r="W460" s="1023"/>
      <c r="X460" s="1023"/>
      <c r="Y460" s="1023"/>
      <c r="Z460" s="1023"/>
      <c r="AA460" s="1481"/>
      <c r="AB460" s="1023"/>
      <c r="AC460" s="3617"/>
      <c r="AD460" s="521"/>
      <c r="AE460" s="1023"/>
      <c r="AF460" s="1023"/>
      <c r="AG460" s="1481"/>
      <c r="AH460" s="1481"/>
      <c r="AI460" s="1481"/>
      <c r="AJ460" s="1481"/>
      <c r="AK460" s="1481"/>
      <c r="AL460" s="1481"/>
      <c r="AM460" s="1481"/>
      <c r="AN460" s="1481"/>
      <c r="AO460" s="1481"/>
      <c r="AP460" s="1481"/>
      <c r="AQ460" s="1481"/>
      <c r="AR460" s="1481"/>
      <c r="AS460" s="1481"/>
      <c r="AT460" s="1481"/>
      <c r="AU460" s="1481"/>
      <c r="AV460" s="1481"/>
      <c r="AW460" s="1481"/>
      <c r="AX460" s="1481"/>
      <c r="AY460" s="1481"/>
      <c r="AZ460" s="1481"/>
      <c r="BA460" s="1481"/>
      <c r="BB460" s="1481"/>
      <c r="BC460" s="1481"/>
      <c r="BD460" s="1481"/>
      <c r="BE460" s="1481"/>
      <c r="BF460" s="1481"/>
      <c r="BG460" s="1481"/>
      <c r="BH460" s="1481"/>
      <c r="BI460" s="1481"/>
      <c r="BJ460" s="1481"/>
      <c r="BK460" s="1481"/>
      <c r="BL460" s="1481"/>
      <c r="BM460" s="1481"/>
      <c r="BN460" s="1481"/>
      <c r="BO460" s="1481"/>
      <c r="BP460" s="1481"/>
      <c r="BQ460" s="1481"/>
      <c r="BR460" s="1481"/>
      <c r="BS460" s="1481"/>
      <c r="BT460" s="1481"/>
      <c r="BU460" s="1481"/>
      <c r="BV460" s="1023"/>
      <c r="BW460" s="1023"/>
      <c r="BX460" s="1023"/>
      <c r="BY460" s="1023"/>
      <c r="BZ460" s="1023"/>
      <c r="CA460" s="1023"/>
      <c r="CB460" s="1023"/>
      <c r="CC460" s="1023"/>
      <c r="CD460" s="1023"/>
      <c r="CE460" s="1023"/>
    </row>
    <row r="461" spans="1:83" ht="5.25" hidden="1" customHeight="1">
      <c r="A461" s="1636"/>
      <c r="B461" s="1481"/>
      <c r="C461" s="1481"/>
      <c r="D461" s="3622"/>
      <c r="E461" s="909"/>
      <c r="F461" s="909"/>
      <c r="G461" s="909"/>
      <c r="H461" s="909"/>
      <c r="I461" s="909"/>
      <c r="J461" s="909"/>
      <c r="K461" s="909"/>
      <c r="L461" s="909"/>
      <c r="M461" s="909"/>
      <c r="N461" s="909"/>
      <c r="O461" s="909"/>
      <c r="P461" s="909"/>
      <c r="Q461" s="910"/>
      <c r="R461" s="911"/>
      <c r="S461" s="912"/>
      <c r="T461" s="607" t="s">
        <v>877</v>
      </c>
      <c r="U461" s="3532">
        <v>1</v>
      </c>
      <c r="V461" s="3532" t="s">
        <v>840</v>
      </c>
      <c r="W461" s="1481"/>
      <c r="X461" s="1481"/>
      <c r="Y461" s="1481"/>
      <c r="Z461" s="1481"/>
      <c r="AA461" s="1481"/>
      <c r="AB461" s="1481"/>
      <c r="AC461" s="907"/>
      <c r="AD461" s="908"/>
      <c r="AE461" s="1481"/>
      <c r="AF461" s="1481"/>
      <c r="AG461" s="1481"/>
      <c r="AH461" s="1481"/>
      <c r="AI461" s="1481"/>
      <c r="AJ461" s="1481"/>
      <c r="AK461" s="1481"/>
      <c r="AL461" s="1481"/>
      <c r="AM461" s="1481"/>
      <c r="AN461" s="1481"/>
      <c r="AO461" s="1481"/>
      <c r="AP461" s="1481"/>
      <c r="AQ461" s="1481"/>
      <c r="AR461" s="1481"/>
      <c r="AS461" s="1481"/>
      <c r="AT461" s="1481"/>
      <c r="AU461" s="1481"/>
      <c r="AV461" s="1481"/>
      <c r="AW461" s="1481"/>
      <c r="AX461" s="1481"/>
      <c r="AY461" s="1481"/>
      <c r="AZ461" s="1481"/>
      <c r="BA461" s="1481"/>
      <c r="BB461" s="1481"/>
      <c r="BC461" s="1481"/>
      <c r="BD461" s="1481"/>
      <c r="BE461" s="1481"/>
      <c r="BF461" s="1481"/>
      <c r="BG461" s="1481"/>
      <c r="BH461" s="1481"/>
      <c r="BI461" s="1481"/>
      <c r="BJ461" s="1481"/>
      <c r="BK461" s="1481"/>
      <c r="BL461" s="1481"/>
      <c r="BM461" s="1481"/>
      <c r="BN461" s="1481"/>
      <c r="BO461" s="1481"/>
      <c r="BP461" s="1481"/>
      <c r="BQ461" s="1481"/>
      <c r="BR461" s="1481"/>
      <c r="BS461" s="1481"/>
      <c r="BT461" s="1481"/>
      <c r="BU461" s="1481"/>
      <c r="BV461" s="1481"/>
      <c r="BW461" s="1481"/>
      <c r="BX461" s="1481"/>
      <c r="BY461" s="1481"/>
      <c r="BZ461" s="1481"/>
      <c r="CA461" s="1481"/>
      <c r="CB461" s="1481"/>
      <c r="CC461" s="1481"/>
      <c r="CD461" s="1481"/>
      <c r="CE461" s="1481"/>
    </row>
    <row r="462" spans="1:83" ht="5.25" hidden="1" customHeight="1">
      <c r="A462" s="1636"/>
      <c r="B462" s="1481"/>
      <c r="C462" s="1481"/>
      <c r="D462" s="3622"/>
      <c r="E462" s="527"/>
      <c r="F462" s="527"/>
      <c r="G462" s="527"/>
      <c r="H462" s="527"/>
      <c r="I462" s="527"/>
      <c r="J462" s="527"/>
      <c r="K462" s="527"/>
      <c r="L462" s="527"/>
      <c r="M462" s="527"/>
      <c r="N462" s="527"/>
      <c r="O462" s="527"/>
      <c r="P462" s="527"/>
      <c r="Q462" s="527"/>
      <c r="R462" s="527"/>
      <c r="S462" s="528"/>
      <c r="T462" s="608"/>
      <c r="U462" s="3532"/>
      <c r="V462" s="3532"/>
      <c r="W462" s="1481"/>
      <c r="X462" s="1481"/>
      <c r="Y462" s="1481"/>
      <c r="Z462" s="1481"/>
      <c r="AA462" s="1481"/>
      <c r="AB462" s="1481"/>
      <c r="AC462" s="907"/>
      <c r="AD462" s="908"/>
      <c r="AE462" s="1481"/>
      <c r="AF462" s="1481"/>
      <c r="AG462" s="1481"/>
      <c r="AH462" s="1481"/>
      <c r="AI462" s="1481"/>
      <c r="AJ462" s="1481"/>
      <c r="AK462" s="1481"/>
      <c r="AL462" s="1481"/>
      <c r="AM462" s="1481"/>
      <c r="AN462" s="1481"/>
      <c r="AO462" s="1481"/>
      <c r="AP462" s="1481"/>
      <c r="AQ462" s="1481"/>
      <c r="AR462" s="1481"/>
      <c r="AS462" s="1481"/>
      <c r="AT462" s="1481"/>
      <c r="AU462" s="1481"/>
      <c r="AV462" s="1481"/>
      <c r="AW462" s="1481"/>
      <c r="AX462" s="1481"/>
      <c r="AY462" s="1481"/>
      <c r="AZ462" s="1481"/>
      <c r="BA462" s="1481"/>
      <c r="BB462" s="1481"/>
      <c r="BC462" s="1481"/>
      <c r="BD462" s="1481"/>
      <c r="BE462" s="1481"/>
      <c r="BF462" s="1481"/>
      <c r="BG462" s="1481"/>
      <c r="BH462" s="1481"/>
      <c r="BI462" s="1481"/>
      <c r="BJ462" s="1481"/>
      <c r="BK462" s="1481"/>
      <c r="BL462" s="1481"/>
      <c r="BM462" s="1481"/>
      <c r="BN462" s="1481"/>
      <c r="BO462" s="1481"/>
      <c r="BP462" s="1481"/>
      <c r="BQ462" s="1481"/>
      <c r="BR462" s="1481"/>
      <c r="BS462" s="1481"/>
      <c r="BT462" s="1481"/>
      <c r="BU462" s="1481"/>
      <c r="BV462" s="1481"/>
      <c r="BW462" s="1481"/>
      <c r="BX462" s="1481"/>
      <c r="BY462" s="1481"/>
      <c r="BZ462" s="1481"/>
      <c r="CA462" s="1481"/>
      <c r="CB462" s="1481"/>
      <c r="CC462" s="1481"/>
      <c r="CD462" s="1481"/>
      <c r="CE462" s="1481"/>
    </row>
    <row r="463" spans="1:83" ht="5.25" hidden="1" customHeight="1">
      <c r="A463" s="1636"/>
      <c r="B463" s="1481"/>
      <c r="C463" s="1481"/>
      <c r="D463" s="3623"/>
      <c r="E463" s="913"/>
      <c r="F463" s="914"/>
      <c r="G463" s="914"/>
      <c r="H463" s="915"/>
      <c r="I463" s="915"/>
      <c r="J463" s="915"/>
      <c r="K463" s="915"/>
      <c r="L463" s="915"/>
      <c r="M463" s="915"/>
      <c r="N463" s="915"/>
      <c r="O463" s="915"/>
      <c r="P463" s="915"/>
      <c r="Q463" s="915"/>
      <c r="R463" s="818"/>
      <c r="S463" s="916"/>
      <c r="T463" s="608"/>
      <c r="U463" s="3532"/>
      <c r="V463" s="3532"/>
      <c r="W463" s="1481"/>
      <c r="X463" s="1481"/>
      <c r="Y463" s="1481"/>
      <c r="Z463" s="1481"/>
      <c r="AA463" s="1481"/>
      <c r="AB463" s="1481"/>
      <c r="AC463" s="907"/>
      <c r="AD463" s="908"/>
      <c r="AE463" s="1481"/>
      <c r="AF463" s="1481"/>
      <c r="AG463" s="1481"/>
      <c r="AH463" s="1481"/>
      <c r="AI463" s="1481"/>
      <c r="AJ463" s="1481"/>
      <c r="AK463" s="1481"/>
      <c r="AL463" s="1481"/>
      <c r="AM463" s="1481"/>
      <c r="AN463" s="1481"/>
      <c r="AO463" s="1481"/>
      <c r="AP463" s="1481"/>
      <c r="AQ463" s="1481"/>
      <c r="AR463" s="1481"/>
      <c r="AS463" s="1481"/>
      <c r="AT463" s="1481"/>
      <c r="AU463" s="1481"/>
      <c r="AV463" s="1481"/>
      <c r="AW463" s="1481"/>
      <c r="AX463" s="1481"/>
      <c r="AY463" s="1481"/>
      <c r="AZ463" s="1481"/>
      <c r="BA463" s="1481"/>
      <c r="BB463" s="1481"/>
      <c r="BC463" s="1481"/>
      <c r="BD463" s="1481"/>
      <c r="BE463" s="1481"/>
      <c r="BF463" s="1481"/>
      <c r="BG463" s="1481"/>
      <c r="BH463" s="1481"/>
      <c r="BI463" s="1481"/>
      <c r="BJ463" s="1481"/>
      <c r="BK463" s="1481"/>
      <c r="BL463" s="1481"/>
      <c r="BM463" s="1481"/>
      <c r="BN463" s="1481"/>
      <c r="BO463" s="1481"/>
      <c r="BP463" s="1481"/>
      <c r="BQ463" s="1481"/>
      <c r="BR463" s="1481"/>
      <c r="BS463" s="1481"/>
      <c r="BT463" s="1481"/>
      <c r="BU463" s="1481"/>
      <c r="BV463" s="1481"/>
      <c r="BW463" s="1481"/>
      <c r="BX463" s="1481"/>
      <c r="BY463" s="1481"/>
      <c r="BZ463" s="1481"/>
      <c r="CA463" s="1481"/>
      <c r="CB463" s="1481"/>
      <c r="CC463" s="1481"/>
      <c r="CD463" s="1481"/>
      <c r="CE463" s="1481"/>
    </row>
    <row r="464" spans="1:83" ht="15" hidden="1" customHeight="1">
      <c r="A464" s="516" t="s">
        <v>260</v>
      </c>
      <c r="B464"/>
      <c r="C464" t="s">
        <v>18</v>
      </c>
      <c r="D464" s="3621" t="s">
        <v>929</v>
      </c>
      <c r="E464" s="3618" t="s">
        <v>102</v>
      </c>
      <c r="F464" s="3619"/>
      <c r="G464" s="3620"/>
      <c r="H464" s="3614" t="str">
        <f>IF(A464="","",INDEX(DIFFERENTIATION_UNMERGE_VD,MATCH(A464,DIFFERENTIATION_ID_DIFF,0)))</f>
        <v>Производство тепловой энергии. Некомбинированная выработка</v>
      </c>
      <c r="I464" s="3614"/>
      <c r="J464" s="3614"/>
      <c r="K464" s="3614"/>
      <c r="L464" s="3614"/>
      <c r="M464" s="3614"/>
      <c r="N464" s="3614"/>
      <c r="O464" s="3614"/>
      <c r="P464" s="3614"/>
      <c r="Q464" s="3614"/>
      <c r="R464" s="3614"/>
      <c r="S464" s="609"/>
      <c r="T464" s="606"/>
      <c r="U464" s="517"/>
      <c r="V464" s="517"/>
      <c r="W464" s="518"/>
      <c r="X464" s="518"/>
      <c r="Y464" s="518"/>
      <c r="Z464" s="518"/>
      <c r="AA464" s="519"/>
      <c r="AB464" s="520"/>
      <c r="AC464" s="3617"/>
      <c r="AD464" s="521"/>
      <c r="AE464" s="522" t="s">
        <v>18</v>
      </c>
      <c r="AF464" s="522"/>
      <c r="AG464" s="523" t="s">
        <v>874</v>
      </c>
      <c r="AH464" s="524">
        <v>3</v>
      </c>
      <c r="AI464" s="517"/>
      <c r="AJ464" s="517"/>
      <c r="AK464" s="517"/>
      <c r="AL464" s="517"/>
      <c r="AM464" s="517"/>
      <c r="AN464" s="517"/>
      <c r="AO464" s="517"/>
      <c r="AP464" s="517"/>
      <c r="AQ464" s="517"/>
      <c r="AR464" s="517"/>
      <c r="AS464" s="517"/>
      <c r="AT464" s="517"/>
      <c r="AU464" s="517"/>
      <c r="AV464" s="517"/>
      <c r="AW464" s="517"/>
      <c r="AX464" s="517"/>
      <c r="AY464" s="517"/>
      <c r="AZ464" s="517"/>
      <c r="BA464" s="517"/>
      <c r="BB464" s="517"/>
      <c r="BC464" s="517"/>
      <c r="BD464" s="517"/>
      <c r="BE464" s="517"/>
      <c r="BF464" s="517"/>
      <c r="BG464" s="517"/>
      <c r="BH464" s="517"/>
      <c r="BI464" s="517"/>
      <c r="BJ464" s="517"/>
      <c r="BK464" s="517"/>
      <c r="BL464" s="517"/>
      <c r="BM464" s="517"/>
      <c r="BN464" s="517"/>
      <c r="BO464" s="517"/>
      <c r="BP464" s="517"/>
      <c r="BQ464" s="517"/>
      <c r="BR464" s="517"/>
      <c r="BS464" s="517"/>
      <c r="BT464" s="517"/>
      <c r="BU464" s="517"/>
      <c r="BV464" s="518"/>
      <c r="BW464" s="518"/>
      <c r="BX464" s="518"/>
      <c r="BY464" s="518"/>
      <c r="BZ464" s="518"/>
      <c r="CA464" s="518"/>
      <c r="CB464" s="518"/>
      <c r="CC464" s="518"/>
      <c r="CD464" s="518"/>
      <c r="CE464" s="518"/>
    </row>
    <row r="465" spans="1:83" ht="15" hidden="1" customHeight="1">
      <c r="A465" s="516"/>
      <c r="B465"/>
      <c r="C465"/>
      <c r="D465" s="3622"/>
      <c r="E465" s="3618" t="s">
        <v>829</v>
      </c>
      <c r="F465" s="3619"/>
      <c r="G465" s="3620"/>
      <c r="H465" s="3614" t="str">
        <f>IF(A464="","",INDEX(DIFFERENTIATION_UNMERGE_AREA,MATCH(A464,DIFFERENTIATION_ID_DIFF,0)))</f>
        <v>Территория 1</v>
      </c>
      <c r="I465" s="3614"/>
      <c r="J465" s="3614"/>
      <c r="K465" s="3614"/>
      <c r="L465" s="3614"/>
      <c r="M465" s="3614"/>
      <c r="N465" s="3614"/>
      <c r="O465" s="3614"/>
      <c r="P465" s="3614"/>
      <c r="Q465" s="3614"/>
      <c r="R465" s="3614"/>
      <c r="S465" s="609"/>
      <c r="T465" s="606"/>
      <c r="U465" s="517"/>
      <c r="V465" s="517"/>
      <c r="W465" s="518"/>
      <c r="X465" s="518"/>
      <c r="Y465" s="518"/>
      <c r="Z465" s="518"/>
      <c r="AA465" s="519"/>
      <c r="AB465" s="520"/>
      <c r="AC465" s="3617"/>
      <c r="AD465" s="521"/>
      <c r="AE465" s="522"/>
      <c r="AF465" s="522"/>
      <c r="AG465" s="523"/>
      <c r="AH465" s="524"/>
      <c r="AI465" s="517"/>
      <c r="AJ465" s="517"/>
      <c r="AK465" s="517"/>
      <c r="AL465" s="517"/>
      <c r="AM465" s="517"/>
      <c r="AN465" s="517"/>
      <c r="AO465" s="517"/>
      <c r="AP465" s="517"/>
      <c r="AQ465" s="517"/>
      <c r="AR465" s="517"/>
      <c r="AS465" s="517"/>
      <c r="AT465" s="517"/>
      <c r="AU465" s="517"/>
      <c r="AV465" s="517"/>
      <c r="AW465" s="517"/>
      <c r="AX465" s="517"/>
      <c r="AY465" s="517"/>
      <c r="AZ465" s="517"/>
      <c r="BA465" s="517"/>
      <c r="BB465" s="517"/>
      <c r="BC465" s="517"/>
      <c r="BD465" s="517"/>
      <c r="BE465" s="517"/>
      <c r="BF465" s="517"/>
      <c r="BG465" s="517"/>
      <c r="BH465" s="517"/>
      <c r="BI465" s="517"/>
      <c r="BJ465" s="517"/>
      <c r="BK465" s="517"/>
      <c r="BL465" s="517"/>
      <c r="BM465" s="517"/>
      <c r="BN465" s="517"/>
      <c r="BO465" s="517"/>
      <c r="BP465" s="517"/>
      <c r="BQ465" s="517"/>
      <c r="BR465" s="517"/>
      <c r="BS465" s="517"/>
      <c r="BT465" s="517"/>
      <c r="BU465" s="517"/>
      <c r="BV465" s="518"/>
      <c r="BW465" s="518"/>
      <c r="BX465" s="518"/>
      <c r="BY465" s="518"/>
      <c r="BZ465" s="518"/>
      <c r="CA465" s="518"/>
      <c r="CB465" s="518"/>
      <c r="CC465" s="518"/>
      <c r="CD465" s="518"/>
      <c r="CE465" s="518"/>
    </row>
    <row r="466" spans="1:83" ht="15" hidden="1" customHeight="1">
      <c r="A466" s="516"/>
      <c r="B466"/>
      <c r="C466"/>
      <c r="D466" s="3622"/>
      <c r="E466" s="3618" t="s">
        <v>830</v>
      </c>
      <c r="F466" s="3619"/>
      <c r="G466" s="3620"/>
      <c r="H466" s="3614" t="str">
        <f>IF(A464="","",INDEX(DIFFERENTIATION_UNMERGE_SYSTEM,MATCH(A464,DIFFERENTIATION_ID_DIFF,0)))</f>
        <v>Шпагатный, 92г</v>
      </c>
      <c r="I466" s="3614"/>
      <c r="J466" s="3614"/>
      <c r="K466" s="3614"/>
      <c r="L466" s="3614"/>
      <c r="M466" s="3614"/>
      <c r="N466" s="3614"/>
      <c r="O466" s="3614"/>
      <c r="P466" s="3614"/>
      <c r="Q466" s="3614"/>
      <c r="R466" s="3614"/>
      <c r="S466" s="609"/>
      <c r="T466" s="606"/>
      <c r="U466" s="517"/>
      <c r="V466" s="517"/>
      <c r="W466" s="518"/>
      <c r="X466" s="518"/>
      <c r="Y466" s="518"/>
      <c r="Z466" s="518"/>
      <c r="AA466" s="519"/>
      <c r="AB466" s="520"/>
      <c r="AC466" s="3617"/>
      <c r="AD466" s="521"/>
      <c r="AE466" s="522"/>
      <c r="AF466" s="522"/>
      <c r="AG466" s="523"/>
      <c r="AH466" s="524"/>
      <c r="AI466" s="517"/>
      <c r="AJ466" s="517"/>
      <c r="AK466" s="517"/>
      <c r="AL466" s="517"/>
      <c r="AM466" s="517"/>
      <c r="AN466" s="517"/>
      <c r="AO466" s="517"/>
      <c r="AP466" s="517"/>
      <c r="AQ466" s="517"/>
      <c r="AR466" s="517"/>
      <c r="AS466" s="517"/>
      <c r="AT466" s="517"/>
      <c r="AU466" s="517"/>
      <c r="AV466" s="517"/>
      <c r="AW466" s="517"/>
      <c r="AX466" s="517"/>
      <c r="AY466" s="517"/>
      <c r="AZ466" s="517"/>
      <c r="BA466" s="517"/>
      <c r="BB466" s="517"/>
      <c r="BC466" s="517"/>
      <c r="BD466" s="517"/>
      <c r="BE466" s="517"/>
      <c r="BF466" s="517"/>
      <c r="BG466" s="517"/>
      <c r="BH466" s="517"/>
      <c r="BI466" s="517"/>
      <c r="BJ466" s="517"/>
      <c r="BK466" s="517"/>
      <c r="BL466" s="517"/>
      <c r="BM466" s="517"/>
      <c r="BN466" s="517"/>
      <c r="BO466" s="517"/>
      <c r="BP466" s="517"/>
      <c r="BQ466" s="517"/>
      <c r="BR466" s="517"/>
      <c r="BS466" s="517"/>
      <c r="BT466" s="517"/>
      <c r="BU466" s="517"/>
      <c r="BV466" s="518"/>
      <c r="BW466" s="518"/>
      <c r="BX466" s="518"/>
      <c r="BY466" s="518"/>
      <c r="BZ466" s="518"/>
      <c r="CA466" s="518"/>
      <c r="CB466" s="518"/>
      <c r="CC466" s="518"/>
      <c r="CD466" s="518"/>
      <c r="CE466" s="518"/>
    </row>
    <row r="467" spans="1:83" ht="24.75" hidden="1" customHeight="1">
      <c r="A467" s="1649"/>
      <c r="B467" s="1023"/>
      <c r="C467" s="319"/>
      <c r="D467" s="3622"/>
      <c r="E467" s="3616" t="s">
        <v>875</v>
      </c>
      <c r="F467" s="3616"/>
      <c r="G467" s="3616"/>
      <c r="H467" s="3616"/>
      <c r="I467" s="3616"/>
      <c r="J467" s="3616"/>
      <c r="K467" s="3616"/>
      <c r="L467" s="3616"/>
      <c r="M467" s="3616"/>
      <c r="N467" s="3616"/>
      <c r="O467" s="3616"/>
      <c r="P467" s="3616"/>
      <c r="Q467" s="455">
        <f>SUMIF(T468:T469,"i",Q468:Q469)</f>
        <v>0</v>
      </c>
      <c r="R467" s="887"/>
      <c r="S467" s="1641" t="s">
        <v>876</v>
      </c>
      <c r="T467" s="607" t="s">
        <v>877</v>
      </c>
      <c r="U467" s="3532">
        <v>1</v>
      </c>
      <c r="V467" s="3532" t="s">
        <v>840</v>
      </c>
      <c r="W467" s="1023"/>
      <c r="X467" s="1023"/>
      <c r="Y467" s="1023"/>
      <c r="Z467" s="1023"/>
      <c r="AA467" s="1481"/>
      <c r="AB467" s="1023"/>
      <c r="AC467" s="3617"/>
      <c r="AD467" s="521"/>
      <c r="AE467" s="1023"/>
      <c r="AF467" s="1023"/>
      <c r="AG467" s="1481"/>
      <c r="AH467" s="1481"/>
      <c r="AI467" s="1481"/>
      <c r="AJ467" s="1481"/>
      <c r="AK467" s="1481"/>
      <c r="AL467" s="1481"/>
      <c r="AM467" s="1481"/>
      <c r="AN467" s="1481"/>
      <c r="AO467" s="1481"/>
      <c r="AP467" s="1481"/>
      <c r="AQ467" s="1481"/>
      <c r="AR467" s="1481"/>
      <c r="AS467" s="1481"/>
      <c r="AT467" s="1481"/>
      <c r="AU467" s="1481"/>
      <c r="AV467" s="1481"/>
      <c r="AW467" s="1481"/>
      <c r="AX467" s="1481"/>
      <c r="AY467" s="1481"/>
      <c r="AZ467" s="1481"/>
      <c r="BA467" s="1481"/>
      <c r="BB467" s="1481"/>
      <c r="BC467" s="1481"/>
      <c r="BD467" s="1481"/>
      <c r="BE467" s="1481"/>
      <c r="BF467" s="1481"/>
      <c r="BG467" s="1481"/>
      <c r="BH467" s="1481"/>
      <c r="BI467" s="1481"/>
      <c r="BJ467" s="1481"/>
      <c r="BK467" s="1481"/>
      <c r="BL467" s="1481"/>
      <c r="BM467" s="1481"/>
      <c r="BN467" s="1481"/>
      <c r="BO467" s="1481"/>
      <c r="BP467" s="1481"/>
      <c r="BQ467" s="1481"/>
      <c r="BR467" s="1481"/>
      <c r="BS467" s="1481"/>
      <c r="BT467" s="1481"/>
      <c r="BU467" s="1481"/>
      <c r="BV467" s="1023"/>
      <c r="BW467" s="1023"/>
      <c r="BX467" s="1023"/>
      <c r="BY467" s="1023"/>
      <c r="BZ467" s="1023"/>
      <c r="CA467" s="1023"/>
      <c r="CB467" s="1023"/>
      <c r="CC467" s="1023"/>
      <c r="CD467" s="1023"/>
      <c r="CE467" s="1023"/>
    </row>
    <row r="468" spans="1:83" ht="11.25" hidden="1" customHeight="1">
      <c r="A468" s="1636"/>
      <c r="B468" s="1481"/>
      <c r="C468" s="1481"/>
      <c r="D468" s="3622"/>
      <c r="E468" s="527"/>
      <c r="F468" s="527">
        <v>0</v>
      </c>
      <c r="G468" s="527"/>
      <c r="H468" s="527"/>
      <c r="I468" s="527"/>
      <c r="J468" s="527"/>
      <c r="K468" s="527"/>
      <c r="L468" s="527"/>
      <c r="M468" s="527"/>
      <c r="N468" s="527"/>
      <c r="O468" s="527"/>
      <c r="P468" s="527"/>
      <c r="Q468" s="527"/>
      <c r="R468" s="527"/>
      <c r="S468" s="528"/>
      <c r="T468" s="608"/>
      <c r="U468" s="3532"/>
      <c r="V468" s="3532"/>
      <c r="W468" s="1481"/>
      <c r="X468" s="1481"/>
      <c r="Y468" s="1481"/>
      <c r="Z468" s="1481"/>
      <c r="AA468" s="1481"/>
      <c r="AB468" s="1023"/>
      <c r="AC468" s="3617"/>
      <c r="AD468" s="521"/>
      <c r="AE468" s="1023"/>
      <c r="AF468" s="1023"/>
      <c r="AG468" s="1481"/>
      <c r="AH468" s="1481"/>
      <c r="AI468" s="1481"/>
      <c r="AJ468" s="1481"/>
      <c r="AK468" s="1481"/>
      <c r="AL468" s="1481"/>
      <c r="AM468" s="1481"/>
      <c r="AN468" s="1481"/>
      <c r="AO468" s="1481"/>
      <c r="AP468" s="1481"/>
      <c r="AQ468" s="1481"/>
      <c r="AR468" s="1481"/>
      <c r="AS468" s="1481"/>
      <c r="AT468" s="1481"/>
      <c r="AU468" s="1481"/>
      <c r="AV468" s="1481"/>
      <c r="AW468" s="1481"/>
      <c r="AX468" s="1481"/>
      <c r="AY468" s="1481"/>
      <c r="AZ468" s="1481"/>
      <c r="BA468" s="1481"/>
      <c r="BB468" s="1481"/>
      <c r="BC468" s="1481"/>
      <c r="BD468" s="1481"/>
      <c r="BE468" s="1481"/>
      <c r="BF468" s="1481"/>
      <c r="BG468" s="1481"/>
      <c r="BH468" s="1481"/>
      <c r="BI468" s="1481"/>
      <c r="BJ468" s="1481"/>
      <c r="BK468" s="1481"/>
      <c r="BL468" s="1481"/>
      <c r="BM468" s="1481"/>
      <c r="BN468" s="1481"/>
      <c r="BO468" s="1481"/>
      <c r="BP468" s="1481"/>
      <c r="BQ468" s="1481"/>
      <c r="BR468" s="1481"/>
      <c r="BS468" s="1481"/>
      <c r="BT468" s="1481"/>
      <c r="BU468" s="1481"/>
      <c r="BV468" s="1481"/>
      <c r="BW468" s="1481"/>
      <c r="BX468" s="1481"/>
      <c r="BY468" s="1481"/>
      <c r="BZ468" s="1481"/>
      <c r="CA468" s="1481"/>
      <c r="CB468" s="1481"/>
      <c r="CC468" s="1481"/>
      <c r="CD468" s="1481"/>
      <c r="CE468" s="1481"/>
    </row>
    <row r="469" spans="1:83" ht="11.25" hidden="1" customHeight="1">
      <c r="A469" s="1649"/>
      <c r="B469" s="1023"/>
      <c r="C469" s="319"/>
      <c r="D469" s="3622"/>
      <c r="E469" s="541" t="s">
        <v>18</v>
      </c>
      <c r="F469" s="1031" t="s">
        <v>18</v>
      </c>
      <c r="G469" s="1031" t="s">
        <v>880</v>
      </c>
      <c r="H469" s="543" t="s">
        <v>18</v>
      </c>
      <c r="I469" s="543"/>
      <c r="J469" s="543"/>
      <c r="K469" s="543"/>
      <c r="L469" s="543"/>
      <c r="M469" s="543"/>
      <c r="N469" s="543"/>
      <c r="O469" s="543"/>
      <c r="P469" s="543"/>
      <c r="Q469" s="543"/>
      <c r="R469" s="544"/>
      <c r="S469" s="545"/>
      <c r="T469" s="608"/>
      <c r="U469" s="3532"/>
      <c r="V469" s="3532"/>
      <c r="W469" s="1023"/>
      <c r="X469" s="1023"/>
      <c r="Y469" s="1023"/>
      <c r="Z469" s="1023"/>
      <c r="AA469" s="1481"/>
      <c r="AB469" s="1023"/>
      <c r="AC469" s="3617"/>
      <c r="AD469" s="521"/>
      <c r="AE469" s="1023"/>
      <c r="AF469" s="1023"/>
      <c r="AG469" s="1481"/>
      <c r="AH469" s="1481"/>
      <c r="AI469" s="1481"/>
      <c r="AJ469" s="1481"/>
      <c r="AK469" s="1481"/>
      <c r="AL469" s="1481"/>
      <c r="AM469" s="1481"/>
      <c r="AN469" s="1481"/>
      <c r="AO469" s="1481"/>
      <c r="AP469" s="1481"/>
      <c r="AQ469" s="1481"/>
      <c r="AR469" s="1481"/>
      <c r="AS469" s="1481"/>
      <c r="AT469" s="1481"/>
      <c r="AU469" s="1481"/>
      <c r="AV469" s="1481"/>
      <c r="AW469" s="1481"/>
      <c r="AX469" s="1481"/>
      <c r="AY469" s="1481"/>
      <c r="AZ469" s="1481"/>
      <c r="BA469" s="1481"/>
      <c r="BB469" s="1481"/>
      <c r="BC469" s="1481"/>
      <c r="BD469" s="1481"/>
      <c r="BE469" s="1481"/>
      <c r="BF469" s="1481"/>
      <c r="BG469" s="1481"/>
      <c r="BH469" s="1481"/>
      <c r="BI469" s="1481"/>
      <c r="BJ469" s="1481"/>
      <c r="BK469" s="1481"/>
      <c r="BL469" s="1481"/>
      <c r="BM469" s="1481"/>
      <c r="BN469" s="1481"/>
      <c r="BO469" s="1481"/>
      <c r="BP469" s="1481"/>
      <c r="BQ469" s="1481"/>
      <c r="BR469" s="1481"/>
      <c r="BS469" s="1481"/>
      <c r="BT469" s="1481"/>
      <c r="BU469" s="1481"/>
      <c r="BV469" s="1023"/>
      <c r="BW469" s="1023"/>
      <c r="BX469" s="1023"/>
      <c r="BY469" s="1023"/>
      <c r="BZ469" s="1023"/>
      <c r="CA469" s="1023"/>
      <c r="CB469" s="1023"/>
      <c r="CC469" s="1023"/>
      <c r="CD469" s="1023"/>
      <c r="CE469" s="1023"/>
    </row>
    <row r="470" spans="1:83" ht="5.25" hidden="1" customHeight="1">
      <c r="A470" s="1636"/>
      <c r="B470" s="1481"/>
      <c r="C470" s="1481"/>
      <c r="D470" s="3622"/>
      <c r="E470" s="909"/>
      <c r="F470" s="909"/>
      <c r="G470" s="909"/>
      <c r="H470" s="909"/>
      <c r="I470" s="909"/>
      <c r="J470" s="909"/>
      <c r="K470" s="909"/>
      <c r="L470" s="909"/>
      <c r="M470" s="909"/>
      <c r="N470" s="909"/>
      <c r="O470" s="909"/>
      <c r="P470" s="909"/>
      <c r="Q470" s="910"/>
      <c r="R470" s="911"/>
      <c r="S470" s="912"/>
      <c r="T470" s="607" t="s">
        <v>877</v>
      </c>
      <c r="U470" s="3532">
        <v>1</v>
      </c>
      <c r="V470" s="3532" t="s">
        <v>840</v>
      </c>
      <c r="W470" s="1481"/>
      <c r="X470" s="1481"/>
      <c r="Y470" s="1481"/>
      <c r="Z470" s="1481"/>
      <c r="AA470" s="1481"/>
      <c r="AB470" s="1481"/>
      <c r="AC470" s="907"/>
      <c r="AD470" s="908"/>
      <c r="AE470" s="1481"/>
      <c r="AF470" s="1481"/>
      <c r="AG470" s="1481"/>
      <c r="AH470" s="1481"/>
      <c r="AI470" s="1481"/>
      <c r="AJ470" s="1481"/>
      <c r="AK470" s="1481"/>
      <c r="AL470" s="1481"/>
      <c r="AM470" s="1481"/>
      <c r="AN470" s="1481"/>
      <c r="AO470" s="1481"/>
      <c r="AP470" s="1481"/>
      <c r="AQ470" s="1481"/>
      <c r="AR470" s="1481"/>
      <c r="AS470" s="1481"/>
      <c r="AT470" s="1481"/>
      <c r="AU470" s="1481"/>
      <c r="AV470" s="1481"/>
      <c r="AW470" s="1481"/>
      <c r="AX470" s="1481"/>
      <c r="AY470" s="1481"/>
      <c r="AZ470" s="1481"/>
      <c r="BA470" s="1481"/>
      <c r="BB470" s="1481"/>
      <c r="BC470" s="1481"/>
      <c r="BD470" s="1481"/>
      <c r="BE470" s="1481"/>
      <c r="BF470" s="1481"/>
      <c r="BG470" s="1481"/>
      <c r="BH470" s="1481"/>
      <c r="BI470" s="1481"/>
      <c r="BJ470" s="1481"/>
      <c r="BK470" s="1481"/>
      <c r="BL470" s="1481"/>
      <c r="BM470" s="1481"/>
      <c r="BN470" s="1481"/>
      <c r="BO470" s="1481"/>
      <c r="BP470" s="1481"/>
      <c r="BQ470" s="1481"/>
      <c r="BR470" s="1481"/>
      <c r="BS470" s="1481"/>
      <c r="BT470" s="1481"/>
      <c r="BU470" s="1481"/>
      <c r="BV470" s="1481"/>
      <c r="BW470" s="1481"/>
      <c r="BX470" s="1481"/>
      <c r="BY470" s="1481"/>
      <c r="BZ470" s="1481"/>
      <c r="CA470" s="1481"/>
      <c r="CB470" s="1481"/>
      <c r="CC470" s="1481"/>
      <c r="CD470" s="1481"/>
      <c r="CE470" s="1481"/>
    </row>
    <row r="471" spans="1:83" ht="5.25" hidden="1" customHeight="1">
      <c r="A471" s="1636"/>
      <c r="B471" s="1481"/>
      <c r="C471" s="1481"/>
      <c r="D471" s="3622"/>
      <c r="E471" s="527"/>
      <c r="F471" s="527"/>
      <c r="G471" s="527"/>
      <c r="H471" s="527"/>
      <c r="I471" s="527"/>
      <c r="J471" s="527"/>
      <c r="K471" s="527"/>
      <c r="L471" s="527"/>
      <c r="M471" s="527"/>
      <c r="N471" s="527"/>
      <c r="O471" s="527"/>
      <c r="P471" s="527"/>
      <c r="Q471" s="527"/>
      <c r="R471" s="527"/>
      <c r="S471" s="528"/>
      <c r="T471" s="608"/>
      <c r="U471" s="3532"/>
      <c r="V471" s="3532"/>
      <c r="W471" s="1481"/>
      <c r="X471" s="1481"/>
      <c r="Y471" s="1481"/>
      <c r="Z471" s="1481"/>
      <c r="AA471" s="1481"/>
      <c r="AB471" s="1481"/>
      <c r="AC471" s="907"/>
      <c r="AD471" s="908"/>
      <c r="AE471" s="1481"/>
      <c r="AF471" s="1481"/>
      <c r="AG471" s="1481"/>
      <c r="AH471" s="1481"/>
      <c r="AI471" s="1481"/>
      <c r="AJ471" s="1481"/>
      <c r="AK471" s="1481"/>
      <c r="AL471" s="1481"/>
      <c r="AM471" s="1481"/>
      <c r="AN471" s="1481"/>
      <c r="AO471" s="1481"/>
      <c r="AP471" s="1481"/>
      <c r="AQ471" s="1481"/>
      <c r="AR471" s="1481"/>
      <c r="AS471" s="1481"/>
      <c r="AT471" s="1481"/>
      <c r="AU471" s="1481"/>
      <c r="AV471" s="1481"/>
      <c r="AW471" s="1481"/>
      <c r="AX471" s="1481"/>
      <c r="AY471" s="1481"/>
      <c r="AZ471" s="1481"/>
      <c r="BA471" s="1481"/>
      <c r="BB471" s="1481"/>
      <c r="BC471" s="1481"/>
      <c r="BD471" s="1481"/>
      <c r="BE471" s="1481"/>
      <c r="BF471" s="1481"/>
      <c r="BG471" s="1481"/>
      <c r="BH471" s="1481"/>
      <c r="BI471" s="1481"/>
      <c r="BJ471" s="1481"/>
      <c r="BK471" s="1481"/>
      <c r="BL471" s="1481"/>
      <c r="BM471" s="1481"/>
      <c r="BN471" s="1481"/>
      <c r="BO471" s="1481"/>
      <c r="BP471" s="1481"/>
      <c r="BQ471" s="1481"/>
      <c r="BR471" s="1481"/>
      <c r="BS471" s="1481"/>
      <c r="BT471" s="1481"/>
      <c r="BU471" s="1481"/>
      <c r="BV471" s="1481"/>
      <c r="BW471" s="1481"/>
      <c r="BX471" s="1481"/>
      <c r="BY471" s="1481"/>
      <c r="BZ471" s="1481"/>
      <c r="CA471" s="1481"/>
      <c r="CB471" s="1481"/>
      <c r="CC471" s="1481"/>
      <c r="CD471" s="1481"/>
      <c r="CE471" s="1481"/>
    </row>
    <row r="472" spans="1:83" ht="5.25" hidden="1" customHeight="1">
      <c r="A472" s="1636"/>
      <c r="B472" s="1481"/>
      <c r="C472" s="1481"/>
      <c r="D472" s="3623"/>
      <c r="E472" s="913"/>
      <c r="F472" s="914"/>
      <c r="G472" s="914"/>
      <c r="H472" s="915"/>
      <c r="I472" s="915"/>
      <c r="J472" s="915"/>
      <c r="K472" s="915"/>
      <c r="L472" s="915"/>
      <c r="M472" s="915"/>
      <c r="N472" s="915"/>
      <c r="O472" s="915"/>
      <c r="P472" s="915"/>
      <c r="Q472" s="915"/>
      <c r="R472" s="818"/>
      <c r="S472" s="916"/>
      <c r="T472" s="608"/>
      <c r="U472" s="3532"/>
      <c r="V472" s="3532"/>
      <c r="W472" s="1481"/>
      <c r="X472" s="1481"/>
      <c r="Y472" s="1481"/>
      <c r="Z472" s="1481"/>
      <c r="AA472" s="1481"/>
      <c r="AB472" s="1481"/>
      <c r="AC472" s="907"/>
      <c r="AD472" s="908"/>
      <c r="AE472" s="1481"/>
      <c r="AF472" s="1481"/>
      <c r="AG472" s="1481"/>
      <c r="AH472" s="1481"/>
      <c r="AI472" s="1481"/>
      <c r="AJ472" s="1481"/>
      <c r="AK472" s="1481"/>
      <c r="AL472" s="1481"/>
      <c r="AM472" s="1481"/>
      <c r="AN472" s="1481"/>
      <c r="AO472" s="1481"/>
      <c r="AP472" s="1481"/>
      <c r="AQ472" s="1481"/>
      <c r="AR472" s="1481"/>
      <c r="AS472" s="1481"/>
      <c r="AT472" s="1481"/>
      <c r="AU472" s="1481"/>
      <c r="AV472" s="1481"/>
      <c r="AW472" s="1481"/>
      <c r="AX472" s="1481"/>
      <c r="AY472" s="1481"/>
      <c r="AZ472" s="1481"/>
      <c r="BA472" s="1481"/>
      <c r="BB472" s="1481"/>
      <c r="BC472" s="1481"/>
      <c r="BD472" s="1481"/>
      <c r="BE472" s="1481"/>
      <c r="BF472" s="1481"/>
      <c r="BG472" s="1481"/>
      <c r="BH472" s="1481"/>
      <c r="BI472" s="1481"/>
      <c r="BJ472" s="1481"/>
      <c r="BK472" s="1481"/>
      <c r="BL472" s="1481"/>
      <c r="BM472" s="1481"/>
      <c r="BN472" s="1481"/>
      <c r="BO472" s="1481"/>
      <c r="BP472" s="1481"/>
      <c r="BQ472" s="1481"/>
      <c r="BR472" s="1481"/>
      <c r="BS472" s="1481"/>
      <c r="BT472" s="1481"/>
      <c r="BU472" s="1481"/>
      <c r="BV472" s="1481"/>
      <c r="BW472" s="1481"/>
      <c r="BX472" s="1481"/>
      <c r="BY472" s="1481"/>
      <c r="BZ472" s="1481"/>
      <c r="CA472" s="1481"/>
      <c r="CB472" s="1481"/>
      <c r="CC472" s="1481"/>
      <c r="CD472" s="1481"/>
      <c r="CE472" s="1481"/>
    </row>
    <row r="473" spans="1:83" ht="15" hidden="1" customHeight="1">
      <c r="A473" s="516" t="s">
        <v>263</v>
      </c>
      <c r="B473"/>
      <c r="C473" t="s">
        <v>18</v>
      </c>
      <c r="D473" s="3621" t="s">
        <v>930</v>
      </c>
      <c r="E473" s="3618" t="s">
        <v>102</v>
      </c>
      <c r="F473" s="3619"/>
      <c r="G473" s="3620"/>
      <c r="H473" s="3614" t="str">
        <f>IF(A473="","",INDEX(DIFFERENTIATION_UNMERGE_VD,MATCH(A473,DIFFERENTIATION_ID_DIFF,0)))</f>
        <v>Производство тепловой энергии. Некомбинированная выработка</v>
      </c>
      <c r="I473" s="3614"/>
      <c r="J473" s="3614"/>
      <c r="K473" s="3614"/>
      <c r="L473" s="3614"/>
      <c r="M473" s="3614"/>
      <c r="N473" s="3614"/>
      <c r="O473" s="3614"/>
      <c r="P473" s="3614"/>
      <c r="Q473" s="3614"/>
      <c r="R473" s="3614"/>
      <c r="S473" s="609"/>
      <c r="T473" s="606"/>
      <c r="U473" s="517"/>
      <c r="V473" s="517"/>
      <c r="W473" s="518"/>
      <c r="X473" s="518"/>
      <c r="Y473" s="518"/>
      <c r="Z473" s="518"/>
      <c r="AA473" s="519"/>
      <c r="AB473" s="520"/>
      <c r="AC473" s="3617"/>
      <c r="AD473" s="521"/>
      <c r="AE473" s="522" t="s">
        <v>18</v>
      </c>
      <c r="AF473" s="522"/>
      <c r="AG473" s="523" t="s">
        <v>874</v>
      </c>
      <c r="AH473" s="524">
        <v>3</v>
      </c>
      <c r="AI473" s="517"/>
      <c r="AJ473" s="517"/>
      <c r="AK473" s="517"/>
      <c r="AL473" s="517"/>
      <c r="AM473" s="517"/>
      <c r="AN473" s="517"/>
      <c r="AO473" s="517"/>
      <c r="AP473" s="517"/>
      <c r="AQ473" s="517"/>
      <c r="AR473" s="517"/>
      <c r="AS473" s="517"/>
      <c r="AT473" s="517"/>
      <c r="AU473" s="517"/>
      <c r="AV473" s="517"/>
      <c r="AW473" s="517"/>
      <c r="AX473" s="517"/>
      <c r="AY473" s="517"/>
      <c r="AZ473" s="517"/>
      <c r="BA473" s="517"/>
      <c r="BB473" s="517"/>
      <c r="BC473" s="517"/>
      <c r="BD473" s="517"/>
      <c r="BE473" s="517"/>
      <c r="BF473" s="517"/>
      <c r="BG473" s="517"/>
      <c r="BH473" s="517"/>
      <c r="BI473" s="517"/>
      <c r="BJ473" s="517"/>
      <c r="BK473" s="517"/>
      <c r="BL473" s="517"/>
      <c r="BM473" s="517"/>
      <c r="BN473" s="517"/>
      <c r="BO473" s="517"/>
      <c r="BP473" s="517"/>
      <c r="BQ473" s="517"/>
      <c r="BR473" s="517"/>
      <c r="BS473" s="517"/>
      <c r="BT473" s="517"/>
      <c r="BU473" s="517"/>
      <c r="BV473" s="518"/>
      <c r="BW473" s="518"/>
      <c r="BX473" s="518"/>
      <c r="BY473" s="518"/>
      <c r="BZ473" s="518"/>
      <c r="CA473" s="518"/>
      <c r="CB473" s="518"/>
      <c r="CC473" s="518"/>
      <c r="CD473" s="518"/>
      <c r="CE473" s="518"/>
    </row>
    <row r="474" spans="1:83" ht="15" hidden="1" customHeight="1">
      <c r="A474" s="516"/>
      <c r="B474"/>
      <c r="C474"/>
      <c r="D474" s="3622"/>
      <c r="E474" s="3618" t="s">
        <v>829</v>
      </c>
      <c r="F474" s="3619"/>
      <c r="G474" s="3620"/>
      <c r="H474" s="3614" t="str">
        <f>IF(A473="","",INDEX(DIFFERENTIATION_UNMERGE_AREA,MATCH(A473,DIFFERENTIATION_ID_DIFF,0)))</f>
        <v>Территория 1</v>
      </c>
      <c r="I474" s="3614"/>
      <c r="J474" s="3614"/>
      <c r="K474" s="3614"/>
      <c r="L474" s="3614"/>
      <c r="M474" s="3614"/>
      <c r="N474" s="3614"/>
      <c r="O474" s="3614"/>
      <c r="P474" s="3614"/>
      <c r="Q474" s="3614"/>
      <c r="R474" s="3614"/>
      <c r="S474" s="609"/>
      <c r="T474" s="606"/>
      <c r="U474" s="517"/>
      <c r="V474" s="517"/>
      <c r="W474" s="518"/>
      <c r="X474" s="518"/>
      <c r="Y474" s="518"/>
      <c r="Z474" s="518"/>
      <c r="AA474" s="519"/>
      <c r="AB474" s="520"/>
      <c r="AC474" s="3617"/>
      <c r="AD474" s="521"/>
      <c r="AE474" s="522"/>
      <c r="AF474" s="522"/>
      <c r="AG474" s="523"/>
      <c r="AH474" s="524"/>
      <c r="AI474" s="517"/>
      <c r="AJ474" s="517"/>
      <c r="AK474" s="517"/>
      <c r="AL474" s="517"/>
      <c r="AM474" s="517"/>
      <c r="AN474" s="517"/>
      <c r="AO474" s="517"/>
      <c r="AP474" s="517"/>
      <c r="AQ474" s="517"/>
      <c r="AR474" s="517"/>
      <c r="AS474" s="517"/>
      <c r="AT474" s="517"/>
      <c r="AU474" s="517"/>
      <c r="AV474" s="517"/>
      <c r="AW474" s="517"/>
      <c r="AX474" s="517"/>
      <c r="AY474" s="517"/>
      <c r="AZ474" s="517"/>
      <c r="BA474" s="517"/>
      <c r="BB474" s="517"/>
      <c r="BC474" s="517"/>
      <c r="BD474" s="517"/>
      <c r="BE474" s="517"/>
      <c r="BF474" s="517"/>
      <c r="BG474" s="517"/>
      <c r="BH474" s="517"/>
      <c r="BI474" s="517"/>
      <c r="BJ474" s="517"/>
      <c r="BK474" s="517"/>
      <c r="BL474" s="517"/>
      <c r="BM474" s="517"/>
      <c r="BN474" s="517"/>
      <c r="BO474" s="517"/>
      <c r="BP474" s="517"/>
      <c r="BQ474" s="517"/>
      <c r="BR474" s="517"/>
      <c r="BS474" s="517"/>
      <c r="BT474" s="517"/>
      <c r="BU474" s="517"/>
      <c r="BV474" s="518"/>
      <c r="BW474" s="518"/>
      <c r="BX474" s="518"/>
      <c r="BY474" s="518"/>
      <c r="BZ474" s="518"/>
      <c r="CA474" s="518"/>
      <c r="CB474" s="518"/>
      <c r="CC474" s="518"/>
      <c r="CD474" s="518"/>
      <c r="CE474" s="518"/>
    </row>
    <row r="475" spans="1:83" ht="15" hidden="1" customHeight="1">
      <c r="A475" s="516"/>
      <c r="B475"/>
      <c r="C475"/>
      <c r="D475" s="3622"/>
      <c r="E475" s="3618" t="s">
        <v>830</v>
      </c>
      <c r="F475" s="3619"/>
      <c r="G475" s="3620"/>
      <c r="H475" s="3614" t="str">
        <f>IF(A473="","",INDEX(DIFFERENTIATION_UNMERGE_SYSTEM,MATCH(A473,DIFFERENTIATION_ID_DIFF,0)))</f>
        <v>Щепная, 12б</v>
      </c>
      <c r="I475" s="3614"/>
      <c r="J475" s="3614"/>
      <c r="K475" s="3614"/>
      <c r="L475" s="3614"/>
      <c r="M475" s="3614"/>
      <c r="N475" s="3614"/>
      <c r="O475" s="3614"/>
      <c r="P475" s="3614"/>
      <c r="Q475" s="3614"/>
      <c r="R475" s="3614"/>
      <c r="S475" s="609"/>
      <c r="T475" s="606"/>
      <c r="U475" s="517"/>
      <c r="V475" s="517"/>
      <c r="W475" s="518"/>
      <c r="X475" s="518"/>
      <c r="Y475" s="518"/>
      <c r="Z475" s="518"/>
      <c r="AA475" s="519"/>
      <c r="AB475" s="520"/>
      <c r="AC475" s="3617"/>
      <c r="AD475" s="521"/>
      <c r="AE475" s="522"/>
      <c r="AF475" s="522"/>
      <c r="AG475" s="523"/>
      <c r="AH475" s="524"/>
      <c r="AI475" s="517"/>
      <c r="AJ475" s="517"/>
      <c r="AK475" s="517"/>
      <c r="AL475" s="517"/>
      <c r="AM475" s="517"/>
      <c r="AN475" s="517"/>
      <c r="AO475" s="517"/>
      <c r="AP475" s="517"/>
      <c r="AQ475" s="517"/>
      <c r="AR475" s="517"/>
      <c r="AS475" s="517"/>
      <c r="AT475" s="517"/>
      <c r="AU475" s="517"/>
      <c r="AV475" s="517"/>
      <c r="AW475" s="517"/>
      <c r="AX475" s="517"/>
      <c r="AY475" s="517"/>
      <c r="AZ475" s="517"/>
      <c r="BA475" s="517"/>
      <c r="BB475" s="517"/>
      <c r="BC475" s="517"/>
      <c r="BD475" s="517"/>
      <c r="BE475" s="517"/>
      <c r="BF475" s="517"/>
      <c r="BG475" s="517"/>
      <c r="BH475" s="517"/>
      <c r="BI475" s="517"/>
      <c r="BJ475" s="517"/>
      <c r="BK475" s="517"/>
      <c r="BL475" s="517"/>
      <c r="BM475" s="517"/>
      <c r="BN475" s="517"/>
      <c r="BO475" s="517"/>
      <c r="BP475" s="517"/>
      <c r="BQ475" s="517"/>
      <c r="BR475" s="517"/>
      <c r="BS475" s="517"/>
      <c r="BT475" s="517"/>
      <c r="BU475" s="517"/>
      <c r="BV475" s="518"/>
      <c r="BW475" s="518"/>
      <c r="BX475" s="518"/>
      <c r="BY475" s="518"/>
      <c r="BZ475" s="518"/>
      <c r="CA475" s="518"/>
      <c r="CB475" s="518"/>
      <c r="CC475" s="518"/>
      <c r="CD475" s="518"/>
      <c r="CE475" s="518"/>
    </row>
    <row r="476" spans="1:83" ht="24.75" hidden="1" customHeight="1">
      <c r="A476" s="1649"/>
      <c r="B476" s="1023"/>
      <c r="C476" s="319"/>
      <c r="D476" s="3622"/>
      <c r="E476" s="3616" t="s">
        <v>875</v>
      </c>
      <c r="F476" s="3616"/>
      <c r="G476" s="3616"/>
      <c r="H476" s="3616"/>
      <c r="I476" s="3616"/>
      <c r="J476" s="3616"/>
      <c r="K476" s="3616"/>
      <c r="L476" s="3616"/>
      <c r="M476" s="3616"/>
      <c r="N476" s="3616"/>
      <c r="O476" s="3616"/>
      <c r="P476" s="3616"/>
      <c r="Q476" s="455">
        <f>SUMIF(T477:T478,"i",Q477:Q478)</f>
        <v>0</v>
      </c>
      <c r="R476" s="887"/>
      <c r="S476" s="1641" t="s">
        <v>876</v>
      </c>
      <c r="T476" s="607" t="s">
        <v>877</v>
      </c>
      <c r="U476" s="3532">
        <v>1</v>
      </c>
      <c r="V476" s="3532" t="s">
        <v>840</v>
      </c>
      <c r="W476" s="1023"/>
      <c r="X476" s="1023"/>
      <c r="Y476" s="1023"/>
      <c r="Z476" s="1023"/>
      <c r="AA476" s="1481"/>
      <c r="AB476" s="1023"/>
      <c r="AC476" s="3617"/>
      <c r="AD476" s="521"/>
      <c r="AE476" s="1023"/>
      <c r="AF476" s="1023"/>
      <c r="AG476" s="1481"/>
      <c r="AH476" s="1481"/>
      <c r="AI476" s="1481"/>
      <c r="AJ476" s="1481"/>
      <c r="AK476" s="1481"/>
      <c r="AL476" s="1481"/>
      <c r="AM476" s="1481"/>
      <c r="AN476" s="1481"/>
      <c r="AO476" s="1481"/>
      <c r="AP476" s="1481"/>
      <c r="AQ476" s="1481"/>
      <c r="AR476" s="1481"/>
      <c r="AS476" s="1481"/>
      <c r="AT476" s="1481"/>
      <c r="AU476" s="1481"/>
      <c r="AV476" s="1481"/>
      <c r="AW476" s="1481"/>
      <c r="AX476" s="1481"/>
      <c r="AY476" s="1481"/>
      <c r="AZ476" s="1481"/>
      <c r="BA476" s="1481"/>
      <c r="BB476" s="1481"/>
      <c r="BC476" s="1481"/>
      <c r="BD476" s="1481"/>
      <c r="BE476" s="1481"/>
      <c r="BF476" s="1481"/>
      <c r="BG476" s="1481"/>
      <c r="BH476" s="1481"/>
      <c r="BI476" s="1481"/>
      <c r="BJ476" s="1481"/>
      <c r="BK476" s="1481"/>
      <c r="BL476" s="1481"/>
      <c r="BM476" s="1481"/>
      <c r="BN476" s="1481"/>
      <c r="BO476" s="1481"/>
      <c r="BP476" s="1481"/>
      <c r="BQ476" s="1481"/>
      <c r="BR476" s="1481"/>
      <c r="BS476" s="1481"/>
      <c r="BT476" s="1481"/>
      <c r="BU476" s="1481"/>
      <c r="BV476" s="1023"/>
      <c r="BW476" s="1023"/>
      <c r="BX476" s="1023"/>
      <c r="BY476" s="1023"/>
      <c r="BZ476" s="1023"/>
      <c r="CA476" s="1023"/>
      <c r="CB476" s="1023"/>
      <c r="CC476" s="1023"/>
      <c r="CD476" s="1023"/>
      <c r="CE476" s="1023"/>
    </row>
    <row r="477" spans="1:83" ht="11.25" hidden="1" customHeight="1">
      <c r="A477" s="1636"/>
      <c r="B477" s="1481"/>
      <c r="C477" s="1481"/>
      <c r="D477" s="3622"/>
      <c r="E477" s="527"/>
      <c r="F477" s="527">
        <v>0</v>
      </c>
      <c r="G477" s="527"/>
      <c r="H477" s="527"/>
      <c r="I477" s="527"/>
      <c r="J477" s="527"/>
      <c r="K477" s="527"/>
      <c r="L477" s="527"/>
      <c r="M477" s="527"/>
      <c r="N477" s="527"/>
      <c r="O477" s="527"/>
      <c r="P477" s="527"/>
      <c r="Q477" s="527"/>
      <c r="R477" s="527"/>
      <c r="S477" s="528"/>
      <c r="T477" s="608"/>
      <c r="U477" s="3532"/>
      <c r="V477" s="3532"/>
      <c r="W477" s="1481"/>
      <c r="X477" s="1481"/>
      <c r="Y477" s="1481"/>
      <c r="Z477" s="1481"/>
      <c r="AA477" s="1481"/>
      <c r="AB477" s="1023"/>
      <c r="AC477" s="3617"/>
      <c r="AD477" s="521"/>
      <c r="AE477" s="1023"/>
      <c r="AF477" s="1023"/>
      <c r="AG477" s="1481"/>
      <c r="AH477" s="1481"/>
      <c r="AI477" s="1481"/>
      <c r="AJ477" s="1481"/>
      <c r="AK477" s="1481"/>
      <c r="AL477" s="1481"/>
      <c r="AM477" s="1481"/>
      <c r="AN477" s="1481"/>
      <c r="AO477" s="1481"/>
      <c r="AP477" s="1481"/>
      <c r="AQ477" s="1481"/>
      <c r="AR477" s="1481"/>
      <c r="AS477" s="1481"/>
      <c r="AT477" s="1481"/>
      <c r="AU477" s="1481"/>
      <c r="AV477" s="1481"/>
      <c r="AW477" s="1481"/>
      <c r="AX477" s="1481"/>
      <c r="AY477" s="1481"/>
      <c r="AZ477" s="1481"/>
      <c r="BA477" s="1481"/>
      <c r="BB477" s="1481"/>
      <c r="BC477" s="1481"/>
      <c r="BD477" s="1481"/>
      <c r="BE477" s="1481"/>
      <c r="BF477" s="1481"/>
      <c r="BG477" s="1481"/>
      <c r="BH477" s="1481"/>
      <c r="BI477" s="1481"/>
      <c r="BJ477" s="1481"/>
      <c r="BK477" s="1481"/>
      <c r="BL477" s="1481"/>
      <c r="BM477" s="1481"/>
      <c r="BN477" s="1481"/>
      <c r="BO477" s="1481"/>
      <c r="BP477" s="1481"/>
      <c r="BQ477" s="1481"/>
      <c r="BR477" s="1481"/>
      <c r="BS477" s="1481"/>
      <c r="BT477" s="1481"/>
      <c r="BU477" s="1481"/>
      <c r="BV477" s="1481"/>
      <c r="BW477" s="1481"/>
      <c r="BX477" s="1481"/>
      <c r="BY477" s="1481"/>
      <c r="BZ477" s="1481"/>
      <c r="CA477" s="1481"/>
      <c r="CB477" s="1481"/>
      <c r="CC477" s="1481"/>
      <c r="CD477" s="1481"/>
      <c r="CE477" s="1481"/>
    </row>
    <row r="478" spans="1:83" ht="11.25" hidden="1" customHeight="1">
      <c r="A478" s="1649"/>
      <c r="B478" s="1023"/>
      <c r="C478" s="319"/>
      <c r="D478" s="3622"/>
      <c r="E478" s="541" t="s">
        <v>18</v>
      </c>
      <c r="F478" s="1031" t="s">
        <v>18</v>
      </c>
      <c r="G478" s="1031" t="s">
        <v>880</v>
      </c>
      <c r="H478" s="543" t="s">
        <v>18</v>
      </c>
      <c r="I478" s="543"/>
      <c r="J478" s="543"/>
      <c r="K478" s="543"/>
      <c r="L478" s="543"/>
      <c r="M478" s="543"/>
      <c r="N478" s="543"/>
      <c r="O478" s="543"/>
      <c r="P478" s="543"/>
      <c r="Q478" s="543"/>
      <c r="R478" s="544"/>
      <c r="S478" s="545"/>
      <c r="T478" s="608"/>
      <c r="U478" s="3532"/>
      <c r="V478" s="3532"/>
      <c r="W478" s="1023"/>
      <c r="X478" s="1023"/>
      <c r="Y478" s="1023"/>
      <c r="Z478" s="1023"/>
      <c r="AA478" s="1481"/>
      <c r="AB478" s="1023"/>
      <c r="AC478" s="3617"/>
      <c r="AD478" s="521"/>
      <c r="AE478" s="1023"/>
      <c r="AF478" s="1023"/>
      <c r="AG478" s="1481"/>
      <c r="AH478" s="1481"/>
      <c r="AI478" s="1481"/>
      <c r="AJ478" s="1481"/>
      <c r="AK478" s="1481"/>
      <c r="AL478" s="1481"/>
      <c r="AM478" s="1481"/>
      <c r="AN478" s="1481"/>
      <c r="AO478" s="1481"/>
      <c r="AP478" s="1481"/>
      <c r="AQ478" s="1481"/>
      <c r="AR478" s="1481"/>
      <c r="AS478" s="1481"/>
      <c r="AT478" s="1481"/>
      <c r="AU478" s="1481"/>
      <c r="AV478" s="1481"/>
      <c r="AW478" s="1481"/>
      <c r="AX478" s="1481"/>
      <c r="AY478" s="1481"/>
      <c r="AZ478" s="1481"/>
      <c r="BA478" s="1481"/>
      <c r="BB478" s="1481"/>
      <c r="BC478" s="1481"/>
      <c r="BD478" s="1481"/>
      <c r="BE478" s="1481"/>
      <c r="BF478" s="1481"/>
      <c r="BG478" s="1481"/>
      <c r="BH478" s="1481"/>
      <c r="BI478" s="1481"/>
      <c r="BJ478" s="1481"/>
      <c r="BK478" s="1481"/>
      <c r="BL478" s="1481"/>
      <c r="BM478" s="1481"/>
      <c r="BN478" s="1481"/>
      <c r="BO478" s="1481"/>
      <c r="BP478" s="1481"/>
      <c r="BQ478" s="1481"/>
      <c r="BR478" s="1481"/>
      <c r="BS478" s="1481"/>
      <c r="BT478" s="1481"/>
      <c r="BU478" s="1481"/>
      <c r="BV478" s="1023"/>
      <c r="BW478" s="1023"/>
      <c r="BX478" s="1023"/>
      <c r="BY478" s="1023"/>
      <c r="BZ478" s="1023"/>
      <c r="CA478" s="1023"/>
      <c r="CB478" s="1023"/>
      <c r="CC478" s="1023"/>
      <c r="CD478" s="1023"/>
      <c r="CE478" s="1023"/>
    </row>
    <row r="479" spans="1:83" ht="5.25" hidden="1" customHeight="1">
      <c r="A479" s="1636"/>
      <c r="B479" s="1481"/>
      <c r="C479" s="1481"/>
      <c r="D479" s="3622"/>
      <c r="E479" s="909"/>
      <c r="F479" s="909"/>
      <c r="G479" s="909"/>
      <c r="H479" s="909"/>
      <c r="I479" s="909"/>
      <c r="J479" s="909"/>
      <c r="K479" s="909"/>
      <c r="L479" s="909"/>
      <c r="M479" s="909"/>
      <c r="N479" s="909"/>
      <c r="O479" s="909"/>
      <c r="P479" s="909"/>
      <c r="Q479" s="910"/>
      <c r="R479" s="911"/>
      <c r="S479" s="912"/>
      <c r="T479" s="607" t="s">
        <v>877</v>
      </c>
      <c r="U479" s="3532">
        <v>1</v>
      </c>
      <c r="V479" s="3532" t="s">
        <v>840</v>
      </c>
      <c r="W479" s="1481"/>
      <c r="X479" s="1481"/>
      <c r="Y479" s="1481"/>
      <c r="Z479" s="1481"/>
      <c r="AA479" s="1481"/>
      <c r="AB479" s="1481"/>
      <c r="AC479" s="907"/>
      <c r="AD479" s="908"/>
      <c r="AE479" s="1481"/>
      <c r="AF479" s="1481"/>
      <c r="AG479" s="1481"/>
      <c r="AH479" s="1481"/>
      <c r="AI479" s="1481"/>
      <c r="AJ479" s="1481"/>
      <c r="AK479" s="1481"/>
      <c r="AL479" s="1481"/>
      <c r="AM479" s="1481"/>
      <c r="AN479" s="1481"/>
      <c r="AO479" s="1481"/>
      <c r="AP479" s="1481"/>
      <c r="AQ479" s="1481"/>
      <c r="AR479" s="1481"/>
      <c r="AS479" s="1481"/>
      <c r="AT479" s="1481"/>
      <c r="AU479" s="1481"/>
      <c r="AV479" s="1481"/>
      <c r="AW479" s="1481"/>
      <c r="AX479" s="1481"/>
      <c r="AY479" s="1481"/>
      <c r="AZ479" s="1481"/>
      <c r="BA479" s="1481"/>
      <c r="BB479" s="1481"/>
      <c r="BC479" s="1481"/>
      <c r="BD479" s="1481"/>
      <c r="BE479" s="1481"/>
      <c r="BF479" s="1481"/>
      <c r="BG479" s="1481"/>
      <c r="BH479" s="1481"/>
      <c r="BI479" s="1481"/>
      <c r="BJ479" s="1481"/>
      <c r="BK479" s="1481"/>
      <c r="BL479" s="1481"/>
      <c r="BM479" s="1481"/>
      <c r="BN479" s="1481"/>
      <c r="BO479" s="1481"/>
      <c r="BP479" s="1481"/>
      <c r="BQ479" s="1481"/>
      <c r="BR479" s="1481"/>
      <c r="BS479" s="1481"/>
      <c r="BT479" s="1481"/>
      <c r="BU479" s="1481"/>
      <c r="BV479" s="1481"/>
      <c r="BW479" s="1481"/>
      <c r="BX479" s="1481"/>
      <c r="BY479" s="1481"/>
      <c r="BZ479" s="1481"/>
      <c r="CA479" s="1481"/>
      <c r="CB479" s="1481"/>
      <c r="CC479" s="1481"/>
      <c r="CD479" s="1481"/>
      <c r="CE479" s="1481"/>
    </row>
    <row r="480" spans="1:83" ht="5.25" hidden="1" customHeight="1">
      <c r="A480" s="1636"/>
      <c r="B480" s="1481"/>
      <c r="C480" s="1481"/>
      <c r="D480" s="3622"/>
      <c r="E480" s="527"/>
      <c r="F480" s="527"/>
      <c r="G480" s="527"/>
      <c r="H480" s="527"/>
      <c r="I480" s="527"/>
      <c r="J480" s="527"/>
      <c r="K480" s="527"/>
      <c r="L480" s="527"/>
      <c r="M480" s="527"/>
      <c r="N480" s="527"/>
      <c r="O480" s="527"/>
      <c r="P480" s="527"/>
      <c r="Q480" s="527"/>
      <c r="R480" s="527"/>
      <c r="S480" s="528"/>
      <c r="T480" s="608"/>
      <c r="U480" s="3532"/>
      <c r="V480" s="3532"/>
      <c r="W480" s="1481"/>
      <c r="X480" s="1481"/>
      <c r="Y480" s="1481"/>
      <c r="Z480" s="1481"/>
      <c r="AA480" s="1481"/>
      <c r="AB480" s="1481"/>
      <c r="AC480" s="907"/>
      <c r="AD480" s="908"/>
      <c r="AE480" s="1481"/>
      <c r="AF480" s="1481"/>
      <c r="AG480" s="1481"/>
      <c r="AH480" s="1481"/>
      <c r="AI480" s="1481"/>
      <c r="AJ480" s="1481"/>
      <c r="AK480" s="1481"/>
      <c r="AL480" s="1481"/>
      <c r="AM480" s="1481"/>
      <c r="AN480" s="1481"/>
      <c r="AO480" s="1481"/>
      <c r="AP480" s="1481"/>
      <c r="AQ480" s="1481"/>
      <c r="AR480" s="1481"/>
      <c r="AS480" s="1481"/>
      <c r="AT480" s="1481"/>
      <c r="AU480" s="1481"/>
      <c r="AV480" s="1481"/>
      <c r="AW480" s="1481"/>
      <c r="AX480" s="1481"/>
      <c r="AY480" s="1481"/>
      <c r="AZ480" s="1481"/>
      <c r="BA480" s="1481"/>
      <c r="BB480" s="1481"/>
      <c r="BC480" s="1481"/>
      <c r="BD480" s="1481"/>
      <c r="BE480" s="1481"/>
      <c r="BF480" s="1481"/>
      <c r="BG480" s="1481"/>
      <c r="BH480" s="1481"/>
      <c r="BI480" s="1481"/>
      <c r="BJ480" s="1481"/>
      <c r="BK480" s="1481"/>
      <c r="BL480" s="1481"/>
      <c r="BM480" s="1481"/>
      <c r="BN480" s="1481"/>
      <c r="BO480" s="1481"/>
      <c r="BP480" s="1481"/>
      <c r="BQ480" s="1481"/>
      <c r="BR480" s="1481"/>
      <c r="BS480" s="1481"/>
      <c r="BT480" s="1481"/>
      <c r="BU480" s="1481"/>
      <c r="BV480" s="1481"/>
      <c r="BW480" s="1481"/>
      <c r="BX480" s="1481"/>
      <c r="BY480" s="1481"/>
      <c r="BZ480" s="1481"/>
      <c r="CA480" s="1481"/>
      <c r="CB480" s="1481"/>
      <c r="CC480" s="1481"/>
      <c r="CD480" s="1481"/>
      <c r="CE480" s="1481"/>
    </row>
    <row r="481" spans="1:83" ht="5.25" hidden="1" customHeight="1">
      <c r="A481" s="1636"/>
      <c r="B481" s="1481"/>
      <c r="C481" s="1481"/>
      <c r="D481" s="3623"/>
      <c r="E481" s="913"/>
      <c r="F481" s="914"/>
      <c r="G481" s="914"/>
      <c r="H481" s="915"/>
      <c r="I481" s="915"/>
      <c r="J481" s="915"/>
      <c r="K481" s="915"/>
      <c r="L481" s="915"/>
      <c r="M481" s="915"/>
      <c r="N481" s="915"/>
      <c r="O481" s="915"/>
      <c r="P481" s="915"/>
      <c r="Q481" s="915"/>
      <c r="R481" s="818"/>
      <c r="S481" s="916"/>
      <c r="T481" s="608"/>
      <c r="U481" s="3532"/>
      <c r="V481" s="3532"/>
      <c r="W481" s="1481"/>
      <c r="X481" s="1481"/>
      <c r="Y481" s="1481"/>
      <c r="Z481" s="1481"/>
      <c r="AA481" s="1481"/>
      <c r="AB481" s="1481"/>
      <c r="AC481" s="907"/>
      <c r="AD481" s="908"/>
      <c r="AE481" s="1481"/>
      <c r="AF481" s="1481"/>
      <c r="AG481" s="1481"/>
      <c r="AH481" s="1481"/>
      <c r="AI481" s="1481"/>
      <c r="AJ481" s="1481"/>
      <c r="AK481" s="1481"/>
      <c r="AL481" s="1481"/>
      <c r="AM481" s="1481"/>
      <c r="AN481" s="1481"/>
      <c r="AO481" s="1481"/>
      <c r="AP481" s="1481"/>
      <c r="AQ481" s="1481"/>
      <c r="AR481" s="1481"/>
      <c r="AS481" s="1481"/>
      <c r="AT481" s="1481"/>
      <c r="AU481" s="1481"/>
      <c r="AV481" s="1481"/>
      <c r="AW481" s="1481"/>
      <c r="AX481" s="1481"/>
      <c r="AY481" s="1481"/>
      <c r="AZ481" s="1481"/>
      <c r="BA481" s="1481"/>
      <c r="BB481" s="1481"/>
      <c r="BC481" s="1481"/>
      <c r="BD481" s="1481"/>
      <c r="BE481" s="1481"/>
      <c r="BF481" s="1481"/>
      <c r="BG481" s="1481"/>
      <c r="BH481" s="1481"/>
      <c r="BI481" s="1481"/>
      <c r="BJ481" s="1481"/>
      <c r="BK481" s="1481"/>
      <c r="BL481" s="1481"/>
      <c r="BM481" s="1481"/>
      <c r="BN481" s="1481"/>
      <c r="BO481" s="1481"/>
      <c r="BP481" s="1481"/>
      <c r="BQ481" s="1481"/>
      <c r="BR481" s="1481"/>
      <c r="BS481" s="1481"/>
      <c r="BT481" s="1481"/>
      <c r="BU481" s="1481"/>
      <c r="BV481" s="1481"/>
      <c r="BW481" s="1481"/>
      <c r="BX481" s="1481"/>
      <c r="BY481" s="1481"/>
      <c r="BZ481" s="1481"/>
      <c r="CA481" s="1481"/>
      <c r="CB481" s="1481"/>
      <c r="CC481" s="1481"/>
      <c r="CD481" s="1481"/>
      <c r="CE481" s="1481"/>
    </row>
    <row r="482" spans="1:83" ht="15" hidden="1" customHeight="1">
      <c r="A482" s="516" t="s">
        <v>266</v>
      </c>
      <c r="B482"/>
      <c r="C482" t="s">
        <v>18</v>
      </c>
      <c r="D482" s="3621" t="s">
        <v>931</v>
      </c>
      <c r="E482" s="3618" t="s">
        <v>102</v>
      </c>
      <c r="F482" s="3619"/>
      <c r="G482" s="3620"/>
      <c r="H482" s="3614" t="str">
        <f>IF(A482="","",INDEX(DIFFERENTIATION_UNMERGE_VD,MATCH(A482,DIFFERENTIATION_ID_DIFF,0)))</f>
        <v>Производство тепловой энергии. Некомбинированная выработка</v>
      </c>
      <c r="I482" s="3614"/>
      <c r="J482" s="3614"/>
      <c r="K482" s="3614"/>
      <c r="L482" s="3614"/>
      <c r="M482" s="3614"/>
      <c r="N482" s="3614"/>
      <c r="O482" s="3614"/>
      <c r="P482" s="3614"/>
      <c r="Q482" s="3614"/>
      <c r="R482" s="3614"/>
      <c r="S482" s="609"/>
      <c r="T482" s="606"/>
      <c r="U482" s="517"/>
      <c r="V482" s="517"/>
      <c r="W482" s="518"/>
      <c r="X482" s="518"/>
      <c r="Y482" s="518"/>
      <c r="Z482" s="518"/>
      <c r="AA482" s="519"/>
      <c r="AB482" s="520"/>
      <c r="AC482" s="3617"/>
      <c r="AD482" s="521"/>
      <c r="AE482" s="522" t="s">
        <v>18</v>
      </c>
      <c r="AF482" s="522"/>
      <c r="AG482" s="523" t="s">
        <v>874</v>
      </c>
      <c r="AH482" s="524">
        <v>3</v>
      </c>
      <c r="AI482" s="517"/>
      <c r="AJ482" s="517"/>
      <c r="AK482" s="517"/>
      <c r="AL482" s="517"/>
      <c r="AM482" s="517"/>
      <c r="AN482" s="517"/>
      <c r="AO482" s="517"/>
      <c r="AP482" s="517"/>
      <c r="AQ482" s="517"/>
      <c r="AR482" s="517"/>
      <c r="AS482" s="517"/>
      <c r="AT482" s="517"/>
      <c r="AU482" s="517"/>
      <c r="AV482" s="517"/>
      <c r="AW482" s="517"/>
      <c r="AX482" s="517"/>
      <c r="AY482" s="517"/>
      <c r="AZ482" s="517"/>
      <c r="BA482" s="517"/>
      <c r="BB482" s="517"/>
      <c r="BC482" s="517"/>
      <c r="BD482" s="517"/>
      <c r="BE482" s="517"/>
      <c r="BF482" s="517"/>
      <c r="BG482" s="517"/>
      <c r="BH482" s="517"/>
      <c r="BI482" s="517"/>
      <c r="BJ482" s="517"/>
      <c r="BK482" s="517"/>
      <c r="BL482" s="517"/>
      <c r="BM482" s="517"/>
      <c r="BN482" s="517"/>
      <c r="BO482" s="517"/>
      <c r="BP482" s="517"/>
      <c r="BQ482" s="517"/>
      <c r="BR482" s="517"/>
      <c r="BS482" s="517"/>
      <c r="BT482" s="517"/>
      <c r="BU482" s="517"/>
      <c r="BV482" s="518"/>
      <c r="BW482" s="518"/>
      <c r="BX482" s="518"/>
      <c r="BY482" s="518"/>
      <c r="BZ482" s="518"/>
      <c r="CA482" s="518"/>
      <c r="CB482" s="518"/>
      <c r="CC482" s="518"/>
      <c r="CD482" s="518"/>
      <c r="CE482" s="518"/>
    </row>
    <row r="483" spans="1:83" ht="15" hidden="1" customHeight="1">
      <c r="A483" s="516"/>
      <c r="B483"/>
      <c r="C483"/>
      <c r="D483" s="3622"/>
      <c r="E483" s="3618" t="s">
        <v>829</v>
      </c>
      <c r="F483" s="3619"/>
      <c r="G483" s="3620"/>
      <c r="H483" s="3614" t="str">
        <f>IF(A482="","",INDEX(DIFFERENTIATION_UNMERGE_AREA,MATCH(A482,DIFFERENTIATION_ID_DIFF,0)))</f>
        <v>Территория 1</v>
      </c>
      <c r="I483" s="3614"/>
      <c r="J483" s="3614"/>
      <c r="K483" s="3614"/>
      <c r="L483" s="3614"/>
      <c r="M483" s="3614"/>
      <c r="N483" s="3614"/>
      <c r="O483" s="3614"/>
      <c r="P483" s="3614"/>
      <c r="Q483" s="3614"/>
      <c r="R483" s="3614"/>
      <c r="S483" s="609"/>
      <c r="T483" s="606"/>
      <c r="U483" s="517"/>
      <c r="V483" s="517"/>
      <c r="W483" s="518"/>
      <c r="X483" s="518"/>
      <c r="Y483" s="518"/>
      <c r="Z483" s="518"/>
      <c r="AA483" s="519"/>
      <c r="AB483" s="520"/>
      <c r="AC483" s="3617"/>
      <c r="AD483" s="521"/>
      <c r="AE483" s="522"/>
      <c r="AF483" s="522"/>
      <c r="AG483" s="523"/>
      <c r="AH483" s="524"/>
      <c r="AI483" s="517"/>
      <c r="AJ483" s="517"/>
      <c r="AK483" s="517"/>
      <c r="AL483" s="517"/>
      <c r="AM483" s="517"/>
      <c r="AN483" s="517"/>
      <c r="AO483" s="517"/>
      <c r="AP483" s="517"/>
      <c r="AQ483" s="517"/>
      <c r="AR483" s="517"/>
      <c r="AS483" s="517"/>
      <c r="AT483" s="517"/>
      <c r="AU483" s="517"/>
      <c r="AV483" s="517"/>
      <c r="AW483" s="517"/>
      <c r="AX483" s="517"/>
      <c r="AY483" s="517"/>
      <c r="AZ483" s="517"/>
      <c r="BA483" s="517"/>
      <c r="BB483" s="517"/>
      <c r="BC483" s="517"/>
      <c r="BD483" s="517"/>
      <c r="BE483" s="517"/>
      <c r="BF483" s="517"/>
      <c r="BG483" s="517"/>
      <c r="BH483" s="517"/>
      <c r="BI483" s="517"/>
      <c r="BJ483" s="517"/>
      <c r="BK483" s="517"/>
      <c r="BL483" s="517"/>
      <c r="BM483" s="517"/>
      <c r="BN483" s="517"/>
      <c r="BO483" s="517"/>
      <c r="BP483" s="517"/>
      <c r="BQ483" s="517"/>
      <c r="BR483" s="517"/>
      <c r="BS483" s="517"/>
      <c r="BT483" s="517"/>
      <c r="BU483" s="517"/>
      <c r="BV483" s="518"/>
      <c r="BW483" s="518"/>
      <c r="BX483" s="518"/>
      <c r="BY483" s="518"/>
      <c r="BZ483" s="518"/>
      <c r="CA483" s="518"/>
      <c r="CB483" s="518"/>
      <c r="CC483" s="518"/>
      <c r="CD483" s="518"/>
      <c r="CE483" s="518"/>
    </row>
    <row r="484" spans="1:83" ht="15" hidden="1" customHeight="1">
      <c r="A484" s="516"/>
      <c r="B484"/>
      <c r="C484"/>
      <c r="D484" s="3622"/>
      <c r="E484" s="3618" t="s">
        <v>830</v>
      </c>
      <c r="F484" s="3619"/>
      <c r="G484" s="3620"/>
      <c r="H484" s="3614" t="str">
        <f>IF(A482="","",INDEX(DIFFERENTIATION_UNMERGE_SYSTEM,MATCH(A482,DIFFERENTIATION_ID_DIFF,0)))</f>
        <v>Энгельса,88а</v>
      </c>
      <c r="I484" s="3614"/>
      <c r="J484" s="3614"/>
      <c r="K484" s="3614"/>
      <c r="L484" s="3614"/>
      <c r="M484" s="3614"/>
      <c r="N484" s="3614"/>
      <c r="O484" s="3614"/>
      <c r="P484" s="3614"/>
      <c r="Q484" s="3614"/>
      <c r="R484" s="3614"/>
      <c r="S484" s="609"/>
      <c r="T484" s="606"/>
      <c r="U484" s="517"/>
      <c r="V484" s="517"/>
      <c r="W484" s="518"/>
      <c r="X484" s="518"/>
      <c r="Y484" s="518"/>
      <c r="Z484" s="518"/>
      <c r="AA484" s="519"/>
      <c r="AB484" s="520"/>
      <c r="AC484" s="3617"/>
      <c r="AD484" s="521"/>
      <c r="AE484" s="522"/>
      <c r="AF484" s="522"/>
      <c r="AG484" s="523"/>
      <c r="AH484" s="524"/>
      <c r="AI484" s="517"/>
      <c r="AJ484" s="517"/>
      <c r="AK484" s="517"/>
      <c r="AL484" s="517"/>
      <c r="AM484" s="517"/>
      <c r="AN484" s="517"/>
      <c r="AO484" s="517"/>
      <c r="AP484" s="517"/>
      <c r="AQ484" s="517"/>
      <c r="AR484" s="517"/>
      <c r="AS484" s="517"/>
      <c r="AT484" s="517"/>
      <c r="AU484" s="517"/>
      <c r="AV484" s="517"/>
      <c r="AW484" s="517"/>
      <c r="AX484" s="517"/>
      <c r="AY484" s="517"/>
      <c r="AZ484" s="517"/>
      <c r="BA484" s="517"/>
      <c r="BB484" s="517"/>
      <c r="BC484" s="517"/>
      <c r="BD484" s="517"/>
      <c r="BE484" s="517"/>
      <c r="BF484" s="517"/>
      <c r="BG484" s="517"/>
      <c r="BH484" s="517"/>
      <c r="BI484" s="517"/>
      <c r="BJ484" s="517"/>
      <c r="BK484" s="517"/>
      <c r="BL484" s="517"/>
      <c r="BM484" s="517"/>
      <c r="BN484" s="517"/>
      <c r="BO484" s="517"/>
      <c r="BP484" s="517"/>
      <c r="BQ484" s="517"/>
      <c r="BR484" s="517"/>
      <c r="BS484" s="517"/>
      <c r="BT484" s="517"/>
      <c r="BU484" s="517"/>
      <c r="BV484" s="518"/>
      <c r="BW484" s="518"/>
      <c r="BX484" s="518"/>
      <c r="BY484" s="518"/>
      <c r="BZ484" s="518"/>
      <c r="CA484" s="518"/>
      <c r="CB484" s="518"/>
      <c r="CC484" s="518"/>
      <c r="CD484" s="518"/>
      <c r="CE484" s="518"/>
    </row>
    <row r="485" spans="1:83" ht="24.75" hidden="1" customHeight="1">
      <c r="A485" s="1649"/>
      <c r="B485" s="1023"/>
      <c r="C485" s="319"/>
      <c r="D485" s="3622"/>
      <c r="E485" s="3616" t="s">
        <v>875</v>
      </c>
      <c r="F485" s="3616"/>
      <c r="G485" s="3616"/>
      <c r="H485" s="3616"/>
      <c r="I485" s="3616"/>
      <c r="J485" s="3616"/>
      <c r="K485" s="3616"/>
      <c r="L485" s="3616"/>
      <c r="M485" s="3616"/>
      <c r="N485" s="3616"/>
      <c r="O485" s="3616"/>
      <c r="P485" s="3616"/>
      <c r="Q485" s="455">
        <f>SUMIF(T486:T487,"i",Q486:Q487)</f>
        <v>0</v>
      </c>
      <c r="R485" s="887"/>
      <c r="S485" s="1641" t="s">
        <v>876</v>
      </c>
      <c r="T485" s="607" t="s">
        <v>877</v>
      </c>
      <c r="U485" s="3532">
        <v>1</v>
      </c>
      <c r="V485" s="3532" t="s">
        <v>840</v>
      </c>
      <c r="W485" s="1023"/>
      <c r="X485" s="1023"/>
      <c r="Y485" s="1023"/>
      <c r="Z485" s="1023"/>
      <c r="AA485" s="1481"/>
      <c r="AB485" s="1023"/>
      <c r="AC485" s="3617"/>
      <c r="AD485" s="521"/>
      <c r="AE485" s="1023"/>
      <c r="AF485" s="1023"/>
      <c r="AG485" s="1481"/>
      <c r="AH485" s="1481"/>
      <c r="AI485" s="1481"/>
      <c r="AJ485" s="1481"/>
      <c r="AK485" s="1481"/>
      <c r="AL485" s="1481"/>
      <c r="AM485" s="1481"/>
      <c r="AN485" s="1481"/>
      <c r="AO485" s="1481"/>
      <c r="AP485" s="1481"/>
      <c r="AQ485" s="1481"/>
      <c r="AR485" s="1481"/>
      <c r="AS485" s="1481"/>
      <c r="AT485" s="1481"/>
      <c r="AU485" s="1481"/>
      <c r="AV485" s="1481"/>
      <c r="AW485" s="1481"/>
      <c r="AX485" s="1481"/>
      <c r="AY485" s="1481"/>
      <c r="AZ485" s="1481"/>
      <c r="BA485" s="1481"/>
      <c r="BB485" s="1481"/>
      <c r="BC485" s="1481"/>
      <c r="BD485" s="1481"/>
      <c r="BE485" s="1481"/>
      <c r="BF485" s="1481"/>
      <c r="BG485" s="1481"/>
      <c r="BH485" s="1481"/>
      <c r="BI485" s="1481"/>
      <c r="BJ485" s="1481"/>
      <c r="BK485" s="1481"/>
      <c r="BL485" s="1481"/>
      <c r="BM485" s="1481"/>
      <c r="BN485" s="1481"/>
      <c r="BO485" s="1481"/>
      <c r="BP485" s="1481"/>
      <c r="BQ485" s="1481"/>
      <c r="BR485" s="1481"/>
      <c r="BS485" s="1481"/>
      <c r="BT485" s="1481"/>
      <c r="BU485" s="1481"/>
      <c r="BV485" s="1023"/>
      <c r="BW485" s="1023"/>
      <c r="BX485" s="1023"/>
      <c r="BY485" s="1023"/>
      <c r="BZ485" s="1023"/>
      <c r="CA485" s="1023"/>
      <c r="CB485" s="1023"/>
      <c r="CC485" s="1023"/>
      <c r="CD485" s="1023"/>
      <c r="CE485" s="1023"/>
    </row>
    <row r="486" spans="1:83" ht="11.25" hidden="1" customHeight="1">
      <c r="A486" s="1636"/>
      <c r="B486" s="1481"/>
      <c r="C486" s="1481"/>
      <c r="D486" s="3622"/>
      <c r="E486" s="527"/>
      <c r="F486" s="527">
        <v>0</v>
      </c>
      <c r="G486" s="527"/>
      <c r="H486" s="527"/>
      <c r="I486" s="527"/>
      <c r="J486" s="527"/>
      <c r="K486" s="527"/>
      <c r="L486" s="527"/>
      <c r="M486" s="527"/>
      <c r="N486" s="527"/>
      <c r="O486" s="527"/>
      <c r="P486" s="527"/>
      <c r="Q486" s="527"/>
      <c r="R486" s="527"/>
      <c r="S486" s="528"/>
      <c r="T486" s="608"/>
      <c r="U486" s="3532"/>
      <c r="V486" s="3532"/>
      <c r="W486" s="1481"/>
      <c r="X486" s="1481"/>
      <c r="Y486" s="1481"/>
      <c r="Z486" s="1481"/>
      <c r="AA486" s="1481"/>
      <c r="AB486" s="1023"/>
      <c r="AC486" s="3617"/>
      <c r="AD486" s="521"/>
      <c r="AE486" s="1023"/>
      <c r="AF486" s="1023"/>
      <c r="AG486" s="1481"/>
      <c r="AH486" s="1481"/>
      <c r="AI486" s="1481"/>
      <c r="AJ486" s="1481"/>
      <c r="AK486" s="1481"/>
      <c r="AL486" s="1481"/>
      <c r="AM486" s="1481"/>
      <c r="AN486" s="1481"/>
      <c r="AO486" s="1481"/>
      <c r="AP486" s="1481"/>
      <c r="AQ486" s="1481"/>
      <c r="AR486" s="1481"/>
      <c r="AS486" s="1481"/>
      <c r="AT486" s="1481"/>
      <c r="AU486" s="1481"/>
      <c r="AV486" s="1481"/>
      <c r="AW486" s="1481"/>
      <c r="AX486" s="1481"/>
      <c r="AY486" s="1481"/>
      <c r="AZ486" s="1481"/>
      <c r="BA486" s="1481"/>
      <c r="BB486" s="1481"/>
      <c r="BC486" s="1481"/>
      <c r="BD486" s="1481"/>
      <c r="BE486" s="1481"/>
      <c r="BF486" s="1481"/>
      <c r="BG486" s="1481"/>
      <c r="BH486" s="1481"/>
      <c r="BI486" s="1481"/>
      <c r="BJ486" s="1481"/>
      <c r="BK486" s="1481"/>
      <c r="BL486" s="1481"/>
      <c r="BM486" s="1481"/>
      <c r="BN486" s="1481"/>
      <c r="BO486" s="1481"/>
      <c r="BP486" s="1481"/>
      <c r="BQ486" s="1481"/>
      <c r="BR486" s="1481"/>
      <c r="BS486" s="1481"/>
      <c r="BT486" s="1481"/>
      <c r="BU486" s="1481"/>
      <c r="BV486" s="1481"/>
      <c r="BW486" s="1481"/>
      <c r="BX486" s="1481"/>
      <c r="BY486" s="1481"/>
      <c r="BZ486" s="1481"/>
      <c r="CA486" s="1481"/>
      <c r="CB486" s="1481"/>
      <c r="CC486" s="1481"/>
      <c r="CD486" s="1481"/>
      <c r="CE486" s="1481"/>
    </row>
    <row r="487" spans="1:83" ht="11.25" hidden="1" customHeight="1">
      <c r="A487" s="1649"/>
      <c r="B487" s="1023"/>
      <c r="C487" s="319"/>
      <c r="D487" s="3622"/>
      <c r="E487" s="541" t="s">
        <v>18</v>
      </c>
      <c r="F487" s="1031" t="s">
        <v>18</v>
      </c>
      <c r="G487" s="1031" t="s">
        <v>880</v>
      </c>
      <c r="H487" s="543" t="s">
        <v>18</v>
      </c>
      <c r="I487" s="543"/>
      <c r="J487" s="543"/>
      <c r="K487" s="543"/>
      <c r="L487" s="543"/>
      <c r="M487" s="543"/>
      <c r="N487" s="543"/>
      <c r="O487" s="543"/>
      <c r="P487" s="543"/>
      <c r="Q487" s="543"/>
      <c r="R487" s="544"/>
      <c r="S487" s="545"/>
      <c r="T487" s="608"/>
      <c r="U487" s="3532"/>
      <c r="V487" s="3532"/>
      <c r="W487" s="1023"/>
      <c r="X487" s="1023"/>
      <c r="Y487" s="1023"/>
      <c r="Z487" s="1023"/>
      <c r="AA487" s="1481"/>
      <c r="AB487" s="1023"/>
      <c r="AC487" s="3617"/>
      <c r="AD487" s="521"/>
      <c r="AE487" s="1023"/>
      <c r="AF487" s="1023"/>
      <c r="AG487" s="1481"/>
      <c r="AH487" s="1481"/>
      <c r="AI487" s="1481"/>
      <c r="AJ487" s="1481"/>
      <c r="AK487" s="1481"/>
      <c r="AL487" s="1481"/>
      <c r="AM487" s="1481"/>
      <c r="AN487" s="1481"/>
      <c r="AO487" s="1481"/>
      <c r="AP487" s="1481"/>
      <c r="AQ487" s="1481"/>
      <c r="AR487" s="1481"/>
      <c r="AS487" s="1481"/>
      <c r="AT487" s="1481"/>
      <c r="AU487" s="1481"/>
      <c r="AV487" s="1481"/>
      <c r="AW487" s="1481"/>
      <c r="AX487" s="1481"/>
      <c r="AY487" s="1481"/>
      <c r="AZ487" s="1481"/>
      <c r="BA487" s="1481"/>
      <c r="BB487" s="1481"/>
      <c r="BC487" s="1481"/>
      <c r="BD487" s="1481"/>
      <c r="BE487" s="1481"/>
      <c r="BF487" s="1481"/>
      <c r="BG487" s="1481"/>
      <c r="BH487" s="1481"/>
      <c r="BI487" s="1481"/>
      <c r="BJ487" s="1481"/>
      <c r="BK487" s="1481"/>
      <c r="BL487" s="1481"/>
      <c r="BM487" s="1481"/>
      <c r="BN487" s="1481"/>
      <c r="BO487" s="1481"/>
      <c r="BP487" s="1481"/>
      <c r="BQ487" s="1481"/>
      <c r="BR487" s="1481"/>
      <c r="BS487" s="1481"/>
      <c r="BT487" s="1481"/>
      <c r="BU487" s="1481"/>
      <c r="BV487" s="1023"/>
      <c r="BW487" s="1023"/>
      <c r="BX487" s="1023"/>
      <c r="BY487" s="1023"/>
      <c r="BZ487" s="1023"/>
      <c r="CA487" s="1023"/>
      <c r="CB487" s="1023"/>
      <c r="CC487" s="1023"/>
      <c r="CD487" s="1023"/>
      <c r="CE487" s="1023"/>
    </row>
    <row r="488" spans="1:83" ht="5.25" hidden="1" customHeight="1">
      <c r="A488" s="1636"/>
      <c r="B488" s="1481"/>
      <c r="C488" s="1481"/>
      <c r="D488" s="3622"/>
      <c r="E488" s="909"/>
      <c r="F488" s="909"/>
      <c r="G488" s="909"/>
      <c r="H488" s="909"/>
      <c r="I488" s="909"/>
      <c r="J488" s="909"/>
      <c r="K488" s="909"/>
      <c r="L488" s="909"/>
      <c r="M488" s="909"/>
      <c r="N488" s="909"/>
      <c r="O488" s="909"/>
      <c r="P488" s="909"/>
      <c r="Q488" s="910"/>
      <c r="R488" s="911"/>
      <c r="S488" s="912"/>
      <c r="T488" s="607" t="s">
        <v>877</v>
      </c>
      <c r="U488" s="3532">
        <v>1</v>
      </c>
      <c r="V488" s="3532" t="s">
        <v>840</v>
      </c>
      <c r="W488" s="1481"/>
      <c r="X488" s="1481"/>
      <c r="Y488" s="1481"/>
      <c r="Z488" s="1481"/>
      <c r="AA488" s="1481"/>
      <c r="AB488" s="1481"/>
      <c r="AC488" s="907"/>
      <c r="AD488" s="908"/>
      <c r="AE488" s="1481"/>
      <c r="AF488" s="1481"/>
      <c r="AG488" s="1481"/>
      <c r="AH488" s="1481"/>
      <c r="AI488" s="1481"/>
      <c r="AJ488" s="1481"/>
      <c r="AK488" s="1481"/>
      <c r="AL488" s="1481"/>
      <c r="AM488" s="1481"/>
      <c r="AN488" s="1481"/>
      <c r="AO488" s="1481"/>
      <c r="AP488" s="1481"/>
      <c r="AQ488" s="1481"/>
      <c r="AR488" s="1481"/>
      <c r="AS488" s="1481"/>
      <c r="AT488" s="1481"/>
      <c r="AU488" s="1481"/>
      <c r="AV488" s="1481"/>
      <c r="AW488" s="1481"/>
      <c r="AX488" s="1481"/>
      <c r="AY488" s="1481"/>
      <c r="AZ488" s="1481"/>
      <c r="BA488" s="1481"/>
      <c r="BB488" s="1481"/>
      <c r="BC488" s="1481"/>
      <c r="BD488" s="1481"/>
      <c r="BE488" s="1481"/>
      <c r="BF488" s="1481"/>
      <c r="BG488" s="1481"/>
      <c r="BH488" s="1481"/>
      <c r="BI488" s="1481"/>
      <c r="BJ488" s="1481"/>
      <c r="BK488" s="1481"/>
      <c r="BL488" s="1481"/>
      <c r="BM488" s="1481"/>
      <c r="BN488" s="1481"/>
      <c r="BO488" s="1481"/>
      <c r="BP488" s="1481"/>
      <c r="BQ488" s="1481"/>
      <c r="BR488" s="1481"/>
      <c r="BS488" s="1481"/>
      <c r="BT488" s="1481"/>
      <c r="BU488" s="1481"/>
      <c r="BV488" s="1481"/>
      <c r="BW488" s="1481"/>
      <c r="BX488" s="1481"/>
      <c r="BY488" s="1481"/>
      <c r="BZ488" s="1481"/>
      <c r="CA488" s="1481"/>
      <c r="CB488" s="1481"/>
      <c r="CC488" s="1481"/>
      <c r="CD488" s="1481"/>
      <c r="CE488" s="1481"/>
    </row>
    <row r="489" spans="1:83" ht="5.25" hidden="1" customHeight="1">
      <c r="A489" s="1636"/>
      <c r="B489" s="1481"/>
      <c r="C489" s="1481"/>
      <c r="D489" s="3622"/>
      <c r="E489" s="527"/>
      <c r="F489" s="527"/>
      <c r="G489" s="527"/>
      <c r="H489" s="527"/>
      <c r="I489" s="527"/>
      <c r="J489" s="527"/>
      <c r="K489" s="527"/>
      <c r="L489" s="527"/>
      <c r="M489" s="527"/>
      <c r="N489" s="527"/>
      <c r="O489" s="527"/>
      <c r="P489" s="527"/>
      <c r="Q489" s="527"/>
      <c r="R489" s="527"/>
      <c r="S489" s="528"/>
      <c r="T489" s="608"/>
      <c r="U489" s="3532"/>
      <c r="V489" s="3532"/>
      <c r="W489" s="1481"/>
      <c r="X489" s="1481"/>
      <c r="Y489" s="1481"/>
      <c r="Z489" s="1481"/>
      <c r="AA489" s="1481"/>
      <c r="AB489" s="1481"/>
      <c r="AC489" s="907"/>
      <c r="AD489" s="908"/>
      <c r="AE489" s="1481"/>
      <c r="AF489" s="1481"/>
      <c r="AG489" s="1481"/>
      <c r="AH489" s="1481"/>
      <c r="AI489" s="1481"/>
      <c r="AJ489" s="1481"/>
      <c r="AK489" s="1481"/>
      <c r="AL489" s="1481"/>
      <c r="AM489" s="1481"/>
      <c r="AN489" s="1481"/>
      <c r="AO489" s="1481"/>
      <c r="AP489" s="1481"/>
      <c r="AQ489" s="1481"/>
      <c r="AR489" s="1481"/>
      <c r="AS489" s="1481"/>
      <c r="AT489" s="1481"/>
      <c r="AU489" s="1481"/>
      <c r="AV489" s="1481"/>
      <c r="AW489" s="1481"/>
      <c r="AX489" s="1481"/>
      <c r="AY489" s="1481"/>
      <c r="AZ489" s="1481"/>
      <c r="BA489" s="1481"/>
      <c r="BB489" s="1481"/>
      <c r="BC489" s="1481"/>
      <c r="BD489" s="1481"/>
      <c r="BE489" s="1481"/>
      <c r="BF489" s="1481"/>
      <c r="BG489" s="1481"/>
      <c r="BH489" s="1481"/>
      <c r="BI489" s="1481"/>
      <c r="BJ489" s="1481"/>
      <c r="BK489" s="1481"/>
      <c r="BL489" s="1481"/>
      <c r="BM489" s="1481"/>
      <c r="BN489" s="1481"/>
      <c r="BO489" s="1481"/>
      <c r="BP489" s="1481"/>
      <c r="BQ489" s="1481"/>
      <c r="BR489" s="1481"/>
      <c r="BS489" s="1481"/>
      <c r="BT489" s="1481"/>
      <c r="BU489" s="1481"/>
      <c r="BV489" s="1481"/>
      <c r="BW489" s="1481"/>
      <c r="BX489" s="1481"/>
      <c r="BY489" s="1481"/>
      <c r="BZ489" s="1481"/>
      <c r="CA489" s="1481"/>
      <c r="CB489" s="1481"/>
      <c r="CC489" s="1481"/>
      <c r="CD489" s="1481"/>
      <c r="CE489" s="1481"/>
    </row>
    <row r="490" spans="1:83" ht="5.25" hidden="1" customHeight="1">
      <c r="A490" s="1636"/>
      <c r="B490" s="1481"/>
      <c r="C490" s="1481"/>
      <c r="D490" s="3623"/>
      <c r="E490" s="913"/>
      <c r="F490" s="914"/>
      <c r="G490" s="914"/>
      <c r="H490" s="915"/>
      <c r="I490" s="915"/>
      <c r="J490" s="915"/>
      <c r="K490" s="915"/>
      <c r="L490" s="915"/>
      <c r="M490" s="915"/>
      <c r="N490" s="915"/>
      <c r="O490" s="915"/>
      <c r="P490" s="915"/>
      <c r="Q490" s="915"/>
      <c r="R490" s="818"/>
      <c r="S490" s="916"/>
      <c r="T490" s="608"/>
      <c r="U490" s="3532"/>
      <c r="V490" s="3532"/>
      <c r="W490" s="1481"/>
      <c r="X490" s="1481"/>
      <c r="Y490" s="1481"/>
      <c r="Z490" s="1481"/>
      <c r="AA490" s="1481"/>
      <c r="AB490" s="1481"/>
      <c r="AC490" s="907"/>
      <c r="AD490" s="908"/>
      <c r="AE490" s="1481"/>
      <c r="AF490" s="1481"/>
      <c r="AG490" s="1481"/>
      <c r="AH490" s="1481"/>
      <c r="AI490" s="1481"/>
      <c r="AJ490" s="1481"/>
      <c r="AK490" s="1481"/>
      <c r="AL490" s="1481"/>
      <c r="AM490" s="1481"/>
      <c r="AN490" s="1481"/>
      <c r="AO490" s="1481"/>
      <c r="AP490" s="1481"/>
      <c r="AQ490" s="1481"/>
      <c r="AR490" s="1481"/>
      <c r="AS490" s="1481"/>
      <c r="AT490" s="1481"/>
      <c r="AU490" s="1481"/>
      <c r="AV490" s="1481"/>
      <c r="AW490" s="1481"/>
      <c r="AX490" s="1481"/>
      <c r="AY490" s="1481"/>
      <c r="AZ490" s="1481"/>
      <c r="BA490" s="1481"/>
      <c r="BB490" s="1481"/>
      <c r="BC490" s="1481"/>
      <c r="BD490" s="1481"/>
      <c r="BE490" s="1481"/>
      <c r="BF490" s="1481"/>
      <c r="BG490" s="1481"/>
      <c r="BH490" s="1481"/>
      <c r="BI490" s="1481"/>
      <c r="BJ490" s="1481"/>
      <c r="BK490" s="1481"/>
      <c r="BL490" s="1481"/>
      <c r="BM490" s="1481"/>
      <c r="BN490" s="1481"/>
      <c r="BO490" s="1481"/>
      <c r="BP490" s="1481"/>
      <c r="BQ490" s="1481"/>
      <c r="BR490" s="1481"/>
      <c r="BS490" s="1481"/>
      <c r="BT490" s="1481"/>
      <c r="BU490" s="1481"/>
      <c r="BV490" s="1481"/>
      <c r="BW490" s="1481"/>
      <c r="BX490" s="1481"/>
      <c r="BY490" s="1481"/>
      <c r="BZ490" s="1481"/>
      <c r="CA490" s="1481"/>
      <c r="CB490" s="1481"/>
      <c r="CC490" s="1481"/>
      <c r="CD490" s="1481"/>
      <c r="CE490" s="1481"/>
    </row>
    <row r="491" spans="1:83" ht="15" hidden="1" customHeight="1">
      <c r="A491" s="516" t="s">
        <v>269</v>
      </c>
      <c r="B491"/>
      <c r="C491" t="s">
        <v>18</v>
      </c>
      <c r="D491" s="3621" t="s">
        <v>932</v>
      </c>
      <c r="E491" s="3618" t="s">
        <v>102</v>
      </c>
      <c r="F491" s="3619"/>
      <c r="G491" s="3620"/>
      <c r="H491" s="3614" t="str">
        <f>IF(A491="","",INDEX(DIFFERENTIATION_UNMERGE_VD,MATCH(A491,DIFFERENTIATION_ID_DIFF,0)))</f>
        <v>Производство тепловой энергии. Некомбинированная выработка</v>
      </c>
      <c r="I491" s="3614"/>
      <c r="J491" s="3614"/>
      <c r="K491" s="3614"/>
      <c r="L491" s="3614"/>
      <c r="M491" s="3614"/>
      <c r="N491" s="3614"/>
      <c r="O491" s="3614"/>
      <c r="P491" s="3614"/>
      <c r="Q491" s="3614"/>
      <c r="R491" s="3614"/>
      <c r="S491" s="609"/>
      <c r="T491" s="606"/>
      <c r="U491" s="517"/>
      <c r="V491" s="517"/>
      <c r="W491" s="518"/>
      <c r="X491" s="518"/>
      <c r="Y491" s="518"/>
      <c r="Z491" s="518"/>
      <c r="AA491" s="519"/>
      <c r="AB491" s="520"/>
      <c r="AC491" s="3617"/>
      <c r="AD491" s="521"/>
      <c r="AE491" s="522" t="s">
        <v>18</v>
      </c>
      <c r="AF491" s="522"/>
      <c r="AG491" s="523" t="s">
        <v>874</v>
      </c>
      <c r="AH491" s="524">
        <v>3</v>
      </c>
      <c r="AI491" s="517"/>
      <c r="AJ491" s="517"/>
      <c r="AK491" s="517"/>
      <c r="AL491" s="517"/>
      <c r="AM491" s="517"/>
      <c r="AN491" s="517"/>
      <c r="AO491" s="517"/>
      <c r="AP491" s="517"/>
      <c r="AQ491" s="517"/>
      <c r="AR491" s="517"/>
      <c r="AS491" s="517"/>
      <c r="AT491" s="517"/>
      <c r="AU491" s="517"/>
      <c r="AV491" s="517"/>
      <c r="AW491" s="517"/>
      <c r="AX491" s="517"/>
      <c r="AY491" s="517"/>
      <c r="AZ491" s="517"/>
      <c r="BA491" s="517"/>
      <c r="BB491" s="517"/>
      <c r="BC491" s="517"/>
      <c r="BD491" s="517"/>
      <c r="BE491" s="517"/>
      <c r="BF491" s="517"/>
      <c r="BG491" s="517"/>
      <c r="BH491" s="517"/>
      <c r="BI491" s="517"/>
      <c r="BJ491" s="517"/>
      <c r="BK491" s="517"/>
      <c r="BL491" s="517"/>
      <c r="BM491" s="517"/>
      <c r="BN491" s="517"/>
      <c r="BO491" s="517"/>
      <c r="BP491" s="517"/>
      <c r="BQ491" s="517"/>
      <c r="BR491" s="517"/>
      <c r="BS491" s="517"/>
      <c r="BT491" s="517"/>
      <c r="BU491" s="517"/>
      <c r="BV491" s="518"/>
      <c r="BW491" s="518"/>
      <c r="BX491" s="518"/>
      <c r="BY491" s="518"/>
      <c r="BZ491" s="518"/>
      <c r="CA491" s="518"/>
      <c r="CB491" s="518"/>
      <c r="CC491" s="518"/>
      <c r="CD491" s="518"/>
      <c r="CE491" s="518"/>
    </row>
    <row r="492" spans="1:83" ht="15" hidden="1" customHeight="1">
      <c r="A492" s="516"/>
      <c r="B492"/>
      <c r="C492"/>
      <c r="D492" s="3622"/>
      <c r="E492" s="3618" t="s">
        <v>829</v>
      </c>
      <c r="F492" s="3619"/>
      <c r="G492" s="3620"/>
      <c r="H492" s="3614" t="str">
        <f>IF(A491="","",INDEX(DIFFERENTIATION_UNMERGE_AREA,MATCH(A491,DIFFERENTIATION_ID_DIFF,0)))</f>
        <v>Территория 1</v>
      </c>
      <c r="I492" s="3614"/>
      <c r="J492" s="3614"/>
      <c r="K492" s="3614"/>
      <c r="L492" s="3614"/>
      <c r="M492" s="3614"/>
      <c r="N492" s="3614"/>
      <c r="O492" s="3614"/>
      <c r="P492" s="3614"/>
      <c r="Q492" s="3614"/>
      <c r="R492" s="3614"/>
      <c r="S492" s="609"/>
      <c r="T492" s="606"/>
      <c r="U492" s="517"/>
      <c r="V492" s="517"/>
      <c r="W492" s="518"/>
      <c r="X492" s="518"/>
      <c r="Y492" s="518"/>
      <c r="Z492" s="518"/>
      <c r="AA492" s="519"/>
      <c r="AB492" s="520"/>
      <c r="AC492" s="3617"/>
      <c r="AD492" s="521"/>
      <c r="AE492" s="522"/>
      <c r="AF492" s="522"/>
      <c r="AG492" s="523"/>
      <c r="AH492" s="524"/>
      <c r="AI492" s="517"/>
      <c r="AJ492" s="517"/>
      <c r="AK492" s="517"/>
      <c r="AL492" s="517"/>
      <c r="AM492" s="517"/>
      <c r="AN492" s="517"/>
      <c r="AO492" s="517"/>
      <c r="AP492" s="517"/>
      <c r="AQ492" s="517"/>
      <c r="AR492" s="517"/>
      <c r="AS492" s="517"/>
      <c r="AT492" s="517"/>
      <c r="AU492" s="517"/>
      <c r="AV492" s="517"/>
      <c r="AW492" s="517"/>
      <c r="AX492" s="517"/>
      <c r="AY492" s="517"/>
      <c r="AZ492" s="517"/>
      <c r="BA492" s="517"/>
      <c r="BB492" s="517"/>
      <c r="BC492" s="517"/>
      <c r="BD492" s="517"/>
      <c r="BE492" s="517"/>
      <c r="BF492" s="517"/>
      <c r="BG492" s="517"/>
      <c r="BH492" s="517"/>
      <c r="BI492" s="517"/>
      <c r="BJ492" s="517"/>
      <c r="BK492" s="517"/>
      <c r="BL492" s="517"/>
      <c r="BM492" s="517"/>
      <c r="BN492" s="517"/>
      <c r="BO492" s="517"/>
      <c r="BP492" s="517"/>
      <c r="BQ492" s="517"/>
      <c r="BR492" s="517"/>
      <c r="BS492" s="517"/>
      <c r="BT492" s="517"/>
      <c r="BU492" s="517"/>
      <c r="BV492" s="518"/>
      <c r="BW492" s="518"/>
      <c r="BX492" s="518"/>
      <c r="BY492" s="518"/>
      <c r="BZ492" s="518"/>
      <c r="CA492" s="518"/>
      <c r="CB492" s="518"/>
      <c r="CC492" s="518"/>
      <c r="CD492" s="518"/>
      <c r="CE492" s="518"/>
    </row>
    <row r="493" spans="1:83" ht="15" hidden="1" customHeight="1">
      <c r="A493" s="516"/>
      <c r="B493"/>
      <c r="C493"/>
      <c r="D493" s="3622"/>
      <c r="E493" s="3618" t="s">
        <v>830</v>
      </c>
      <c r="F493" s="3619"/>
      <c r="G493" s="3620"/>
      <c r="H493" s="3614" t="str">
        <f>IF(A491="","",INDEX(DIFFERENTIATION_UNMERGE_SYSTEM,MATCH(A491,DIFFERENTIATION_ID_DIFF,0)))</f>
        <v>Яблочная, 59а</v>
      </c>
      <c r="I493" s="3614"/>
      <c r="J493" s="3614"/>
      <c r="K493" s="3614"/>
      <c r="L493" s="3614"/>
      <c r="M493" s="3614"/>
      <c r="N493" s="3614"/>
      <c r="O493" s="3614"/>
      <c r="P493" s="3614"/>
      <c r="Q493" s="3614"/>
      <c r="R493" s="3614"/>
      <c r="S493" s="609"/>
      <c r="T493" s="606"/>
      <c r="U493" s="517"/>
      <c r="V493" s="517"/>
      <c r="W493" s="518"/>
      <c r="X493" s="518"/>
      <c r="Y493" s="518"/>
      <c r="Z493" s="518"/>
      <c r="AA493" s="519"/>
      <c r="AB493" s="520"/>
      <c r="AC493" s="3617"/>
      <c r="AD493" s="521"/>
      <c r="AE493" s="522"/>
      <c r="AF493" s="522"/>
      <c r="AG493" s="523"/>
      <c r="AH493" s="524"/>
      <c r="AI493" s="517"/>
      <c r="AJ493" s="517"/>
      <c r="AK493" s="517"/>
      <c r="AL493" s="517"/>
      <c r="AM493" s="517"/>
      <c r="AN493" s="517"/>
      <c r="AO493" s="517"/>
      <c r="AP493" s="517"/>
      <c r="AQ493" s="517"/>
      <c r="AR493" s="517"/>
      <c r="AS493" s="517"/>
      <c r="AT493" s="517"/>
      <c r="AU493" s="517"/>
      <c r="AV493" s="517"/>
      <c r="AW493" s="517"/>
      <c r="AX493" s="517"/>
      <c r="AY493" s="517"/>
      <c r="AZ493" s="517"/>
      <c r="BA493" s="517"/>
      <c r="BB493" s="517"/>
      <c r="BC493" s="517"/>
      <c r="BD493" s="517"/>
      <c r="BE493" s="517"/>
      <c r="BF493" s="517"/>
      <c r="BG493" s="517"/>
      <c r="BH493" s="517"/>
      <c r="BI493" s="517"/>
      <c r="BJ493" s="517"/>
      <c r="BK493" s="517"/>
      <c r="BL493" s="517"/>
      <c r="BM493" s="517"/>
      <c r="BN493" s="517"/>
      <c r="BO493" s="517"/>
      <c r="BP493" s="517"/>
      <c r="BQ493" s="517"/>
      <c r="BR493" s="517"/>
      <c r="BS493" s="517"/>
      <c r="BT493" s="517"/>
      <c r="BU493" s="517"/>
      <c r="BV493" s="518"/>
      <c r="BW493" s="518"/>
      <c r="BX493" s="518"/>
      <c r="BY493" s="518"/>
      <c r="BZ493" s="518"/>
      <c r="CA493" s="518"/>
      <c r="CB493" s="518"/>
      <c r="CC493" s="518"/>
      <c r="CD493" s="518"/>
      <c r="CE493" s="518"/>
    </row>
    <row r="494" spans="1:83" ht="24.75" hidden="1" customHeight="1">
      <c r="A494" s="1649"/>
      <c r="B494" s="1023"/>
      <c r="C494" s="319"/>
      <c r="D494" s="3622"/>
      <c r="E494" s="3616" t="s">
        <v>875</v>
      </c>
      <c r="F494" s="3616"/>
      <c r="G494" s="3616"/>
      <c r="H494" s="3616"/>
      <c r="I494" s="3616"/>
      <c r="J494" s="3616"/>
      <c r="K494" s="3616"/>
      <c r="L494" s="3616"/>
      <c r="M494" s="3616"/>
      <c r="N494" s="3616"/>
      <c r="O494" s="3616"/>
      <c r="P494" s="3616"/>
      <c r="Q494" s="455">
        <f>SUMIF(T495:T496,"i",Q495:Q496)</f>
        <v>0</v>
      </c>
      <c r="R494" s="887"/>
      <c r="S494" s="1641" t="s">
        <v>876</v>
      </c>
      <c r="T494" s="607" t="s">
        <v>877</v>
      </c>
      <c r="U494" s="3532">
        <v>1</v>
      </c>
      <c r="V494" s="3532" t="s">
        <v>840</v>
      </c>
      <c r="W494" s="1023"/>
      <c r="X494" s="1023"/>
      <c r="Y494" s="1023"/>
      <c r="Z494" s="1023"/>
      <c r="AA494" s="1481"/>
      <c r="AB494" s="1023"/>
      <c r="AC494" s="3617"/>
      <c r="AD494" s="521"/>
      <c r="AE494" s="1023"/>
      <c r="AF494" s="1023"/>
      <c r="AG494" s="1481"/>
      <c r="AH494" s="1481"/>
      <c r="AI494" s="1481"/>
      <c r="AJ494" s="1481"/>
      <c r="AK494" s="1481"/>
      <c r="AL494" s="1481"/>
      <c r="AM494" s="1481"/>
      <c r="AN494" s="1481"/>
      <c r="AO494" s="1481"/>
      <c r="AP494" s="1481"/>
      <c r="AQ494" s="1481"/>
      <c r="AR494" s="1481"/>
      <c r="AS494" s="1481"/>
      <c r="AT494" s="1481"/>
      <c r="AU494" s="1481"/>
      <c r="AV494" s="1481"/>
      <c r="AW494" s="1481"/>
      <c r="AX494" s="1481"/>
      <c r="AY494" s="1481"/>
      <c r="AZ494" s="1481"/>
      <c r="BA494" s="1481"/>
      <c r="BB494" s="1481"/>
      <c r="BC494" s="1481"/>
      <c r="BD494" s="1481"/>
      <c r="BE494" s="1481"/>
      <c r="BF494" s="1481"/>
      <c r="BG494" s="1481"/>
      <c r="BH494" s="1481"/>
      <c r="BI494" s="1481"/>
      <c r="BJ494" s="1481"/>
      <c r="BK494" s="1481"/>
      <c r="BL494" s="1481"/>
      <c r="BM494" s="1481"/>
      <c r="BN494" s="1481"/>
      <c r="BO494" s="1481"/>
      <c r="BP494" s="1481"/>
      <c r="BQ494" s="1481"/>
      <c r="BR494" s="1481"/>
      <c r="BS494" s="1481"/>
      <c r="BT494" s="1481"/>
      <c r="BU494" s="1481"/>
      <c r="BV494" s="1023"/>
      <c r="BW494" s="1023"/>
      <c r="BX494" s="1023"/>
      <c r="BY494" s="1023"/>
      <c r="BZ494" s="1023"/>
      <c r="CA494" s="1023"/>
      <c r="CB494" s="1023"/>
      <c r="CC494" s="1023"/>
      <c r="CD494" s="1023"/>
      <c r="CE494" s="1023"/>
    </row>
    <row r="495" spans="1:83" ht="11.25" hidden="1" customHeight="1">
      <c r="A495" s="1636"/>
      <c r="B495" s="1481"/>
      <c r="C495" s="1481"/>
      <c r="D495" s="3622"/>
      <c r="E495" s="527"/>
      <c r="F495" s="527">
        <v>0</v>
      </c>
      <c r="G495" s="527"/>
      <c r="H495" s="527"/>
      <c r="I495" s="527"/>
      <c r="J495" s="527"/>
      <c r="K495" s="527"/>
      <c r="L495" s="527"/>
      <c r="M495" s="527"/>
      <c r="N495" s="527"/>
      <c r="O495" s="527"/>
      <c r="P495" s="527"/>
      <c r="Q495" s="527"/>
      <c r="R495" s="527"/>
      <c r="S495" s="528"/>
      <c r="T495" s="608"/>
      <c r="U495" s="3532"/>
      <c r="V495" s="3532"/>
      <c r="W495" s="1481"/>
      <c r="X495" s="1481"/>
      <c r="Y495" s="1481"/>
      <c r="Z495" s="1481"/>
      <c r="AA495" s="1481"/>
      <c r="AB495" s="1023"/>
      <c r="AC495" s="3617"/>
      <c r="AD495" s="521"/>
      <c r="AE495" s="1023"/>
      <c r="AF495" s="1023"/>
      <c r="AG495" s="1481"/>
      <c r="AH495" s="1481"/>
      <c r="AI495" s="1481"/>
      <c r="AJ495" s="1481"/>
      <c r="AK495" s="1481"/>
      <c r="AL495" s="1481"/>
      <c r="AM495" s="1481"/>
      <c r="AN495" s="1481"/>
      <c r="AO495" s="1481"/>
      <c r="AP495" s="1481"/>
      <c r="AQ495" s="1481"/>
      <c r="AR495" s="1481"/>
      <c r="AS495" s="1481"/>
      <c r="AT495" s="1481"/>
      <c r="AU495" s="1481"/>
      <c r="AV495" s="1481"/>
      <c r="AW495" s="1481"/>
      <c r="AX495" s="1481"/>
      <c r="AY495" s="1481"/>
      <c r="AZ495" s="1481"/>
      <c r="BA495" s="1481"/>
      <c r="BB495" s="1481"/>
      <c r="BC495" s="1481"/>
      <c r="BD495" s="1481"/>
      <c r="BE495" s="1481"/>
      <c r="BF495" s="1481"/>
      <c r="BG495" s="1481"/>
      <c r="BH495" s="1481"/>
      <c r="BI495" s="1481"/>
      <c r="BJ495" s="1481"/>
      <c r="BK495" s="1481"/>
      <c r="BL495" s="1481"/>
      <c r="BM495" s="1481"/>
      <c r="BN495" s="1481"/>
      <c r="BO495" s="1481"/>
      <c r="BP495" s="1481"/>
      <c r="BQ495" s="1481"/>
      <c r="BR495" s="1481"/>
      <c r="BS495" s="1481"/>
      <c r="BT495" s="1481"/>
      <c r="BU495" s="1481"/>
      <c r="BV495" s="1481"/>
      <c r="BW495" s="1481"/>
      <c r="BX495" s="1481"/>
      <c r="BY495" s="1481"/>
      <c r="BZ495" s="1481"/>
      <c r="CA495" s="1481"/>
      <c r="CB495" s="1481"/>
      <c r="CC495" s="1481"/>
      <c r="CD495" s="1481"/>
      <c r="CE495" s="1481"/>
    </row>
    <row r="496" spans="1:83" ht="11.25" hidden="1" customHeight="1">
      <c r="A496" s="1649"/>
      <c r="B496" s="1023"/>
      <c r="C496" s="319"/>
      <c r="D496" s="3622"/>
      <c r="E496" s="541" t="s">
        <v>18</v>
      </c>
      <c r="F496" s="1031" t="s">
        <v>18</v>
      </c>
      <c r="G496" s="1031" t="s">
        <v>880</v>
      </c>
      <c r="H496" s="543" t="s">
        <v>18</v>
      </c>
      <c r="I496" s="543"/>
      <c r="J496" s="543"/>
      <c r="K496" s="543"/>
      <c r="L496" s="543"/>
      <c r="M496" s="543"/>
      <c r="N496" s="543"/>
      <c r="O496" s="543"/>
      <c r="P496" s="543"/>
      <c r="Q496" s="543"/>
      <c r="R496" s="544"/>
      <c r="S496" s="545"/>
      <c r="T496" s="608"/>
      <c r="U496" s="3532"/>
      <c r="V496" s="3532"/>
      <c r="W496" s="1023"/>
      <c r="X496" s="1023"/>
      <c r="Y496" s="1023"/>
      <c r="Z496" s="1023"/>
      <c r="AA496" s="1481"/>
      <c r="AB496" s="1023"/>
      <c r="AC496" s="3617"/>
      <c r="AD496" s="521"/>
      <c r="AE496" s="1023"/>
      <c r="AF496" s="1023"/>
      <c r="AG496" s="1481"/>
      <c r="AH496" s="1481"/>
      <c r="AI496" s="1481"/>
      <c r="AJ496" s="1481"/>
      <c r="AK496" s="1481"/>
      <c r="AL496" s="1481"/>
      <c r="AM496" s="1481"/>
      <c r="AN496" s="1481"/>
      <c r="AO496" s="1481"/>
      <c r="AP496" s="1481"/>
      <c r="AQ496" s="1481"/>
      <c r="AR496" s="1481"/>
      <c r="AS496" s="1481"/>
      <c r="AT496" s="1481"/>
      <c r="AU496" s="1481"/>
      <c r="AV496" s="1481"/>
      <c r="AW496" s="1481"/>
      <c r="AX496" s="1481"/>
      <c r="AY496" s="1481"/>
      <c r="AZ496" s="1481"/>
      <c r="BA496" s="1481"/>
      <c r="BB496" s="1481"/>
      <c r="BC496" s="1481"/>
      <c r="BD496" s="1481"/>
      <c r="BE496" s="1481"/>
      <c r="BF496" s="1481"/>
      <c r="BG496" s="1481"/>
      <c r="BH496" s="1481"/>
      <c r="BI496" s="1481"/>
      <c r="BJ496" s="1481"/>
      <c r="BK496" s="1481"/>
      <c r="BL496" s="1481"/>
      <c r="BM496" s="1481"/>
      <c r="BN496" s="1481"/>
      <c r="BO496" s="1481"/>
      <c r="BP496" s="1481"/>
      <c r="BQ496" s="1481"/>
      <c r="BR496" s="1481"/>
      <c r="BS496" s="1481"/>
      <c r="BT496" s="1481"/>
      <c r="BU496" s="1481"/>
      <c r="BV496" s="1023"/>
      <c r="BW496" s="1023"/>
      <c r="BX496" s="1023"/>
      <c r="BY496" s="1023"/>
      <c r="BZ496" s="1023"/>
      <c r="CA496" s="1023"/>
      <c r="CB496" s="1023"/>
      <c r="CC496" s="1023"/>
      <c r="CD496" s="1023"/>
      <c r="CE496" s="1023"/>
    </row>
    <row r="497" spans="1:83" ht="5.25" hidden="1" customHeight="1">
      <c r="A497" s="1636"/>
      <c r="B497" s="1481"/>
      <c r="C497" s="1481"/>
      <c r="D497" s="3622"/>
      <c r="E497" s="909"/>
      <c r="F497" s="909"/>
      <c r="G497" s="909"/>
      <c r="H497" s="909"/>
      <c r="I497" s="909"/>
      <c r="J497" s="909"/>
      <c r="K497" s="909"/>
      <c r="L497" s="909"/>
      <c r="M497" s="909"/>
      <c r="N497" s="909"/>
      <c r="O497" s="909"/>
      <c r="P497" s="909"/>
      <c r="Q497" s="910"/>
      <c r="R497" s="911"/>
      <c r="S497" s="912"/>
      <c r="T497" s="607" t="s">
        <v>877</v>
      </c>
      <c r="U497" s="3532">
        <v>1</v>
      </c>
      <c r="V497" s="3532" t="s">
        <v>840</v>
      </c>
      <c r="W497" s="1481"/>
      <c r="X497" s="1481"/>
      <c r="Y497" s="1481"/>
      <c r="Z497" s="1481"/>
      <c r="AA497" s="1481"/>
      <c r="AB497" s="1481"/>
      <c r="AC497" s="907"/>
      <c r="AD497" s="908"/>
      <c r="AE497" s="1481"/>
      <c r="AF497" s="1481"/>
      <c r="AG497" s="1481"/>
      <c r="AH497" s="1481"/>
      <c r="AI497" s="1481"/>
      <c r="AJ497" s="1481"/>
      <c r="AK497" s="1481"/>
      <c r="AL497" s="1481"/>
      <c r="AM497" s="1481"/>
      <c r="AN497" s="1481"/>
      <c r="AO497" s="1481"/>
      <c r="AP497" s="1481"/>
      <c r="AQ497" s="1481"/>
      <c r="AR497" s="1481"/>
      <c r="AS497" s="1481"/>
      <c r="AT497" s="1481"/>
      <c r="AU497" s="1481"/>
      <c r="AV497" s="1481"/>
      <c r="AW497" s="1481"/>
      <c r="AX497" s="1481"/>
      <c r="AY497" s="1481"/>
      <c r="AZ497" s="1481"/>
      <c r="BA497" s="1481"/>
      <c r="BB497" s="1481"/>
      <c r="BC497" s="1481"/>
      <c r="BD497" s="1481"/>
      <c r="BE497" s="1481"/>
      <c r="BF497" s="1481"/>
      <c r="BG497" s="1481"/>
      <c r="BH497" s="1481"/>
      <c r="BI497" s="1481"/>
      <c r="BJ497" s="1481"/>
      <c r="BK497" s="1481"/>
      <c r="BL497" s="1481"/>
      <c r="BM497" s="1481"/>
      <c r="BN497" s="1481"/>
      <c r="BO497" s="1481"/>
      <c r="BP497" s="1481"/>
      <c r="BQ497" s="1481"/>
      <c r="BR497" s="1481"/>
      <c r="BS497" s="1481"/>
      <c r="BT497" s="1481"/>
      <c r="BU497" s="1481"/>
      <c r="BV497" s="1481"/>
      <c r="BW497" s="1481"/>
      <c r="BX497" s="1481"/>
      <c r="BY497" s="1481"/>
      <c r="BZ497" s="1481"/>
      <c r="CA497" s="1481"/>
      <c r="CB497" s="1481"/>
      <c r="CC497" s="1481"/>
      <c r="CD497" s="1481"/>
      <c r="CE497" s="1481"/>
    </row>
    <row r="498" spans="1:83" ht="5.25" hidden="1" customHeight="1">
      <c r="A498" s="1636"/>
      <c r="B498" s="1481"/>
      <c r="C498" s="1481"/>
      <c r="D498" s="3622"/>
      <c r="E498" s="527"/>
      <c r="F498" s="527"/>
      <c r="G498" s="527"/>
      <c r="H498" s="527"/>
      <c r="I498" s="527"/>
      <c r="J498" s="527"/>
      <c r="K498" s="527"/>
      <c r="L498" s="527"/>
      <c r="M498" s="527"/>
      <c r="N498" s="527"/>
      <c r="O498" s="527"/>
      <c r="P498" s="527"/>
      <c r="Q498" s="527"/>
      <c r="R498" s="527"/>
      <c r="S498" s="528"/>
      <c r="T498" s="608"/>
      <c r="U498" s="3532"/>
      <c r="V498" s="3532"/>
      <c r="W498" s="1481"/>
      <c r="X498" s="1481"/>
      <c r="Y498" s="1481"/>
      <c r="Z498" s="1481"/>
      <c r="AA498" s="1481"/>
      <c r="AB498" s="1481"/>
      <c r="AC498" s="907"/>
      <c r="AD498" s="908"/>
      <c r="AE498" s="1481"/>
      <c r="AF498" s="1481"/>
      <c r="AG498" s="1481"/>
      <c r="AH498" s="1481"/>
      <c r="AI498" s="1481"/>
      <c r="AJ498" s="1481"/>
      <c r="AK498" s="1481"/>
      <c r="AL498" s="1481"/>
      <c r="AM498" s="1481"/>
      <c r="AN498" s="1481"/>
      <c r="AO498" s="1481"/>
      <c r="AP498" s="1481"/>
      <c r="AQ498" s="1481"/>
      <c r="AR498" s="1481"/>
      <c r="AS498" s="1481"/>
      <c r="AT498" s="1481"/>
      <c r="AU498" s="1481"/>
      <c r="AV498" s="1481"/>
      <c r="AW498" s="1481"/>
      <c r="AX498" s="1481"/>
      <c r="AY498" s="1481"/>
      <c r="AZ498" s="1481"/>
      <c r="BA498" s="1481"/>
      <c r="BB498" s="1481"/>
      <c r="BC498" s="1481"/>
      <c r="BD498" s="1481"/>
      <c r="BE498" s="1481"/>
      <c r="BF498" s="1481"/>
      <c r="BG498" s="1481"/>
      <c r="BH498" s="1481"/>
      <c r="BI498" s="1481"/>
      <c r="BJ498" s="1481"/>
      <c r="BK498" s="1481"/>
      <c r="BL498" s="1481"/>
      <c r="BM498" s="1481"/>
      <c r="BN498" s="1481"/>
      <c r="BO498" s="1481"/>
      <c r="BP498" s="1481"/>
      <c r="BQ498" s="1481"/>
      <c r="BR498" s="1481"/>
      <c r="BS498" s="1481"/>
      <c r="BT498" s="1481"/>
      <c r="BU498" s="1481"/>
      <c r="BV498" s="1481"/>
      <c r="BW498" s="1481"/>
      <c r="BX498" s="1481"/>
      <c r="BY498" s="1481"/>
      <c r="BZ498" s="1481"/>
      <c r="CA498" s="1481"/>
      <c r="CB498" s="1481"/>
      <c r="CC498" s="1481"/>
      <c r="CD498" s="1481"/>
      <c r="CE498" s="1481"/>
    </row>
    <row r="499" spans="1:83" ht="5.25" hidden="1" customHeight="1">
      <c r="A499" s="1636"/>
      <c r="B499" s="1481"/>
      <c r="C499" s="1481"/>
      <c r="D499" s="3623"/>
      <c r="E499" s="913"/>
      <c r="F499" s="914"/>
      <c r="G499" s="914"/>
      <c r="H499" s="915"/>
      <c r="I499" s="915"/>
      <c r="J499" s="915"/>
      <c r="K499" s="915"/>
      <c r="L499" s="915"/>
      <c r="M499" s="915"/>
      <c r="N499" s="915"/>
      <c r="O499" s="915"/>
      <c r="P499" s="915"/>
      <c r="Q499" s="915"/>
      <c r="R499" s="818"/>
      <c r="S499" s="916"/>
      <c r="T499" s="608"/>
      <c r="U499" s="3532"/>
      <c r="V499" s="3532"/>
      <c r="W499" s="1481"/>
      <c r="X499" s="1481"/>
      <c r="Y499" s="1481"/>
      <c r="Z499" s="1481"/>
      <c r="AA499" s="1481"/>
      <c r="AB499" s="1481"/>
      <c r="AC499" s="907"/>
      <c r="AD499" s="908"/>
      <c r="AE499" s="1481"/>
      <c r="AF499" s="1481"/>
      <c r="AG499" s="1481"/>
      <c r="AH499" s="1481"/>
      <c r="AI499" s="1481"/>
      <c r="AJ499" s="1481"/>
      <c r="AK499" s="1481"/>
      <c r="AL499" s="1481"/>
      <c r="AM499" s="1481"/>
      <c r="AN499" s="1481"/>
      <c r="AO499" s="1481"/>
      <c r="AP499" s="1481"/>
      <c r="AQ499" s="1481"/>
      <c r="AR499" s="1481"/>
      <c r="AS499" s="1481"/>
      <c r="AT499" s="1481"/>
      <c r="AU499" s="1481"/>
      <c r="AV499" s="1481"/>
      <c r="AW499" s="1481"/>
      <c r="AX499" s="1481"/>
      <c r="AY499" s="1481"/>
      <c r="AZ499" s="1481"/>
      <c r="BA499" s="1481"/>
      <c r="BB499" s="1481"/>
      <c r="BC499" s="1481"/>
      <c r="BD499" s="1481"/>
      <c r="BE499" s="1481"/>
      <c r="BF499" s="1481"/>
      <c r="BG499" s="1481"/>
      <c r="BH499" s="1481"/>
      <c r="BI499" s="1481"/>
      <c r="BJ499" s="1481"/>
      <c r="BK499" s="1481"/>
      <c r="BL499" s="1481"/>
      <c r="BM499" s="1481"/>
      <c r="BN499" s="1481"/>
      <c r="BO499" s="1481"/>
      <c r="BP499" s="1481"/>
      <c r="BQ499" s="1481"/>
      <c r="BR499" s="1481"/>
      <c r="BS499" s="1481"/>
      <c r="BT499" s="1481"/>
      <c r="BU499" s="1481"/>
      <c r="BV499" s="1481"/>
      <c r="BW499" s="1481"/>
      <c r="BX499" s="1481"/>
      <c r="BY499" s="1481"/>
      <c r="BZ499" s="1481"/>
      <c r="CA499" s="1481"/>
      <c r="CB499" s="1481"/>
      <c r="CC499" s="1481"/>
      <c r="CD499" s="1481"/>
      <c r="CE499" s="1481"/>
    </row>
    <row r="500" spans="1:83" ht="15" hidden="1" customHeight="1">
      <c r="A500" s="516" t="s">
        <v>272</v>
      </c>
      <c r="B500"/>
      <c r="C500" t="s">
        <v>18</v>
      </c>
      <c r="D500" s="3621" t="s">
        <v>933</v>
      </c>
      <c r="E500" s="3618" t="s">
        <v>102</v>
      </c>
      <c r="F500" s="3619"/>
      <c r="G500" s="3620"/>
      <c r="H500" s="3614" t="str">
        <f>IF(A500="","",INDEX(DIFFERENTIATION_UNMERGE_VD,MATCH(A500,DIFFERENTIATION_ID_DIFF,0)))</f>
        <v>Производство тепловой энергии. Некомбинированная выработка</v>
      </c>
      <c r="I500" s="3614"/>
      <c r="J500" s="3614"/>
      <c r="K500" s="3614"/>
      <c r="L500" s="3614"/>
      <c r="M500" s="3614"/>
      <c r="N500" s="3614"/>
      <c r="O500" s="3614"/>
      <c r="P500" s="3614"/>
      <c r="Q500" s="3614"/>
      <c r="R500" s="3614"/>
      <c r="S500" s="609"/>
      <c r="T500" s="606"/>
      <c r="U500" s="517"/>
      <c r="V500" s="517"/>
      <c r="W500" s="518"/>
      <c r="X500" s="518"/>
      <c r="Y500" s="518"/>
      <c r="Z500" s="518"/>
      <c r="AA500" s="519"/>
      <c r="AB500" s="520"/>
      <c r="AC500" s="3617"/>
      <c r="AD500" s="521"/>
      <c r="AE500" s="522" t="s">
        <v>18</v>
      </c>
      <c r="AF500" s="522"/>
      <c r="AG500" s="523" t="s">
        <v>874</v>
      </c>
      <c r="AH500" s="524">
        <v>3</v>
      </c>
      <c r="AI500" s="517"/>
      <c r="AJ500" s="517"/>
      <c r="AK500" s="517"/>
      <c r="AL500" s="517"/>
      <c r="AM500" s="517"/>
      <c r="AN500" s="517"/>
      <c r="AO500" s="517"/>
      <c r="AP500" s="517"/>
      <c r="AQ500" s="517"/>
      <c r="AR500" s="517"/>
      <c r="AS500" s="517"/>
      <c r="AT500" s="517"/>
      <c r="AU500" s="517"/>
      <c r="AV500" s="517"/>
      <c r="AW500" s="517"/>
      <c r="AX500" s="517"/>
      <c r="AY500" s="517"/>
      <c r="AZ500" s="517"/>
      <c r="BA500" s="517"/>
      <c r="BB500" s="517"/>
      <c r="BC500" s="517"/>
      <c r="BD500" s="517"/>
      <c r="BE500" s="517"/>
      <c r="BF500" s="517"/>
      <c r="BG500" s="517"/>
      <c r="BH500" s="517"/>
      <c r="BI500" s="517"/>
      <c r="BJ500" s="517"/>
      <c r="BK500" s="517"/>
      <c r="BL500" s="517"/>
      <c r="BM500" s="517"/>
      <c r="BN500" s="517"/>
      <c r="BO500" s="517"/>
      <c r="BP500" s="517"/>
      <c r="BQ500" s="517"/>
      <c r="BR500" s="517"/>
      <c r="BS500" s="517"/>
      <c r="BT500" s="517"/>
      <c r="BU500" s="517"/>
      <c r="BV500" s="518"/>
      <c r="BW500" s="518"/>
      <c r="BX500" s="518"/>
      <c r="BY500" s="518"/>
      <c r="BZ500" s="518"/>
      <c r="CA500" s="518"/>
      <c r="CB500" s="518"/>
      <c r="CC500" s="518"/>
      <c r="CD500" s="518"/>
      <c r="CE500" s="518"/>
    </row>
    <row r="501" spans="1:83" ht="15" hidden="1" customHeight="1">
      <c r="A501" s="516"/>
      <c r="B501"/>
      <c r="C501"/>
      <c r="D501" s="3622"/>
      <c r="E501" s="3618" t="s">
        <v>829</v>
      </c>
      <c r="F501" s="3619"/>
      <c r="G501" s="3620"/>
      <c r="H501" s="3614" t="str">
        <f>IF(A500="","",INDEX(DIFFERENTIATION_UNMERGE_AREA,MATCH(A500,DIFFERENTIATION_ID_DIFF,0)))</f>
        <v>Территория 1</v>
      </c>
      <c r="I501" s="3614"/>
      <c r="J501" s="3614"/>
      <c r="K501" s="3614"/>
      <c r="L501" s="3614"/>
      <c r="M501" s="3614"/>
      <c r="N501" s="3614"/>
      <c r="O501" s="3614"/>
      <c r="P501" s="3614"/>
      <c r="Q501" s="3614"/>
      <c r="R501" s="3614"/>
      <c r="S501" s="609"/>
      <c r="T501" s="606"/>
      <c r="U501" s="517"/>
      <c r="V501" s="517"/>
      <c r="W501" s="518"/>
      <c r="X501" s="518"/>
      <c r="Y501" s="518"/>
      <c r="Z501" s="518"/>
      <c r="AA501" s="519"/>
      <c r="AB501" s="520"/>
      <c r="AC501" s="3617"/>
      <c r="AD501" s="521"/>
      <c r="AE501" s="522"/>
      <c r="AF501" s="522"/>
      <c r="AG501" s="523"/>
      <c r="AH501" s="524"/>
      <c r="AI501" s="517"/>
      <c r="AJ501" s="517"/>
      <c r="AK501" s="517"/>
      <c r="AL501" s="517"/>
      <c r="AM501" s="517"/>
      <c r="AN501" s="517"/>
      <c r="AO501" s="517"/>
      <c r="AP501" s="517"/>
      <c r="AQ501" s="517"/>
      <c r="AR501" s="517"/>
      <c r="AS501" s="517"/>
      <c r="AT501" s="517"/>
      <c r="AU501" s="517"/>
      <c r="AV501" s="517"/>
      <c r="AW501" s="517"/>
      <c r="AX501" s="517"/>
      <c r="AY501" s="517"/>
      <c r="AZ501" s="517"/>
      <c r="BA501" s="517"/>
      <c r="BB501" s="517"/>
      <c r="BC501" s="517"/>
      <c r="BD501" s="517"/>
      <c r="BE501" s="517"/>
      <c r="BF501" s="517"/>
      <c r="BG501" s="517"/>
      <c r="BH501" s="517"/>
      <c r="BI501" s="517"/>
      <c r="BJ501" s="517"/>
      <c r="BK501" s="517"/>
      <c r="BL501" s="517"/>
      <c r="BM501" s="517"/>
      <c r="BN501" s="517"/>
      <c r="BO501" s="517"/>
      <c r="BP501" s="517"/>
      <c r="BQ501" s="517"/>
      <c r="BR501" s="517"/>
      <c r="BS501" s="517"/>
      <c r="BT501" s="517"/>
      <c r="BU501" s="517"/>
      <c r="BV501" s="518"/>
      <c r="BW501" s="518"/>
      <c r="BX501" s="518"/>
      <c r="BY501" s="518"/>
      <c r="BZ501" s="518"/>
      <c r="CA501" s="518"/>
      <c r="CB501" s="518"/>
      <c r="CC501" s="518"/>
      <c r="CD501" s="518"/>
      <c r="CE501" s="518"/>
    </row>
    <row r="502" spans="1:83" ht="15" hidden="1" customHeight="1">
      <c r="A502" s="516"/>
      <c r="B502"/>
      <c r="C502"/>
      <c r="D502" s="3622"/>
      <c r="E502" s="3618" t="s">
        <v>830</v>
      </c>
      <c r="F502" s="3619"/>
      <c r="G502" s="3620"/>
      <c r="H502" s="3614" t="str">
        <f>IF(A500="","",INDEX(DIFFERENTIATION_UNMERGE_SYSTEM,MATCH(A500,DIFFERENTIATION_ID_DIFF,0)))</f>
        <v>Комсомольская, 241б</v>
      </c>
      <c r="I502" s="3614"/>
      <c r="J502" s="3614"/>
      <c r="K502" s="3614"/>
      <c r="L502" s="3614"/>
      <c r="M502" s="3614"/>
      <c r="N502" s="3614"/>
      <c r="O502" s="3614"/>
      <c r="P502" s="3614"/>
      <c r="Q502" s="3614"/>
      <c r="R502" s="3614"/>
      <c r="S502" s="609"/>
      <c r="T502" s="606"/>
      <c r="U502" s="517"/>
      <c r="V502" s="517"/>
      <c r="W502" s="518"/>
      <c r="X502" s="518"/>
      <c r="Y502" s="518"/>
      <c r="Z502" s="518"/>
      <c r="AA502" s="519"/>
      <c r="AB502" s="520"/>
      <c r="AC502" s="3617"/>
      <c r="AD502" s="521"/>
      <c r="AE502" s="522"/>
      <c r="AF502" s="522"/>
      <c r="AG502" s="523"/>
      <c r="AH502" s="524"/>
      <c r="AI502" s="517"/>
      <c r="AJ502" s="517"/>
      <c r="AK502" s="517"/>
      <c r="AL502" s="517"/>
      <c r="AM502" s="517"/>
      <c r="AN502" s="517"/>
      <c r="AO502" s="517"/>
      <c r="AP502" s="517"/>
      <c r="AQ502" s="517"/>
      <c r="AR502" s="517"/>
      <c r="AS502" s="517"/>
      <c r="AT502" s="517"/>
      <c r="AU502" s="517"/>
      <c r="AV502" s="517"/>
      <c r="AW502" s="517"/>
      <c r="AX502" s="517"/>
      <c r="AY502" s="517"/>
      <c r="AZ502" s="517"/>
      <c r="BA502" s="517"/>
      <c r="BB502" s="517"/>
      <c r="BC502" s="517"/>
      <c r="BD502" s="517"/>
      <c r="BE502" s="517"/>
      <c r="BF502" s="517"/>
      <c r="BG502" s="517"/>
      <c r="BH502" s="517"/>
      <c r="BI502" s="517"/>
      <c r="BJ502" s="517"/>
      <c r="BK502" s="517"/>
      <c r="BL502" s="517"/>
      <c r="BM502" s="517"/>
      <c r="BN502" s="517"/>
      <c r="BO502" s="517"/>
      <c r="BP502" s="517"/>
      <c r="BQ502" s="517"/>
      <c r="BR502" s="517"/>
      <c r="BS502" s="517"/>
      <c r="BT502" s="517"/>
      <c r="BU502" s="517"/>
      <c r="BV502" s="518"/>
      <c r="BW502" s="518"/>
      <c r="BX502" s="518"/>
      <c r="BY502" s="518"/>
      <c r="BZ502" s="518"/>
      <c r="CA502" s="518"/>
      <c r="CB502" s="518"/>
      <c r="CC502" s="518"/>
      <c r="CD502" s="518"/>
      <c r="CE502" s="518"/>
    </row>
    <row r="503" spans="1:83" ht="24.75" hidden="1" customHeight="1">
      <c r="A503" s="1649"/>
      <c r="B503" s="1023"/>
      <c r="C503" s="319"/>
      <c r="D503" s="3622"/>
      <c r="E503" s="3616" t="s">
        <v>875</v>
      </c>
      <c r="F503" s="3616"/>
      <c r="G503" s="3616"/>
      <c r="H503" s="3616"/>
      <c r="I503" s="3616"/>
      <c r="J503" s="3616"/>
      <c r="K503" s="3616"/>
      <c r="L503" s="3616"/>
      <c r="M503" s="3616"/>
      <c r="N503" s="3616"/>
      <c r="O503" s="3616"/>
      <c r="P503" s="3616"/>
      <c r="Q503" s="455">
        <f>SUMIF(T504:T505,"i",Q504:Q505)</f>
        <v>0</v>
      </c>
      <c r="R503" s="887"/>
      <c r="S503" s="1641" t="s">
        <v>876</v>
      </c>
      <c r="T503" s="607" t="s">
        <v>877</v>
      </c>
      <c r="U503" s="3532">
        <v>1</v>
      </c>
      <c r="V503" s="3532" t="s">
        <v>840</v>
      </c>
      <c r="W503" s="1023"/>
      <c r="X503" s="1023"/>
      <c r="Y503" s="1023"/>
      <c r="Z503" s="1023"/>
      <c r="AA503" s="1481"/>
      <c r="AB503" s="1023"/>
      <c r="AC503" s="3617"/>
      <c r="AD503" s="521"/>
      <c r="AE503" s="1023"/>
      <c r="AF503" s="1023"/>
      <c r="AG503" s="1481"/>
      <c r="AH503" s="1481"/>
      <c r="AI503" s="1481"/>
      <c r="AJ503" s="1481"/>
      <c r="AK503" s="1481"/>
      <c r="AL503" s="1481"/>
      <c r="AM503" s="1481"/>
      <c r="AN503" s="1481"/>
      <c r="AO503" s="1481"/>
      <c r="AP503" s="1481"/>
      <c r="AQ503" s="1481"/>
      <c r="AR503" s="1481"/>
      <c r="AS503" s="1481"/>
      <c r="AT503" s="1481"/>
      <c r="AU503" s="1481"/>
      <c r="AV503" s="1481"/>
      <c r="AW503" s="1481"/>
      <c r="AX503" s="1481"/>
      <c r="AY503" s="1481"/>
      <c r="AZ503" s="1481"/>
      <c r="BA503" s="1481"/>
      <c r="BB503" s="1481"/>
      <c r="BC503" s="1481"/>
      <c r="BD503" s="1481"/>
      <c r="BE503" s="1481"/>
      <c r="BF503" s="1481"/>
      <c r="BG503" s="1481"/>
      <c r="BH503" s="1481"/>
      <c r="BI503" s="1481"/>
      <c r="BJ503" s="1481"/>
      <c r="BK503" s="1481"/>
      <c r="BL503" s="1481"/>
      <c r="BM503" s="1481"/>
      <c r="BN503" s="1481"/>
      <c r="BO503" s="1481"/>
      <c r="BP503" s="1481"/>
      <c r="BQ503" s="1481"/>
      <c r="BR503" s="1481"/>
      <c r="BS503" s="1481"/>
      <c r="BT503" s="1481"/>
      <c r="BU503" s="1481"/>
      <c r="BV503" s="1023"/>
      <c r="BW503" s="1023"/>
      <c r="BX503" s="1023"/>
      <c r="BY503" s="1023"/>
      <c r="BZ503" s="1023"/>
      <c r="CA503" s="1023"/>
      <c r="CB503" s="1023"/>
      <c r="CC503" s="1023"/>
      <c r="CD503" s="1023"/>
      <c r="CE503" s="1023"/>
    </row>
    <row r="504" spans="1:83" ht="11.25" hidden="1" customHeight="1">
      <c r="A504" s="1636"/>
      <c r="B504" s="1481"/>
      <c r="C504" s="1481"/>
      <c r="D504" s="3622"/>
      <c r="E504" s="527"/>
      <c r="F504" s="527">
        <v>0</v>
      </c>
      <c r="G504" s="527"/>
      <c r="H504" s="527"/>
      <c r="I504" s="527"/>
      <c r="J504" s="527"/>
      <c r="K504" s="527"/>
      <c r="L504" s="527"/>
      <c r="M504" s="527"/>
      <c r="N504" s="527"/>
      <c r="O504" s="527"/>
      <c r="P504" s="527"/>
      <c r="Q504" s="527"/>
      <c r="R504" s="527"/>
      <c r="S504" s="528"/>
      <c r="T504" s="608"/>
      <c r="U504" s="3532"/>
      <c r="V504" s="3532"/>
      <c r="W504" s="1481"/>
      <c r="X504" s="1481"/>
      <c r="Y504" s="1481"/>
      <c r="Z504" s="1481"/>
      <c r="AA504" s="1481"/>
      <c r="AB504" s="1023"/>
      <c r="AC504" s="3617"/>
      <c r="AD504" s="521"/>
      <c r="AE504" s="1023"/>
      <c r="AF504" s="1023"/>
      <c r="AG504" s="1481"/>
      <c r="AH504" s="1481"/>
      <c r="AI504" s="1481"/>
      <c r="AJ504" s="1481"/>
      <c r="AK504" s="1481"/>
      <c r="AL504" s="1481"/>
      <c r="AM504" s="1481"/>
      <c r="AN504" s="1481"/>
      <c r="AO504" s="1481"/>
      <c r="AP504" s="1481"/>
      <c r="AQ504" s="1481"/>
      <c r="AR504" s="1481"/>
      <c r="AS504" s="1481"/>
      <c r="AT504" s="1481"/>
      <c r="AU504" s="1481"/>
      <c r="AV504" s="1481"/>
      <c r="AW504" s="1481"/>
      <c r="AX504" s="1481"/>
      <c r="AY504" s="1481"/>
      <c r="AZ504" s="1481"/>
      <c r="BA504" s="1481"/>
      <c r="BB504" s="1481"/>
      <c r="BC504" s="1481"/>
      <c r="BD504" s="1481"/>
      <c r="BE504" s="1481"/>
      <c r="BF504" s="1481"/>
      <c r="BG504" s="1481"/>
      <c r="BH504" s="1481"/>
      <c r="BI504" s="1481"/>
      <c r="BJ504" s="1481"/>
      <c r="BK504" s="1481"/>
      <c r="BL504" s="1481"/>
      <c r="BM504" s="1481"/>
      <c r="BN504" s="1481"/>
      <c r="BO504" s="1481"/>
      <c r="BP504" s="1481"/>
      <c r="BQ504" s="1481"/>
      <c r="BR504" s="1481"/>
      <c r="BS504" s="1481"/>
      <c r="BT504" s="1481"/>
      <c r="BU504" s="1481"/>
      <c r="BV504" s="1481"/>
      <c r="BW504" s="1481"/>
      <c r="BX504" s="1481"/>
      <c r="BY504" s="1481"/>
      <c r="BZ504" s="1481"/>
      <c r="CA504" s="1481"/>
      <c r="CB504" s="1481"/>
      <c r="CC504" s="1481"/>
      <c r="CD504" s="1481"/>
      <c r="CE504" s="1481"/>
    </row>
    <row r="505" spans="1:83" ht="11.25" hidden="1" customHeight="1">
      <c r="A505" s="1649"/>
      <c r="B505" s="1023"/>
      <c r="C505" s="319"/>
      <c r="D505" s="3622"/>
      <c r="E505" s="541" t="s">
        <v>18</v>
      </c>
      <c r="F505" s="1031" t="s">
        <v>18</v>
      </c>
      <c r="G505" s="1031" t="s">
        <v>880</v>
      </c>
      <c r="H505" s="543" t="s">
        <v>18</v>
      </c>
      <c r="I505" s="543"/>
      <c r="J505" s="543"/>
      <c r="K505" s="543"/>
      <c r="L505" s="543"/>
      <c r="M505" s="543"/>
      <c r="N505" s="543"/>
      <c r="O505" s="543"/>
      <c r="P505" s="543"/>
      <c r="Q505" s="543"/>
      <c r="R505" s="544"/>
      <c r="S505" s="545"/>
      <c r="T505" s="608"/>
      <c r="U505" s="3532"/>
      <c r="V505" s="3532"/>
      <c r="W505" s="1023"/>
      <c r="X505" s="1023"/>
      <c r="Y505" s="1023"/>
      <c r="Z505" s="1023"/>
      <c r="AA505" s="1481"/>
      <c r="AB505" s="1023"/>
      <c r="AC505" s="3617"/>
      <c r="AD505" s="521"/>
      <c r="AE505" s="1023"/>
      <c r="AF505" s="1023"/>
      <c r="AG505" s="1481"/>
      <c r="AH505" s="1481"/>
      <c r="AI505" s="1481"/>
      <c r="AJ505" s="1481"/>
      <c r="AK505" s="1481"/>
      <c r="AL505" s="1481"/>
      <c r="AM505" s="1481"/>
      <c r="AN505" s="1481"/>
      <c r="AO505" s="1481"/>
      <c r="AP505" s="1481"/>
      <c r="AQ505" s="1481"/>
      <c r="AR505" s="1481"/>
      <c r="AS505" s="1481"/>
      <c r="AT505" s="1481"/>
      <c r="AU505" s="1481"/>
      <c r="AV505" s="1481"/>
      <c r="AW505" s="1481"/>
      <c r="AX505" s="1481"/>
      <c r="AY505" s="1481"/>
      <c r="AZ505" s="1481"/>
      <c r="BA505" s="1481"/>
      <c r="BB505" s="1481"/>
      <c r="BC505" s="1481"/>
      <c r="BD505" s="1481"/>
      <c r="BE505" s="1481"/>
      <c r="BF505" s="1481"/>
      <c r="BG505" s="1481"/>
      <c r="BH505" s="1481"/>
      <c r="BI505" s="1481"/>
      <c r="BJ505" s="1481"/>
      <c r="BK505" s="1481"/>
      <c r="BL505" s="1481"/>
      <c r="BM505" s="1481"/>
      <c r="BN505" s="1481"/>
      <c r="BO505" s="1481"/>
      <c r="BP505" s="1481"/>
      <c r="BQ505" s="1481"/>
      <c r="BR505" s="1481"/>
      <c r="BS505" s="1481"/>
      <c r="BT505" s="1481"/>
      <c r="BU505" s="1481"/>
      <c r="BV505" s="1023"/>
      <c r="BW505" s="1023"/>
      <c r="BX505" s="1023"/>
      <c r="BY505" s="1023"/>
      <c r="BZ505" s="1023"/>
      <c r="CA505" s="1023"/>
      <c r="CB505" s="1023"/>
      <c r="CC505" s="1023"/>
      <c r="CD505" s="1023"/>
      <c r="CE505" s="1023"/>
    </row>
    <row r="506" spans="1:83" ht="5.25" hidden="1" customHeight="1">
      <c r="A506" s="1636"/>
      <c r="B506" s="1481"/>
      <c r="C506" s="1481"/>
      <c r="D506" s="3622"/>
      <c r="E506" s="909"/>
      <c r="F506" s="909"/>
      <c r="G506" s="909"/>
      <c r="H506" s="909"/>
      <c r="I506" s="909"/>
      <c r="J506" s="909"/>
      <c r="K506" s="909"/>
      <c r="L506" s="909"/>
      <c r="M506" s="909"/>
      <c r="N506" s="909"/>
      <c r="O506" s="909"/>
      <c r="P506" s="909"/>
      <c r="Q506" s="910"/>
      <c r="R506" s="911"/>
      <c r="S506" s="912"/>
      <c r="T506" s="607" t="s">
        <v>877</v>
      </c>
      <c r="U506" s="3532">
        <v>1</v>
      </c>
      <c r="V506" s="3532" t="s">
        <v>840</v>
      </c>
      <c r="W506" s="1481"/>
      <c r="X506" s="1481"/>
      <c r="Y506" s="1481"/>
      <c r="Z506" s="1481"/>
      <c r="AA506" s="1481"/>
      <c r="AB506" s="1481"/>
      <c r="AC506" s="907"/>
      <c r="AD506" s="908"/>
      <c r="AE506" s="1481"/>
      <c r="AF506" s="1481"/>
      <c r="AG506" s="1481"/>
      <c r="AH506" s="1481"/>
      <c r="AI506" s="1481"/>
      <c r="AJ506" s="1481"/>
      <c r="AK506" s="1481"/>
      <c r="AL506" s="1481"/>
      <c r="AM506" s="1481"/>
      <c r="AN506" s="1481"/>
      <c r="AO506" s="1481"/>
      <c r="AP506" s="1481"/>
      <c r="AQ506" s="1481"/>
      <c r="AR506" s="1481"/>
      <c r="AS506" s="1481"/>
      <c r="AT506" s="1481"/>
      <c r="AU506" s="1481"/>
      <c r="AV506" s="1481"/>
      <c r="AW506" s="1481"/>
      <c r="AX506" s="1481"/>
      <c r="AY506" s="1481"/>
      <c r="AZ506" s="1481"/>
      <c r="BA506" s="1481"/>
      <c r="BB506" s="1481"/>
      <c r="BC506" s="1481"/>
      <c r="BD506" s="1481"/>
      <c r="BE506" s="1481"/>
      <c r="BF506" s="1481"/>
      <c r="BG506" s="1481"/>
      <c r="BH506" s="1481"/>
      <c r="BI506" s="1481"/>
      <c r="BJ506" s="1481"/>
      <c r="BK506" s="1481"/>
      <c r="BL506" s="1481"/>
      <c r="BM506" s="1481"/>
      <c r="BN506" s="1481"/>
      <c r="BO506" s="1481"/>
      <c r="BP506" s="1481"/>
      <c r="BQ506" s="1481"/>
      <c r="BR506" s="1481"/>
      <c r="BS506" s="1481"/>
      <c r="BT506" s="1481"/>
      <c r="BU506" s="1481"/>
      <c r="BV506" s="1481"/>
      <c r="BW506" s="1481"/>
      <c r="BX506" s="1481"/>
      <c r="BY506" s="1481"/>
      <c r="BZ506" s="1481"/>
      <c r="CA506" s="1481"/>
      <c r="CB506" s="1481"/>
      <c r="CC506" s="1481"/>
      <c r="CD506" s="1481"/>
      <c r="CE506" s="1481"/>
    </row>
    <row r="507" spans="1:83" ht="5.25" hidden="1" customHeight="1">
      <c r="A507" s="1636"/>
      <c r="B507" s="1481"/>
      <c r="C507" s="1481"/>
      <c r="D507" s="3622"/>
      <c r="E507" s="527"/>
      <c r="F507" s="527"/>
      <c r="G507" s="527"/>
      <c r="H507" s="527"/>
      <c r="I507" s="527"/>
      <c r="J507" s="527"/>
      <c r="K507" s="527"/>
      <c r="L507" s="527"/>
      <c r="M507" s="527"/>
      <c r="N507" s="527"/>
      <c r="O507" s="527"/>
      <c r="P507" s="527"/>
      <c r="Q507" s="527"/>
      <c r="R507" s="527"/>
      <c r="S507" s="528"/>
      <c r="T507" s="608"/>
      <c r="U507" s="3532"/>
      <c r="V507" s="3532"/>
      <c r="W507" s="1481"/>
      <c r="X507" s="1481"/>
      <c r="Y507" s="1481"/>
      <c r="Z507" s="1481"/>
      <c r="AA507" s="1481"/>
      <c r="AB507" s="1481"/>
      <c r="AC507" s="907"/>
      <c r="AD507" s="908"/>
      <c r="AE507" s="1481"/>
      <c r="AF507" s="1481"/>
      <c r="AG507" s="1481"/>
      <c r="AH507" s="1481"/>
      <c r="AI507" s="1481"/>
      <c r="AJ507" s="1481"/>
      <c r="AK507" s="1481"/>
      <c r="AL507" s="1481"/>
      <c r="AM507" s="1481"/>
      <c r="AN507" s="1481"/>
      <c r="AO507" s="1481"/>
      <c r="AP507" s="1481"/>
      <c r="AQ507" s="1481"/>
      <c r="AR507" s="1481"/>
      <c r="AS507" s="1481"/>
      <c r="AT507" s="1481"/>
      <c r="AU507" s="1481"/>
      <c r="AV507" s="1481"/>
      <c r="AW507" s="1481"/>
      <c r="AX507" s="1481"/>
      <c r="AY507" s="1481"/>
      <c r="AZ507" s="1481"/>
      <c r="BA507" s="1481"/>
      <c r="BB507" s="1481"/>
      <c r="BC507" s="1481"/>
      <c r="BD507" s="1481"/>
      <c r="BE507" s="1481"/>
      <c r="BF507" s="1481"/>
      <c r="BG507" s="1481"/>
      <c r="BH507" s="1481"/>
      <c r="BI507" s="1481"/>
      <c r="BJ507" s="1481"/>
      <c r="BK507" s="1481"/>
      <c r="BL507" s="1481"/>
      <c r="BM507" s="1481"/>
      <c r="BN507" s="1481"/>
      <c r="BO507" s="1481"/>
      <c r="BP507" s="1481"/>
      <c r="BQ507" s="1481"/>
      <c r="BR507" s="1481"/>
      <c r="BS507" s="1481"/>
      <c r="BT507" s="1481"/>
      <c r="BU507" s="1481"/>
      <c r="BV507" s="1481"/>
      <c r="BW507" s="1481"/>
      <c r="BX507" s="1481"/>
      <c r="BY507" s="1481"/>
      <c r="BZ507" s="1481"/>
      <c r="CA507" s="1481"/>
      <c r="CB507" s="1481"/>
      <c r="CC507" s="1481"/>
      <c r="CD507" s="1481"/>
      <c r="CE507" s="1481"/>
    </row>
    <row r="508" spans="1:83" ht="5.25" hidden="1" customHeight="1">
      <c r="A508" s="1636"/>
      <c r="B508" s="1481"/>
      <c r="C508" s="1481"/>
      <c r="D508" s="3623"/>
      <c r="E508" s="913"/>
      <c r="F508" s="914"/>
      <c r="G508" s="914"/>
      <c r="H508" s="915"/>
      <c r="I508" s="915"/>
      <c r="J508" s="915"/>
      <c r="K508" s="915"/>
      <c r="L508" s="915"/>
      <c r="M508" s="915"/>
      <c r="N508" s="915"/>
      <c r="O508" s="915"/>
      <c r="P508" s="915"/>
      <c r="Q508" s="915"/>
      <c r="R508" s="818"/>
      <c r="S508" s="916"/>
      <c r="T508" s="608"/>
      <c r="U508" s="3532"/>
      <c r="V508" s="3532"/>
      <c r="W508" s="1481"/>
      <c r="X508" s="1481"/>
      <c r="Y508" s="1481"/>
      <c r="Z508" s="1481"/>
      <c r="AA508" s="1481"/>
      <c r="AB508" s="1481"/>
      <c r="AC508" s="907"/>
      <c r="AD508" s="908"/>
      <c r="AE508" s="1481"/>
      <c r="AF508" s="1481"/>
      <c r="AG508" s="1481"/>
      <c r="AH508" s="1481"/>
      <c r="AI508" s="1481"/>
      <c r="AJ508" s="1481"/>
      <c r="AK508" s="1481"/>
      <c r="AL508" s="1481"/>
      <c r="AM508" s="1481"/>
      <c r="AN508" s="1481"/>
      <c r="AO508" s="1481"/>
      <c r="AP508" s="1481"/>
      <c r="AQ508" s="1481"/>
      <c r="AR508" s="1481"/>
      <c r="AS508" s="1481"/>
      <c r="AT508" s="1481"/>
      <c r="AU508" s="1481"/>
      <c r="AV508" s="1481"/>
      <c r="AW508" s="1481"/>
      <c r="AX508" s="1481"/>
      <c r="AY508" s="1481"/>
      <c r="AZ508" s="1481"/>
      <c r="BA508" s="1481"/>
      <c r="BB508" s="1481"/>
      <c r="BC508" s="1481"/>
      <c r="BD508" s="1481"/>
      <c r="BE508" s="1481"/>
      <c r="BF508" s="1481"/>
      <c r="BG508" s="1481"/>
      <c r="BH508" s="1481"/>
      <c r="BI508" s="1481"/>
      <c r="BJ508" s="1481"/>
      <c r="BK508" s="1481"/>
      <c r="BL508" s="1481"/>
      <c r="BM508" s="1481"/>
      <c r="BN508" s="1481"/>
      <c r="BO508" s="1481"/>
      <c r="BP508" s="1481"/>
      <c r="BQ508" s="1481"/>
      <c r="BR508" s="1481"/>
      <c r="BS508" s="1481"/>
      <c r="BT508" s="1481"/>
      <c r="BU508" s="1481"/>
      <c r="BV508" s="1481"/>
      <c r="BW508" s="1481"/>
      <c r="BX508" s="1481"/>
      <c r="BY508" s="1481"/>
      <c r="BZ508" s="1481"/>
      <c r="CA508" s="1481"/>
      <c r="CB508" s="1481"/>
      <c r="CC508" s="1481"/>
      <c r="CD508" s="1481"/>
      <c r="CE508" s="1481"/>
    </row>
    <row r="509" spans="1:83" ht="15" hidden="1" customHeight="1">
      <c r="A509" s="516" t="s">
        <v>275</v>
      </c>
      <c r="B509"/>
      <c r="C509" t="s">
        <v>18</v>
      </c>
      <c r="D509" s="3621" t="s">
        <v>934</v>
      </c>
      <c r="E509" s="3618" t="s">
        <v>102</v>
      </c>
      <c r="F509" s="3619"/>
      <c r="G509" s="3620"/>
      <c r="H509" s="3614" t="str">
        <f>IF(A509="","",INDEX(DIFFERENTIATION_UNMERGE_VD,MATCH(A509,DIFFERENTIATION_ID_DIFF,0)))</f>
        <v>Производство тепловой энергии. Некомбинированная выработка</v>
      </c>
      <c r="I509" s="3614"/>
      <c r="J509" s="3614"/>
      <c r="K509" s="3614"/>
      <c r="L509" s="3614"/>
      <c r="M509" s="3614"/>
      <c r="N509" s="3614"/>
      <c r="O509" s="3614"/>
      <c r="P509" s="3614"/>
      <c r="Q509" s="3614"/>
      <c r="R509" s="3614"/>
      <c r="S509" s="609"/>
      <c r="T509" s="606"/>
      <c r="U509" s="517"/>
      <c r="V509" s="517"/>
      <c r="W509" s="518"/>
      <c r="X509" s="518"/>
      <c r="Y509" s="518"/>
      <c r="Z509" s="518"/>
      <c r="AA509" s="519"/>
      <c r="AB509" s="520"/>
      <c r="AC509" s="3617"/>
      <c r="AD509" s="521"/>
      <c r="AE509" s="522" t="s">
        <v>18</v>
      </c>
      <c r="AF509" s="522"/>
      <c r="AG509" s="523" t="s">
        <v>874</v>
      </c>
      <c r="AH509" s="524">
        <v>3</v>
      </c>
      <c r="AI509" s="517"/>
      <c r="AJ509" s="517"/>
      <c r="AK509" s="517"/>
      <c r="AL509" s="517"/>
      <c r="AM509" s="517"/>
      <c r="AN509" s="517"/>
      <c r="AO509" s="517"/>
      <c r="AP509" s="517"/>
      <c r="AQ509" s="517"/>
      <c r="AR509" s="517"/>
      <c r="AS509" s="517"/>
      <c r="AT509" s="517"/>
      <c r="AU509" s="517"/>
      <c r="AV509" s="517"/>
      <c r="AW509" s="517"/>
      <c r="AX509" s="517"/>
      <c r="AY509" s="517"/>
      <c r="AZ509" s="517"/>
      <c r="BA509" s="517"/>
      <c r="BB509" s="517"/>
      <c r="BC509" s="517"/>
      <c r="BD509" s="517"/>
      <c r="BE509" s="517"/>
      <c r="BF509" s="517"/>
      <c r="BG509" s="517"/>
      <c r="BH509" s="517"/>
      <c r="BI509" s="517"/>
      <c r="BJ509" s="517"/>
      <c r="BK509" s="517"/>
      <c r="BL509" s="517"/>
      <c r="BM509" s="517"/>
      <c r="BN509" s="517"/>
      <c r="BO509" s="517"/>
      <c r="BP509" s="517"/>
      <c r="BQ509" s="517"/>
      <c r="BR509" s="517"/>
      <c r="BS509" s="517"/>
      <c r="BT509" s="517"/>
      <c r="BU509" s="517"/>
      <c r="BV509" s="518"/>
      <c r="BW509" s="518"/>
      <c r="BX509" s="518"/>
      <c r="BY509" s="518"/>
      <c r="BZ509" s="518"/>
      <c r="CA509" s="518"/>
      <c r="CB509" s="518"/>
      <c r="CC509" s="518"/>
      <c r="CD509" s="518"/>
      <c r="CE509" s="518"/>
    </row>
    <row r="510" spans="1:83" ht="15" hidden="1" customHeight="1">
      <c r="A510" s="516"/>
      <c r="B510"/>
      <c r="C510"/>
      <c r="D510" s="3622"/>
      <c r="E510" s="3618" t="s">
        <v>829</v>
      </c>
      <c r="F510" s="3619"/>
      <c r="G510" s="3620"/>
      <c r="H510" s="3614" t="str">
        <f>IF(A509="","",INDEX(DIFFERENTIATION_UNMERGE_AREA,MATCH(A509,DIFFERENTIATION_ID_DIFF,0)))</f>
        <v>Территория 1</v>
      </c>
      <c r="I510" s="3614"/>
      <c r="J510" s="3614"/>
      <c r="K510" s="3614"/>
      <c r="L510" s="3614"/>
      <c r="M510" s="3614"/>
      <c r="N510" s="3614"/>
      <c r="O510" s="3614"/>
      <c r="P510" s="3614"/>
      <c r="Q510" s="3614"/>
      <c r="R510" s="3614"/>
      <c r="S510" s="609"/>
      <c r="T510" s="606"/>
      <c r="U510" s="517"/>
      <c r="V510" s="517"/>
      <c r="W510" s="518"/>
      <c r="X510" s="518"/>
      <c r="Y510" s="518"/>
      <c r="Z510" s="518"/>
      <c r="AA510" s="519"/>
      <c r="AB510" s="520"/>
      <c r="AC510" s="3617"/>
      <c r="AD510" s="521"/>
      <c r="AE510" s="522"/>
      <c r="AF510" s="522"/>
      <c r="AG510" s="523"/>
      <c r="AH510" s="524"/>
      <c r="AI510" s="517"/>
      <c r="AJ510" s="517"/>
      <c r="AK510" s="517"/>
      <c r="AL510" s="517"/>
      <c r="AM510" s="517"/>
      <c r="AN510" s="517"/>
      <c r="AO510" s="517"/>
      <c r="AP510" s="517"/>
      <c r="AQ510" s="517"/>
      <c r="AR510" s="517"/>
      <c r="AS510" s="517"/>
      <c r="AT510" s="517"/>
      <c r="AU510" s="517"/>
      <c r="AV510" s="517"/>
      <c r="AW510" s="517"/>
      <c r="AX510" s="517"/>
      <c r="AY510" s="517"/>
      <c r="AZ510" s="517"/>
      <c r="BA510" s="517"/>
      <c r="BB510" s="517"/>
      <c r="BC510" s="517"/>
      <c r="BD510" s="517"/>
      <c r="BE510" s="517"/>
      <c r="BF510" s="517"/>
      <c r="BG510" s="517"/>
      <c r="BH510" s="517"/>
      <c r="BI510" s="517"/>
      <c r="BJ510" s="517"/>
      <c r="BK510" s="517"/>
      <c r="BL510" s="517"/>
      <c r="BM510" s="517"/>
      <c r="BN510" s="517"/>
      <c r="BO510" s="517"/>
      <c r="BP510" s="517"/>
      <c r="BQ510" s="517"/>
      <c r="BR510" s="517"/>
      <c r="BS510" s="517"/>
      <c r="BT510" s="517"/>
      <c r="BU510" s="517"/>
      <c r="BV510" s="518"/>
      <c r="BW510" s="518"/>
      <c r="BX510" s="518"/>
      <c r="BY510" s="518"/>
      <c r="BZ510" s="518"/>
      <c r="CA510" s="518"/>
      <c r="CB510" s="518"/>
      <c r="CC510" s="518"/>
      <c r="CD510" s="518"/>
      <c r="CE510" s="518"/>
    </row>
    <row r="511" spans="1:83" ht="15" hidden="1" customHeight="1">
      <c r="A511" s="516"/>
      <c r="B511"/>
      <c r="C511"/>
      <c r="D511" s="3622"/>
      <c r="E511" s="3618" t="s">
        <v>830</v>
      </c>
      <c r="F511" s="3619"/>
      <c r="G511" s="3620"/>
      <c r="H511" s="3614" t="str">
        <f>IF(A509="","",INDEX(DIFFERENTIATION_UNMERGE_SYSTEM,MATCH(A509,DIFFERENTIATION_ID_DIFF,0)))</f>
        <v>Генерала Жадова, 4а</v>
      </c>
      <c r="I511" s="3614"/>
      <c r="J511" s="3614"/>
      <c r="K511" s="3614"/>
      <c r="L511" s="3614"/>
      <c r="M511" s="3614"/>
      <c r="N511" s="3614"/>
      <c r="O511" s="3614"/>
      <c r="P511" s="3614"/>
      <c r="Q511" s="3614"/>
      <c r="R511" s="3614"/>
      <c r="S511" s="609"/>
      <c r="T511" s="606"/>
      <c r="U511" s="517"/>
      <c r="V511" s="517"/>
      <c r="W511" s="518"/>
      <c r="X511" s="518"/>
      <c r="Y511" s="518"/>
      <c r="Z511" s="518"/>
      <c r="AA511" s="519"/>
      <c r="AB511" s="520"/>
      <c r="AC511" s="3617"/>
      <c r="AD511" s="521"/>
      <c r="AE511" s="522"/>
      <c r="AF511" s="522"/>
      <c r="AG511" s="523"/>
      <c r="AH511" s="524"/>
      <c r="AI511" s="517"/>
      <c r="AJ511" s="517"/>
      <c r="AK511" s="517"/>
      <c r="AL511" s="517"/>
      <c r="AM511" s="517"/>
      <c r="AN511" s="517"/>
      <c r="AO511" s="517"/>
      <c r="AP511" s="517"/>
      <c r="AQ511" s="517"/>
      <c r="AR511" s="517"/>
      <c r="AS511" s="517"/>
      <c r="AT511" s="517"/>
      <c r="AU511" s="517"/>
      <c r="AV511" s="517"/>
      <c r="AW511" s="517"/>
      <c r="AX511" s="517"/>
      <c r="AY511" s="517"/>
      <c r="AZ511" s="517"/>
      <c r="BA511" s="517"/>
      <c r="BB511" s="517"/>
      <c r="BC511" s="517"/>
      <c r="BD511" s="517"/>
      <c r="BE511" s="517"/>
      <c r="BF511" s="517"/>
      <c r="BG511" s="517"/>
      <c r="BH511" s="517"/>
      <c r="BI511" s="517"/>
      <c r="BJ511" s="517"/>
      <c r="BK511" s="517"/>
      <c r="BL511" s="517"/>
      <c r="BM511" s="517"/>
      <c r="BN511" s="517"/>
      <c r="BO511" s="517"/>
      <c r="BP511" s="517"/>
      <c r="BQ511" s="517"/>
      <c r="BR511" s="517"/>
      <c r="BS511" s="517"/>
      <c r="BT511" s="517"/>
      <c r="BU511" s="517"/>
      <c r="BV511" s="518"/>
      <c r="BW511" s="518"/>
      <c r="BX511" s="518"/>
      <c r="BY511" s="518"/>
      <c r="BZ511" s="518"/>
      <c r="CA511" s="518"/>
      <c r="CB511" s="518"/>
      <c r="CC511" s="518"/>
      <c r="CD511" s="518"/>
      <c r="CE511" s="518"/>
    </row>
    <row r="512" spans="1:83" ht="24.75" hidden="1" customHeight="1">
      <c r="A512" s="1649"/>
      <c r="B512" s="1023"/>
      <c r="C512" s="319"/>
      <c r="D512" s="3622"/>
      <c r="E512" s="3616" t="s">
        <v>875</v>
      </c>
      <c r="F512" s="3616"/>
      <c r="G512" s="3616"/>
      <c r="H512" s="3616"/>
      <c r="I512" s="3616"/>
      <c r="J512" s="3616"/>
      <c r="K512" s="3616"/>
      <c r="L512" s="3616"/>
      <c r="M512" s="3616"/>
      <c r="N512" s="3616"/>
      <c r="O512" s="3616"/>
      <c r="P512" s="3616"/>
      <c r="Q512" s="455">
        <f>SUMIF(T513:T514,"i",Q513:Q514)</f>
        <v>0</v>
      </c>
      <c r="R512" s="887"/>
      <c r="S512" s="1641" t="s">
        <v>876</v>
      </c>
      <c r="T512" s="607" t="s">
        <v>877</v>
      </c>
      <c r="U512" s="3532">
        <v>1</v>
      </c>
      <c r="V512" s="3532" t="s">
        <v>840</v>
      </c>
      <c r="W512" s="1023"/>
      <c r="X512" s="1023"/>
      <c r="Y512" s="1023"/>
      <c r="Z512" s="1023"/>
      <c r="AA512" s="1481"/>
      <c r="AB512" s="1023"/>
      <c r="AC512" s="3617"/>
      <c r="AD512" s="521"/>
      <c r="AE512" s="1023"/>
      <c r="AF512" s="1023"/>
      <c r="AG512" s="1481"/>
      <c r="AH512" s="1481"/>
      <c r="AI512" s="1481"/>
      <c r="AJ512" s="1481"/>
      <c r="AK512" s="1481"/>
      <c r="AL512" s="1481"/>
      <c r="AM512" s="1481"/>
      <c r="AN512" s="1481"/>
      <c r="AO512" s="1481"/>
      <c r="AP512" s="1481"/>
      <c r="AQ512" s="1481"/>
      <c r="AR512" s="1481"/>
      <c r="AS512" s="1481"/>
      <c r="AT512" s="1481"/>
      <c r="AU512" s="1481"/>
      <c r="AV512" s="1481"/>
      <c r="AW512" s="1481"/>
      <c r="AX512" s="1481"/>
      <c r="AY512" s="1481"/>
      <c r="AZ512" s="1481"/>
      <c r="BA512" s="1481"/>
      <c r="BB512" s="1481"/>
      <c r="BC512" s="1481"/>
      <c r="BD512" s="1481"/>
      <c r="BE512" s="1481"/>
      <c r="BF512" s="1481"/>
      <c r="BG512" s="1481"/>
      <c r="BH512" s="1481"/>
      <c r="BI512" s="1481"/>
      <c r="BJ512" s="1481"/>
      <c r="BK512" s="1481"/>
      <c r="BL512" s="1481"/>
      <c r="BM512" s="1481"/>
      <c r="BN512" s="1481"/>
      <c r="BO512" s="1481"/>
      <c r="BP512" s="1481"/>
      <c r="BQ512" s="1481"/>
      <c r="BR512" s="1481"/>
      <c r="BS512" s="1481"/>
      <c r="BT512" s="1481"/>
      <c r="BU512" s="1481"/>
      <c r="BV512" s="1023"/>
      <c r="BW512" s="1023"/>
      <c r="BX512" s="1023"/>
      <c r="BY512" s="1023"/>
      <c r="BZ512" s="1023"/>
      <c r="CA512" s="1023"/>
      <c r="CB512" s="1023"/>
      <c r="CC512" s="1023"/>
      <c r="CD512" s="1023"/>
      <c r="CE512" s="1023"/>
    </row>
    <row r="513" spans="1:83" ht="11.25" hidden="1" customHeight="1">
      <c r="A513" s="1636"/>
      <c r="B513" s="1481"/>
      <c r="C513" s="1481"/>
      <c r="D513" s="3622"/>
      <c r="E513" s="527"/>
      <c r="F513" s="527">
        <v>0</v>
      </c>
      <c r="G513" s="527"/>
      <c r="H513" s="527"/>
      <c r="I513" s="527"/>
      <c r="J513" s="527"/>
      <c r="K513" s="527"/>
      <c r="L513" s="527"/>
      <c r="M513" s="527"/>
      <c r="N513" s="527"/>
      <c r="O513" s="527"/>
      <c r="P513" s="527"/>
      <c r="Q513" s="527"/>
      <c r="R513" s="527"/>
      <c r="S513" s="528"/>
      <c r="T513" s="608"/>
      <c r="U513" s="3532"/>
      <c r="V513" s="3532"/>
      <c r="W513" s="1481"/>
      <c r="X513" s="1481"/>
      <c r="Y513" s="1481"/>
      <c r="Z513" s="1481"/>
      <c r="AA513" s="1481"/>
      <c r="AB513" s="1023"/>
      <c r="AC513" s="3617"/>
      <c r="AD513" s="521"/>
      <c r="AE513" s="1023"/>
      <c r="AF513" s="1023"/>
      <c r="AG513" s="1481"/>
      <c r="AH513" s="1481"/>
      <c r="AI513" s="1481"/>
      <c r="AJ513" s="1481"/>
      <c r="AK513" s="1481"/>
      <c r="AL513" s="1481"/>
      <c r="AM513" s="1481"/>
      <c r="AN513" s="1481"/>
      <c r="AO513" s="1481"/>
      <c r="AP513" s="1481"/>
      <c r="AQ513" s="1481"/>
      <c r="AR513" s="1481"/>
      <c r="AS513" s="1481"/>
      <c r="AT513" s="1481"/>
      <c r="AU513" s="1481"/>
      <c r="AV513" s="1481"/>
      <c r="AW513" s="1481"/>
      <c r="AX513" s="1481"/>
      <c r="AY513" s="1481"/>
      <c r="AZ513" s="1481"/>
      <c r="BA513" s="1481"/>
      <c r="BB513" s="1481"/>
      <c r="BC513" s="1481"/>
      <c r="BD513" s="1481"/>
      <c r="BE513" s="1481"/>
      <c r="BF513" s="1481"/>
      <c r="BG513" s="1481"/>
      <c r="BH513" s="1481"/>
      <c r="BI513" s="1481"/>
      <c r="BJ513" s="1481"/>
      <c r="BK513" s="1481"/>
      <c r="BL513" s="1481"/>
      <c r="BM513" s="1481"/>
      <c r="BN513" s="1481"/>
      <c r="BO513" s="1481"/>
      <c r="BP513" s="1481"/>
      <c r="BQ513" s="1481"/>
      <c r="BR513" s="1481"/>
      <c r="BS513" s="1481"/>
      <c r="BT513" s="1481"/>
      <c r="BU513" s="1481"/>
      <c r="BV513" s="1481"/>
      <c r="BW513" s="1481"/>
      <c r="BX513" s="1481"/>
      <c r="BY513" s="1481"/>
      <c r="BZ513" s="1481"/>
      <c r="CA513" s="1481"/>
      <c r="CB513" s="1481"/>
      <c r="CC513" s="1481"/>
      <c r="CD513" s="1481"/>
      <c r="CE513" s="1481"/>
    </row>
    <row r="514" spans="1:83" ht="11.25" hidden="1" customHeight="1">
      <c r="A514" s="1649"/>
      <c r="B514" s="1023"/>
      <c r="C514" s="319"/>
      <c r="D514" s="3622"/>
      <c r="E514" s="541" t="s">
        <v>18</v>
      </c>
      <c r="F514" s="1031" t="s">
        <v>18</v>
      </c>
      <c r="G514" s="1031" t="s">
        <v>880</v>
      </c>
      <c r="H514" s="543" t="s">
        <v>18</v>
      </c>
      <c r="I514" s="543"/>
      <c r="J514" s="543"/>
      <c r="K514" s="543"/>
      <c r="L514" s="543"/>
      <c r="M514" s="543"/>
      <c r="N514" s="543"/>
      <c r="O514" s="543"/>
      <c r="P514" s="543"/>
      <c r="Q514" s="543"/>
      <c r="R514" s="544"/>
      <c r="S514" s="545"/>
      <c r="T514" s="608"/>
      <c r="U514" s="3532"/>
      <c r="V514" s="3532"/>
      <c r="W514" s="1023"/>
      <c r="X514" s="1023"/>
      <c r="Y514" s="1023"/>
      <c r="Z514" s="1023"/>
      <c r="AA514" s="1481"/>
      <c r="AB514" s="1023"/>
      <c r="AC514" s="3617"/>
      <c r="AD514" s="521"/>
      <c r="AE514" s="1023"/>
      <c r="AF514" s="1023"/>
      <c r="AG514" s="1481"/>
      <c r="AH514" s="1481"/>
      <c r="AI514" s="1481"/>
      <c r="AJ514" s="1481"/>
      <c r="AK514" s="1481"/>
      <c r="AL514" s="1481"/>
      <c r="AM514" s="1481"/>
      <c r="AN514" s="1481"/>
      <c r="AO514" s="1481"/>
      <c r="AP514" s="1481"/>
      <c r="AQ514" s="1481"/>
      <c r="AR514" s="1481"/>
      <c r="AS514" s="1481"/>
      <c r="AT514" s="1481"/>
      <c r="AU514" s="1481"/>
      <c r="AV514" s="1481"/>
      <c r="AW514" s="1481"/>
      <c r="AX514" s="1481"/>
      <c r="AY514" s="1481"/>
      <c r="AZ514" s="1481"/>
      <c r="BA514" s="1481"/>
      <c r="BB514" s="1481"/>
      <c r="BC514" s="1481"/>
      <c r="BD514" s="1481"/>
      <c r="BE514" s="1481"/>
      <c r="BF514" s="1481"/>
      <c r="BG514" s="1481"/>
      <c r="BH514" s="1481"/>
      <c r="BI514" s="1481"/>
      <c r="BJ514" s="1481"/>
      <c r="BK514" s="1481"/>
      <c r="BL514" s="1481"/>
      <c r="BM514" s="1481"/>
      <c r="BN514" s="1481"/>
      <c r="BO514" s="1481"/>
      <c r="BP514" s="1481"/>
      <c r="BQ514" s="1481"/>
      <c r="BR514" s="1481"/>
      <c r="BS514" s="1481"/>
      <c r="BT514" s="1481"/>
      <c r="BU514" s="1481"/>
      <c r="BV514" s="1023"/>
      <c r="BW514" s="1023"/>
      <c r="BX514" s="1023"/>
      <c r="BY514" s="1023"/>
      <c r="BZ514" s="1023"/>
      <c r="CA514" s="1023"/>
      <c r="CB514" s="1023"/>
      <c r="CC514" s="1023"/>
      <c r="CD514" s="1023"/>
      <c r="CE514" s="1023"/>
    </row>
    <row r="515" spans="1:83" ht="5.25" hidden="1" customHeight="1">
      <c r="A515" s="1636"/>
      <c r="B515" s="1481"/>
      <c r="C515" s="1481"/>
      <c r="D515" s="3622"/>
      <c r="E515" s="909"/>
      <c r="F515" s="909"/>
      <c r="G515" s="909"/>
      <c r="H515" s="909"/>
      <c r="I515" s="909"/>
      <c r="J515" s="909"/>
      <c r="K515" s="909"/>
      <c r="L515" s="909"/>
      <c r="M515" s="909"/>
      <c r="N515" s="909"/>
      <c r="O515" s="909"/>
      <c r="P515" s="909"/>
      <c r="Q515" s="910"/>
      <c r="R515" s="911"/>
      <c r="S515" s="912"/>
      <c r="T515" s="607" t="s">
        <v>877</v>
      </c>
      <c r="U515" s="3532">
        <v>1</v>
      </c>
      <c r="V515" s="3532" t="s">
        <v>840</v>
      </c>
      <c r="W515" s="1481"/>
      <c r="X515" s="1481"/>
      <c r="Y515" s="1481"/>
      <c r="Z515" s="1481"/>
      <c r="AA515" s="1481"/>
      <c r="AB515" s="1481"/>
      <c r="AC515" s="907"/>
      <c r="AD515" s="908"/>
      <c r="AE515" s="1481"/>
      <c r="AF515" s="1481"/>
      <c r="AG515" s="1481"/>
      <c r="AH515" s="1481"/>
      <c r="AI515" s="1481"/>
      <c r="AJ515" s="1481"/>
      <c r="AK515" s="1481"/>
      <c r="AL515" s="1481"/>
      <c r="AM515" s="1481"/>
      <c r="AN515" s="1481"/>
      <c r="AO515" s="1481"/>
      <c r="AP515" s="1481"/>
      <c r="AQ515" s="1481"/>
      <c r="AR515" s="1481"/>
      <c r="AS515" s="1481"/>
      <c r="AT515" s="1481"/>
      <c r="AU515" s="1481"/>
      <c r="AV515" s="1481"/>
      <c r="AW515" s="1481"/>
      <c r="AX515" s="1481"/>
      <c r="AY515" s="1481"/>
      <c r="AZ515" s="1481"/>
      <c r="BA515" s="1481"/>
      <c r="BB515" s="1481"/>
      <c r="BC515" s="1481"/>
      <c r="BD515" s="1481"/>
      <c r="BE515" s="1481"/>
      <c r="BF515" s="1481"/>
      <c r="BG515" s="1481"/>
      <c r="BH515" s="1481"/>
      <c r="BI515" s="1481"/>
      <c r="BJ515" s="1481"/>
      <c r="BK515" s="1481"/>
      <c r="BL515" s="1481"/>
      <c r="BM515" s="1481"/>
      <c r="BN515" s="1481"/>
      <c r="BO515" s="1481"/>
      <c r="BP515" s="1481"/>
      <c r="BQ515" s="1481"/>
      <c r="BR515" s="1481"/>
      <c r="BS515" s="1481"/>
      <c r="BT515" s="1481"/>
      <c r="BU515" s="1481"/>
      <c r="BV515" s="1481"/>
      <c r="BW515" s="1481"/>
      <c r="BX515" s="1481"/>
      <c r="BY515" s="1481"/>
      <c r="BZ515" s="1481"/>
      <c r="CA515" s="1481"/>
      <c r="CB515" s="1481"/>
      <c r="CC515" s="1481"/>
      <c r="CD515" s="1481"/>
      <c r="CE515" s="1481"/>
    </row>
    <row r="516" spans="1:83" ht="5.25" hidden="1" customHeight="1">
      <c r="A516" s="1636"/>
      <c r="B516" s="1481"/>
      <c r="C516" s="1481"/>
      <c r="D516" s="3622"/>
      <c r="E516" s="527"/>
      <c r="F516" s="527"/>
      <c r="G516" s="527"/>
      <c r="H516" s="527"/>
      <c r="I516" s="527"/>
      <c r="J516" s="527"/>
      <c r="K516" s="527"/>
      <c r="L516" s="527"/>
      <c r="M516" s="527"/>
      <c r="N516" s="527"/>
      <c r="O516" s="527"/>
      <c r="P516" s="527"/>
      <c r="Q516" s="527"/>
      <c r="R516" s="527"/>
      <c r="S516" s="528"/>
      <c r="T516" s="608"/>
      <c r="U516" s="3532"/>
      <c r="V516" s="3532"/>
      <c r="W516" s="1481"/>
      <c r="X516" s="1481"/>
      <c r="Y516" s="1481"/>
      <c r="Z516" s="1481"/>
      <c r="AA516" s="1481"/>
      <c r="AB516" s="1481"/>
      <c r="AC516" s="907"/>
      <c r="AD516" s="908"/>
      <c r="AE516" s="1481"/>
      <c r="AF516" s="1481"/>
      <c r="AG516" s="1481"/>
      <c r="AH516" s="1481"/>
      <c r="AI516" s="1481"/>
      <c r="AJ516" s="1481"/>
      <c r="AK516" s="1481"/>
      <c r="AL516" s="1481"/>
      <c r="AM516" s="1481"/>
      <c r="AN516" s="1481"/>
      <c r="AO516" s="1481"/>
      <c r="AP516" s="1481"/>
      <c r="AQ516" s="1481"/>
      <c r="AR516" s="1481"/>
      <c r="AS516" s="1481"/>
      <c r="AT516" s="1481"/>
      <c r="AU516" s="1481"/>
      <c r="AV516" s="1481"/>
      <c r="AW516" s="1481"/>
      <c r="AX516" s="1481"/>
      <c r="AY516" s="1481"/>
      <c r="AZ516" s="1481"/>
      <c r="BA516" s="1481"/>
      <c r="BB516" s="1481"/>
      <c r="BC516" s="1481"/>
      <c r="BD516" s="1481"/>
      <c r="BE516" s="1481"/>
      <c r="BF516" s="1481"/>
      <c r="BG516" s="1481"/>
      <c r="BH516" s="1481"/>
      <c r="BI516" s="1481"/>
      <c r="BJ516" s="1481"/>
      <c r="BK516" s="1481"/>
      <c r="BL516" s="1481"/>
      <c r="BM516" s="1481"/>
      <c r="BN516" s="1481"/>
      <c r="BO516" s="1481"/>
      <c r="BP516" s="1481"/>
      <c r="BQ516" s="1481"/>
      <c r="BR516" s="1481"/>
      <c r="BS516" s="1481"/>
      <c r="BT516" s="1481"/>
      <c r="BU516" s="1481"/>
      <c r="BV516" s="1481"/>
      <c r="BW516" s="1481"/>
      <c r="BX516" s="1481"/>
      <c r="BY516" s="1481"/>
      <c r="BZ516" s="1481"/>
      <c r="CA516" s="1481"/>
      <c r="CB516" s="1481"/>
      <c r="CC516" s="1481"/>
      <c r="CD516" s="1481"/>
      <c r="CE516" s="1481"/>
    </row>
    <row r="517" spans="1:83" ht="5.25" hidden="1" customHeight="1">
      <c r="A517" s="1636"/>
      <c r="B517" s="1481"/>
      <c r="C517" s="1481"/>
      <c r="D517" s="3623"/>
      <c r="E517" s="913"/>
      <c r="F517" s="914"/>
      <c r="G517" s="914"/>
      <c r="H517" s="915"/>
      <c r="I517" s="915"/>
      <c r="J517" s="915"/>
      <c r="K517" s="915"/>
      <c r="L517" s="915"/>
      <c r="M517" s="915"/>
      <c r="N517" s="915"/>
      <c r="O517" s="915"/>
      <c r="P517" s="915"/>
      <c r="Q517" s="915"/>
      <c r="R517" s="818"/>
      <c r="S517" s="916"/>
      <c r="T517" s="608"/>
      <c r="U517" s="3532"/>
      <c r="V517" s="3532"/>
      <c r="W517" s="1481"/>
      <c r="X517" s="1481"/>
      <c r="Y517" s="1481"/>
      <c r="Z517" s="1481"/>
      <c r="AA517" s="1481"/>
      <c r="AB517" s="1481"/>
      <c r="AC517" s="907"/>
      <c r="AD517" s="908"/>
      <c r="AE517" s="1481"/>
      <c r="AF517" s="1481"/>
      <c r="AG517" s="1481"/>
      <c r="AH517" s="1481"/>
      <c r="AI517" s="1481"/>
      <c r="AJ517" s="1481"/>
      <c r="AK517" s="1481"/>
      <c r="AL517" s="1481"/>
      <c r="AM517" s="1481"/>
      <c r="AN517" s="1481"/>
      <c r="AO517" s="1481"/>
      <c r="AP517" s="1481"/>
      <c r="AQ517" s="1481"/>
      <c r="AR517" s="1481"/>
      <c r="AS517" s="1481"/>
      <c r="AT517" s="1481"/>
      <c r="AU517" s="1481"/>
      <c r="AV517" s="1481"/>
      <c r="AW517" s="1481"/>
      <c r="AX517" s="1481"/>
      <c r="AY517" s="1481"/>
      <c r="AZ517" s="1481"/>
      <c r="BA517" s="1481"/>
      <c r="BB517" s="1481"/>
      <c r="BC517" s="1481"/>
      <c r="BD517" s="1481"/>
      <c r="BE517" s="1481"/>
      <c r="BF517" s="1481"/>
      <c r="BG517" s="1481"/>
      <c r="BH517" s="1481"/>
      <c r="BI517" s="1481"/>
      <c r="BJ517" s="1481"/>
      <c r="BK517" s="1481"/>
      <c r="BL517" s="1481"/>
      <c r="BM517" s="1481"/>
      <c r="BN517" s="1481"/>
      <c r="BO517" s="1481"/>
      <c r="BP517" s="1481"/>
      <c r="BQ517" s="1481"/>
      <c r="BR517" s="1481"/>
      <c r="BS517" s="1481"/>
      <c r="BT517" s="1481"/>
      <c r="BU517" s="1481"/>
      <c r="BV517" s="1481"/>
      <c r="BW517" s="1481"/>
      <c r="BX517" s="1481"/>
      <c r="BY517" s="1481"/>
      <c r="BZ517" s="1481"/>
      <c r="CA517" s="1481"/>
      <c r="CB517" s="1481"/>
      <c r="CC517" s="1481"/>
      <c r="CD517" s="1481"/>
      <c r="CE517" s="1481"/>
    </row>
    <row r="518" spans="1:83" ht="15" hidden="1" customHeight="1">
      <c r="A518" s="516" t="s">
        <v>278</v>
      </c>
      <c r="B518"/>
      <c r="C518" t="s">
        <v>18</v>
      </c>
      <c r="D518" s="3621" t="s">
        <v>935</v>
      </c>
      <c r="E518" s="3618" t="s">
        <v>102</v>
      </c>
      <c r="F518" s="3619"/>
      <c r="G518" s="3620"/>
      <c r="H518" s="3614" t="str">
        <f>IF(A518="","",INDEX(DIFFERENTIATION_UNMERGE_VD,MATCH(A518,DIFFERENTIATION_ID_DIFF,0)))</f>
        <v>Производство тепловой энергии. Некомбинированная выработка</v>
      </c>
      <c r="I518" s="3614"/>
      <c r="J518" s="3614"/>
      <c r="K518" s="3614"/>
      <c r="L518" s="3614"/>
      <c r="M518" s="3614"/>
      <c r="N518" s="3614"/>
      <c r="O518" s="3614"/>
      <c r="P518" s="3614"/>
      <c r="Q518" s="3614"/>
      <c r="R518" s="3614"/>
      <c r="S518" s="609"/>
      <c r="T518" s="606"/>
      <c r="U518" s="517"/>
      <c r="V518" s="517"/>
      <c r="W518" s="518"/>
      <c r="X518" s="518"/>
      <c r="Y518" s="518"/>
      <c r="Z518" s="518"/>
      <c r="AA518" s="519"/>
      <c r="AB518" s="520"/>
      <c r="AC518" s="3617"/>
      <c r="AD518" s="521"/>
      <c r="AE518" s="522" t="s">
        <v>18</v>
      </c>
      <c r="AF518" s="522"/>
      <c r="AG518" s="523" t="s">
        <v>874</v>
      </c>
      <c r="AH518" s="524">
        <v>3</v>
      </c>
      <c r="AI518" s="517"/>
      <c r="AJ518" s="517"/>
      <c r="AK518" s="517"/>
      <c r="AL518" s="517"/>
      <c r="AM518" s="517"/>
      <c r="AN518" s="517"/>
      <c r="AO518" s="517"/>
      <c r="AP518" s="517"/>
      <c r="AQ518" s="517"/>
      <c r="AR518" s="517"/>
      <c r="AS518" s="517"/>
      <c r="AT518" s="517"/>
      <c r="AU518" s="517"/>
      <c r="AV518" s="517"/>
      <c r="AW518" s="517"/>
      <c r="AX518" s="517"/>
      <c r="AY518" s="517"/>
      <c r="AZ518" s="517"/>
      <c r="BA518" s="517"/>
      <c r="BB518" s="517"/>
      <c r="BC518" s="517"/>
      <c r="BD518" s="517"/>
      <c r="BE518" s="517"/>
      <c r="BF518" s="517"/>
      <c r="BG518" s="517"/>
      <c r="BH518" s="517"/>
      <c r="BI518" s="517"/>
      <c r="BJ518" s="517"/>
      <c r="BK518" s="517"/>
      <c r="BL518" s="517"/>
      <c r="BM518" s="517"/>
      <c r="BN518" s="517"/>
      <c r="BO518" s="517"/>
      <c r="BP518" s="517"/>
      <c r="BQ518" s="517"/>
      <c r="BR518" s="517"/>
      <c r="BS518" s="517"/>
      <c r="BT518" s="517"/>
      <c r="BU518" s="517"/>
      <c r="BV518" s="518"/>
      <c r="BW518" s="518"/>
      <c r="BX518" s="518"/>
      <c r="BY518" s="518"/>
      <c r="BZ518" s="518"/>
      <c r="CA518" s="518"/>
      <c r="CB518" s="518"/>
      <c r="CC518" s="518"/>
      <c r="CD518" s="518"/>
      <c r="CE518" s="518"/>
    </row>
    <row r="519" spans="1:83" ht="15" hidden="1" customHeight="1">
      <c r="A519" s="516"/>
      <c r="B519"/>
      <c r="C519"/>
      <c r="D519" s="3622"/>
      <c r="E519" s="3618" t="s">
        <v>829</v>
      </c>
      <c r="F519" s="3619"/>
      <c r="G519" s="3620"/>
      <c r="H519" s="3614" t="str">
        <f>IF(A518="","",INDEX(DIFFERENTIATION_UNMERGE_AREA,MATCH(A518,DIFFERENTIATION_ID_DIFF,0)))</f>
        <v>Территория 1</v>
      </c>
      <c r="I519" s="3614"/>
      <c r="J519" s="3614"/>
      <c r="K519" s="3614"/>
      <c r="L519" s="3614"/>
      <c r="M519" s="3614"/>
      <c r="N519" s="3614"/>
      <c r="O519" s="3614"/>
      <c r="P519" s="3614"/>
      <c r="Q519" s="3614"/>
      <c r="R519" s="3614"/>
      <c r="S519" s="609"/>
      <c r="T519" s="606"/>
      <c r="U519" s="517"/>
      <c r="V519" s="517"/>
      <c r="W519" s="518"/>
      <c r="X519" s="518"/>
      <c r="Y519" s="518"/>
      <c r="Z519" s="518"/>
      <c r="AA519" s="519"/>
      <c r="AB519" s="520"/>
      <c r="AC519" s="3617"/>
      <c r="AD519" s="521"/>
      <c r="AE519" s="522"/>
      <c r="AF519" s="522"/>
      <c r="AG519" s="523"/>
      <c r="AH519" s="524"/>
      <c r="AI519" s="517"/>
      <c r="AJ519" s="517"/>
      <c r="AK519" s="517"/>
      <c r="AL519" s="517"/>
      <c r="AM519" s="517"/>
      <c r="AN519" s="517"/>
      <c r="AO519" s="517"/>
      <c r="AP519" s="517"/>
      <c r="AQ519" s="517"/>
      <c r="AR519" s="517"/>
      <c r="AS519" s="517"/>
      <c r="AT519" s="517"/>
      <c r="AU519" s="517"/>
      <c r="AV519" s="517"/>
      <c r="AW519" s="517"/>
      <c r="AX519" s="517"/>
      <c r="AY519" s="517"/>
      <c r="AZ519" s="517"/>
      <c r="BA519" s="517"/>
      <c r="BB519" s="517"/>
      <c r="BC519" s="517"/>
      <c r="BD519" s="517"/>
      <c r="BE519" s="517"/>
      <c r="BF519" s="517"/>
      <c r="BG519" s="517"/>
      <c r="BH519" s="517"/>
      <c r="BI519" s="517"/>
      <c r="BJ519" s="517"/>
      <c r="BK519" s="517"/>
      <c r="BL519" s="517"/>
      <c r="BM519" s="517"/>
      <c r="BN519" s="517"/>
      <c r="BO519" s="517"/>
      <c r="BP519" s="517"/>
      <c r="BQ519" s="517"/>
      <c r="BR519" s="517"/>
      <c r="BS519" s="517"/>
      <c r="BT519" s="517"/>
      <c r="BU519" s="517"/>
      <c r="BV519" s="518"/>
      <c r="BW519" s="518"/>
      <c r="BX519" s="518"/>
      <c r="BY519" s="518"/>
      <c r="BZ519" s="518"/>
      <c r="CA519" s="518"/>
      <c r="CB519" s="518"/>
      <c r="CC519" s="518"/>
      <c r="CD519" s="518"/>
      <c r="CE519" s="518"/>
    </row>
    <row r="520" spans="1:83" ht="15" hidden="1" customHeight="1">
      <c r="A520" s="516"/>
      <c r="B520"/>
      <c r="C520"/>
      <c r="D520" s="3622"/>
      <c r="E520" s="3618" t="s">
        <v>830</v>
      </c>
      <c r="F520" s="3619"/>
      <c r="G520" s="3620"/>
      <c r="H520" s="3614" t="str">
        <f>IF(A518="","",INDEX(DIFFERENTIATION_UNMERGE_SYSTEM,MATCH(A518,DIFFERENTIATION_ID_DIFF,0)))</f>
        <v>Генерала Родина, 69а</v>
      </c>
      <c r="I520" s="3614"/>
      <c r="J520" s="3614"/>
      <c r="K520" s="3614"/>
      <c r="L520" s="3614"/>
      <c r="M520" s="3614"/>
      <c r="N520" s="3614"/>
      <c r="O520" s="3614"/>
      <c r="P520" s="3614"/>
      <c r="Q520" s="3614"/>
      <c r="R520" s="3614"/>
      <c r="S520" s="609"/>
      <c r="T520" s="606"/>
      <c r="U520" s="517"/>
      <c r="V520" s="517"/>
      <c r="W520" s="518"/>
      <c r="X520" s="518"/>
      <c r="Y520" s="518"/>
      <c r="Z520" s="518"/>
      <c r="AA520" s="519"/>
      <c r="AB520" s="520"/>
      <c r="AC520" s="3617"/>
      <c r="AD520" s="521"/>
      <c r="AE520" s="522"/>
      <c r="AF520" s="522"/>
      <c r="AG520" s="523"/>
      <c r="AH520" s="524"/>
      <c r="AI520" s="517"/>
      <c r="AJ520" s="517"/>
      <c r="AK520" s="517"/>
      <c r="AL520" s="517"/>
      <c r="AM520" s="517"/>
      <c r="AN520" s="517"/>
      <c r="AO520" s="517"/>
      <c r="AP520" s="517"/>
      <c r="AQ520" s="517"/>
      <c r="AR520" s="517"/>
      <c r="AS520" s="517"/>
      <c r="AT520" s="517"/>
      <c r="AU520" s="517"/>
      <c r="AV520" s="517"/>
      <c r="AW520" s="517"/>
      <c r="AX520" s="517"/>
      <c r="AY520" s="517"/>
      <c r="AZ520" s="517"/>
      <c r="BA520" s="517"/>
      <c r="BB520" s="517"/>
      <c r="BC520" s="517"/>
      <c r="BD520" s="517"/>
      <c r="BE520" s="517"/>
      <c r="BF520" s="517"/>
      <c r="BG520" s="517"/>
      <c r="BH520" s="517"/>
      <c r="BI520" s="517"/>
      <c r="BJ520" s="517"/>
      <c r="BK520" s="517"/>
      <c r="BL520" s="517"/>
      <c r="BM520" s="517"/>
      <c r="BN520" s="517"/>
      <c r="BO520" s="517"/>
      <c r="BP520" s="517"/>
      <c r="BQ520" s="517"/>
      <c r="BR520" s="517"/>
      <c r="BS520" s="517"/>
      <c r="BT520" s="517"/>
      <c r="BU520" s="517"/>
      <c r="BV520" s="518"/>
      <c r="BW520" s="518"/>
      <c r="BX520" s="518"/>
      <c r="BY520" s="518"/>
      <c r="BZ520" s="518"/>
      <c r="CA520" s="518"/>
      <c r="CB520" s="518"/>
      <c r="CC520" s="518"/>
      <c r="CD520" s="518"/>
      <c r="CE520" s="518"/>
    </row>
    <row r="521" spans="1:83" ht="24.75" hidden="1" customHeight="1">
      <c r="A521" s="1649"/>
      <c r="B521" s="1023"/>
      <c r="C521" s="319"/>
      <c r="D521" s="3622"/>
      <c r="E521" s="3616" t="s">
        <v>875</v>
      </c>
      <c r="F521" s="3616"/>
      <c r="G521" s="3616"/>
      <c r="H521" s="3616"/>
      <c r="I521" s="3616"/>
      <c r="J521" s="3616"/>
      <c r="K521" s="3616"/>
      <c r="L521" s="3616"/>
      <c r="M521" s="3616"/>
      <c r="N521" s="3616"/>
      <c r="O521" s="3616"/>
      <c r="P521" s="3616"/>
      <c r="Q521" s="455">
        <f>SUMIF(T522:T523,"i",Q522:Q523)</f>
        <v>0</v>
      </c>
      <c r="R521" s="887"/>
      <c r="S521" s="1641" t="s">
        <v>876</v>
      </c>
      <c r="T521" s="607" t="s">
        <v>877</v>
      </c>
      <c r="U521" s="3532">
        <v>1</v>
      </c>
      <c r="V521" s="3532" t="s">
        <v>840</v>
      </c>
      <c r="W521" s="1023"/>
      <c r="X521" s="1023"/>
      <c r="Y521" s="1023"/>
      <c r="Z521" s="1023"/>
      <c r="AA521" s="1481"/>
      <c r="AB521" s="1023"/>
      <c r="AC521" s="3617"/>
      <c r="AD521" s="521"/>
      <c r="AE521" s="1023"/>
      <c r="AF521" s="1023"/>
      <c r="AG521" s="1481"/>
      <c r="AH521" s="1481"/>
      <c r="AI521" s="1481"/>
      <c r="AJ521" s="1481"/>
      <c r="AK521" s="1481"/>
      <c r="AL521" s="1481"/>
      <c r="AM521" s="1481"/>
      <c r="AN521" s="1481"/>
      <c r="AO521" s="1481"/>
      <c r="AP521" s="1481"/>
      <c r="AQ521" s="1481"/>
      <c r="AR521" s="1481"/>
      <c r="AS521" s="1481"/>
      <c r="AT521" s="1481"/>
      <c r="AU521" s="1481"/>
      <c r="AV521" s="1481"/>
      <c r="AW521" s="1481"/>
      <c r="AX521" s="1481"/>
      <c r="AY521" s="1481"/>
      <c r="AZ521" s="1481"/>
      <c r="BA521" s="1481"/>
      <c r="BB521" s="1481"/>
      <c r="BC521" s="1481"/>
      <c r="BD521" s="1481"/>
      <c r="BE521" s="1481"/>
      <c r="BF521" s="1481"/>
      <c r="BG521" s="1481"/>
      <c r="BH521" s="1481"/>
      <c r="BI521" s="1481"/>
      <c r="BJ521" s="1481"/>
      <c r="BK521" s="1481"/>
      <c r="BL521" s="1481"/>
      <c r="BM521" s="1481"/>
      <c r="BN521" s="1481"/>
      <c r="BO521" s="1481"/>
      <c r="BP521" s="1481"/>
      <c r="BQ521" s="1481"/>
      <c r="BR521" s="1481"/>
      <c r="BS521" s="1481"/>
      <c r="BT521" s="1481"/>
      <c r="BU521" s="1481"/>
      <c r="BV521" s="1023"/>
      <c r="BW521" s="1023"/>
      <c r="BX521" s="1023"/>
      <c r="BY521" s="1023"/>
      <c r="BZ521" s="1023"/>
      <c r="CA521" s="1023"/>
      <c r="CB521" s="1023"/>
      <c r="CC521" s="1023"/>
      <c r="CD521" s="1023"/>
      <c r="CE521" s="1023"/>
    </row>
    <row r="522" spans="1:83" ht="11.25" hidden="1" customHeight="1">
      <c r="A522" s="1636"/>
      <c r="B522" s="1481"/>
      <c r="C522" s="1481"/>
      <c r="D522" s="3622"/>
      <c r="E522" s="527"/>
      <c r="F522" s="527">
        <v>0</v>
      </c>
      <c r="G522" s="527"/>
      <c r="H522" s="527"/>
      <c r="I522" s="527"/>
      <c r="J522" s="527"/>
      <c r="K522" s="527"/>
      <c r="L522" s="527"/>
      <c r="M522" s="527"/>
      <c r="N522" s="527"/>
      <c r="O522" s="527"/>
      <c r="P522" s="527"/>
      <c r="Q522" s="527"/>
      <c r="R522" s="527"/>
      <c r="S522" s="528"/>
      <c r="T522" s="608"/>
      <c r="U522" s="3532"/>
      <c r="V522" s="3532"/>
      <c r="W522" s="1481"/>
      <c r="X522" s="1481"/>
      <c r="Y522" s="1481"/>
      <c r="Z522" s="1481"/>
      <c r="AA522" s="1481"/>
      <c r="AB522" s="1023"/>
      <c r="AC522" s="3617"/>
      <c r="AD522" s="521"/>
      <c r="AE522" s="1023"/>
      <c r="AF522" s="1023"/>
      <c r="AG522" s="1481"/>
      <c r="AH522" s="1481"/>
      <c r="AI522" s="1481"/>
      <c r="AJ522" s="1481"/>
      <c r="AK522" s="1481"/>
      <c r="AL522" s="1481"/>
      <c r="AM522" s="1481"/>
      <c r="AN522" s="1481"/>
      <c r="AO522" s="1481"/>
      <c r="AP522" s="1481"/>
      <c r="AQ522" s="1481"/>
      <c r="AR522" s="1481"/>
      <c r="AS522" s="1481"/>
      <c r="AT522" s="1481"/>
      <c r="AU522" s="1481"/>
      <c r="AV522" s="1481"/>
      <c r="AW522" s="1481"/>
      <c r="AX522" s="1481"/>
      <c r="AY522" s="1481"/>
      <c r="AZ522" s="1481"/>
      <c r="BA522" s="1481"/>
      <c r="BB522" s="1481"/>
      <c r="BC522" s="1481"/>
      <c r="BD522" s="1481"/>
      <c r="BE522" s="1481"/>
      <c r="BF522" s="1481"/>
      <c r="BG522" s="1481"/>
      <c r="BH522" s="1481"/>
      <c r="BI522" s="1481"/>
      <c r="BJ522" s="1481"/>
      <c r="BK522" s="1481"/>
      <c r="BL522" s="1481"/>
      <c r="BM522" s="1481"/>
      <c r="BN522" s="1481"/>
      <c r="BO522" s="1481"/>
      <c r="BP522" s="1481"/>
      <c r="BQ522" s="1481"/>
      <c r="BR522" s="1481"/>
      <c r="BS522" s="1481"/>
      <c r="BT522" s="1481"/>
      <c r="BU522" s="1481"/>
      <c r="BV522" s="1481"/>
      <c r="BW522" s="1481"/>
      <c r="BX522" s="1481"/>
      <c r="BY522" s="1481"/>
      <c r="BZ522" s="1481"/>
      <c r="CA522" s="1481"/>
      <c r="CB522" s="1481"/>
      <c r="CC522" s="1481"/>
      <c r="CD522" s="1481"/>
      <c r="CE522" s="1481"/>
    </row>
    <row r="523" spans="1:83" ht="11.25" hidden="1" customHeight="1">
      <c r="A523" s="1649"/>
      <c r="B523" s="1023"/>
      <c r="C523" s="319"/>
      <c r="D523" s="3622"/>
      <c r="E523" s="541" t="s">
        <v>18</v>
      </c>
      <c r="F523" s="1031" t="s">
        <v>18</v>
      </c>
      <c r="G523" s="1031" t="s">
        <v>880</v>
      </c>
      <c r="H523" s="543" t="s">
        <v>18</v>
      </c>
      <c r="I523" s="543"/>
      <c r="J523" s="543"/>
      <c r="K523" s="543"/>
      <c r="L523" s="543"/>
      <c r="M523" s="543"/>
      <c r="N523" s="543"/>
      <c r="O523" s="543"/>
      <c r="P523" s="543"/>
      <c r="Q523" s="543"/>
      <c r="R523" s="544"/>
      <c r="S523" s="545"/>
      <c r="T523" s="608"/>
      <c r="U523" s="3532"/>
      <c r="V523" s="3532"/>
      <c r="W523" s="1023"/>
      <c r="X523" s="1023"/>
      <c r="Y523" s="1023"/>
      <c r="Z523" s="1023"/>
      <c r="AA523" s="1481"/>
      <c r="AB523" s="1023"/>
      <c r="AC523" s="3617"/>
      <c r="AD523" s="521"/>
      <c r="AE523" s="1023"/>
      <c r="AF523" s="1023"/>
      <c r="AG523" s="1481"/>
      <c r="AH523" s="1481"/>
      <c r="AI523" s="1481"/>
      <c r="AJ523" s="1481"/>
      <c r="AK523" s="1481"/>
      <c r="AL523" s="1481"/>
      <c r="AM523" s="1481"/>
      <c r="AN523" s="1481"/>
      <c r="AO523" s="1481"/>
      <c r="AP523" s="1481"/>
      <c r="AQ523" s="1481"/>
      <c r="AR523" s="1481"/>
      <c r="AS523" s="1481"/>
      <c r="AT523" s="1481"/>
      <c r="AU523" s="1481"/>
      <c r="AV523" s="1481"/>
      <c r="AW523" s="1481"/>
      <c r="AX523" s="1481"/>
      <c r="AY523" s="1481"/>
      <c r="AZ523" s="1481"/>
      <c r="BA523" s="1481"/>
      <c r="BB523" s="1481"/>
      <c r="BC523" s="1481"/>
      <c r="BD523" s="1481"/>
      <c r="BE523" s="1481"/>
      <c r="BF523" s="1481"/>
      <c r="BG523" s="1481"/>
      <c r="BH523" s="1481"/>
      <c r="BI523" s="1481"/>
      <c r="BJ523" s="1481"/>
      <c r="BK523" s="1481"/>
      <c r="BL523" s="1481"/>
      <c r="BM523" s="1481"/>
      <c r="BN523" s="1481"/>
      <c r="BO523" s="1481"/>
      <c r="BP523" s="1481"/>
      <c r="BQ523" s="1481"/>
      <c r="BR523" s="1481"/>
      <c r="BS523" s="1481"/>
      <c r="BT523" s="1481"/>
      <c r="BU523" s="1481"/>
      <c r="BV523" s="1023"/>
      <c r="BW523" s="1023"/>
      <c r="BX523" s="1023"/>
      <c r="BY523" s="1023"/>
      <c r="BZ523" s="1023"/>
      <c r="CA523" s="1023"/>
      <c r="CB523" s="1023"/>
      <c r="CC523" s="1023"/>
      <c r="CD523" s="1023"/>
      <c r="CE523" s="1023"/>
    </row>
    <row r="524" spans="1:83" ht="5.25" hidden="1" customHeight="1">
      <c r="A524" s="1636"/>
      <c r="B524" s="1481"/>
      <c r="C524" s="1481"/>
      <c r="D524" s="3622"/>
      <c r="E524" s="909"/>
      <c r="F524" s="909"/>
      <c r="G524" s="909"/>
      <c r="H524" s="909"/>
      <c r="I524" s="909"/>
      <c r="J524" s="909"/>
      <c r="K524" s="909"/>
      <c r="L524" s="909"/>
      <c r="M524" s="909"/>
      <c r="N524" s="909"/>
      <c r="O524" s="909"/>
      <c r="P524" s="909"/>
      <c r="Q524" s="910"/>
      <c r="R524" s="911"/>
      <c r="S524" s="912"/>
      <c r="T524" s="607" t="s">
        <v>877</v>
      </c>
      <c r="U524" s="3532">
        <v>1</v>
      </c>
      <c r="V524" s="3532" t="s">
        <v>840</v>
      </c>
      <c r="W524" s="1481"/>
      <c r="X524" s="1481"/>
      <c r="Y524" s="1481"/>
      <c r="Z524" s="1481"/>
      <c r="AA524" s="1481"/>
      <c r="AB524" s="1481"/>
      <c r="AC524" s="907"/>
      <c r="AD524" s="908"/>
      <c r="AE524" s="1481"/>
      <c r="AF524" s="1481"/>
      <c r="AG524" s="1481"/>
      <c r="AH524" s="1481"/>
      <c r="AI524" s="1481"/>
      <c r="AJ524" s="1481"/>
      <c r="AK524" s="1481"/>
      <c r="AL524" s="1481"/>
      <c r="AM524" s="1481"/>
      <c r="AN524" s="1481"/>
      <c r="AO524" s="1481"/>
      <c r="AP524" s="1481"/>
      <c r="AQ524" s="1481"/>
      <c r="AR524" s="1481"/>
      <c r="AS524" s="1481"/>
      <c r="AT524" s="1481"/>
      <c r="AU524" s="1481"/>
      <c r="AV524" s="1481"/>
      <c r="AW524" s="1481"/>
      <c r="AX524" s="1481"/>
      <c r="AY524" s="1481"/>
      <c r="AZ524" s="1481"/>
      <c r="BA524" s="1481"/>
      <c r="BB524" s="1481"/>
      <c r="BC524" s="1481"/>
      <c r="BD524" s="1481"/>
      <c r="BE524" s="1481"/>
      <c r="BF524" s="1481"/>
      <c r="BG524" s="1481"/>
      <c r="BH524" s="1481"/>
      <c r="BI524" s="1481"/>
      <c r="BJ524" s="1481"/>
      <c r="BK524" s="1481"/>
      <c r="BL524" s="1481"/>
      <c r="BM524" s="1481"/>
      <c r="BN524" s="1481"/>
      <c r="BO524" s="1481"/>
      <c r="BP524" s="1481"/>
      <c r="BQ524" s="1481"/>
      <c r="BR524" s="1481"/>
      <c r="BS524" s="1481"/>
      <c r="BT524" s="1481"/>
      <c r="BU524" s="1481"/>
      <c r="BV524" s="1481"/>
      <c r="BW524" s="1481"/>
      <c r="BX524" s="1481"/>
      <c r="BY524" s="1481"/>
      <c r="BZ524" s="1481"/>
      <c r="CA524" s="1481"/>
      <c r="CB524" s="1481"/>
      <c r="CC524" s="1481"/>
      <c r="CD524" s="1481"/>
      <c r="CE524" s="1481"/>
    </row>
    <row r="525" spans="1:83" ht="5.25" hidden="1" customHeight="1">
      <c r="A525" s="1636"/>
      <c r="B525" s="1481"/>
      <c r="C525" s="1481"/>
      <c r="D525" s="3622"/>
      <c r="E525" s="527"/>
      <c r="F525" s="527"/>
      <c r="G525" s="527"/>
      <c r="H525" s="527"/>
      <c r="I525" s="527"/>
      <c r="J525" s="527"/>
      <c r="K525" s="527"/>
      <c r="L525" s="527"/>
      <c r="M525" s="527"/>
      <c r="N525" s="527"/>
      <c r="O525" s="527"/>
      <c r="P525" s="527"/>
      <c r="Q525" s="527"/>
      <c r="R525" s="527"/>
      <c r="S525" s="528"/>
      <c r="T525" s="608"/>
      <c r="U525" s="3532"/>
      <c r="V525" s="3532"/>
      <c r="W525" s="1481"/>
      <c r="X525" s="1481"/>
      <c r="Y525" s="1481"/>
      <c r="Z525" s="1481"/>
      <c r="AA525" s="1481"/>
      <c r="AB525" s="1481"/>
      <c r="AC525" s="907"/>
      <c r="AD525" s="908"/>
      <c r="AE525" s="1481"/>
      <c r="AF525" s="1481"/>
      <c r="AG525" s="1481"/>
      <c r="AH525" s="1481"/>
      <c r="AI525" s="1481"/>
      <c r="AJ525" s="1481"/>
      <c r="AK525" s="1481"/>
      <c r="AL525" s="1481"/>
      <c r="AM525" s="1481"/>
      <c r="AN525" s="1481"/>
      <c r="AO525" s="1481"/>
      <c r="AP525" s="1481"/>
      <c r="AQ525" s="1481"/>
      <c r="AR525" s="1481"/>
      <c r="AS525" s="1481"/>
      <c r="AT525" s="1481"/>
      <c r="AU525" s="1481"/>
      <c r="AV525" s="1481"/>
      <c r="AW525" s="1481"/>
      <c r="AX525" s="1481"/>
      <c r="AY525" s="1481"/>
      <c r="AZ525" s="1481"/>
      <c r="BA525" s="1481"/>
      <c r="BB525" s="1481"/>
      <c r="BC525" s="1481"/>
      <c r="BD525" s="1481"/>
      <c r="BE525" s="1481"/>
      <c r="BF525" s="1481"/>
      <c r="BG525" s="1481"/>
      <c r="BH525" s="1481"/>
      <c r="BI525" s="1481"/>
      <c r="BJ525" s="1481"/>
      <c r="BK525" s="1481"/>
      <c r="BL525" s="1481"/>
      <c r="BM525" s="1481"/>
      <c r="BN525" s="1481"/>
      <c r="BO525" s="1481"/>
      <c r="BP525" s="1481"/>
      <c r="BQ525" s="1481"/>
      <c r="BR525" s="1481"/>
      <c r="BS525" s="1481"/>
      <c r="BT525" s="1481"/>
      <c r="BU525" s="1481"/>
      <c r="BV525" s="1481"/>
      <c r="BW525" s="1481"/>
      <c r="BX525" s="1481"/>
      <c r="BY525" s="1481"/>
      <c r="BZ525" s="1481"/>
      <c r="CA525" s="1481"/>
      <c r="CB525" s="1481"/>
      <c r="CC525" s="1481"/>
      <c r="CD525" s="1481"/>
      <c r="CE525" s="1481"/>
    </row>
    <row r="526" spans="1:83" ht="5.25" hidden="1" customHeight="1">
      <c r="A526" s="1636"/>
      <c r="B526" s="1481"/>
      <c r="C526" s="1481"/>
      <c r="D526" s="3623"/>
      <c r="E526" s="913"/>
      <c r="F526" s="914"/>
      <c r="G526" s="914"/>
      <c r="H526" s="915"/>
      <c r="I526" s="915"/>
      <c r="J526" s="915"/>
      <c r="K526" s="915"/>
      <c r="L526" s="915"/>
      <c r="M526" s="915"/>
      <c r="N526" s="915"/>
      <c r="O526" s="915"/>
      <c r="P526" s="915"/>
      <c r="Q526" s="915"/>
      <c r="R526" s="818"/>
      <c r="S526" s="916"/>
      <c r="T526" s="608"/>
      <c r="U526" s="3532"/>
      <c r="V526" s="3532"/>
      <c r="W526" s="1481"/>
      <c r="X526" s="1481"/>
      <c r="Y526" s="1481"/>
      <c r="Z526" s="1481"/>
      <c r="AA526" s="1481"/>
      <c r="AB526" s="1481"/>
      <c r="AC526" s="907"/>
      <c r="AD526" s="908"/>
      <c r="AE526" s="1481"/>
      <c r="AF526" s="1481"/>
      <c r="AG526" s="1481"/>
      <c r="AH526" s="1481"/>
      <c r="AI526" s="1481"/>
      <c r="AJ526" s="1481"/>
      <c r="AK526" s="1481"/>
      <c r="AL526" s="1481"/>
      <c r="AM526" s="1481"/>
      <c r="AN526" s="1481"/>
      <c r="AO526" s="1481"/>
      <c r="AP526" s="1481"/>
      <c r="AQ526" s="1481"/>
      <c r="AR526" s="1481"/>
      <c r="AS526" s="1481"/>
      <c r="AT526" s="1481"/>
      <c r="AU526" s="1481"/>
      <c r="AV526" s="1481"/>
      <c r="AW526" s="1481"/>
      <c r="AX526" s="1481"/>
      <c r="AY526" s="1481"/>
      <c r="AZ526" s="1481"/>
      <c r="BA526" s="1481"/>
      <c r="BB526" s="1481"/>
      <c r="BC526" s="1481"/>
      <c r="BD526" s="1481"/>
      <c r="BE526" s="1481"/>
      <c r="BF526" s="1481"/>
      <c r="BG526" s="1481"/>
      <c r="BH526" s="1481"/>
      <c r="BI526" s="1481"/>
      <c r="BJ526" s="1481"/>
      <c r="BK526" s="1481"/>
      <c r="BL526" s="1481"/>
      <c r="BM526" s="1481"/>
      <c r="BN526" s="1481"/>
      <c r="BO526" s="1481"/>
      <c r="BP526" s="1481"/>
      <c r="BQ526" s="1481"/>
      <c r="BR526" s="1481"/>
      <c r="BS526" s="1481"/>
      <c r="BT526" s="1481"/>
      <c r="BU526" s="1481"/>
      <c r="BV526" s="1481"/>
      <c r="BW526" s="1481"/>
      <c r="BX526" s="1481"/>
      <c r="BY526" s="1481"/>
      <c r="BZ526" s="1481"/>
      <c r="CA526" s="1481"/>
      <c r="CB526" s="1481"/>
      <c r="CC526" s="1481"/>
      <c r="CD526" s="1481"/>
      <c r="CE526" s="1481"/>
    </row>
    <row r="527" spans="1:83" ht="15" hidden="1" customHeight="1">
      <c r="A527" s="516" t="s">
        <v>281</v>
      </c>
      <c r="B527"/>
      <c r="C527" t="s">
        <v>18</v>
      </c>
      <c r="D527" s="3621" t="s">
        <v>936</v>
      </c>
      <c r="E527" s="3618" t="s">
        <v>102</v>
      </c>
      <c r="F527" s="3619"/>
      <c r="G527" s="3620"/>
      <c r="H527" s="3614" t="str">
        <f>IF(A527="","",INDEX(DIFFERENTIATION_UNMERGE_VD,MATCH(A527,DIFFERENTIATION_ID_DIFF,0)))</f>
        <v>Производство тепловой энергии. Некомбинированная выработка</v>
      </c>
      <c r="I527" s="3614"/>
      <c r="J527" s="3614"/>
      <c r="K527" s="3614"/>
      <c r="L527" s="3614"/>
      <c r="M527" s="3614"/>
      <c r="N527" s="3614"/>
      <c r="O527" s="3614"/>
      <c r="P527" s="3614"/>
      <c r="Q527" s="3614"/>
      <c r="R527" s="3614"/>
      <c r="S527" s="609"/>
      <c r="T527" s="606"/>
      <c r="U527" s="517"/>
      <c r="V527" s="517"/>
      <c r="W527" s="518"/>
      <c r="X527" s="518"/>
      <c r="Y527" s="518"/>
      <c r="Z527" s="518"/>
      <c r="AA527" s="519"/>
      <c r="AB527" s="520"/>
      <c r="AC527" s="3617"/>
      <c r="AD527" s="521"/>
      <c r="AE527" s="522" t="s">
        <v>18</v>
      </c>
      <c r="AF527" s="522"/>
      <c r="AG527" s="523" t="s">
        <v>874</v>
      </c>
      <c r="AH527" s="524">
        <v>3</v>
      </c>
      <c r="AI527" s="517"/>
      <c r="AJ527" s="517"/>
      <c r="AK527" s="517"/>
      <c r="AL527" s="517"/>
      <c r="AM527" s="517"/>
      <c r="AN527" s="517"/>
      <c r="AO527" s="517"/>
      <c r="AP527" s="517"/>
      <c r="AQ527" s="517"/>
      <c r="AR527" s="517"/>
      <c r="AS527" s="517"/>
      <c r="AT527" s="517"/>
      <c r="AU527" s="517"/>
      <c r="AV527" s="517"/>
      <c r="AW527" s="517"/>
      <c r="AX527" s="517"/>
      <c r="AY527" s="517"/>
      <c r="AZ527" s="517"/>
      <c r="BA527" s="517"/>
      <c r="BB527" s="517"/>
      <c r="BC527" s="517"/>
      <c r="BD527" s="517"/>
      <c r="BE527" s="517"/>
      <c r="BF527" s="517"/>
      <c r="BG527" s="517"/>
      <c r="BH527" s="517"/>
      <c r="BI527" s="517"/>
      <c r="BJ527" s="517"/>
      <c r="BK527" s="517"/>
      <c r="BL527" s="517"/>
      <c r="BM527" s="517"/>
      <c r="BN527" s="517"/>
      <c r="BO527" s="517"/>
      <c r="BP527" s="517"/>
      <c r="BQ527" s="517"/>
      <c r="BR527" s="517"/>
      <c r="BS527" s="517"/>
      <c r="BT527" s="517"/>
      <c r="BU527" s="517"/>
      <c r="BV527" s="518"/>
      <c r="BW527" s="518"/>
      <c r="BX527" s="518"/>
      <c r="BY527" s="518"/>
      <c r="BZ527" s="518"/>
      <c r="CA527" s="518"/>
      <c r="CB527" s="518"/>
      <c r="CC527" s="518"/>
      <c r="CD527" s="518"/>
      <c r="CE527" s="518"/>
    </row>
    <row r="528" spans="1:83" ht="15" hidden="1" customHeight="1">
      <c r="A528" s="516"/>
      <c r="B528"/>
      <c r="C528"/>
      <c r="D528" s="3622"/>
      <c r="E528" s="3618" t="s">
        <v>829</v>
      </c>
      <c r="F528" s="3619"/>
      <c r="G528" s="3620"/>
      <c r="H528" s="3614" t="str">
        <f>IF(A527="","",INDEX(DIFFERENTIATION_UNMERGE_AREA,MATCH(A527,DIFFERENTIATION_ID_DIFF,0)))</f>
        <v>Территория 1</v>
      </c>
      <c r="I528" s="3614"/>
      <c r="J528" s="3614"/>
      <c r="K528" s="3614"/>
      <c r="L528" s="3614"/>
      <c r="M528" s="3614"/>
      <c r="N528" s="3614"/>
      <c r="O528" s="3614"/>
      <c r="P528" s="3614"/>
      <c r="Q528" s="3614"/>
      <c r="R528" s="3614"/>
      <c r="S528" s="609"/>
      <c r="T528" s="606"/>
      <c r="U528" s="517"/>
      <c r="V528" s="517"/>
      <c r="W528" s="518"/>
      <c r="X528" s="518"/>
      <c r="Y528" s="518"/>
      <c r="Z528" s="518"/>
      <c r="AA528" s="519"/>
      <c r="AB528" s="520"/>
      <c r="AC528" s="3617"/>
      <c r="AD528" s="521"/>
      <c r="AE528" s="522"/>
      <c r="AF528" s="522"/>
      <c r="AG528" s="523"/>
      <c r="AH528" s="524"/>
      <c r="AI528" s="517"/>
      <c r="AJ528" s="517"/>
      <c r="AK528" s="517"/>
      <c r="AL528" s="517"/>
      <c r="AM528" s="517"/>
      <c r="AN528" s="517"/>
      <c r="AO528" s="517"/>
      <c r="AP528" s="517"/>
      <c r="AQ528" s="517"/>
      <c r="AR528" s="517"/>
      <c r="AS528" s="517"/>
      <c r="AT528" s="517"/>
      <c r="AU528" s="517"/>
      <c r="AV528" s="517"/>
      <c r="AW528" s="517"/>
      <c r="AX528" s="517"/>
      <c r="AY528" s="517"/>
      <c r="AZ528" s="517"/>
      <c r="BA528" s="517"/>
      <c r="BB528" s="517"/>
      <c r="BC528" s="517"/>
      <c r="BD528" s="517"/>
      <c r="BE528" s="517"/>
      <c r="BF528" s="517"/>
      <c r="BG528" s="517"/>
      <c r="BH528" s="517"/>
      <c r="BI528" s="517"/>
      <c r="BJ528" s="517"/>
      <c r="BK528" s="517"/>
      <c r="BL528" s="517"/>
      <c r="BM528" s="517"/>
      <c r="BN528" s="517"/>
      <c r="BO528" s="517"/>
      <c r="BP528" s="517"/>
      <c r="BQ528" s="517"/>
      <c r="BR528" s="517"/>
      <c r="BS528" s="517"/>
      <c r="BT528" s="517"/>
      <c r="BU528" s="517"/>
      <c r="BV528" s="518"/>
      <c r="BW528" s="518"/>
      <c r="BX528" s="518"/>
      <c r="BY528" s="518"/>
      <c r="BZ528" s="518"/>
      <c r="CA528" s="518"/>
      <c r="CB528" s="518"/>
      <c r="CC528" s="518"/>
      <c r="CD528" s="518"/>
      <c r="CE528" s="518"/>
    </row>
    <row r="529" spans="1:83" ht="15" hidden="1" customHeight="1">
      <c r="A529" s="516"/>
      <c r="B529"/>
      <c r="C529"/>
      <c r="D529" s="3622"/>
      <c r="E529" s="3618" t="s">
        <v>830</v>
      </c>
      <c r="F529" s="3619"/>
      <c r="G529" s="3620"/>
      <c r="H529" s="3614" t="str">
        <f>IF(A527="","",INDEX(DIFFERENTIATION_UNMERGE_SYSTEM,MATCH(A527,DIFFERENTIATION_ID_DIFF,0)))</f>
        <v>Ипподромный,2а</v>
      </c>
      <c r="I529" s="3614"/>
      <c r="J529" s="3614"/>
      <c r="K529" s="3614"/>
      <c r="L529" s="3614"/>
      <c r="M529" s="3614"/>
      <c r="N529" s="3614"/>
      <c r="O529" s="3614"/>
      <c r="P529" s="3614"/>
      <c r="Q529" s="3614"/>
      <c r="R529" s="3614"/>
      <c r="S529" s="609"/>
      <c r="T529" s="606"/>
      <c r="U529" s="517"/>
      <c r="V529" s="517"/>
      <c r="W529" s="518"/>
      <c r="X529" s="518"/>
      <c r="Y529" s="518"/>
      <c r="Z529" s="518"/>
      <c r="AA529" s="519"/>
      <c r="AB529" s="520"/>
      <c r="AC529" s="3617"/>
      <c r="AD529" s="521"/>
      <c r="AE529" s="522"/>
      <c r="AF529" s="522"/>
      <c r="AG529" s="523"/>
      <c r="AH529" s="524"/>
      <c r="AI529" s="517"/>
      <c r="AJ529" s="517"/>
      <c r="AK529" s="517"/>
      <c r="AL529" s="517"/>
      <c r="AM529" s="517"/>
      <c r="AN529" s="517"/>
      <c r="AO529" s="517"/>
      <c r="AP529" s="517"/>
      <c r="AQ529" s="517"/>
      <c r="AR529" s="517"/>
      <c r="AS529" s="517"/>
      <c r="AT529" s="517"/>
      <c r="AU529" s="517"/>
      <c r="AV529" s="517"/>
      <c r="AW529" s="517"/>
      <c r="AX529" s="517"/>
      <c r="AY529" s="517"/>
      <c r="AZ529" s="517"/>
      <c r="BA529" s="517"/>
      <c r="BB529" s="517"/>
      <c r="BC529" s="517"/>
      <c r="BD529" s="517"/>
      <c r="BE529" s="517"/>
      <c r="BF529" s="517"/>
      <c r="BG529" s="517"/>
      <c r="BH529" s="517"/>
      <c r="BI529" s="517"/>
      <c r="BJ529" s="517"/>
      <c r="BK529" s="517"/>
      <c r="BL529" s="517"/>
      <c r="BM529" s="517"/>
      <c r="BN529" s="517"/>
      <c r="BO529" s="517"/>
      <c r="BP529" s="517"/>
      <c r="BQ529" s="517"/>
      <c r="BR529" s="517"/>
      <c r="BS529" s="517"/>
      <c r="BT529" s="517"/>
      <c r="BU529" s="517"/>
      <c r="BV529" s="518"/>
      <c r="BW529" s="518"/>
      <c r="BX529" s="518"/>
      <c r="BY529" s="518"/>
      <c r="BZ529" s="518"/>
      <c r="CA529" s="518"/>
      <c r="CB529" s="518"/>
      <c r="CC529" s="518"/>
      <c r="CD529" s="518"/>
      <c r="CE529" s="518"/>
    </row>
    <row r="530" spans="1:83" ht="24.75" hidden="1" customHeight="1">
      <c r="A530" s="1649"/>
      <c r="B530" s="1023"/>
      <c r="C530" s="319"/>
      <c r="D530" s="3622"/>
      <c r="E530" s="3616" t="s">
        <v>875</v>
      </c>
      <c r="F530" s="3616"/>
      <c r="G530" s="3616"/>
      <c r="H530" s="3616"/>
      <c r="I530" s="3616"/>
      <c r="J530" s="3616"/>
      <c r="K530" s="3616"/>
      <c r="L530" s="3616"/>
      <c r="M530" s="3616"/>
      <c r="N530" s="3616"/>
      <c r="O530" s="3616"/>
      <c r="P530" s="3616"/>
      <c r="Q530" s="455">
        <f>SUMIF(T531:T532,"i",Q531:Q532)</f>
        <v>0</v>
      </c>
      <c r="R530" s="887"/>
      <c r="S530" s="1641" t="s">
        <v>876</v>
      </c>
      <c r="T530" s="607" t="s">
        <v>877</v>
      </c>
      <c r="U530" s="3532">
        <v>1</v>
      </c>
      <c r="V530" s="3532" t="s">
        <v>840</v>
      </c>
      <c r="W530" s="1023"/>
      <c r="X530" s="1023"/>
      <c r="Y530" s="1023"/>
      <c r="Z530" s="1023"/>
      <c r="AA530" s="1481"/>
      <c r="AB530" s="1023"/>
      <c r="AC530" s="3617"/>
      <c r="AD530" s="521"/>
      <c r="AE530" s="1023"/>
      <c r="AF530" s="1023"/>
      <c r="AG530" s="1481"/>
      <c r="AH530" s="1481"/>
      <c r="AI530" s="1481"/>
      <c r="AJ530" s="1481"/>
      <c r="AK530" s="1481"/>
      <c r="AL530" s="1481"/>
      <c r="AM530" s="1481"/>
      <c r="AN530" s="1481"/>
      <c r="AO530" s="1481"/>
      <c r="AP530" s="1481"/>
      <c r="AQ530" s="1481"/>
      <c r="AR530" s="1481"/>
      <c r="AS530" s="1481"/>
      <c r="AT530" s="1481"/>
      <c r="AU530" s="1481"/>
      <c r="AV530" s="1481"/>
      <c r="AW530" s="1481"/>
      <c r="AX530" s="1481"/>
      <c r="AY530" s="1481"/>
      <c r="AZ530" s="1481"/>
      <c r="BA530" s="1481"/>
      <c r="BB530" s="1481"/>
      <c r="BC530" s="1481"/>
      <c r="BD530" s="1481"/>
      <c r="BE530" s="1481"/>
      <c r="BF530" s="1481"/>
      <c r="BG530" s="1481"/>
      <c r="BH530" s="1481"/>
      <c r="BI530" s="1481"/>
      <c r="BJ530" s="1481"/>
      <c r="BK530" s="1481"/>
      <c r="BL530" s="1481"/>
      <c r="BM530" s="1481"/>
      <c r="BN530" s="1481"/>
      <c r="BO530" s="1481"/>
      <c r="BP530" s="1481"/>
      <c r="BQ530" s="1481"/>
      <c r="BR530" s="1481"/>
      <c r="BS530" s="1481"/>
      <c r="BT530" s="1481"/>
      <c r="BU530" s="1481"/>
      <c r="BV530" s="1023"/>
      <c r="BW530" s="1023"/>
      <c r="BX530" s="1023"/>
      <c r="BY530" s="1023"/>
      <c r="BZ530" s="1023"/>
      <c r="CA530" s="1023"/>
      <c r="CB530" s="1023"/>
      <c r="CC530" s="1023"/>
      <c r="CD530" s="1023"/>
      <c r="CE530" s="1023"/>
    </row>
    <row r="531" spans="1:83" ht="11.25" hidden="1" customHeight="1">
      <c r="A531" s="1636"/>
      <c r="B531" s="1481"/>
      <c r="C531" s="1481"/>
      <c r="D531" s="3622"/>
      <c r="E531" s="527"/>
      <c r="F531" s="527">
        <v>0</v>
      </c>
      <c r="G531" s="527"/>
      <c r="H531" s="527"/>
      <c r="I531" s="527"/>
      <c r="J531" s="527"/>
      <c r="K531" s="527"/>
      <c r="L531" s="527"/>
      <c r="M531" s="527"/>
      <c r="N531" s="527"/>
      <c r="O531" s="527"/>
      <c r="P531" s="527"/>
      <c r="Q531" s="527"/>
      <c r="R531" s="527"/>
      <c r="S531" s="528"/>
      <c r="T531" s="608"/>
      <c r="U531" s="3532"/>
      <c r="V531" s="3532"/>
      <c r="W531" s="1481"/>
      <c r="X531" s="1481"/>
      <c r="Y531" s="1481"/>
      <c r="Z531" s="1481"/>
      <c r="AA531" s="1481"/>
      <c r="AB531" s="1023"/>
      <c r="AC531" s="3617"/>
      <c r="AD531" s="521"/>
      <c r="AE531" s="1023"/>
      <c r="AF531" s="1023"/>
      <c r="AG531" s="1481"/>
      <c r="AH531" s="1481"/>
      <c r="AI531" s="1481"/>
      <c r="AJ531" s="1481"/>
      <c r="AK531" s="1481"/>
      <c r="AL531" s="1481"/>
      <c r="AM531" s="1481"/>
      <c r="AN531" s="1481"/>
      <c r="AO531" s="1481"/>
      <c r="AP531" s="1481"/>
      <c r="AQ531" s="1481"/>
      <c r="AR531" s="1481"/>
      <c r="AS531" s="1481"/>
      <c r="AT531" s="1481"/>
      <c r="AU531" s="1481"/>
      <c r="AV531" s="1481"/>
      <c r="AW531" s="1481"/>
      <c r="AX531" s="1481"/>
      <c r="AY531" s="1481"/>
      <c r="AZ531" s="1481"/>
      <c r="BA531" s="1481"/>
      <c r="BB531" s="1481"/>
      <c r="BC531" s="1481"/>
      <c r="BD531" s="1481"/>
      <c r="BE531" s="1481"/>
      <c r="BF531" s="1481"/>
      <c r="BG531" s="1481"/>
      <c r="BH531" s="1481"/>
      <c r="BI531" s="1481"/>
      <c r="BJ531" s="1481"/>
      <c r="BK531" s="1481"/>
      <c r="BL531" s="1481"/>
      <c r="BM531" s="1481"/>
      <c r="BN531" s="1481"/>
      <c r="BO531" s="1481"/>
      <c r="BP531" s="1481"/>
      <c r="BQ531" s="1481"/>
      <c r="BR531" s="1481"/>
      <c r="BS531" s="1481"/>
      <c r="BT531" s="1481"/>
      <c r="BU531" s="1481"/>
      <c r="BV531" s="1481"/>
      <c r="BW531" s="1481"/>
      <c r="BX531" s="1481"/>
      <c r="BY531" s="1481"/>
      <c r="BZ531" s="1481"/>
      <c r="CA531" s="1481"/>
      <c r="CB531" s="1481"/>
      <c r="CC531" s="1481"/>
      <c r="CD531" s="1481"/>
      <c r="CE531" s="1481"/>
    </row>
    <row r="532" spans="1:83" ht="11.25" hidden="1" customHeight="1">
      <c r="A532" s="1649"/>
      <c r="B532" s="1023"/>
      <c r="C532" s="319"/>
      <c r="D532" s="3622"/>
      <c r="E532" s="541" t="s">
        <v>18</v>
      </c>
      <c r="F532" s="1031" t="s">
        <v>18</v>
      </c>
      <c r="G532" s="1031" t="s">
        <v>880</v>
      </c>
      <c r="H532" s="543" t="s">
        <v>18</v>
      </c>
      <c r="I532" s="543"/>
      <c r="J532" s="543"/>
      <c r="K532" s="543"/>
      <c r="L532" s="543"/>
      <c r="M532" s="543"/>
      <c r="N532" s="543"/>
      <c r="O532" s="543"/>
      <c r="P532" s="543"/>
      <c r="Q532" s="543"/>
      <c r="R532" s="544"/>
      <c r="S532" s="545"/>
      <c r="T532" s="608"/>
      <c r="U532" s="3532"/>
      <c r="V532" s="3532"/>
      <c r="W532" s="1023"/>
      <c r="X532" s="1023"/>
      <c r="Y532" s="1023"/>
      <c r="Z532" s="1023"/>
      <c r="AA532" s="1481"/>
      <c r="AB532" s="1023"/>
      <c r="AC532" s="3617"/>
      <c r="AD532" s="521"/>
      <c r="AE532" s="1023"/>
      <c r="AF532" s="1023"/>
      <c r="AG532" s="1481"/>
      <c r="AH532" s="1481"/>
      <c r="AI532" s="1481"/>
      <c r="AJ532" s="1481"/>
      <c r="AK532" s="1481"/>
      <c r="AL532" s="1481"/>
      <c r="AM532" s="1481"/>
      <c r="AN532" s="1481"/>
      <c r="AO532" s="1481"/>
      <c r="AP532" s="1481"/>
      <c r="AQ532" s="1481"/>
      <c r="AR532" s="1481"/>
      <c r="AS532" s="1481"/>
      <c r="AT532" s="1481"/>
      <c r="AU532" s="1481"/>
      <c r="AV532" s="1481"/>
      <c r="AW532" s="1481"/>
      <c r="AX532" s="1481"/>
      <c r="AY532" s="1481"/>
      <c r="AZ532" s="1481"/>
      <c r="BA532" s="1481"/>
      <c r="BB532" s="1481"/>
      <c r="BC532" s="1481"/>
      <c r="BD532" s="1481"/>
      <c r="BE532" s="1481"/>
      <c r="BF532" s="1481"/>
      <c r="BG532" s="1481"/>
      <c r="BH532" s="1481"/>
      <c r="BI532" s="1481"/>
      <c r="BJ532" s="1481"/>
      <c r="BK532" s="1481"/>
      <c r="BL532" s="1481"/>
      <c r="BM532" s="1481"/>
      <c r="BN532" s="1481"/>
      <c r="BO532" s="1481"/>
      <c r="BP532" s="1481"/>
      <c r="BQ532" s="1481"/>
      <c r="BR532" s="1481"/>
      <c r="BS532" s="1481"/>
      <c r="BT532" s="1481"/>
      <c r="BU532" s="1481"/>
      <c r="BV532" s="1023"/>
      <c r="BW532" s="1023"/>
      <c r="BX532" s="1023"/>
      <c r="BY532" s="1023"/>
      <c r="BZ532" s="1023"/>
      <c r="CA532" s="1023"/>
      <c r="CB532" s="1023"/>
      <c r="CC532" s="1023"/>
      <c r="CD532" s="1023"/>
      <c r="CE532" s="1023"/>
    </row>
    <row r="533" spans="1:83" ht="5.25" hidden="1" customHeight="1">
      <c r="A533" s="1636"/>
      <c r="B533" s="1481"/>
      <c r="C533" s="1481"/>
      <c r="D533" s="3622"/>
      <c r="E533" s="909"/>
      <c r="F533" s="909"/>
      <c r="G533" s="909"/>
      <c r="H533" s="909"/>
      <c r="I533" s="909"/>
      <c r="J533" s="909"/>
      <c r="K533" s="909"/>
      <c r="L533" s="909"/>
      <c r="M533" s="909"/>
      <c r="N533" s="909"/>
      <c r="O533" s="909"/>
      <c r="P533" s="909"/>
      <c r="Q533" s="910"/>
      <c r="R533" s="911"/>
      <c r="S533" s="912"/>
      <c r="T533" s="607" t="s">
        <v>877</v>
      </c>
      <c r="U533" s="3532">
        <v>1</v>
      </c>
      <c r="V533" s="3532" t="s">
        <v>840</v>
      </c>
      <c r="W533" s="1481"/>
      <c r="X533" s="1481"/>
      <c r="Y533" s="1481"/>
      <c r="Z533" s="1481"/>
      <c r="AA533" s="1481"/>
      <c r="AB533" s="1481"/>
      <c r="AC533" s="907"/>
      <c r="AD533" s="908"/>
      <c r="AE533" s="1481"/>
      <c r="AF533" s="1481"/>
      <c r="AG533" s="1481"/>
      <c r="AH533" s="1481"/>
      <c r="AI533" s="1481"/>
      <c r="AJ533" s="1481"/>
      <c r="AK533" s="1481"/>
      <c r="AL533" s="1481"/>
      <c r="AM533" s="1481"/>
      <c r="AN533" s="1481"/>
      <c r="AO533" s="1481"/>
      <c r="AP533" s="1481"/>
      <c r="AQ533" s="1481"/>
      <c r="AR533" s="1481"/>
      <c r="AS533" s="1481"/>
      <c r="AT533" s="1481"/>
      <c r="AU533" s="1481"/>
      <c r="AV533" s="1481"/>
      <c r="AW533" s="1481"/>
      <c r="AX533" s="1481"/>
      <c r="AY533" s="1481"/>
      <c r="AZ533" s="1481"/>
      <c r="BA533" s="1481"/>
      <c r="BB533" s="1481"/>
      <c r="BC533" s="1481"/>
      <c r="BD533" s="1481"/>
      <c r="BE533" s="1481"/>
      <c r="BF533" s="1481"/>
      <c r="BG533" s="1481"/>
      <c r="BH533" s="1481"/>
      <c r="BI533" s="1481"/>
      <c r="BJ533" s="1481"/>
      <c r="BK533" s="1481"/>
      <c r="BL533" s="1481"/>
      <c r="BM533" s="1481"/>
      <c r="BN533" s="1481"/>
      <c r="BO533" s="1481"/>
      <c r="BP533" s="1481"/>
      <c r="BQ533" s="1481"/>
      <c r="BR533" s="1481"/>
      <c r="BS533" s="1481"/>
      <c r="BT533" s="1481"/>
      <c r="BU533" s="1481"/>
      <c r="BV533" s="1481"/>
      <c r="BW533" s="1481"/>
      <c r="BX533" s="1481"/>
      <c r="BY533" s="1481"/>
      <c r="BZ533" s="1481"/>
      <c r="CA533" s="1481"/>
      <c r="CB533" s="1481"/>
      <c r="CC533" s="1481"/>
      <c r="CD533" s="1481"/>
      <c r="CE533" s="1481"/>
    </row>
    <row r="534" spans="1:83" ht="5.25" hidden="1" customHeight="1">
      <c r="A534" s="1636"/>
      <c r="B534" s="1481"/>
      <c r="C534" s="1481"/>
      <c r="D534" s="3622"/>
      <c r="E534" s="527"/>
      <c r="F534" s="527"/>
      <c r="G534" s="527"/>
      <c r="H534" s="527"/>
      <c r="I534" s="527"/>
      <c r="J534" s="527"/>
      <c r="K534" s="527"/>
      <c r="L534" s="527"/>
      <c r="M534" s="527"/>
      <c r="N534" s="527"/>
      <c r="O534" s="527"/>
      <c r="P534" s="527"/>
      <c r="Q534" s="527"/>
      <c r="R534" s="527"/>
      <c r="S534" s="528"/>
      <c r="T534" s="608"/>
      <c r="U534" s="3532"/>
      <c r="V534" s="3532"/>
      <c r="W534" s="1481"/>
      <c r="X534" s="1481"/>
      <c r="Y534" s="1481"/>
      <c r="Z534" s="1481"/>
      <c r="AA534" s="1481"/>
      <c r="AB534" s="1481"/>
      <c r="AC534" s="907"/>
      <c r="AD534" s="908"/>
      <c r="AE534" s="1481"/>
      <c r="AF534" s="1481"/>
      <c r="AG534" s="1481"/>
      <c r="AH534" s="1481"/>
      <c r="AI534" s="1481"/>
      <c r="AJ534" s="1481"/>
      <c r="AK534" s="1481"/>
      <c r="AL534" s="1481"/>
      <c r="AM534" s="1481"/>
      <c r="AN534" s="1481"/>
      <c r="AO534" s="1481"/>
      <c r="AP534" s="1481"/>
      <c r="AQ534" s="1481"/>
      <c r="AR534" s="1481"/>
      <c r="AS534" s="1481"/>
      <c r="AT534" s="1481"/>
      <c r="AU534" s="1481"/>
      <c r="AV534" s="1481"/>
      <c r="AW534" s="1481"/>
      <c r="AX534" s="1481"/>
      <c r="AY534" s="1481"/>
      <c r="AZ534" s="1481"/>
      <c r="BA534" s="1481"/>
      <c r="BB534" s="1481"/>
      <c r="BC534" s="1481"/>
      <c r="BD534" s="1481"/>
      <c r="BE534" s="1481"/>
      <c r="BF534" s="1481"/>
      <c r="BG534" s="1481"/>
      <c r="BH534" s="1481"/>
      <c r="BI534" s="1481"/>
      <c r="BJ534" s="1481"/>
      <c r="BK534" s="1481"/>
      <c r="BL534" s="1481"/>
      <c r="BM534" s="1481"/>
      <c r="BN534" s="1481"/>
      <c r="BO534" s="1481"/>
      <c r="BP534" s="1481"/>
      <c r="BQ534" s="1481"/>
      <c r="BR534" s="1481"/>
      <c r="BS534" s="1481"/>
      <c r="BT534" s="1481"/>
      <c r="BU534" s="1481"/>
      <c r="BV534" s="1481"/>
      <c r="BW534" s="1481"/>
      <c r="BX534" s="1481"/>
      <c r="BY534" s="1481"/>
      <c r="BZ534" s="1481"/>
      <c r="CA534" s="1481"/>
      <c r="CB534" s="1481"/>
      <c r="CC534" s="1481"/>
      <c r="CD534" s="1481"/>
      <c r="CE534" s="1481"/>
    </row>
    <row r="535" spans="1:83" ht="5.25" hidden="1" customHeight="1">
      <c r="A535" s="1636"/>
      <c r="B535" s="1481"/>
      <c r="C535" s="1481"/>
      <c r="D535" s="3623"/>
      <c r="E535" s="913"/>
      <c r="F535" s="914"/>
      <c r="G535" s="914"/>
      <c r="H535" s="915"/>
      <c r="I535" s="915"/>
      <c r="J535" s="915"/>
      <c r="K535" s="915"/>
      <c r="L535" s="915"/>
      <c r="M535" s="915"/>
      <c r="N535" s="915"/>
      <c r="O535" s="915"/>
      <c r="P535" s="915"/>
      <c r="Q535" s="915"/>
      <c r="R535" s="818"/>
      <c r="S535" s="916"/>
      <c r="T535" s="608"/>
      <c r="U535" s="3532"/>
      <c r="V535" s="3532"/>
      <c r="W535" s="1481"/>
      <c r="X535" s="1481"/>
      <c r="Y535" s="1481"/>
      <c r="Z535" s="1481"/>
      <c r="AA535" s="1481"/>
      <c r="AB535" s="1481"/>
      <c r="AC535" s="907"/>
      <c r="AD535" s="908"/>
      <c r="AE535" s="1481"/>
      <c r="AF535" s="1481"/>
      <c r="AG535" s="1481"/>
      <c r="AH535" s="1481"/>
      <c r="AI535" s="1481"/>
      <c r="AJ535" s="1481"/>
      <c r="AK535" s="1481"/>
      <c r="AL535" s="1481"/>
      <c r="AM535" s="1481"/>
      <c r="AN535" s="1481"/>
      <c r="AO535" s="1481"/>
      <c r="AP535" s="1481"/>
      <c r="AQ535" s="1481"/>
      <c r="AR535" s="1481"/>
      <c r="AS535" s="1481"/>
      <c r="AT535" s="1481"/>
      <c r="AU535" s="1481"/>
      <c r="AV535" s="1481"/>
      <c r="AW535" s="1481"/>
      <c r="AX535" s="1481"/>
      <c r="AY535" s="1481"/>
      <c r="AZ535" s="1481"/>
      <c r="BA535" s="1481"/>
      <c r="BB535" s="1481"/>
      <c r="BC535" s="1481"/>
      <c r="BD535" s="1481"/>
      <c r="BE535" s="1481"/>
      <c r="BF535" s="1481"/>
      <c r="BG535" s="1481"/>
      <c r="BH535" s="1481"/>
      <c r="BI535" s="1481"/>
      <c r="BJ535" s="1481"/>
      <c r="BK535" s="1481"/>
      <c r="BL535" s="1481"/>
      <c r="BM535" s="1481"/>
      <c r="BN535" s="1481"/>
      <c r="BO535" s="1481"/>
      <c r="BP535" s="1481"/>
      <c r="BQ535" s="1481"/>
      <c r="BR535" s="1481"/>
      <c r="BS535" s="1481"/>
      <c r="BT535" s="1481"/>
      <c r="BU535" s="1481"/>
      <c r="BV535" s="1481"/>
      <c r="BW535" s="1481"/>
      <c r="BX535" s="1481"/>
      <c r="BY535" s="1481"/>
      <c r="BZ535" s="1481"/>
      <c r="CA535" s="1481"/>
      <c r="CB535" s="1481"/>
      <c r="CC535" s="1481"/>
      <c r="CD535" s="1481"/>
      <c r="CE535" s="1481"/>
    </row>
    <row r="536" spans="1:83" ht="15" hidden="1" customHeight="1">
      <c r="A536" s="516" t="s">
        <v>284</v>
      </c>
      <c r="B536"/>
      <c r="C536" t="s">
        <v>18</v>
      </c>
      <c r="D536" s="3621" t="s">
        <v>937</v>
      </c>
      <c r="E536" s="3618" t="s">
        <v>102</v>
      </c>
      <c r="F536" s="3619"/>
      <c r="G536" s="3620"/>
      <c r="H536" s="3614" t="str">
        <f>IF(A536="","",INDEX(DIFFERENTIATION_UNMERGE_VD,MATCH(A536,DIFFERENTIATION_ID_DIFF,0)))</f>
        <v>Производство тепловой энергии. Некомбинированная выработка</v>
      </c>
      <c r="I536" s="3614"/>
      <c r="J536" s="3614"/>
      <c r="K536" s="3614"/>
      <c r="L536" s="3614"/>
      <c r="M536" s="3614"/>
      <c r="N536" s="3614"/>
      <c r="O536" s="3614"/>
      <c r="P536" s="3614"/>
      <c r="Q536" s="3614"/>
      <c r="R536" s="3614"/>
      <c r="S536" s="609"/>
      <c r="T536" s="606"/>
      <c r="U536" s="517"/>
      <c r="V536" s="517"/>
      <c r="W536" s="518"/>
      <c r="X536" s="518"/>
      <c r="Y536" s="518"/>
      <c r="Z536" s="518"/>
      <c r="AA536" s="519"/>
      <c r="AB536" s="520"/>
      <c r="AC536" s="3617"/>
      <c r="AD536" s="521"/>
      <c r="AE536" s="522" t="s">
        <v>18</v>
      </c>
      <c r="AF536" s="522"/>
      <c r="AG536" s="523" t="s">
        <v>874</v>
      </c>
      <c r="AH536" s="524">
        <v>3</v>
      </c>
      <c r="AI536" s="517"/>
      <c r="AJ536" s="517"/>
      <c r="AK536" s="517"/>
      <c r="AL536" s="517"/>
      <c r="AM536" s="517"/>
      <c r="AN536" s="517"/>
      <c r="AO536" s="517"/>
      <c r="AP536" s="517"/>
      <c r="AQ536" s="517"/>
      <c r="AR536" s="517"/>
      <c r="AS536" s="517"/>
      <c r="AT536" s="517"/>
      <c r="AU536" s="517"/>
      <c r="AV536" s="517"/>
      <c r="AW536" s="517"/>
      <c r="AX536" s="517"/>
      <c r="AY536" s="517"/>
      <c r="AZ536" s="517"/>
      <c r="BA536" s="517"/>
      <c r="BB536" s="517"/>
      <c r="BC536" s="517"/>
      <c r="BD536" s="517"/>
      <c r="BE536" s="517"/>
      <c r="BF536" s="517"/>
      <c r="BG536" s="517"/>
      <c r="BH536" s="517"/>
      <c r="BI536" s="517"/>
      <c r="BJ536" s="517"/>
      <c r="BK536" s="517"/>
      <c r="BL536" s="517"/>
      <c r="BM536" s="517"/>
      <c r="BN536" s="517"/>
      <c r="BO536" s="517"/>
      <c r="BP536" s="517"/>
      <c r="BQ536" s="517"/>
      <c r="BR536" s="517"/>
      <c r="BS536" s="517"/>
      <c r="BT536" s="517"/>
      <c r="BU536" s="517"/>
      <c r="BV536" s="518"/>
      <c r="BW536" s="518"/>
      <c r="BX536" s="518"/>
      <c r="BY536" s="518"/>
      <c r="BZ536" s="518"/>
      <c r="CA536" s="518"/>
      <c r="CB536" s="518"/>
      <c r="CC536" s="518"/>
      <c r="CD536" s="518"/>
      <c r="CE536" s="518"/>
    </row>
    <row r="537" spans="1:83" ht="15" hidden="1" customHeight="1">
      <c r="A537" s="516"/>
      <c r="B537"/>
      <c r="C537"/>
      <c r="D537" s="3622"/>
      <c r="E537" s="3618" t="s">
        <v>829</v>
      </c>
      <c r="F537" s="3619"/>
      <c r="G537" s="3620"/>
      <c r="H537" s="3614" t="str">
        <f>IF(A536="","",INDEX(DIFFERENTIATION_UNMERGE_AREA,MATCH(A536,DIFFERENTIATION_ID_DIFF,0)))</f>
        <v>Территория 1</v>
      </c>
      <c r="I537" s="3614"/>
      <c r="J537" s="3614"/>
      <c r="K537" s="3614"/>
      <c r="L537" s="3614"/>
      <c r="M537" s="3614"/>
      <c r="N537" s="3614"/>
      <c r="O537" s="3614"/>
      <c r="P537" s="3614"/>
      <c r="Q537" s="3614"/>
      <c r="R537" s="3614"/>
      <c r="S537" s="609"/>
      <c r="T537" s="606"/>
      <c r="U537" s="517"/>
      <c r="V537" s="517"/>
      <c r="W537" s="518"/>
      <c r="X537" s="518"/>
      <c r="Y537" s="518"/>
      <c r="Z537" s="518"/>
      <c r="AA537" s="519"/>
      <c r="AB537" s="520"/>
      <c r="AC537" s="3617"/>
      <c r="AD537" s="521"/>
      <c r="AE537" s="522"/>
      <c r="AF537" s="522"/>
      <c r="AG537" s="523"/>
      <c r="AH537" s="524"/>
      <c r="AI537" s="517"/>
      <c r="AJ537" s="517"/>
      <c r="AK537" s="517"/>
      <c r="AL537" s="517"/>
      <c r="AM537" s="517"/>
      <c r="AN537" s="517"/>
      <c r="AO537" s="517"/>
      <c r="AP537" s="517"/>
      <c r="AQ537" s="517"/>
      <c r="AR537" s="517"/>
      <c r="AS537" s="517"/>
      <c r="AT537" s="517"/>
      <c r="AU537" s="517"/>
      <c r="AV537" s="517"/>
      <c r="AW537" s="517"/>
      <c r="AX537" s="517"/>
      <c r="AY537" s="517"/>
      <c r="AZ537" s="517"/>
      <c r="BA537" s="517"/>
      <c r="BB537" s="517"/>
      <c r="BC537" s="517"/>
      <c r="BD537" s="517"/>
      <c r="BE537" s="517"/>
      <c r="BF537" s="517"/>
      <c r="BG537" s="517"/>
      <c r="BH537" s="517"/>
      <c r="BI537" s="517"/>
      <c r="BJ537" s="517"/>
      <c r="BK537" s="517"/>
      <c r="BL537" s="517"/>
      <c r="BM537" s="517"/>
      <c r="BN537" s="517"/>
      <c r="BO537" s="517"/>
      <c r="BP537" s="517"/>
      <c r="BQ537" s="517"/>
      <c r="BR537" s="517"/>
      <c r="BS537" s="517"/>
      <c r="BT537" s="517"/>
      <c r="BU537" s="517"/>
      <c r="BV537" s="518"/>
      <c r="BW537" s="518"/>
      <c r="BX537" s="518"/>
      <c r="BY537" s="518"/>
      <c r="BZ537" s="518"/>
      <c r="CA537" s="518"/>
      <c r="CB537" s="518"/>
      <c r="CC537" s="518"/>
      <c r="CD537" s="518"/>
      <c r="CE537" s="518"/>
    </row>
    <row r="538" spans="1:83" ht="15" hidden="1" customHeight="1">
      <c r="A538" s="516"/>
      <c r="B538"/>
      <c r="C538"/>
      <c r="D538" s="3622"/>
      <c r="E538" s="3618" t="s">
        <v>830</v>
      </c>
      <c r="F538" s="3619"/>
      <c r="G538" s="3620"/>
      <c r="H538" s="3614" t="str">
        <f>IF(A536="","",INDEX(DIFFERENTIATION_UNMERGE_SYSTEM,MATCH(A536,DIFFERENTIATION_ID_DIFF,0)))</f>
        <v>Лескова, 31а</v>
      </c>
      <c r="I538" s="3614"/>
      <c r="J538" s="3614"/>
      <c r="K538" s="3614"/>
      <c r="L538" s="3614"/>
      <c r="M538" s="3614"/>
      <c r="N538" s="3614"/>
      <c r="O538" s="3614"/>
      <c r="P538" s="3614"/>
      <c r="Q538" s="3614"/>
      <c r="R538" s="3614"/>
      <c r="S538" s="609"/>
      <c r="T538" s="606"/>
      <c r="U538" s="517"/>
      <c r="V538" s="517"/>
      <c r="W538" s="518"/>
      <c r="X538" s="518"/>
      <c r="Y538" s="518"/>
      <c r="Z538" s="518"/>
      <c r="AA538" s="519"/>
      <c r="AB538" s="520"/>
      <c r="AC538" s="3617"/>
      <c r="AD538" s="521"/>
      <c r="AE538" s="522"/>
      <c r="AF538" s="522"/>
      <c r="AG538" s="523"/>
      <c r="AH538" s="524"/>
      <c r="AI538" s="517"/>
      <c r="AJ538" s="517"/>
      <c r="AK538" s="517"/>
      <c r="AL538" s="517"/>
      <c r="AM538" s="517"/>
      <c r="AN538" s="517"/>
      <c r="AO538" s="517"/>
      <c r="AP538" s="517"/>
      <c r="AQ538" s="517"/>
      <c r="AR538" s="517"/>
      <c r="AS538" s="517"/>
      <c r="AT538" s="517"/>
      <c r="AU538" s="517"/>
      <c r="AV538" s="517"/>
      <c r="AW538" s="517"/>
      <c r="AX538" s="517"/>
      <c r="AY538" s="517"/>
      <c r="AZ538" s="517"/>
      <c r="BA538" s="517"/>
      <c r="BB538" s="517"/>
      <c r="BC538" s="517"/>
      <c r="BD538" s="517"/>
      <c r="BE538" s="517"/>
      <c r="BF538" s="517"/>
      <c r="BG538" s="517"/>
      <c r="BH538" s="517"/>
      <c r="BI538" s="517"/>
      <c r="BJ538" s="517"/>
      <c r="BK538" s="517"/>
      <c r="BL538" s="517"/>
      <c r="BM538" s="517"/>
      <c r="BN538" s="517"/>
      <c r="BO538" s="517"/>
      <c r="BP538" s="517"/>
      <c r="BQ538" s="517"/>
      <c r="BR538" s="517"/>
      <c r="BS538" s="517"/>
      <c r="BT538" s="517"/>
      <c r="BU538" s="517"/>
      <c r="BV538" s="518"/>
      <c r="BW538" s="518"/>
      <c r="BX538" s="518"/>
      <c r="BY538" s="518"/>
      <c r="BZ538" s="518"/>
      <c r="CA538" s="518"/>
      <c r="CB538" s="518"/>
      <c r="CC538" s="518"/>
      <c r="CD538" s="518"/>
      <c r="CE538" s="518"/>
    </row>
    <row r="539" spans="1:83" ht="24.75" hidden="1" customHeight="1">
      <c r="A539" s="1649"/>
      <c r="B539" s="1023"/>
      <c r="C539" s="319"/>
      <c r="D539" s="3622"/>
      <c r="E539" s="3616" t="s">
        <v>875</v>
      </c>
      <c r="F539" s="3616"/>
      <c r="G539" s="3616"/>
      <c r="H539" s="3616"/>
      <c r="I539" s="3616"/>
      <c r="J539" s="3616"/>
      <c r="K539" s="3616"/>
      <c r="L539" s="3616"/>
      <c r="M539" s="3616"/>
      <c r="N539" s="3616"/>
      <c r="O539" s="3616"/>
      <c r="P539" s="3616"/>
      <c r="Q539" s="455">
        <f>SUMIF(T540:T541,"i",Q540:Q541)</f>
        <v>0</v>
      </c>
      <c r="R539" s="887"/>
      <c r="S539" s="1641" t="s">
        <v>876</v>
      </c>
      <c r="T539" s="607" t="s">
        <v>877</v>
      </c>
      <c r="U539" s="3532">
        <v>1</v>
      </c>
      <c r="V539" s="3532" t="s">
        <v>840</v>
      </c>
      <c r="W539" s="1023"/>
      <c r="X539" s="1023"/>
      <c r="Y539" s="1023"/>
      <c r="Z539" s="1023"/>
      <c r="AA539" s="1481"/>
      <c r="AB539" s="1023"/>
      <c r="AC539" s="3617"/>
      <c r="AD539" s="521"/>
      <c r="AE539" s="1023"/>
      <c r="AF539" s="1023"/>
      <c r="AG539" s="1481"/>
      <c r="AH539" s="1481"/>
      <c r="AI539" s="1481"/>
      <c r="AJ539" s="1481"/>
      <c r="AK539" s="1481"/>
      <c r="AL539" s="1481"/>
      <c r="AM539" s="1481"/>
      <c r="AN539" s="1481"/>
      <c r="AO539" s="1481"/>
      <c r="AP539" s="1481"/>
      <c r="AQ539" s="1481"/>
      <c r="AR539" s="1481"/>
      <c r="AS539" s="1481"/>
      <c r="AT539" s="1481"/>
      <c r="AU539" s="1481"/>
      <c r="AV539" s="1481"/>
      <c r="AW539" s="1481"/>
      <c r="AX539" s="1481"/>
      <c r="AY539" s="1481"/>
      <c r="AZ539" s="1481"/>
      <c r="BA539" s="1481"/>
      <c r="BB539" s="1481"/>
      <c r="BC539" s="1481"/>
      <c r="BD539" s="1481"/>
      <c r="BE539" s="1481"/>
      <c r="BF539" s="1481"/>
      <c r="BG539" s="1481"/>
      <c r="BH539" s="1481"/>
      <c r="BI539" s="1481"/>
      <c r="BJ539" s="1481"/>
      <c r="BK539" s="1481"/>
      <c r="BL539" s="1481"/>
      <c r="BM539" s="1481"/>
      <c r="BN539" s="1481"/>
      <c r="BO539" s="1481"/>
      <c r="BP539" s="1481"/>
      <c r="BQ539" s="1481"/>
      <c r="BR539" s="1481"/>
      <c r="BS539" s="1481"/>
      <c r="BT539" s="1481"/>
      <c r="BU539" s="1481"/>
      <c r="BV539" s="1023"/>
      <c r="BW539" s="1023"/>
      <c r="BX539" s="1023"/>
      <c r="BY539" s="1023"/>
      <c r="BZ539" s="1023"/>
      <c r="CA539" s="1023"/>
      <c r="CB539" s="1023"/>
      <c r="CC539" s="1023"/>
      <c r="CD539" s="1023"/>
      <c r="CE539" s="1023"/>
    </row>
    <row r="540" spans="1:83" ht="11.25" hidden="1" customHeight="1">
      <c r="A540" s="1636"/>
      <c r="B540" s="1481"/>
      <c r="C540" s="1481"/>
      <c r="D540" s="3622"/>
      <c r="E540" s="527"/>
      <c r="F540" s="527">
        <v>0</v>
      </c>
      <c r="G540" s="527"/>
      <c r="H540" s="527"/>
      <c r="I540" s="527"/>
      <c r="J540" s="527"/>
      <c r="K540" s="527"/>
      <c r="L540" s="527"/>
      <c r="M540" s="527"/>
      <c r="N540" s="527"/>
      <c r="O540" s="527"/>
      <c r="P540" s="527"/>
      <c r="Q540" s="527"/>
      <c r="R540" s="527"/>
      <c r="S540" s="528"/>
      <c r="T540" s="608"/>
      <c r="U540" s="3532"/>
      <c r="V540" s="3532"/>
      <c r="W540" s="1481"/>
      <c r="X540" s="1481"/>
      <c r="Y540" s="1481"/>
      <c r="Z540" s="1481"/>
      <c r="AA540" s="1481"/>
      <c r="AB540" s="1023"/>
      <c r="AC540" s="3617"/>
      <c r="AD540" s="521"/>
      <c r="AE540" s="1023"/>
      <c r="AF540" s="1023"/>
      <c r="AG540" s="1481"/>
      <c r="AH540" s="1481"/>
      <c r="AI540" s="1481"/>
      <c r="AJ540" s="1481"/>
      <c r="AK540" s="1481"/>
      <c r="AL540" s="1481"/>
      <c r="AM540" s="1481"/>
      <c r="AN540" s="1481"/>
      <c r="AO540" s="1481"/>
      <c r="AP540" s="1481"/>
      <c r="AQ540" s="1481"/>
      <c r="AR540" s="1481"/>
      <c r="AS540" s="1481"/>
      <c r="AT540" s="1481"/>
      <c r="AU540" s="1481"/>
      <c r="AV540" s="1481"/>
      <c r="AW540" s="1481"/>
      <c r="AX540" s="1481"/>
      <c r="AY540" s="1481"/>
      <c r="AZ540" s="1481"/>
      <c r="BA540" s="1481"/>
      <c r="BB540" s="1481"/>
      <c r="BC540" s="1481"/>
      <c r="BD540" s="1481"/>
      <c r="BE540" s="1481"/>
      <c r="BF540" s="1481"/>
      <c r="BG540" s="1481"/>
      <c r="BH540" s="1481"/>
      <c r="BI540" s="1481"/>
      <c r="BJ540" s="1481"/>
      <c r="BK540" s="1481"/>
      <c r="BL540" s="1481"/>
      <c r="BM540" s="1481"/>
      <c r="BN540" s="1481"/>
      <c r="BO540" s="1481"/>
      <c r="BP540" s="1481"/>
      <c r="BQ540" s="1481"/>
      <c r="BR540" s="1481"/>
      <c r="BS540" s="1481"/>
      <c r="BT540" s="1481"/>
      <c r="BU540" s="1481"/>
      <c r="BV540" s="1481"/>
      <c r="BW540" s="1481"/>
      <c r="BX540" s="1481"/>
      <c r="BY540" s="1481"/>
      <c r="BZ540" s="1481"/>
      <c r="CA540" s="1481"/>
      <c r="CB540" s="1481"/>
      <c r="CC540" s="1481"/>
      <c r="CD540" s="1481"/>
      <c r="CE540" s="1481"/>
    </row>
    <row r="541" spans="1:83" ht="11.25" hidden="1" customHeight="1">
      <c r="A541" s="1649"/>
      <c r="B541" s="1023"/>
      <c r="C541" s="319"/>
      <c r="D541" s="3622"/>
      <c r="E541" s="541" t="s">
        <v>18</v>
      </c>
      <c r="F541" s="1031" t="s">
        <v>18</v>
      </c>
      <c r="G541" s="1031" t="s">
        <v>880</v>
      </c>
      <c r="H541" s="543" t="s">
        <v>18</v>
      </c>
      <c r="I541" s="543"/>
      <c r="J541" s="543"/>
      <c r="K541" s="543"/>
      <c r="L541" s="543"/>
      <c r="M541" s="543"/>
      <c r="N541" s="543"/>
      <c r="O541" s="543"/>
      <c r="P541" s="543"/>
      <c r="Q541" s="543"/>
      <c r="R541" s="544"/>
      <c r="S541" s="545"/>
      <c r="T541" s="608"/>
      <c r="U541" s="3532"/>
      <c r="V541" s="3532"/>
      <c r="W541" s="1023"/>
      <c r="X541" s="1023"/>
      <c r="Y541" s="1023"/>
      <c r="Z541" s="1023"/>
      <c r="AA541" s="1481"/>
      <c r="AB541" s="1023"/>
      <c r="AC541" s="3617"/>
      <c r="AD541" s="521"/>
      <c r="AE541" s="1023"/>
      <c r="AF541" s="1023"/>
      <c r="AG541" s="1481"/>
      <c r="AH541" s="1481"/>
      <c r="AI541" s="1481"/>
      <c r="AJ541" s="1481"/>
      <c r="AK541" s="1481"/>
      <c r="AL541" s="1481"/>
      <c r="AM541" s="1481"/>
      <c r="AN541" s="1481"/>
      <c r="AO541" s="1481"/>
      <c r="AP541" s="1481"/>
      <c r="AQ541" s="1481"/>
      <c r="AR541" s="1481"/>
      <c r="AS541" s="1481"/>
      <c r="AT541" s="1481"/>
      <c r="AU541" s="1481"/>
      <c r="AV541" s="1481"/>
      <c r="AW541" s="1481"/>
      <c r="AX541" s="1481"/>
      <c r="AY541" s="1481"/>
      <c r="AZ541" s="1481"/>
      <c r="BA541" s="1481"/>
      <c r="BB541" s="1481"/>
      <c r="BC541" s="1481"/>
      <c r="BD541" s="1481"/>
      <c r="BE541" s="1481"/>
      <c r="BF541" s="1481"/>
      <c r="BG541" s="1481"/>
      <c r="BH541" s="1481"/>
      <c r="BI541" s="1481"/>
      <c r="BJ541" s="1481"/>
      <c r="BK541" s="1481"/>
      <c r="BL541" s="1481"/>
      <c r="BM541" s="1481"/>
      <c r="BN541" s="1481"/>
      <c r="BO541" s="1481"/>
      <c r="BP541" s="1481"/>
      <c r="BQ541" s="1481"/>
      <c r="BR541" s="1481"/>
      <c r="BS541" s="1481"/>
      <c r="BT541" s="1481"/>
      <c r="BU541" s="1481"/>
      <c r="BV541" s="1023"/>
      <c r="BW541" s="1023"/>
      <c r="BX541" s="1023"/>
      <c r="BY541" s="1023"/>
      <c r="BZ541" s="1023"/>
      <c r="CA541" s="1023"/>
      <c r="CB541" s="1023"/>
      <c r="CC541" s="1023"/>
      <c r="CD541" s="1023"/>
      <c r="CE541" s="1023"/>
    </row>
    <row r="542" spans="1:83" ht="5.25" hidden="1" customHeight="1">
      <c r="A542" s="1636"/>
      <c r="B542" s="1481"/>
      <c r="C542" s="1481"/>
      <c r="D542" s="3622"/>
      <c r="E542" s="909"/>
      <c r="F542" s="909"/>
      <c r="G542" s="909"/>
      <c r="H542" s="909"/>
      <c r="I542" s="909"/>
      <c r="J542" s="909"/>
      <c r="K542" s="909"/>
      <c r="L542" s="909"/>
      <c r="M542" s="909"/>
      <c r="N542" s="909"/>
      <c r="O542" s="909"/>
      <c r="P542" s="909"/>
      <c r="Q542" s="910"/>
      <c r="R542" s="911"/>
      <c r="S542" s="912"/>
      <c r="T542" s="607" t="s">
        <v>877</v>
      </c>
      <c r="U542" s="3532">
        <v>1</v>
      </c>
      <c r="V542" s="3532" t="s">
        <v>840</v>
      </c>
      <c r="W542" s="1481"/>
      <c r="X542" s="1481"/>
      <c r="Y542" s="1481"/>
      <c r="Z542" s="1481"/>
      <c r="AA542" s="1481"/>
      <c r="AB542" s="1481"/>
      <c r="AC542" s="907"/>
      <c r="AD542" s="908"/>
      <c r="AE542" s="1481"/>
      <c r="AF542" s="1481"/>
      <c r="AG542" s="1481"/>
      <c r="AH542" s="1481"/>
      <c r="AI542" s="1481"/>
      <c r="AJ542" s="1481"/>
      <c r="AK542" s="1481"/>
      <c r="AL542" s="1481"/>
      <c r="AM542" s="1481"/>
      <c r="AN542" s="1481"/>
      <c r="AO542" s="1481"/>
      <c r="AP542" s="1481"/>
      <c r="AQ542" s="1481"/>
      <c r="AR542" s="1481"/>
      <c r="AS542" s="1481"/>
      <c r="AT542" s="1481"/>
      <c r="AU542" s="1481"/>
      <c r="AV542" s="1481"/>
      <c r="AW542" s="1481"/>
      <c r="AX542" s="1481"/>
      <c r="AY542" s="1481"/>
      <c r="AZ542" s="1481"/>
      <c r="BA542" s="1481"/>
      <c r="BB542" s="1481"/>
      <c r="BC542" s="1481"/>
      <c r="BD542" s="1481"/>
      <c r="BE542" s="1481"/>
      <c r="BF542" s="1481"/>
      <c r="BG542" s="1481"/>
      <c r="BH542" s="1481"/>
      <c r="BI542" s="1481"/>
      <c r="BJ542" s="1481"/>
      <c r="BK542" s="1481"/>
      <c r="BL542" s="1481"/>
      <c r="BM542" s="1481"/>
      <c r="BN542" s="1481"/>
      <c r="BO542" s="1481"/>
      <c r="BP542" s="1481"/>
      <c r="BQ542" s="1481"/>
      <c r="BR542" s="1481"/>
      <c r="BS542" s="1481"/>
      <c r="BT542" s="1481"/>
      <c r="BU542" s="1481"/>
      <c r="BV542" s="1481"/>
      <c r="BW542" s="1481"/>
      <c r="BX542" s="1481"/>
      <c r="BY542" s="1481"/>
      <c r="BZ542" s="1481"/>
      <c r="CA542" s="1481"/>
      <c r="CB542" s="1481"/>
      <c r="CC542" s="1481"/>
      <c r="CD542" s="1481"/>
      <c r="CE542" s="1481"/>
    </row>
    <row r="543" spans="1:83" ht="5.25" hidden="1" customHeight="1">
      <c r="A543" s="1636"/>
      <c r="B543" s="1481"/>
      <c r="C543" s="1481"/>
      <c r="D543" s="3622"/>
      <c r="E543" s="527"/>
      <c r="F543" s="527"/>
      <c r="G543" s="527"/>
      <c r="H543" s="527"/>
      <c r="I543" s="527"/>
      <c r="J543" s="527"/>
      <c r="K543" s="527"/>
      <c r="L543" s="527"/>
      <c r="M543" s="527"/>
      <c r="N543" s="527"/>
      <c r="O543" s="527"/>
      <c r="P543" s="527"/>
      <c r="Q543" s="527"/>
      <c r="R543" s="527"/>
      <c r="S543" s="528"/>
      <c r="T543" s="608"/>
      <c r="U543" s="3532"/>
      <c r="V543" s="3532"/>
      <c r="W543" s="1481"/>
      <c r="X543" s="1481"/>
      <c r="Y543" s="1481"/>
      <c r="Z543" s="1481"/>
      <c r="AA543" s="1481"/>
      <c r="AB543" s="1481"/>
      <c r="AC543" s="907"/>
      <c r="AD543" s="908"/>
      <c r="AE543" s="1481"/>
      <c r="AF543" s="1481"/>
      <c r="AG543" s="1481"/>
      <c r="AH543" s="1481"/>
      <c r="AI543" s="1481"/>
      <c r="AJ543" s="1481"/>
      <c r="AK543" s="1481"/>
      <c r="AL543" s="1481"/>
      <c r="AM543" s="1481"/>
      <c r="AN543" s="1481"/>
      <c r="AO543" s="1481"/>
      <c r="AP543" s="1481"/>
      <c r="AQ543" s="1481"/>
      <c r="AR543" s="1481"/>
      <c r="AS543" s="1481"/>
      <c r="AT543" s="1481"/>
      <c r="AU543" s="1481"/>
      <c r="AV543" s="1481"/>
      <c r="AW543" s="1481"/>
      <c r="AX543" s="1481"/>
      <c r="AY543" s="1481"/>
      <c r="AZ543" s="1481"/>
      <c r="BA543" s="1481"/>
      <c r="BB543" s="1481"/>
      <c r="BC543" s="1481"/>
      <c r="BD543" s="1481"/>
      <c r="BE543" s="1481"/>
      <c r="BF543" s="1481"/>
      <c r="BG543" s="1481"/>
      <c r="BH543" s="1481"/>
      <c r="BI543" s="1481"/>
      <c r="BJ543" s="1481"/>
      <c r="BK543" s="1481"/>
      <c r="BL543" s="1481"/>
      <c r="BM543" s="1481"/>
      <c r="BN543" s="1481"/>
      <c r="BO543" s="1481"/>
      <c r="BP543" s="1481"/>
      <c r="BQ543" s="1481"/>
      <c r="BR543" s="1481"/>
      <c r="BS543" s="1481"/>
      <c r="BT543" s="1481"/>
      <c r="BU543" s="1481"/>
      <c r="BV543" s="1481"/>
      <c r="BW543" s="1481"/>
      <c r="BX543" s="1481"/>
      <c r="BY543" s="1481"/>
      <c r="BZ543" s="1481"/>
      <c r="CA543" s="1481"/>
      <c r="CB543" s="1481"/>
      <c r="CC543" s="1481"/>
      <c r="CD543" s="1481"/>
      <c r="CE543" s="1481"/>
    </row>
    <row r="544" spans="1:83" ht="5.25" hidden="1" customHeight="1">
      <c r="A544" s="1636"/>
      <c r="B544" s="1481"/>
      <c r="C544" s="1481"/>
      <c r="D544" s="3623"/>
      <c r="E544" s="913"/>
      <c r="F544" s="914"/>
      <c r="G544" s="914"/>
      <c r="H544" s="915"/>
      <c r="I544" s="915"/>
      <c r="J544" s="915"/>
      <c r="K544" s="915"/>
      <c r="L544" s="915"/>
      <c r="M544" s="915"/>
      <c r="N544" s="915"/>
      <c r="O544" s="915"/>
      <c r="P544" s="915"/>
      <c r="Q544" s="915"/>
      <c r="R544" s="818"/>
      <c r="S544" s="916"/>
      <c r="T544" s="608"/>
      <c r="U544" s="3532"/>
      <c r="V544" s="3532"/>
      <c r="W544" s="1481"/>
      <c r="X544" s="1481"/>
      <c r="Y544" s="1481"/>
      <c r="Z544" s="1481"/>
      <c r="AA544" s="1481"/>
      <c r="AB544" s="1481"/>
      <c r="AC544" s="907"/>
      <c r="AD544" s="908"/>
      <c r="AE544" s="1481"/>
      <c r="AF544" s="1481"/>
      <c r="AG544" s="1481"/>
      <c r="AH544" s="1481"/>
      <c r="AI544" s="1481"/>
      <c r="AJ544" s="1481"/>
      <c r="AK544" s="1481"/>
      <c r="AL544" s="1481"/>
      <c r="AM544" s="1481"/>
      <c r="AN544" s="1481"/>
      <c r="AO544" s="1481"/>
      <c r="AP544" s="1481"/>
      <c r="AQ544" s="1481"/>
      <c r="AR544" s="1481"/>
      <c r="AS544" s="1481"/>
      <c r="AT544" s="1481"/>
      <c r="AU544" s="1481"/>
      <c r="AV544" s="1481"/>
      <c r="AW544" s="1481"/>
      <c r="AX544" s="1481"/>
      <c r="AY544" s="1481"/>
      <c r="AZ544" s="1481"/>
      <c r="BA544" s="1481"/>
      <c r="BB544" s="1481"/>
      <c r="BC544" s="1481"/>
      <c r="BD544" s="1481"/>
      <c r="BE544" s="1481"/>
      <c r="BF544" s="1481"/>
      <c r="BG544" s="1481"/>
      <c r="BH544" s="1481"/>
      <c r="BI544" s="1481"/>
      <c r="BJ544" s="1481"/>
      <c r="BK544" s="1481"/>
      <c r="BL544" s="1481"/>
      <c r="BM544" s="1481"/>
      <c r="BN544" s="1481"/>
      <c r="BO544" s="1481"/>
      <c r="BP544" s="1481"/>
      <c r="BQ544" s="1481"/>
      <c r="BR544" s="1481"/>
      <c r="BS544" s="1481"/>
      <c r="BT544" s="1481"/>
      <c r="BU544" s="1481"/>
      <c r="BV544" s="1481"/>
      <c r="BW544" s="1481"/>
      <c r="BX544" s="1481"/>
      <c r="BY544" s="1481"/>
      <c r="BZ544" s="1481"/>
      <c r="CA544" s="1481"/>
      <c r="CB544" s="1481"/>
      <c r="CC544" s="1481"/>
      <c r="CD544" s="1481"/>
      <c r="CE544" s="1481"/>
    </row>
    <row r="545" spans="1:83" ht="15" hidden="1" customHeight="1">
      <c r="A545" s="516" t="s">
        <v>287</v>
      </c>
      <c r="B545"/>
      <c r="C545" t="s">
        <v>18</v>
      </c>
      <c r="D545" s="3621" t="s">
        <v>938</v>
      </c>
      <c r="E545" s="3618" t="s">
        <v>102</v>
      </c>
      <c r="F545" s="3619"/>
      <c r="G545" s="3620"/>
      <c r="H545" s="3614" t="str">
        <f>IF(A545="","",INDEX(DIFFERENTIATION_UNMERGE_VD,MATCH(A545,DIFFERENTIATION_ID_DIFF,0)))</f>
        <v>Производство тепловой энергии. Некомбинированная выработка</v>
      </c>
      <c r="I545" s="3614"/>
      <c r="J545" s="3614"/>
      <c r="K545" s="3614"/>
      <c r="L545" s="3614"/>
      <c r="M545" s="3614"/>
      <c r="N545" s="3614"/>
      <c r="O545" s="3614"/>
      <c r="P545" s="3614"/>
      <c r="Q545" s="3614"/>
      <c r="R545" s="3614"/>
      <c r="S545" s="609"/>
      <c r="T545" s="606"/>
      <c r="U545" s="517"/>
      <c r="V545" s="517"/>
      <c r="W545" s="518"/>
      <c r="X545" s="518"/>
      <c r="Y545" s="518"/>
      <c r="Z545" s="518"/>
      <c r="AA545" s="519"/>
      <c r="AB545" s="520"/>
      <c r="AC545" s="3617"/>
      <c r="AD545" s="521"/>
      <c r="AE545" s="522" t="s">
        <v>18</v>
      </c>
      <c r="AF545" s="522"/>
      <c r="AG545" s="523" t="s">
        <v>874</v>
      </c>
      <c r="AH545" s="524">
        <v>3</v>
      </c>
      <c r="AI545" s="517"/>
      <c r="AJ545" s="517"/>
      <c r="AK545" s="517"/>
      <c r="AL545" s="517"/>
      <c r="AM545" s="517"/>
      <c r="AN545" s="517"/>
      <c r="AO545" s="517"/>
      <c r="AP545" s="517"/>
      <c r="AQ545" s="517"/>
      <c r="AR545" s="517"/>
      <c r="AS545" s="517"/>
      <c r="AT545" s="517"/>
      <c r="AU545" s="517"/>
      <c r="AV545" s="517"/>
      <c r="AW545" s="517"/>
      <c r="AX545" s="517"/>
      <c r="AY545" s="517"/>
      <c r="AZ545" s="517"/>
      <c r="BA545" s="517"/>
      <c r="BB545" s="517"/>
      <c r="BC545" s="517"/>
      <c r="BD545" s="517"/>
      <c r="BE545" s="517"/>
      <c r="BF545" s="517"/>
      <c r="BG545" s="517"/>
      <c r="BH545" s="517"/>
      <c r="BI545" s="517"/>
      <c r="BJ545" s="517"/>
      <c r="BK545" s="517"/>
      <c r="BL545" s="517"/>
      <c r="BM545" s="517"/>
      <c r="BN545" s="517"/>
      <c r="BO545" s="517"/>
      <c r="BP545" s="517"/>
      <c r="BQ545" s="517"/>
      <c r="BR545" s="517"/>
      <c r="BS545" s="517"/>
      <c r="BT545" s="517"/>
      <c r="BU545" s="517"/>
      <c r="BV545" s="518"/>
      <c r="BW545" s="518"/>
      <c r="BX545" s="518"/>
      <c r="BY545" s="518"/>
      <c r="BZ545" s="518"/>
      <c r="CA545" s="518"/>
      <c r="CB545" s="518"/>
      <c r="CC545" s="518"/>
      <c r="CD545" s="518"/>
      <c r="CE545" s="518"/>
    </row>
    <row r="546" spans="1:83" ht="15" hidden="1" customHeight="1">
      <c r="A546" s="516"/>
      <c r="B546"/>
      <c r="C546"/>
      <c r="D546" s="3622"/>
      <c r="E546" s="3618" t="s">
        <v>829</v>
      </c>
      <c r="F546" s="3619"/>
      <c r="G546" s="3620"/>
      <c r="H546" s="3614" t="str">
        <f>IF(A545="","",INDEX(DIFFERENTIATION_UNMERGE_AREA,MATCH(A545,DIFFERENTIATION_ID_DIFF,0)))</f>
        <v>Территория 1</v>
      </c>
      <c r="I546" s="3614"/>
      <c r="J546" s="3614"/>
      <c r="K546" s="3614"/>
      <c r="L546" s="3614"/>
      <c r="M546" s="3614"/>
      <c r="N546" s="3614"/>
      <c r="O546" s="3614"/>
      <c r="P546" s="3614"/>
      <c r="Q546" s="3614"/>
      <c r="R546" s="3614"/>
      <c r="S546" s="609"/>
      <c r="T546" s="606"/>
      <c r="U546" s="517"/>
      <c r="V546" s="517"/>
      <c r="W546" s="518"/>
      <c r="X546" s="518"/>
      <c r="Y546" s="518"/>
      <c r="Z546" s="518"/>
      <c r="AA546" s="519"/>
      <c r="AB546" s="520"/>
      <c r="AC546" s="3617"/>
      <c r="AD546" s="521"/>
      <c r="AE546" s="522"/>
      <c r="AF546" s="522"/>
      <c r="AG546" s="523"/>
      <c r="AH546" s="524"/>
      <c r="AI546" s="517"/>
      <c r="AJ546" s="517"/>
      <c r="AK546" s="517"/>
      <c r="AL546" s="517"/>
      <c r="AM546" s="517"/>
      <c r="AN546" s="517"/>
      <c r="AO546" s="517"/>
      <c r="AP546" s="517"/>
      <c r="AQ546" s="517"/>
      <c r="AR546" s="517"/>
      <c r="AS546" s="517"/>
      <c r="AT546" s="517"/>
      <c r="AU546" s="517"/>
      <c r="AV546" s="517"/>
      <c r="AW546" s="517"/>
      <c r="AX546" s="517"/>
      <c r="AY546" s="517"/>
      <c r="AZ546" s="517"/>
      <c r="BA546" s="517"/>
      <c r="BB546" s="517"/>
      <c r="BC546" s="517"/>
      <c r="BD546" s="517"/>
      <c r="BE546" s="517"/>
      <c r="BF546" s="517"/>
      <c r="BG546" s="517"/>
      <c r="BH546" s="517"/>
      <c r="BI546" s="517"/>
      <c r="BJ546" s="517"/>
      <c r="BK546" s="517"/>
      <c r="BL546" s="517"/>
      <c r="BM546" s="517"/>
      <c r="BN546" s="517"/>
      <c r="BO546" s="517"/>
      <c r="BP546" s="517"/>
      <c r="BQ546" s="517"/>
      <c r="BR546" s="517"/>
      <c r="BS546" s="517"/>
      <c r="BT546" s="517"/>
      <c r="BU546" s="517"/>
      <c r="BV546" s="518"/>
      <c r="BW546" s="518"/>
      <c r="BX546" s="518"/>
      <c r="BY546" s="518"/>
      <c r="BZ546" s="518"/>
      <c r="CA546" s="518"/>
      <c r="CB546" s="518"/>
      <c r="CC546" s="518"/>
      <c r="CD546" s="518"/>
      <c r="CE546" s="518"/>
    </row>
    <row r="547" spans="1:83" ht="15" hidden="1" customHeight="1">
      <c r="A547" s="516"/>
      <c r="B547"/>
      <c r="C547"/>
      <c r="D547" s="3622"/>
      <c r="E547" s="3618" t="s">
        <v>830</v>
      </c>
      <c r="F547" s="3619"/>
      <c r="G547" s="3620"/>
      <c r="H547" s="3614" t="str">
        <f>IF(A545="","",INDEX(DIFFERENTIATION_UNMERGE_SYSTEM,MATCH(A545,DIFFERENTIATION_ID_DIFF,0)))</f>
        <v>Матвеева, 9а</v>
      </c>
      <c r="I547" s="3614"/>
      <c r="J547" s="3614"/>
      <c r="K547" s="3614"/>
      <c r="L547" s="3614"/>
      <c r="M547" s="3614"/>
      <c r="N547" s="3614"/>
      <c r="O547" s="3614"/>
      <c r="P547" s="3614"/>
      <c r="Q547" s="3614"/>
      <c r="R547" s="3614"/>
      <c r="S547" s="609"/>
      <c r="T547" s="606"/>
      <c r="U547" s="517"/>
      <c r="V547" s="517"/>
      <c r="W547" s="518"/>
      <c r="X547" s="518"/>
      <c r="Y547" s="518"/>
      <c r="Z547" s="518"/>
      <c r="AA547" s="519"/>
      <c r="AB547" s="520"/>
      <c r="AC547" s="3617"/>
      <c r="AD547" s="521"/>
      <c r="AE547" s="522"/>
      <c r="AF547" s="522"/>
      <c r="AG547" s="523"/>
      <c r="AH547" s="524"/>
      <c r="AI547" s="517"/>
      <c r="AJ547" s="517"/>
      <c r="AK547" s="517"/>
      <c r="AL547" s="517"/>
      <c r="AM547" s="517"/>
      <c r="AN547" s="517"/>
      <c r="AO547" s="517"/>
      <c r="AP547" s="517"/>
      <c r="AQ547" s="517"/>
      <c r="AR547" s="517"/>
      <c r="AS547" s="517"/>
      <c r="AT547" s="517"/>
      <c r="AU547" s="517"/>
      <c r="AV547" s="517"/>
      <c r="AW547" s="517"/>
      <c r="AX547" s="517"/>
      <c r="AY547" s="517"/>
      <c r="AZ547" s="517"/>
      <c r="BA547" s="517"/>
      <c r="BB547" s="517"/>
      <c r="BC547" s="517"/>
      <c r="BD547" s="517"/>
      <c r="BE547" s="517"/>
      <c r="BF547" s="517"/>
      <c r="BG547" s="517"/>
      <c r="BH547" s="517"/>
      <c r="BI547" s="517"/>
      <c r="BJ547" s="517"/>
      <c r="BK547" s="517"/>
      <c r="BL547" s="517"/>
      <c r="BM547" s="517"/>
      <c r="BN547" s="517"/>
      <c r="BO547" s="517"/>
      <c r="BP547" s="517"/>
      <c r="BQ547" s="517"/>
      <c r="BR547" s="517"/>
      <c r="BS547" s="517"/>
      <c r="BT547" s="517"/>
      <c r="BU547" s="517"/>
      <c r="BV547" s="518"/>
      <c r="BW547" s="518"/>
      <c r="BX547" s="518"/>
      <c r="BY547" s="518"/>
      <c r="BZ547" s="518"/>
      <c r="CA547" s="518"/>
      <c r="CB547" s="518"/>
      <c r="CC547" s="518"/>
      <c r="CD547" s="518"/>
      <c r="CE547" s="518"/>
    </row>
    <row r="548" spans="1:83" ht="24.75" hidden="1" customHeight="1">
      <c r="A548" s="1649"/>
      <c r="B548" s="1023"/>
      <c r="C548" s="319"/>
      <c r="D548" s="3622"/>
      <c r="E548" s="3616" t="s">
        <v>875</v>
      </c>
      <c r="F548" s="3616"/>
      <c r="G548" s="3616"/>
      <c r="H548" s="3616"/>
      <c r="I548" s="3616"/>
      <c r="J548" s="3616"/>
      <c r="K548" s="3616"/>
      <c r="L548" s="3616"/>
      <c r="M548" s="3616"/>
      <c r="N548" s="3616"/>
      <c r="O548" s="3616"/>
      <c r="P548" s="3616"/>
      <c r="Q548" s="455">
        <f>SUMIF(T549:T550,"i",Q549:Q550)</f>
        <v>0</v>
      </c>
      <c r="R548" s="887"/>
      <c r="S548" s="1641" t="s">
        <v>876</v>
      </c>
      <c r="T548" s="607" t="s">
        <v>877</v>
      </c>
      <c r="U548" s="3532">
        <v>1</v>
      </c>
      <c r="V548" s="3532" t="s">
        <v>840</v>
      </c>
      <c r="W548" s="1023"/>
      <c r="X548" s="1023"/>
      <c r="Y548" s="1023"/>
      <c r="Z548" s="1023"/>
      <c r="AA548" s="1481"/>
      <c r="AB548" s="1023"/>
      <c r="AC548" s="3617"/>
      <c r="AD548" s="521"/>
      <c r="AE548" s="1023"/>
      <c r="AF548" s="1023"/>
      <c r="AG548" s="1481"/>
      <c r="AH548" s="1481"/>
      <c r="AI548" s="1481"/>
      <c r="AJ548" s="1481"/>
      <c r="AK548" s="1481"/>
      <c r="AL548" s="1481"/>
      <c r="AM548" s="1481"/>
      <c r="AN548" s="1481"/>
      <c r="AO548" s="1481"/>
      <c r="AP548" s="1481"/>
      <c r="AQ548" s="1481"/>
      <c r="AR548" s="1481"/>
      <c r="AS548" s="1481"/>
      <c r="AT548" s="1481"/>
      <c r="AU548" s="1481"/>
      <c r="AV548" s="1481"/>
      <c r="AW548" s="1481"/>
      <c r="AX548" s="1481"/>
      <c r="AY548" s="1481"/>
      <c r="AZ548" s="1481"/>
      <c r="BA548" s="1481"/>
      <c r="BB548" s="1481"/>
      <c r="BC548" s="1481"/>
      <c r="BD548" s="1481"/>
      <c r="BE548" s="1481"/>
      <c r="BF548" s="1481"/>
      <c r="BG548" s="1481"/>
      <c r="BH548" s="1481"/>
      <c r="BI548" s="1481"/>
      <c r="BJ548" s="1481"/>
      <c r="BK548" s="1481"/>
      <c r="BL548" s="1481"/>
      <c r="BM548" s="1481"/>
      <c r="BN548" s="1481"/>
      <c r="BO548" s="1481"/>
      <c r="BP548" s="1481"/>
      <c r="BQ548" s="1481"/>
      <c r="BR548" s="1481"/>
      <c r="BS548" s="1481"/>
      <c r="BT548" s="1481"/>
      <c r="BU548" s="1481"/>
      <c r="BV548" s="1023"/>
      <c r="BW548" s="1023"/>
      <c r="BX548" s="1023"/>
      <c r="BY548" s="1023"/>
      <c r="BZ548" s="1023"/>
      <c r="CA548" s="1023"/>
      <c r="CB548" s="1023"/>
      <c r="CC548" s="1023"/>
      <c r="CD548" s="1023"/>
      <c r="CE548" s="1023"/>
    </row>
    <row r="549" spans="1:83" ht="11.25" hidden="1" customHeight="1">
      <c r="A549" s="1636"/>
      <c r="B549" s="1481"/>
      <c r="C549" s="1481"/>
      <c r="D549" s="3622"/>
      <c r="E549" s="527"/>
      <c r="F549" s="527">
        <v>0</v>
      </c>
      <c r="G549" s="527"/>
      <c r="H549" s="527"/>
      <c r="I549" s="527"/>
      <c r="J549" s="527"/>
      <c r="K549" s="527"/>
      <c r="L549" s="527"/>
      <c r="M549" s="527"/>
      <c r="N549" s="527"/>
      <c r="O549" s="527"/>
      <c r="P549" s="527"/>
      <c r="Q549" s="527"/>
      <c r="R549" s="527"/>
      <c r="S549" s="528"/>
      <c r="T549" s="608"/>
      <c r="U549" s="3532"/>
      <c r="V549" s="3532"/>
      <c r="W549" s="1481"/>
      <c r="X549" s="1481"/>
      <c r="Y549" s="1481"/>
      <c r="Z549" s="1481"/>
      <c r="AA549" s="1481"/>
      <c r="AB549" s="1023"/>
      <c r="AC549" s="3617"/>
      <c r="AD549" s="521"/>
      <c r="AE549" s="1023"/>
      <c r="AF549" s="1023"/>
      <c r="AG549" s="1481"/>
      <c r="AH549" s="1481"/>
      <c r="AI549" s="1481"/>
      <c r="AJ549" s="1481"/>
      <c r="AK549" s="1481"/>
      <c r="AL549" s="1481"/>
      <c r="AM549" s="1481"/>
      <c r="AN549" s="1481"/>
      <c r="AO549" s="1481"/>
      <c r="AP549" s="1481"/>
      <c r="AQ549" s="1481"/>
      <c r="AR549" s="1481"/>
      <c r="AS549" s="1481"/>
      <c r="AT549" s="1481"/>
      <c r="AU549" s="1481"/>
      <c r="AV549" s="1481"/>
      <c r="AW549" s="1481"/>
      <c r="AX549" s="1481"/>
      <c r="AY549" s="1481"/>
      <c r="AZ549" s="1481"/>
      <c r="BA549" s="1481"/>
      <c r="BB549" s="1481"/>
      <c r="BC549" s="1481"/>
      <c r="BD549" s="1481"/>
      <c r="BE549" s="1481"/>
      <c r="BF549" s="1481"/>
      <c r="BG549" s="1481"/>
      <c r="BH549" s="1481"/>
      <c r="BI549" s="1481"/>
      <c r="BJ549" s="1481"/>
      <c r="BK549" s="1481"/>
      <c r="BL549" s="1481"/>
      <c r="BM549" s="1481"/>
      <c r="BN549" s="1481"/>
      <c r="BO549" s="1481"/>
      <c r="BP549" s="1481"/>
      <c r="BQ549" s="1481"/>
      <c r="BR549" s="1481"/>
      <c r="BS549" s="1481"/>
      <c r="BT549" s="1481"/>
      <c r="BU549" s="1481"/>
      <c r="BV549" s="1481"/>
      <c r="BW549" s="1481"/>
      <c r="BX549" s="1481"/>
      <c r="BY549" s="1481"/>
      <c r="BZ549" s="1481"/>
      <c r="CA549" s="1481"/>
      <c r="CB549" s="1481"/>
      <c r="CC549" s="1481"/>
      <c r="CD549" s="1481"/>
      <c r="CE549" s="1481"/>
    </row>
    <row r="550" spans="1:83" ht="11.25" hidden="1" customHeight="1">
      <c r="A550" s="1649"/>
      <c r="B550" s="1023"/>
      <c r="C550" s="319"/>
      <c r="D550" s="3622"/>
      <c r="E550" s="541" t="s">
        <v>18</v>
      </c>
      <c r="F550" s="1031" t="s">
        <v>18</v>
      </c>
      <c r="G550" s="1031" t="s">
        <v>880</v>
      </c>
      <c r="H550" s="543" t="s">
        <v>18</v>
      </c>
      <c r="I550" s="543"/>
      <c r="J550" s="543"/>
      <c r="K550" s="543"/>
      <c r="L550" s="543"/>
      <c r="M550" s="543"/>
      <c r="N550" s="543"/>
      <c r="O550" s="543"/>
      <c r="P550" s="543"/>
      <c r="Q550" s="543"/>
      <c r="R550" s="544"/>
      <c r="S550" s="545"/>
      <c r="T550" s="608"/>
      <c r="U550" s="3532"/>
      <c r="V550" s="3532"/>
      <c r="W550" s="1023"/>
      <c r="X550" s="1023"/>
      <c r="Y550" s="1023"/>
      <c r="Z550" s="1023"/>
      <c r="AA550" s="1481"/>
      <c r="AB550" s="1023"/>
      <c r="AC550" s="3617"/>
      <c r="AD550" s="521"/>
      <c r="AE550" s="1023"/>
      <c r="AF550" s="1023"/>
      <c r="AG550" s="1481"/>
      <c r="AH550" s="1481"/>
      <c r="AI550" s="1481"/>
      <c r="AJ550" s="1481"/>
      <c r="AK550" s="1481"/>
      <c r="AL550" s="1481"/>
      <c r="AM550" s="1481"/>
      <c r="AN550" s="1481"/>
      <c r="AO550" s="1481"/>
      <c r="AP550" s="1481"/>
      <c r="AQ550" s="1481"/>
      <c r="AR550" s="1481"/>
      <c r="AS550" s="1481"/>
      <c r="AT550" s="1481"/>
      <c r="AU550" s="1481"/>
      <c r="AV550" s="1481"/>
      <c r="AW550" s="1481"/>
      <c r="AX550" s="1481"/>
      <c r="AY550" s="1481"/>
      <c r="AZ550" s="1481"/>
      <c r="BA550" s="1481"/>
      <c r="BB550" s="1481"/>
      <c r="BC550" s="1481"/>
      <c r="BD550" s="1481"/>
      <c r="BE550" s="1481"/>
      <c r="BF550" s="1481"/>
      <c r="BG550" s="1481"/>
      <c r="BH550" s="1481"/>
      <c r="BI550" s="1481"/>
      <c r="BJ550" s="1481"/>
      <c r="BK550" s="1481"/>
      <c r="BL550" s="1481"/>
      <c r="BM550" s="1481"/>
      <c r="BN550" s="1481"/>
      <c r="BO550" s="1481"/>
      <c r="BP550" s="1481"/>
      <c r="BQ550" s="1481"/>
      <c r="BR550" s="1481"/>
      <c r="BS550" s="1481"/>
      <c r="BT550" s="1481"/>
      <c r="BU550" s="1481"/>
      <c r="BV550" s="1023"/>
      <c r="BW550" s="1023"/>
      <c r="BX550" s="1023"/>
      <c r="BY550" s="1023"/>
      <c r="BZ550" s="1023"/>
      <c r="CA550" s="1023"/>
      <c r="CB550" s="1023"/>
      <c r="CC550" s="1023"/>
      <c r="CD550" s="1023"/>
      <c r="CE550" s="1023"/>
    </row>
    <row r="551" spans="1:83" ht="5.25" hidden="1" customHeight="1">
      <c r="A551" s="1636"/>
      <c r="B551" s="1481"/>
      <c r="C551" s="1481"/>
      <c r="D551" s="3622"/>
      <c r="E551" s="909"/>
      <c r="F551" s="909"/>
      <c r="G551" s="909"/>
      <c r="H551" s="909"/>
      <c r="I551" s="909"/>
      <c r="J551" s="909"/>
      <c r="K551" s="909"/>
      <c r="L551" s="909"/>
      <c r="M551" s="909"/>
      <c r="N551" s="909"/>
      <c r="O551" s="909"/>
      <c r="P551" s="909"/>
      <c r="Q551" s="910"/>
      <c r="R551" s="911"/>
      <c r="S551" s="912"/>
      <c r="T551" s="607" t="s">
        <v>877</v>
      </c>
      <c r="U551" s="3532">
        <v>1</v>
      </c>
      <c r="V551" s="3532" t="s">
        <v>840</v>
      </c>
      <c r="W551" s="1481"/>
      <c r="X551" s="1481"/>
      <c r="Y551" s="1481"/>
      <c r="Z551" s="1481"/>
      <c r="AA551" s="1481"/>
      <c r="AB551" s="1481"/>
      <c r="AC551" s="907"/>
      <c r="AD551" s="908"/>
      <c r="AE551" s="1481"/>
      <c r="AF551" s="1481"/>
      <c r="AG551" s="1481"/>
      <c r="AH551" s="1481"/>
      <c r="AI551" s="1481"/>
      <c r="AJ551" s="1481"/>
      <c r="AK551" s="1481"/>
      <c r="AL551" s="1481"/>
      <c r="AM551" s="1481"/>
      <c r="AN551" s="1481"/>
      <c r="AO551" s="1481"/>
      <c r="AP551" s="1481"/>
      <c r="AQ551" s="1481"/>
      <c r="AR551" s="1481"/>
      <c r="AS551" s="1481"/>
      <c r="AT551" s="1481"/>
      <c r="AU551" s="1481"/>
      <c r="AV551" s="1481"/>
      <c r="AW551" s="1481"/>
      <c r="AX551" s="1481"/>
      <c r="AY551" s="1481"/>
      <c r="AZ551" s="1481"/>
      <c r="BA551" s="1481"/>
      <c r="BB551" s="1481"/>
      <c r="BC551" s="1481"/>
      <c r="BD551" s="1481"/>
      <c r="BE551" s="1481"/>
      <c r="BF551" s="1481"/>
      <c r="BG551" s="1481"/>
      <c r="BH551" s="1481"/>
      <c r="BI551" s="1481"/>
      <c r="BJ551" s="1481"/>
      <c r="BK551" s="1481"/>
      <c r="BL551" s="1481"/>
      <c r="BM551" s="1481"/>
      <c r="BN551" s="1481"/>
      <c r="BO551" s="1481"/>
      <c r="BP551" s="1481"/>
      <c r="BQ551" s="1481"/>
      <c r="BR551" s="1481"/>
      <c r="BS551" s="1481"/>
      <c r="BT551" s="1481"/>
      <c r="BU551" s="1481"/>
      <c r="BV551" s="1481"/>
      <c r="BW551" s="1481"/>
      <c r="BX551" s="1481"/>
      <c r="BY551" s="1481"/>
      <c r="BZ551" s="1481"/>
      <c r="CA551" s="1481"/>
      <c r="CB551" s="1481"/>
      <c r="CC551" s="1481"/>
      <c r="CD551" s="1481"/>
      <c r="CE551" s="1481"/>
    </row>
    <row r="552" spans="1:83" ht="5.25" hidden="1" customHeight="1">
      <c r="A552" s="1636"/>
      <c r="B552" s="1481"/>
      <c r="C552" s="1481"/>
      <c r="D552" s="3622"/>
      <c r="E552" s="527"/>
      <c r="F552" s="527"/>
      <c r="G552" s="527"/>
      <c r="H552" s="527"/>
      <c r="I552" s="527"/>
      <c r="J552" s="527"/>
      <c r="K552" s="527"/>
      <c r="L552" s="527"/>
      <c r="M552" s="527"/>
      <c r="N552" s="527"/>
      <c r="O552" s="527"/>
      <c r="P552" s="527"/>
      <c r="Q552" s="527"/>
      <c r="R552" s="527"/>
      <c r="S552" s="528"/>
      <c r="T552" s="608"/>
      <c r="U552" s="3532"/>
      <c r="V552" s="3532"/>
      <c r="W552" s="1481"/>
      <c r="X552" s="1481"/>
      <c r="Y552" s="1481"/>
      <c r="Z552" s="1481"/>
      <c r="AA552" s="1481"/>
      <c r="AB552" s="1481"/>
      <c r="AC552" s="907"/>
      <c r="AD552" s="908"/>
      <c r="AE552" s="1481"/>
      <c r="AF552" s="1481"/>
      <c r="AG552" s="1481"/>
      <c r="AH552" s="1481"/>
      <c r="AI552" s="1481"/>
      <c r="AJ552" s="1481"/>
      <c r="AK552" s="1481"/>
      <c r="AL552" s="1481"/>
      <c r="AM552" s="1481"/>
      <c r="AN552" s="1481"/>
      <c r="AO552" s="1481"/>
      <c r="AP552" s="1481"/>
      <c r="AQ552" s="1481"/>
      <c r="AR552" s="1481"/>
      <c r="AS552" s="1481"/>
      <c r="AT552" s="1481"/>
      <c r="AU552" s="1481"/>
      <c r="AV552" s="1481"/>
      <c r="AW552" s="1481"/>
      <c r="AX552" s="1481"/>
      <c r="AY552" s="1481"/>
      <c r="AZ552" s="1481"/>
      <c r="BA552" s="1481"/>
      <c r="BB552" s="1481"/>
      <c r="BC552" s="1481"/>
      <c r="BD552" s="1481"/>
      <c r="BE552" s="1481"/>
      <c r="BF552" s="1481"/>
      <c r="BG552" s="1481"/>
      <c r="BH552" s="1481"/>
      <c r="BI552" s="1481"/>
      <c r="BJ552" s="1481"/>
      <c r="BK552" s="1481"/>
      <c r="BL552" s="1481"/>
      <c r="BM552" s="1481"/>
      <c r="BN552" s="1481"/>
      <c r="BO552" s="1481"/>
      <c r="BP552" s="1481"/>
      <c r="BQ552" s="1481"/>
      <c r="BR552" s="1481"/>
      <c r="BS552" s="1481"/>
      <c r="BT552" s="1481"/>
      <c r="BU552" s="1481"/>
      <c r="BV552" s="1481"/>
      <c r="BW552" s="1481"/>
      <c r="BX552" s="1481"/>
      <c r="BY552" s="1481"/>
      <c r="BZ552" s="1481"/>
      <c r="CA552" s="1481"/>
      <c r="CB552" s="1481"/>
      <c r="CC552" s="1481"/>
      <c r="CD552" s="1481"/>
      <c r="CE552" s="1481"/>
    </row>
    <row r="553" spans="1:83" ht="5.25" hidden="1" customHeight="1">
      <c r="A553" s="1636"/>
      <c r="B553" s="1481"/>
      <c r="C553" s="1481"/>
      <c r="D553" s="3623"/>
      <c r="E553" s="913"/>
      <c r="F553" s="914"/>
      <c r="G553" s="914"/>
      <c r="H553" s="915"/>
      <c r="I553" s="915"/>
      <c r="J553" s="915"/>
      <c r="K553" s="915"/>
      <c r="L553" s="915"/>
      <c r="M553" s="915"/>
      <c r="N553" s="915"/>
      <c r="O553" s="915"/>
      <c r="P553" s="915"/>
      <c r="Q553" s="915"/>
      <c r="R553" s="818"/>
      <c r="S553" s="916"/>
      <c r="T553" s="608"/>
      <c r="U553" s="3532"/>
      <c r="V553" s="3532"/>
      <c r="W553" s="1481"/>
      <c r="X553" s="1481"/>
      <c r="Y553" s="1481"/>
      <c r="Z553" s="1481"/>
      <c r="AA553" s="1481"/>
      <c r="AB553" s="1481"/>
      <c r="AC553" s="907"/>
      <c r="AD553" s="908"/>
      <c r="AE553" s="1481"/>
      <c r="AF553" s="1481"/>
      <c r="AG553" s="1481"/>
      <c r="AH553" s="1481"/>
      <c r="AI553" s="1481"/>
      <c r="AJ553" s="1481"/>
      <c r="AK553" s="1481"/>
      <c r="AL553" s="1481"/>
      <c r="AM553" s="1481"/>
      <c r="AN553" s="1481"/>
      <c r="AO553" s="1481"/>
      <c r="AP553" s="1481"/>
      <c r="AQ553" s="1481"/>
      <c r="AR553" s="1481"/>
      <c r="AS553" s="1481"/>
      <c r="AT553" s="1481"/>
      <c r="AU553" s="1481"/>
      <c r="AV553" s="1481"/>
      <c r="AW553" s="1481"/>
      <c r="AX553" s="1481"/>
      <c r="AY553" s="1481"/>
      <c r="AZ553" s="1481"/>
      <c r="BA553" s="1481"/>
      <c r="BB553" s="1481"/>
      <c r="BC553" s="1481"/>
      <c r="BD553" s="1481"/>
      <c r="BE553" s="1481"/>
      <c r="BF553" s="1481"/>
      <c r="BG553" s="1481"/>
      <c r="BH553" s="1481"/>
      <c r="BI553" s="1481"/>
      <c r="BJ553" s="1481"/>
      <c r="BK553" s="1481"/>
      <c r="BL553" s="1481"/>
      <c r="BM553" s="1481"/>
      <c r="BN553" s="1481"/>
      <c r="BO553" s="1481"/>
      <c r="BP553" s="1481"/>
      <c r="BQ553" s="1481"/>
      <c r="BR553" s="1481"/>
      <c r="BS553" s="1481"/>
      <c r="BT553" s="1481"/>
      <c r="BU553" s="1481"/>
      <c r="BV553" s="1481"/>
      <c r="BW553" s="1481"/>
      <c r="BX553" s="1481"/>
      <c r="BY553" s="1481"/>
      <c r="BZ553" s="1481"/>
      <c r="CA553" s="1481"/>
      <c r="CB553" s="1481"/>
      <c r="CC553" s="1481"/>
      <c r="CD553" s="1481"/>
      <c r="CE553" s="1481"/>
    </row>
    <row r="554" spans="1:83" ht="15" hidden="1" customHeight="1">
      <c r="A554" s="516" t="s">
        <v>290</v>
      </c>
      <c r="B554"/>
      <c r="C554" t="s">
        <v>18</v>
      </c>
      <c r="D554" s="3621" t="s">
        <v>939</v>
      </c>
      <c r="E554" s="3618" t="s">
        <v>102</v>
      </c>
      <c r="F554" s="3619"/>
      <c r="G554" s="3620"/>
      <c r="H554" s="3614" t="str">
        <f>IF(A554="","",INDEX(DIFFERENTIATION_UNMERGE_VD,MATCH(A554,DIFFERENTIATION_ID_DIFF,0)))</f>
        <v>Производство тепловой энергии. Некомбинированная выработка</v>
      </c>
      <c r="I554" s="3614"/>
      <c r="J554" s="3614"/>
      <c r="K554" s="3614"/>
      <c r="L554" s="3614"/>
      <c r="M554" s="3614"/>
      <c r="N554" s="3614"/>
      <c r="O554" s="3614"/>
      <c r="P554" s="3614"/>
      <c r="Q554" s="3614"/>
      <c r="R554" s="3614"/>
      <c r="S554" s="609"/>
      <c r="T554" s="606"/>
      <c r="U554" s="517"/>
      <c r="V554" s="517"/>
      <c r="W554" s="518"/>
      <c r="X554" s="518"/>
      <c r="Y554" s="518"/>
      <c r="Z554" s="518"/>
      <c r="AA554" s="519"/>
      <c r="AB554" s="520"/>
      <c r="AC554" s="3617"/>
      <c r="AD554" s="521"/>
      <c r="AE554" s="522" t="s">
        <v>18</v>
      </c>
      <c r="AF554" s="522"/>
      <c r="AG554" s="523" t="s">
        <v>874</v>
      </c>
      <c r="AH554" s="524">
        <v>3</v>
      </c>
      <c r="AI554" s="517"/>
      <c r="AJ554" s="517"/>
      <c r="AK554" s="517"/>
      <c r="AL554" s="517"/>
      <c r="AM554" s="517"/>
      <c r="AN554" s="517"/>
      <c r="AO554" s="517"/>
      <c r="AP554" s="517"/>
      <c r="AQ554" s="517"/>
      <c r="AR554" s="517"/>
      <c r="AS554" s="517"/>
      <c r="AT554" s="517"/>
      <c r="AU554" s="517"/>
      <c r="AV554" s="517"/>
      <c r="AW554" s="517"/>
      <c r="AX554" s="517"/>
      <c r="AY554" s="517"/>
      <c r="AZ554" s="517"/>
      <c r="BA554" s="517"/>
      <c r="BB554" s="517"/>
      <c r="BC554" s="517"/>
      <c r="BD554" s="517"/>
      <c r="BE554" s="517"/>
      <c r="BF554" s="517"/>
      <c r="BG554" s="517"/>
      <c r="BH554" s="517"/>
      <c r="BI554" s="517"/>
      <c r="BJ554" s="517"/>
      <c r="BK554" s="517"/>
      <c r="BL554" s="517"/>
      <c r="BM554" s="517"/>
      <c r="BN554" s="517"/>
      <c r="BO554" s="517"/>
      <c r="BP554" s="517"/>
      <c r="BQ554" s="517"/>
      <c r="BR554" s="517"/>
      <c r="BS554" s="517"/>
      <c r="BT554" s="517"/>
      <c r="BU554" s="517"/>
      <c r="BV554" s="518"/>
      <c r="BW554" s="518"/>
      <c r="BX554" s="518"/>
      <c r="BY554" s="518"/>
      <c r="BZ554" s="518"/>
      <c r="CA554" s="518"/>
      <c r="CB554" s="518"/>
      <c r="CC554" s="518"/>
      <c r="CD554" s="518"/>
      <c r="CE554" s="518"/>
    </row>
    <row r="555" spans="1:83" ht="15" hidden="1" customHeight="1">
      <c r="A555" s="516"/>
      <c r="B555"/>
      <c r="C555"/>
      <c r="D555" s="3622"/>
      <c r="E555" s="3618" t="s">
        <v>829</v>
      </c>
      <c r="F555" s="3619"/>
      <c r="G555" s="3620"/>
      <c r="H555" s="3614" t="str">
        <f>IF(A554="","",INDEX(DIFFERENTIATION_UNMERGE_AREA,MATCH(A554,DIFFERENTIATION_ID_DIFF,0)))</f>
        <v>Территория 1</v>
      </c>
      <c r="I555" s="3614"/>
      <c r="J555" s="3614"/>
      <c r="K555" s="3614"/>
      <c r="L555" s="3614"/>
      <c r="M555" s="3614"/>
      <c r="N555" s="3614"/>
      <c r="O555" s="3614"/>
      <c r="P555" s="3614"/>
      <c r="Q555" s="3614"/>
      <c r="R555" s="3614"/>
      <c r="S555" s="609"/>
      <c r="T555" s="606"/>
      <c r="U555" s="517"/>
      <c r="V555" s="517"/>
      <c r="W555" s="518"/>
      <c r="X555" s="518"/>
      <c r="Y555" s="518"/>
      <c r="Z555" s="518"/>
      <c r="AA555" s="519"/>
      <c r="AB555" s="520"/>
      <c r="AC555" s="3617"/>
      <c r="AD555" s="521"/>
      <c r="AE555" s="522"/>
      <c r="AF555" s="522"/>
      <c r="AG555" s="523"/>
      <c r="AH555" s="524"/>
      <c r="AI555" s="517"/>
      <c r="AJ555" s="517"/>
      <c r="AK555" s="517"/>
      <c r="AL555" s="517"/>
      <c r="AM555" s="517"/>
      <c r="AN555" s="517"/>
      <c r="AO555" s="517"/>
      <c r="AP555" s="517"/>
      <c r="AQ555" s="517"/>
      <c r="AR555" s="517"/>
      <c r="AS555" s="517"/>
      <c r="AT555" s="517"/>
      <c r="AU555" s="517"/>
      <c r="AV555" s="517"/>
      <c r="AW555" s="517"/>
      <c r="AX555" s="517"/>
      <c r="AY555" s="517"/>
      <c r="AZ555" s="517"/>
      <c r="BA555" s="517"/>
      <c r="BB555" s="517"/>
      <c r="BC555" s="517"/>
      <c r="BD555" s="517"/>
      <c r="BE555" s="517"/>
      <c r="BF555" s="517"/>
      <c r="BG555" s="517"/>
      <c r="BH555" s="517"/>
      <c r="BI555" s="517"/>
      <c r="BJ555" s="517"/>
      <c r="BK555" s="517"/>
      <c r="BL555" s="517"/>
      <c r="BM555" s="517"/>
      <c r="BN555" s="517"/>
      <c r="BO555" s="517"/>
      <c r="BP555" s="517"/>
      <c r="BQ555" s="517"/>
      <c r="BR555" s="517"/>
      <c r="BS555" s="517"/>
      <c r="BT555" s="517"/>
      <c r="BU555" s="517"/>
      <c r="BV555" s="518"/>
      <c r="BW555" s="518"/>
      <c r="BX555" s="518"/>
      <c r="BY555" s="518"/>
      <c r="BZ555" s="518"/>
      <c r="CA555" s="518"/>
      <c r="CB555" s="518"/>
      <c r="CC555" s="518"/>
      <c r="CD555" s="518"/>
      <c r="CE555" s="518"/>
    </row>
    <row r="556" spans="1:83" ht="15" hidden="1" customHeight="1">
      <c r="A556" s="516"/>
      <c r="B556"/>
      <c r="C556"/>
      <c r="D556" s="3622"/>
      <c r="E556" s="3618" t="s">
        <v>830</v>
      </c>
      <c r="F556" s="3619"/>
      <c r="G556" s="3620"/>
      <c r="H556" s="3614" t="str">
        <f>IF(A554="","",INDEX(DIFFERENTIATION_UNMERGE_SYSTEM,MATCH(A554,DIFFERENTIATION_ID_DIFF,0)))</f>
        <v>Матросова, 46б</v>
      </c>
      <c r="I556" s="3614"/>
      <c r="J556" s="3614"/>
      <c r="K556" s="3614"/>
      <c r="L556" s="3614"/>
      <c r="M556" s="3614"/>
      <c r="N556" s="3614"/>
      <c r="O556" s="3614"/>
      <c r="P556" s="3614"/>
      <c r="Q556" s="3614"/>
      <c r="R556" s="3614"/>
      <c r="S556" s="609"/>
      <c r="T556" s="606"/>
      <c r="U556" s="517"/>
      <c r="V556" s="517"/>
      <c r="W556" s="518"/>
      <c r="X556" s="518"/>
      <c r="Y556" s="518"/>
      <c r="Z556" s="518"/>
      <c r="AA556" s="519"/>
      <c r="AB556" s="520"/>
      <c r="AC556" s="3617"/>
      <c r="AD556" s="521"/>
      <c r="AE556" s="522"/>
      <c r="AF556" s="522"/>
      <c r="AG556" s="523"/>
      <c r="AH556" s="524"/>
      <c r="AI556" s="517"/>
      <c r="AJ556" s="517"/>
      <c r="AK556" s="517"/>
      <c r="AL556" s="517"/>
      <c r="AM556" s="517"/>
      <c r="AN556" s="517"/>
      <c r="AO556" s="517"/>
      <c r="AP556" s="517"/>
      <c r="AQ556" s="517"/>
      <c r="AR556" s="517"/>
      <c r="AS556" s="517"/>
      <c r="AT556" s="517"/>
      <c r="AU556" s="517"/>
      <c r="AV556" s="517"/>
      <c r="AW556" s="517"/>
      <c r="AX556" s="517"/>
      <c r="AY556" s="517"/>
      <c r="AZ556" s="517"/>
      <c r="BA556" s="517"/>
      <c r="BB556" s="517"/>
      <c r="BC556" s="517"/>
      <c r="BD556" s="517"/>
      <c r="BE556" s="517"/>
      <c r="BF556" s="517"/>
      <c r="BG556" s="517"/>
      <c r="BH556" s="517"/>
      <c r="BI556" s="517"/>
      <c r="BJ556" s="517"/>
      <c r="BK556" s="517"/>
      <c r="BL556" s="517"/>
      <c r="BM556" s="517"/>
      <c r="BN556" s="517"/>
      <c r="BO556" s="517"/>
      <c r="BP556" s="517"/>
      <c r="BQ556" s="517"/>
      <c r="BR556" s="517"/>
      <c r="BS556" s="517"/>
      <c r="BT556" s="517"/>
      <c r="BU556" s="517"/>
      <c r="BV556" s="518"/>
      <c r="BW556" s="518"/>
      <c r="BX556" s="518"/>
      <c r="BY556" s="518"/>
      <c r="BZ556" s="518"/>
      <c r="CA556" s="518"/>
      <c r="CB556" s="518"/>
      <c r="CC556" s="518"/>
      <c r="CD556" s="518"/>
      <c r="CE556" s="518"/>
    </row>
    <row r="557" spans="1:83" ht="24.75" hidden="1" customHeight="1">
      <c r="A557" s="1649"/>
      <c r="B557" s="1023"/>
      <c r="C557" s="319"/>
      <c r="D557" s="3622"/>
      <c r="E557" s="3616" t="s">
        <v>875</v>
      </c>
      <c r="F557" s="3616"/>
      <c r="G557" s="3616"/>
      <c r="H557" s="3616"/>
      <c r="I557" s="3616"/>
      <c r="J557" s="3616"/>
      <c r="K557" s="3616"/>
      <c r="L557" s="3616"/>
      <c r="M557" s="3616"/>
      <c r="N557" s="3616"/>
      <c r="O557" s="3616"/>
      <c r="P557" s="3616"/>
      <c r="Q557" s="455">
        <f>SUMIF(T558:T559,"i",Q558:Q559)</f>
        <v>0</v>
      </c>
      <c r="R557" s="887"/>
      <c r="S557" s="1641" t="s">
        <v>876</v>
      </c>
      <c r="T557" s="607" t="s">
        <v>877</v>
      </c>
      <c r="U557" s="3532">
        <v>1</v>
      </c>
      <c r="V557" s="3532" t="s">
        <v>840</v>
      </c>
      <c r="W557" s="1023"/>
      <c r="X557" s="1023"/>
      <c r="Y557" s="1023"/>
      <c r="Z557" s="1023"/>
      <c r="AA557" s="1481"/>
      <c r="AB557" s="1023"/>
      <c r="AC557" s="3617"/>
      <c r="AD557" s="521"/>
      <c r="AE557" s="1023"/>
      <c r="AF557" s="1023"/>
      <c r="AG557" s="1481"/>
      <c r="AH557" s="1481"/>
      <c r="AI557" s="1481"/>
      <c r="AJ557" s="1481"/>
      <c r="AK557" s="1481"/>
      <c r="AL557" s="1481"/>
      <c r="AM557" s="1481"/>
      <c r="AN557" s="1481"/>
      <c r="AO557" s="1481"/>
      <c r="AP557" s="1481"/>
      <c r="AQ557" s="1481"/>
      <c r="AR557" s="1481"/>
      <c r="AS557" s="1481"/>
      <c r="AT557" s="1481"/>
      <c r="AU557" s="1481"/>
      <c r="AV557" s="1481"/>
      <c r="AW557" s="1481"/>
      <c r="AX557" s="1481"/>
      <c r="AY557" s="1481"/>
      <c r="AZ557" s="1481"/>
      <c r="BA557" s="1481"/>
      <c r="BB557" s="1481"/>
      <c r="BC557" s="1481"/>
      <c r="BD557" s="1481"/>
      <c r="BE557" s="1481"/>
      <c r="BF557" s="1481"/>
      <c r="BG557" s="1481"/>
      <c r="BH557" s="1481"/>
      <c r="BI557" s="1481"/>
      <c r="BJ557" s="1481"/>
      <c r="BK557" s="1481"/>
      <c r="BL557" s="1481"/>
      <c r="BM557" s="1481"/>
      <c r="BN557" s="1481"/>
      <c r="BO557" s="1481"/>
      <c r="BP557" s="1481"/>
      <c r="BQ557" s="1481"/>
      <c r="BR557" s="1481"/>
      <c r="BS557" s="1481"/>
      <c r="BT557" s="1481"/>
      <c r="BU557" s="1481"/>
      <c r="BV557" s="1023"/>
      <c r="BW557" s="1023"/>
      <c r="BX557" s="1023"/>
      <c r="BY557" s="1023"/>
      <c r="BZ557" s="1023"/>
      <c r="CA557" s="1023"/>
      <c r="CB557" s="1023"/>
      <c r="CC557" s="1023"/>
      <c r="CD557" s="1023"/>
      <c r="CE557" s="1023"/>
    </row>
    <row r="558" spans="1:83" ht="11.25" hidden="1" customHeight="1">
      <c r="A558" s="1636"/>
      <c r="B558" s="1481"/>
      <c r="C558" s="1481"/>
      <c r="D558" s="3622"/>
      <c r="E558" s="527"/>
      <c r="F558" s="527">
        <v>0</v>
      </c>
      <c r="G558" s="527"/>
      <c r="H558" s="527"/>
      <c r="I558" s="527"/>
      <c r="J558" s="527"/>
      <c r="K558" s="527"/>
      <c r="L558" s="527"/>
      <c r="M558" s="527"/>
      <c r="N558" s="527"/>
      <c r="O558" s="527"/>
      <c r="P558" s="527"/>
      <c r="Q558" s="527"/>
      <c r="R558" s="527"/>
      <c r="S558" s="528"/>
      <c r="T558" s="608"/>
      <c r="U558" s="3532"/>
      <c r="V558" s="3532"/>
      <c r="W558" s="1481"/>
      <c r="X558" s="1481"/>
      <c r="Y558" s="1481"/>
      <c r="Z558" s="1481"/>
      <c r="AA558" s="1481"/>
      <c r="AB558" s="1023"/>
      <c r="AC558" s="3617"/>
      <c r="AD558" s="521"/>
      <c r="AE558" s="1023"/>
      <c r="AF558" s="1023"/>
      <c r="AG558" s="1481"/>
      <c r="AH558" s="1481"/>
      <c r="AI558" s="1481"/>
      <c r="AJ558" s="1481"/>
      <c r="AK558" s="1481"/>
      <c r="AL558" s="1481"/>
      <c r="AM558" s="1481"/>
      <c r="AN558" s="1481"/>
      <c r="AO558" s="1481"/>
      <c r="AP558" s="1481"/>
      <c r="AQ558" s="1481"/>
      <c r="AR558" s="1481"/>
      <c r="AS558" s="1481"/>
      <c r="AT558" s="1481"/>
      <c r="AU558" s="1481"/>
      <c r="AV558" s="1481"/>
      <c r="AW558" s="1481"/>
      <c r="AX558" s="1481"/>
      <c r="AY558" s="1481"/>
      <c r="AZ558" s="1481"/>
      <c r="BA558" s="1481"/>
      <c r="BB558" s="1481"/>
      <c r="BC558" s="1481"/>
      <c r="BD558" s="1481"/>
      <c r="BE558" s="1481"/>
      <c r="BF558" s="1481"/>
      <c r="BG558" s="1481"/>
      <c r="BH558" s="1481"/>
      <c r="BI558" s="1481"/>
      <c r="BJ558" s="1481"/>
      <c r="BK558" s="1481"/>
      <c r="BL558" s="1481"/>
      <c r="BM558" s="1481"/>
      <c r="BN558" s="1481"/>
      <c r="BO558" s="1481"/>
      <c r="BP558" s="1481"/>
      <c r="BQ558" s="1481"/>
      <c r="BR558" s="1481"/>
      <c r="BS558" s="1481"/>
      <c r="BT558" s="1481"/>
      <c r="BU558" s="1481"/>
      <c r="BV558" s="1481"/>
      <c r="BW558" s="1481"/>
      <c r="BX558" s="1481"/>
      <c r="BY558" s="1481"/>
      <c r="BZ558" s="1481"/>
      <c r="CA558" s="1481"/>
      <c r="CB558" s="1481"/>
      <c r="CC558" s="1481"/>
      <c r="CD558" s="1481"/>
      <c r="CE558" s="1481"/>
    </row>
    <row r="559" spans="1:83" ht="11.25" hidden="1" customHeight="1">
      <c r="A559" s="1649"/>
      <c r="B559" s="1023"/>
      <c r="C559" s="319"/>
      <c r="D559" s="3622"/>
      <c r="E559" s="541" t="s">
        <v>18</v>
      </c>
      <c r="F559" s="1031" t="s">
        <v>18</v>
      </c>
      <c r="G559" s="1031" t="s">
        <v>880</v>
      </c>
      <c r="H559" s="543" t="s">
        <v>18</v>
      </c>
      <c r="I559" s="543"/>
      <c r="J559" s="543"/>
      <c r="K559" s="543"/>
      <c r="L559" s="543"/>
      <c r="M559" s="543"/>
      <c r="N559" s="543"/>
      <c r="O559" s="543"/>
      <c r="P559" s="543"/>
      <c r="Q559" s="543"/>
      <c r="R559" s="544"/>
      <c r="S559" s="545"/>
      <c r="T559" s="608"/>
      <c r="U559" s="3532"/>
      <c r="V559" s="3532"/>
      <c r="W559" s="1023"/>
      <c r="X559" s="1023"/>
      <c r="Y559" s="1023"/>
      <c r="Z559" s="1023"/>
      <c r="AA559" s="1481"/>
      <c r="AB559" s="1023"/>
      <c r="AC559" s="3617"/>
      <c r="AD559" s="521"/>
      <c r="AE559" s="1023"/>
      <c r="AF559" s="1023"/>
      <c r="AG559" s="1481"/>
      <c r="AH559" s="1481"/>
      <c r="AI559" s="1481"/>
      <c r="AJ559" s="1481"/>
      <c r="AK559" s="1481"/>
      <c r="AL559" s="1481"/>
      <c r="AM559" s="1481"/>
      <c r="AN559" s="1481"/>
      <c r="AO559" s="1481"/>
      <c r="AP559" s="1481"/>
      <c r="AQ559" s="1481"/>
      <c r="AR559" s="1481"/>
      <c r="AS559" s="1481"/>
      <c r="AT559" s="1481"/>
      <c r="AU559" s="1481"/>
      <c r="AV559" s="1481"/>
      <c r="AW559" s="1481"/>
      <c r="AX559" s="1481"/>
      <c r="AY559" s="1481"/>
      <c r="AZ559" s="1481"/>
      <c r="BA559" s="1481"/>
      <c r="BB559" s="1481"/>
      <c r="BC559" s="1481"/>
      <c r="BD559" s="1481"/>
      <c r="BE559" s="1481"/>
      <c r="BF559" s="1481"/>
      <c r="BG559" s="1481"/>
      <c r="BH559" s="1481"/>
      <c r="BI559" s="1481"/>
      <c r="BJ559" s="1481"/>
      <c r="BK559" s="1481"/>
      <c r="BL559" s="1481"/>
      <c r="BM559" s="1481"/>
      <c r="BN559" s="1481"/>
      <c r="BO559" s="1481"/>
      <c r="BP559" s="1481"/>
      <c r="BQ559" s="1481"/>
      <c r="BR559" s="1481"/>
      <c r="BS559" s="1481"/>
      <c r="BT559" s="1481"/>
      <c r="BU559" s="1481"/>
      <c r="BV559" s="1023"/>
      <c r="BW559" s="1023"/>
      <c r="BX559" s="1023"/>
      <c r="BY559" s="1023"/>
      <c r="BZ559" s="1023"/>
      <c r="CA559" s="1023"/>
      <c r="CB559" s="1023"/>
      <c r="CC559" s="1023"/>
      <c r="CD559" s="1023"/>
      <c r="CE559" s="1023"/>
    </row>
    <row r="560" spans="1:83" ht="5.25" hidden="1" customHeight="1">
      <c r="A560" s="1636"/>
      <c r="B560" s="1481"/>
      <c r="C560" s="1481"/>
      <c r="D560" s="3622"/>
      <c r="E560" s="909"/>
      <c r="F560" s="909"/>
      <c r="G560" s="909"/>
      <c r="H560" s="909"/>
      <c r="I560" s="909"/>
      <c r="J560" s="909"/>
      <c r="K560" s="909"/>
      <c r="L560" s="909"/>
      <c r="M560" s="909"/>
      <c r="N560" s="909"/>
      <c r="O560" s="909"/>
      <c r="P560" s="909"/>
      <c r="Q560" s="910"/>
      <c r="R560" s="911"/>
      <c r="S560" s="912"/>
      <c r="T560" s="607" t="s">
        <v>877</v>
      </c>
      <c r="U560" s="3532">
        <v>1</v>
      </c>
      <c r="V560" s="3532" t="s">
        <v>840</v>
      </c>
      <c r="W560" s="1481"/>
      <c r="X560" s="1481"/>
      <c r="Y560" s="1481"/>
      <c r="Z560" s="1481"/>
      <c r="AA560" s="1481"/>
      <c r="AB560" s="1481"/>
      <c r="AC560" s="907"/>
      <c r="AD560" s="908"/>
      <c r="AE560" s="1481"/>
      <c r="AF560" s="1481"/>
      <c r="AG560" s="1481"/>
      <c r="AH560" s="1481"/>
      <c r="AI560" s="1481"/>
      <c r="AJ560" s="1481"/>
      <c r="AK560" s="1481"/>
      <c r="AL560" s="1481"/>
      <c r="AM560" s="1481"/>
      <c r="AN560" s="1481"/>
      <c r="AO560" s="1481"/>
      <c r="AP560" s="1481"/>
      <c r="AQ560" s="1481"/>
      <c r="AR560" s="1481"/>
      <c r="AS560" s="1481"/>
      <c r="AT560" s="1481"/>
      <c r="AU560" s="1481"/>
      <c r="AV560" s="1481"/>
      <c r="AW560" s="1481"/>
      <c r="AX560" s="1481"/>
      <c r="AY560" s="1481"/>
      <c r="AZ560" s="1481"/>
      <c r="BA560" s="1481"/>
      <c r="BB560" s="1481"/>
      <c r="BC560" s="1481"/>
      <c r="BD560" s="1481"/>
      <c r="BE560" s="1481"/>
      <c r="BF560" s="1481"/>
      <c r="BG560" s="1481"/>
      <c r="BH560" s="1481"/>
      <c r="BI560" s="1481"/>
      <c r="BJ560" s="1481"/>
      <c r="BK560" s="1481"/>
      <c r="BL560" s="1481"/>
      <c r="BM560" s="1481"/>
      <c r="BN560" s="1481"/>
      <c r="BO560" s="1481"/>
      <c r="BP560" s="1481"/>
      <c r="BQ560" s="1481"/>
      <c r="BR560" s="1481"/>
      <c r="BS560" s="1481"/>
      <c r="BT560" s="1481"/>
      <c r="BU560" s="1481"/>
      <c r="BV560" s="1481"/>
      <c r="BW560" s="1481"/>
      <c r="BX560" s="1481"/>
      <c r="BY560" s="1481"/>
      <c r="BZ560" s="1481"/>
      <c r="CA560" s="1481"/>
      <c r="CB560" s="1481"/>
      <c r="CC560" s="1481"/>
      <c r="CD560" s="1481"/>
      <c r="CE560" s="1481"/>
    </row>
    <row r="561" spans="1:83" ht="5.25" hidden="1" customHeight="1">
      <c r="A561" s="1636"/>
      <c r="B561" s="1481"/>
      <c r="C561" s="1481"/>
      <c r="D561" s="3622"/>
      <c r="E561" s="527"/>
      <c r="F561" s="527"/>
      <c r="G561" s="527"/>
      <c r="H561" s="527"/>
      <c r="I561" s="527"/>
      <c r="J561" s="527"/>
      <c r="K561" s="527"/>
      <c r="L561" s="527"/>
      <c r="M561" s="527"/>
      <c r="N561" s="527"/>
      <c r="O561" s="527"/>
      <c r="P561" s="527"/>
      <c r="Q561" s="527"/>
      <c r="R561" s="527"/>
      <c r="S561" s="528"/>
      <c r="T561" s="608"/>
      <c r="U561" s="3532"/>
      <c r="V561" s="3532"/>
      <c r="W561" s="1481"/>
      <c r="X561" s="1481"/>
      <c r="Y561" s="1481"/>
      <c r="Z561" s="1481"/>
      <c r="AA561" s="1481"/>
      <c r="AB561" s="1481"/>
      <c r="AC561" s="907"/>
      <c r="AD561" s="908"/>
      <c r="AE561" s="1481"/>
      <c r="AF561" s="1481"/>
      <c r="AG561" s="1481"/>
      <c r="AH561" s="1481"/>
      <c r="AI561" s="1481"/>
      <c r="AJ561" s="1481"/>
      <c r="AK561" s="1481"/>
      <c r="AL561" s="1481"/>
      <c r="AM561" s="1481"/>
      <c r="AN561" s="1481"/>
      <c r="AO561" s="1481"/>
      <c r="AP561" s="1481"/>
      <c r="AQ561" s="1481"/>
      <c r="AR561" s="1481"/>
      <c r="AS561" s="1481"/>
      <c r="AT561" s="1481"/>
      <c r="AU561" s="1481"/>
      <c r="AV561" s="1481"/>
      <c r="AW561" s="1481"/>
      <c r="AX561" s="1481"/>
      <c r="AY561" s="1481"/>
      <c r="AZ561" s="1481"/>
      <c r="BA561" s="1481"/>
      <c r="BB561" s="1481"/>
      <c r="BC561" s="1481"/>
      <c r="BD561" s="1481"/>
      <c r="BE561" s="1481"/>
      <c r="BF561" s="1481"/>
      <c r="BG561" s="1481"/>
      <c r="BH561" s="1481"/>
      <c r="BI561" s="1481"/>
      <c r="BJ561" s="1481"/>
      <c r="BK561" s="1481"/>
      <c r="BL561" s="1481"/>
      <c r="BM561" s="1481"/>
      <c r="BN561" s="1481"/>
      <c r="BO561" s="1481"/>
      <c r="BP561" s="1481"/>
      <c r="BQ561" s="1481"/>
      <c r="BR561" s="1481"/>
      <c r="BS561" s="1481"/>
      <c r="BT561" s="1481"/>
      <c r="BU561" s="1481"/>
      <c r="BV561" s="1481"/>
      <c r="BW561" s="1481"/>
      <c r="BX561" s="1481"/>
      <c r="BY561" s="1481"/>
      <c r="BZ561" s="1481"/>
      <c r="CA561" s="1481"/>
      <c r="CB561" s="1481"/>
      <c r="CC561" s="1481"/>
      <c r="CD561" s="1481"/>
      <c r="CE561" s="1481"/>
    </row>
    <row r="562" spans="1:83" ht="5.25" hidden="1" customHeight="1">
      <c r="A562" s="1636"/>
      <c r="B562" s="1481"/>
      <c r="C562" s="1481"/>
      <c r="D562" s="3623"/>
      <c r="E562" s="913"/>
      <c r="F562" s="914"/>
      <c r="G562" s="914"/>
      <c r="H562" s="915"/>
      <c r="I562" s="915"/>
      <c r="J562" s="915"/>
      <c r="K562" s="915"/>
      <c r="L562" s="915"/>
      <c r="M562" s="915"/>
      <c r="N562" s="915"/>
      <c r="O562" s="915"/>
      <c r="P562" s="915"/>
      <c r="Q562" s="915"/>
      <c r="R562" s="818"/>
      <c r="S562" s="916"/>
      <c r="T562" s="608"/>
      <c r="U562" s="3532"/>
      <c r="V562" s="3532"/>
      <c r="W562" s="1481"/>
      <c r="X562" s="1481"/>
      <c r="Y562" s="1481"/>
      <c r="Z562" s="1481"/>
      <c r="AA562" s="1481"/>
      <c r="AB562" s="1481"/>
      <c r="AC562" s="907"/>
      <c r="AD562" s="908"/>
      <c r="AE562" s="1481"/>
      <c r="AF562" s="1481"/>
      <c r="AG562" s="1481"/>
      <c r="AH562" s="1481"/>
      <c r="AI562" s="1481"/>
      <c r="AJ562" s="1481"/>
      <c r="AK562" s="1481"/>
      <c r="AL562" s="1481"/>
      <c r="AM562" s="1481"/>
      <c r="AN562" s="1481"/>
      <c r="AO562" s="1481"/>
      <c r="AP562" s="1481"/>
      <c r="AQ562" s="1481"/>
      <c r="AR562" s="1481"/>
      <c r="AS562" s="1481"/>
      <c r="AT562" s="1481"/>
      <c r="AU562" s="1481"/>
      <c r="AV562" s="1481"/>
      <c r="AW562" s="1481"/>
      <c r="AX562" s="1481"/>
      <c r="AY562" s="1481"/>
      <c r="AZ562" s="1481"/>
      <c r="BA562" s="1481"/>
      <c r="BB562" s="1481"/>
      <c r="BC562" s="1481"/>
      <c r="BD562" s="1481"/>
      <c r="BE562" s="1481"/>
      <c r="BF562" s="1481"/>
      <c r="BG562" s="1481"/>
      <c r="BH562" s="1481"/>
      <c r="BI562" s="1481"/>
      <c r="BJ562" s="1481"/>
      <c r="BK562" s="1481"/>
      <c r="BL562" s="1481"/>
      <c r="BM562" s="1481"/>
      <c r="BN562" s="1481"/>
      <c r="BO562" s="1481"/>
      <c r="BP562" s="1481"/>
      <c r="BQ562" s="1481"/>
      <c r="BR562" s="1481"/>
      <c r="BS562" s="1481"/>
      <c r="BT562" s="1481"/>
      <c r="BU562" s="1481"/>
      <c r="BV562" s="1481"/>
      <c r="BW562" s="1481"/>
      <c r="BX562" s="1481"/>
      <c r="BY562" s="1481"/>
      <c r="BZ562" s="1481"/>
      <c r="CA562" s="1481"/>
      <c r="CB562" s="1481"/>
      <c r="CC562" s="1481"/>
      <c r="CD562" s="1481"/>
      <c r="CE562" s="1481"/>
    </row>
    <row r="563" spans="1:83" ht="15" hidden="1" customHeight="1">
      <c r="A563" s="516" t="s">
        <v>293</v>
      </c>
      <c r="B563"/>
      <c r="C563" t="s">
        <v>18</v>
      </c>
      <c r="D563" s="3621" t="s">
        <v>940</v>
      </c>
      <c r="E563" s="3618" t="s">
        <v>102</v>
      </c>
      <c r="F563" s="3619"/>
      <c r="G563" s="3620"/>
      <c r="H563" s="3614" t="str">
        <f>IF(A563="","",INDEX(DIFFERENTIATION_UNMERGE_VD,MATCH(A563,DIFFERENTIATION_ID_DIFF,0)))</f>
        <v>Производство тепловой энергии. Некомбинированная выработка</v>
      </c>
      <c r="I563" s="3614"/>
      <c r="J563" s="3614"/>
      <c r="K563" s="3614"/>
      <c r="L563" s="3614"/>
      <c r="M563" s="3614"/>
      <c r="N563" s="3614"/>
      <c r="O563" s="3614"/>
      <c r="P563" s="3614"/>
      <c r="Q563" s="3614"/>
      <c r="R563" s="3614"/>
      <c r="S563" s="609"/>
      <c r="T563" s="606"/>
      <c r="U563" s="517"/>
      <c r="V563" s="517"/>
      <c r="W563" s="518"/>
      <c r="X563" s="518"/>
      <c r="Y563" s="518"/>
      <c r="Z563" s="518"/>
      <c r="AA563" s="519"/>
      <c r="AB563" s="520"/>
      <c r="AC563" s="3617"/>
      <c r="AD563" s="521"/>
      <c r="AE563" s="522" t="s">
        <v>18</v>
      </c>
      <c r="AF563" s="522"/>
      <c r="AG563" s="523" t="s">
        <v>874</v>
      </c>
      <c r="AH563" s="524">
        <v>3</v>
      </c>
      <c r="AI563" s="517"/>
      <c r="AJ563" s="517"/>
      <c r="AK563" s="517"/>
      <c r="AL563" s="517"/>
      <c r="AM563" s="517"/>
      <c r="AN563" s="517"/>
      <c r="AO563" s="517"/>
      <c r="AP563" s="517"/>
      <c r="AQ563" s="517"/>
      <c r="AR563" s="517"/>
      <c r="AS563" s="517"/>
      <c r="AT563" s="517"/>
      <c r="AU563" s="517"/>
      <c r="AV563" s="517"/>
      <c r="AW563" s="517"/>
      <c r="AX563" s="517"/>
      <c r="AY563" s="517"/>
      <c r="AZ563" s="517"/>
      <c r="BA563" s="517"/>
      <c r="BB563" s="517"/>
      <c r="BC563" s="517"/>
      <c r="BD563" s="517"/>
      <c r="BE563" s="517"/>
      <c r="BF563" s="517"/>
      <c r="BG563" s="517"/>
      <c r="BH563" s="517"/>
      <c r="BI563" s="517"/>
      <c r="BJ563" s="517"/>
      <c r="BK563" s="517"/>
      <c r="BL563" s="517"/>
      <c r="BM563" s="517"/>
      <c r="BN563" s="517"/>
      <c r="BO563" s="517"/>
      <c r="BP563" s="517"/>
      <c r="BQ563" s="517"/>
      <c r="BR563" s="517"/>
      <c r="BS563" s="517"/>
      <c r="BT563" s="517"/>
      <c r="BU563" s="517"/>
      <c r="BV563" s="518"/>
      <c r="BW563" s="518"/>
      <c r="BX563" s="518"/>
      <c r="BY563" s="518"/>
      <c r="BZ563" s="518"/>
      <c r="CA563" s="518"/>
      <c r="CB563" s="518"/>
      <c r="CC563" s="518"/>
      <c r="CD563" s="518"/>
      <c r="CE563" s="518"/>
    </row>
    <row r="564" spans="1:83" ht="15" hidden="1" customHeight="1">
      <c r="A564" s="516"/>
      <c r="B564"/>
      <c r="C564"/>
      <c r="D564" s="3622"/>
      <c r="E564" s="3618" t="s">
        <v>829</v>
      </c>
      <c r="F564" s="3619"/>
      <c r="G564" s="3620"/>
      <c r="H564" s="3614" t="str">
        <f>IF(A563="","",INDEX(DIFFERENTIATION_UNMERGE_AREA,MATCH(A563,DIFFERENTIATION_ID_DIFF,0)))</f>
        <v>Территория 1</v>
      </c>
      <c r="I564" s="3614"/>
      <c r="J564" s="3614"/>
      <c r="K564" s="3614"/>
      <c r="L564" s="3614"/>
      <c r="M564" s="3614"/>
      <c r="N564" s="3614"/>
      <c r="O564" s="3614"/>
      <c r="P564" s="3614"/>
      <c r="Q564" s="3614"/>
      <c r="R564" s="3614"/>
      <c r="S564" s="609"/>
      <c r="T564" s="606"/>
      <c r="U564" s="517"/>
      <c r="V564" s="517"/>
      <c r="W564" s="518"/>
      <c r="X564" s="518"/>
      <c r="Y564" s="518"/>
      <c r="Z564" s="518"/>
      <c r="AA564" s="519"/>
      <c r="AB564" s="520"/>
      <c r="AC564" s="3617"/>
      <c r="AD564" s="521"/>
      <c r="AE564" s="522"/>
      <c r="AF564" s="522"/>
      <c r="AG564" s="523"/>
      <c r="AH564" s="524"/>
      <c r="AI564" s="517"/>
      <c r="AJ564" s="517"/>
      <c r="AK564" s="517"/>
      <c r="AL564" s="517"/>
      <c r="AM564" s="517"/>
      <c r="AN564" s="517"/>
      <c r="AO564" s="517"/>
      <c r="AP564" s="517"/>
      <c r="AQ564" s="517"/>
      <c r="AR564" s="517"/>
      <c r="AS564" s="517"/>
      <c r="AT564" s="517"/>
      <c r="AU564" s="517"/>
      <c r="AV564" s="517"/>
      <c r="AW564" s="517"/>
      <c r="AX564" s="517"/>
      <c r="AY564" s="517"/>
      <c r="AZ564" s="517"/>
      <c r="BA564" s="517"/>
      <c r="BB564" s="517"/>
      <c r="BC564" s="517"/>
      <c r="BD564" s="517"/>
      <c r="BE564" s="517"/>
      <c r="BF564" s="517"/>
      <c r="BG564" s="517"/>
      <c r="BH564" s="517"/>
      <c r="BI564" s="517"/>
      <c r="BJ564" s="517"/>
      <c r="BK564" s="517"/>
      <c r="BL564" s="517"/>
      <c r="BM564" s="517"/>
      <c r="BN564" s="517"/>
      <c r="BO564" s="517"/>
      <c r="BP564" s="517"/>
      <c r="BQ564" s="517"/>
      <c r="BR564" s="517"/>
      <c r="BS564" s="517"/>
      <c r="BT564" s="517"/>
      <c r="BU564" s="517"/>
      <c r="BV564" s="518"/>
      <c r="BW564" s="518"/>
      <c r="BX564" s="518"/>
      <c r="BY564" s="518"/>
      <c r="BZ564" s="518"/>
      <c r="CA564" s="518"/>
      <c r="CB564" s="518"/>
      <c r="CC564" s="518"/>
      <c r="CD564" s="518"/>
      <c r="CE564" s="518"/>
    </row>
    <row r="565" spans="1:83" ht="15" hidden="1" customHeight="1">
      <c r="A565" s="516"/>
      <c r="B565"/>
      <c r="C565"/>
      <c r="D565" s="3622"/>
      <c r="E565" s="3618" t="s">
        <v>830</v>
      </c>
      <c r="F565" s="3619"/>
      <c r="G565" s="3620"/>
      <c r="H565" s="3614" t="str">
        <f>IF(A563="","",INDEX(DIFFERENTIATION_UNMERGE_SYSTEM,MATCH(A563,DIFFERENTIATION_ID_DIFF,0)))</f>
        <v>Наугорское, 13б</v>
      </c>
      <c r="I565" s="3614"/>
      <c r="J565" s="3614"/>
      <c r="K565" s="3614"/>
      <c r="L565" s="3614"/>
      <c r="M565" s="3614"/>
      <c r="N565" s="3614"/>
      <c r="O565" s="3614"/>
      <c r="P565" s="3614"/>
      <c r="Q565" s="3614"/>
      <c r="R565" s="3614"/>
      <c r="S565" s="609"/>
      <c r="T565" s="606"/>
      <c r="U565" s="517"/>
      <c r="V565" s="517"/>
      <c r="W565" s="518"/>
      <c r="X565" s="518"/>
      <c r="Y565" s="518"/>
      <c r="Z565" s="518"/>
      <c r="AA565" s="519"/>
      <c r="AB565" s="520"/>
      <c r="AC565" s="3617"/>
      <c r="AD565" s="521"/>
      <c r="AE565" s="522"/>
      <c r="AF565" s="522"/>
      <c r="AG565" s="523"/>
      <c r="AH565" s="524"/>
      <c r="AI565" s="517"/>
      <c r="AJ565" s="517"/>
      <c r="AK565" s="517"/>
      <c r="AL565" s="517"/>
      <c r="AM565" s="517"/>
      <c r="AN565" s="517"/>
      <c r="AO565" s="517"/>
      <c r="AP565" s="517"/>
      <c r="AQ565" s="517"/>
      <c r="AR565" s="517"/>
      <c r="AS565" s="517"/>
      <c r="AT565" s="517"/>
      <c r="AU565" s="517"/>
      <c r="AV565" s="517"/>
      <c r="AW565" s="517"/>
      <c r="AX565" s="517"/>
      <c r="AY565" s="517"/>
      <c r="AZ565" s="517"/>
      <c r="BA565" s="517"/>
      <c r="BB565" s="517"/>
      <c r="BC565" s="517"/>
      <c r="BD565" s="517"/>
      <c r="BE565" s="517"/>
      <c r="BF565" s="517"/>
      <c r="BG565" s="517"/>
      <c r="BH565" s="517"/>
      <c r="BI565" s="517"/>
      <c r="BJ565" s="517"/>
      <c r="BK565" s="517"/>
      <c r="BL565" s="517"/>
      <c r="BM565" s="517"/>
      <c r="BN565" s="517"/>
      <c r="BO565" s="517"/>
      <c r="BP565" s="517"/>
      <c r="BQ565" s="517"/>
      <c r="BR565" s="517"/>
      <c r="BS565" s="517"/>
      <c r="BT565" s="517"/>
      <c r="BU565" s="517"/>
      <c r="BV565" s="518"/>
      <c r="BW565" s="518"/>
      <c r="BX565" s="518"/>
      <c r="BY565" s="518"/>
      <c r="BZ565" s="518"/>
      <c r="CA565" s="518"/>
      <c r="CB565" s="518"/>
      <c r="CC565" s="518"/>
      <c r="CD565" s="518"/>
      <c r="CE565" s="518"/>
    </row>
    <row r="566" spans="1:83" ht="24.75" hidden="1" customHeight="1">
      <c r="A566" s="1649"/>
      <c r="B566" s="1023"/>
      <c r="C566" s="319"/>
      <c r="D566" s="3622"/>
      <c r="E566" s="3616" t="s">
        <v>875</v>
      </c>
      <c r="F566" s="3616"/>
      <c r="G566" s="3616"/>
      <c r="H566" s="3616"/>
      <c r="I566" s="3616"/>
      <c r="J566" s="3616"/>
      <c r="K566" s="3616"/>
      <c r="L566" s="3616"/>
      <c r="M566" s="3616"/>
      <c r="N566" s="3616"/>
      <c r="O566" s="3616"/>
      <c r="P566" s="3616"/>
      <c r="Q566" s="455">
        <f>SUMIF(T567:T568,"i",Q567:Q568)</f>
        <v>0</v>
      </c>
      <c r="R566" s="887"/>
      <c r="S566" s="1641" t="s">
        <v>876</v>
      </c>
      <c r="T566" s="607" t="s">
        <v>877</v>
      </c>
      <c r="U566" s="3532">
        <v>1</v>
      </c>
      <c r="V566" s="3532" t="s">
        <v>840</v>
      </c>
      <c r="W566" s="1023"/>
      <c r="X566" s="1023"/>
      <c r="Y566" s="1023"/>
      <c r="Z566" s="1023"/>
      <c r="AA566" s="1481"/>
      <c r="AB566" s="1023"/>
      <c r="AC566" s="3617"/>
      <c r="AD566" s="521"/>
      <c r="AE566" s="1023"/>
      <c r="AF566" s="1023"/>
      <c r="AG566" s="1481"/>
      <c r="AH566" s="1481"/>
      <c r="AI566" s="1481"/>
      <c r="AJ566" s="1481"/>
      <c r="AK566" s="1481"/>
      <c r="AL566" s="1481"/>
      <c r="AM566" s="1481"/>
      <c r="AN566" s="1481"/>
      <c r="AO566" s="1481"/>
      <c r="AP566" s="1481"/>
      <c r="AQ566" s="1481"/>
      <c r="AR566" s="1481"/>
      <c r="AS566" s="1481"/>
      <c r="AT566" s="1481"/>
      <c r="AU566" s="1481"/>
      <c r="AV566" s="1481"/>
      <c r="AW566" s="1481"/>
      <c r="AX566" s="1481"/>
      <c r="AY566" s="1481"/>
      <c r="AZ566" s="1481"/>
      <c r="BA566" s="1481"/>
      <c r="BB566" s="1481"/>
      <c r="BC566" s="1481"/>
      <c r="BD566" s="1481"/>
      <c r="BE566" s="1481"/>
      <c r="BF566" s="1481"/>
      <c r="BG566" s="1481"/>
      <c r="BH566" s="1481"/>
      <c r="BI566" s="1481"/>
      <c r="BJ566" s="1481"/>
      <c r="BK566" s="1481"/>
      <c r="BL566" s="1481"/>
      <c r="BM566" s="1481"/>
      <c r="BN566" s="1481"/>
      <c r="BO566" s="1481"/>
      <c r="BP566" s="1481"/>
      <c r="BQ566" s="1481"/>
      <c r="BR566" s="1481"/>
      <c r="BS566" s="1481"/>
      <c r="BT566" s="1481"/>
      <c r="BU566" s="1481"/>
      <c r="BV566" s="1023"/>
      <c r="BW566" s="1023"/>
      <c r="BX566" s="1023"/>
      <c r="BY566" s="1023"/>
      <c r="BZ566" s="1023"/>
      <c r="CA566" s="1023"/>
      <c r="CB566" s="1023"/>
      <c r="CC566" s="1023"/>
      <c r="CD566" s="1023"/>
      <c r="CE566" s="1023"/>
    </row>
    <row r="567" spans="1:83" ht="11.25" hidden="1" customHeight="1">
      <c r="A567" s="1636"/>
      <c r="B567" s="1481"/>
      <c r="C567" s="1481"/>
      <c r="D567" s="3622"/>
      <c r="E567" s="527"/>
      <c r="F567" s="527">
        <v>0</v>
      </c>
      <c r="G567" s="527"/>
      <c r="H567" s="527"/>
      <c r="I567" s="527"/>
      <c r="J567" s="527"/>
      <c r="K567" s="527"/>
      <c r="L567" s="527"/>
      <c r="M567" s="527"/>
      <c r="N567" s="527"/>
      <c r="O567" s="527"/>
      <c r="P567" s="527"/>
      <c r="Q567" s="527"/>
      <c r="R567" s="527"/>
      <c r="S567" s="528"/>
      <c r="T567" s="608"/>
      <c r="U567" s="3532"/>
      <c r="V567" s="3532"/>
      <c r="W567" s="1481"/>
      <c r="X567" s="1481"/>
      <c r="Y567" s="1481"/>
      <c r="Z567" s="1481"/>
      <c r="AA567" s="1481"/>
      <c r="AB567" s="1023"/>
      <c r="AC567" s="3617"/>
      <c r="AD567" s="521"/>
      <c r="AE567" s="1023"/>
      <c r="AF567" s="1023"/>
      <c r="AG567" s="1481"/>
      <c r="AH567" s="1481"/>
      <c r="AI567" s="1481"/>
      <c r="AJ567" s="1481"/>
      <c r="AK567" s="1481"/>
      <c r="AL567" s="1481"/>
      <c r="AM567" s="1481"/>
      <c r="AN567" s="1481"/>
      <c r="AO567" s="1481"/>
      <c r="AP567" s="1481"/>
      <c r="AQ567" s="1481"/>
      <c r="AR567" s="1481"/>
      <c r="AS567" s="1481"/>
      <c r="AT567" s="1481"/>
      <c r="AU567" s="1481"/>
      <c r="AV567" s="1481"/>
      <c r="AW567" s="1481"/>
      <c r="AX567" s="1481"/>
      <c r="AY567" s="1481"/>
      <c r="AZ567" s="1481"/>
      <c r="BA567" s="1481"/>
      <c r="BB567" s="1481"/>
      <c r="BC567" s="1481"/>
      <c r="BD567" s="1481"/>
      <c r="BE567" s="1481"/>
      <c r="BF567" s="1481"/>
      <c r="BG567" s="1481"/>
      <c r="BH567" s="1481"/>
      <c r="BI567" s="1481"/>
      <c r="BJ567" s="1481"/>
      <c r="BK567" s="1481"/>
      <c r="BL567" s="1481"/>
      <c r="BM567" s="1481"/>
      <c r="BN567" s="1481"/>
      <c r="BO567" s="1481"/>
      <c r="BP567" s="1481"/>
      <c r="BQ567" s="1481"/>
      <c r="BR567" s="1481"/>
      <c r="BS567" s="1481"/>
      <c r="BT567" s="1481"/>
      <c r="BU567" s="1481"/>
      <c r="BV567" s="1481"/>
      <c r="BW567" s="1481"/>
      <c r="BX567" s="1481"/>
      <c r="BY567" s="1481"/>
      <c r="BZ567" s="1481"/>
      <c r="CA567" s="1481"/>
      <c r="CB567" s="1481"/>
      <c r="CC567" s="1481"/>
      <c r="CD567" s="1481"/>
      <c r="CE567" s="1481"/>
    </row>
    <row r="568" spans="1:83" ht="11.25" hidden="1" customHeight="1">
      <c r="A568" s="1649"/>
      <c r="B568" s="1023"/>
      <c r="C568" s="319"/>
      <c r="D568" s="3622"/>
      <c r="E568" s="541" t="s">
        <v>18</v>
      </c>
      <c r="F568" s="1031" t="s">
        <v>18</v>
      </c>
      <c r="G568" s="1031" t="s">
        <v>880</v>
      </c>
      <c r="H568" s="543" t="s">
        <v>18</v>
      </c>
      <c r="I568" s="543"/>
      <c r="J568" s="543"/>
      <c r="K568" s="543"/>
      <c r="L568" s="543"/>
      <c r="M568" s="543"/>
      <c r="N568" s="543"/>
      <c r="O568" s="543"/>
      <c r="P568" s="543"/>
      <c r="Q568" s="543"/>
      <c r="R568" s="544"/>
      <c r="S568" s="545"/>
      <c r="T568" s="608"/>
      <c r="U568" s="3532"/>
      <c r="V568" s="3532"/>
      <c r="W568" s="1023"/>
      <c r="X568" s="1023"/>
      <c r="Y568" s="1023"/>
      <c r="Z568" s="1023"/>
      <c r="AA568" s="1481"/>
      <c r="AB568" s="1023"/>
      <c r="AC568" s="3617"/>
      <c r="AD568" s="521"/>
      <c r="AE568" s="1023"/>
      <c r="AF568" s="1023"/>
      <c r="AG568" s="1481"/>
      <c r="AH568" s="1481"/>
      <c r="AI568" s="1481"/>
      <c r="AJ568" s="1481"/>
      <c r="AK568" s="1481"/>
      <c r="AL568" s="1481"/>
      <c r="AM568" s="1481"/>
      <c r="AN568" s="1481"/>
      <c r="AO568" s="1481"/>
      <c r="AP568" s="1481"/>
      <c r="AQ568" s="1481"/>
      <c r="AR568" s="1481"/>
      <c r="AS568" s="1481"/>
      <c r="AT568" s="1481"/>
      <c r="AU568" s="1481"/>
      <c r="AV568" s="1481"/>
      <c r="AW568" s="1481"/>
      <c r="AX568" s="1481"/>
      <c r="AY568" s="1481"/>
      <c r="AZ568" s="1481"/>
      <c r="BA568" s="1481"/>
      <c r="BB568" s="1481"/>
      <c r="BC568" s="1481"/>
      <c r="BD568" s="1481"/>
      <c r="BE568" s="1481"/>
      <c r="BF568" s="1481"/>
      <c r="BG568" s="1481"/>
      <c r="BH568" s="1481"/>
      <c r="BI568" s="1481"/>
      <c r="BJ568" s="1481"/>
      <c r="BK568" s="1481"/>
      <c r="BL568" s="1481"/>
      <c r="BM568" s="1481"/>
      <c r="BN568" s="1481"/>
      <c r="BO568" s="1481"/>
      <c r="BP568" s="1481"/>
      <c r="BQ568" s="1481"/>
      <c r="BR568" s="1481"/>
      <c r="BS568" s="1481"/>
      <c r="BT568" s="1481"/>
      <c r="BU568" s="1481"/>
      <c r="BV568" s="1023"/>
      <c r="BW568" s="1023"/>
      <c r="BX568" s="1023"/>
      <c r="BY568" s="1023"/>
      <c r="BZ568" s="1023"/>
      <c r="CA568" s="1023"/>
      <c r="CB568" s="1023"/>
      <c r="CC568" s="1023"/>
      <c r="CD568" s="1023"/>
      <c r="CE568" s="1023"/>
    </row>
    <row r="569" spans="1:83" ht="5.25" hidden="1" customHeight="1">
      <c r="A569" s="1636"/>
      <c r="B569" s="1481"/>
      <c r="C569" s="1481"/>
      <c r="D569" s="3622"/>
      <c r="E569" s="909"/>
      <c r="F569" s="909"/>
      <c r="G569" s="909"/>
      <c r="H569" s="909"/>
      <c r="I569" s="909"/>
      <c r="J569" s="909"/>
      <c r="K569" s="909"/>
      <c r="L569" s="909"/>
      <c r="M569" s="909"/>
      <c r="N569" s="909"/>
      <c r="O569" s="909"/>
      <c r="P569" s="909"/>
      <c r="Q569" s="910"/>
      <c r="R569" s="911"/>
      <c r="S569" s="912"/>
      <c r="T569" s="607" t="s">
        <v>877</v>
      </c>
      <c r="U569" s="3532">
        <v>1</v>
      </c>
      <c r="V569" s="3532" t="s">
        <v>840</v>
      </c>
      <c r="W569" s="1481"/>
      <c r="X569" s="1481"/>
      <c r="Y569" s="1481"/>
      <c r="Z569" s="1481"/>
      <c r="AA569" s="1481"/>
      <c r="AB569" s="1481"/>
      <c r="AC569" s="907"/>
      <c r="AD569" s="908"/>
      <c r="AE569" s="1481"/>
      <c r="AF569" s="1481"/>
      <c r="AG569" s="1481"/>
      <c r="AH569" s="1481"/>
      <c r="AI569" s="1481"/>
      <c r="AJ569" s="1481"/>
      <c r="AK569" s="1481"/>
      <c r="AL569" s="1481"/>
      <c r="AM569" s="1481"/>
      <c r="AN569" s="1481"/>
      <c r="AO569" s="1481"/>
      <c r="AP569" s="1481"/>
      <c r="AQ569" s="1481"/>
      <c r="AR569" s="1481"/>
      <c r="AS569" s="1481"/>
      <c r="AT569" s="1481"/>
      <c r="AU569" s="1481"/>
      <c r="AV569" s="1481"/>
      <c r="AW569" s="1481"/>
      <c r="AX569" s="1481"/>
      <c r="AY569" s="1481"/>
      <c r="AZ569" s="1481"/>
      <c r="BA569" s="1481"/>
      <c r="BB569" s="1481"/>
      <c r="BC569" s="1481"/>
      <c r="BD569" s="1481"/>
      <c r="BE569" s="1481"/>
      <c r="BF569" s="1481"/>
      <c r="BG569" s="1481"/>
      <c r="BH569" s="1481"/>
      <c r="BI569" s="1481"/>
      <c r="BJ569" s="1481"/>
      <c r="BK569" s="1481"/>
      <c r="BL569" s="1481"/>
      <c r="BM569" s="1481"/>
      <c r="BN569" s="1481"/>
      <c r="BO569" s="1481"/>
      <c r="BP569" s="1481"/>
      <c r="BQ569" s="1481"/>
      <c r="BR569" s="1481"/>
      <c r="BS569" s="1481"/>
      <c r="BT569" s="1481"/>
      <c r="BU569" s="1481"/>
      <c r="BV569" s="1481"/>
      <c r="BW569" s="1481"/>
      <c r="BX569" s="1481"/>
      <c r="BY569" s="1481"/>
      <c r="BZ569" s="1481"/>
      <c r="CA569" s="1481"/>
      <c r="CB569" s="1481"/>
      <c r="CC569" s="1481"/>
      <c r="CD569" s="1481"/>
      <c r="CE569" s="1481"/>
    </row>
    <row r="570" spans="1:83" ht="5.25" hidden="1" customHeight="1">
      <c r="A570" s="1636"/>
      <c r="B570" s="1481"/>
      <c r="C570" s="1481"/>
      <c r="D570" s="3622"/>
      <c r="E570" s="527"/>
      <c r="F570" s="527"/>
      <c r="G570" s="527"/>
      <c r="H570" s="527"/>
      <c r="I570" s="527"/>
      <c r="J570" s="527"/>
      <c r="K570" s="527"/>
      <c r="L570" s="527"/>
      <c r="M570" s="527"/>
      <c r="N570" s="527"/>
      <c r="O570" s="527"/>
      <c r="P570" s="527"/>
      <c r="Q570" s="527"/>
      <c r="R570" s="527"/>
      <c r="S570" s="528"/>
      <c r="T570" s="608"/>
      <c r="U570" s="3532"/>
      <c r="V570" s="3532"/>
      <c r="W570" s="1481"/>
      <c r="X570" s="1481"/>
      <c r="Y570" s="1481"/>
      <c r="Z570" s="1481"/>
      <c r="AA570" s="1481"/>
      <c r="AB570" s="1481"/>
      <c r="AC570" s="907"/>
      <c r="AD570" s="908"/>
      <c r="AE570" s="1481"/>
      <c r="AF570" s="1481"/>
      <c r="AG570" s="1481"/>
      <c r="AH570" s="1481"/>
      <c r="AI570" s="1481"/>
      <c r="AJ570" s="1481"/>
      <c r="AK570" s="1481"/>
      <c r="AL570" s="1481"/>
      <c r="AM570" s="1481"/>
      <c r="AN570" s="1481"/>
      <c r="AO570" s="1481"/>
      <c r="AP570" s="1481"/>
      <c r="AQ570" s="1481"/>
      <c r="AR570" s="1481"/>
      <c r="AS570" s="1481"/>
      <c r="AT570" s="1481"/>
      <c r="AU570" s="1481"/>
      <c r="AV570" s="1481"/>
      <c r="AW570" s="1481"/>
      <c r="AX570" s="1481"/>
      <c r="AY570" s="1481"/>
      <c r="AZ570" s="1481"/>
      <c r="BA570" s="1481"/>
      <c r="BB570" s="1481"/>
      <c r="BC570" s="1481"/>
      <c r="BD570" s="1481"/>
      <c r="BE570" s="1481"/>
      <c r="BF570" s="1481"/>
      <c r="BG570" s="1481"/>
      <c r="BH570" s="1481"/>
      <c r="BI570" s="1481"/>
      <c r="BJ570" s="1481"/>
      <c r="BK570" s="1481"/>
      <c r="BL570" s="1481"/>
      <c r="BM570" s="1481"/>
      <c r="BN570" s="1481"/>
      <c r="BO570" s="1481"/>
      <c r="BP570" s="1481"/>
      <c r="BQ570" s="1481"/>
      <c r="BR570" s="1481"/>
      <c r="BS570" s="1481"/>
      <c r="BT570" s="1481"/>
      <c r="BU570" s="1481"/>
      <c r="BV570" s="1481"/>
      <c r="BW570" s="1481"/>
      <c r="BX570" s="1481"/>
      <c r="BY570" s="1481"/>
      <c r="BZ570" s="1481"/>
      <c r="CA570" s="1481"/>
      <c r="CB570" s="1481"/>
      <c r="CC570" s="1481"/>
      <c r="CD570" s="1481"/>
      <c r="CE570" s="1481"/>
    </row>
    <row r="571" spans="1:83" ht="5.25" hidden="1" customHeight="1">
      <c r="A571" s="1636"/>
      <c r="B571" s="1481"/>
      <c r="C571" s="1481"/>
      <c r="D571" s="3623"/>
      <c r="E571" s="913"/>
      <c r="F571" s="914"/>
      <c r="G571" s="914"/>
      <c r="H571" s="915"/>
      <c r="I571" s="915"/>
      <c r="J571" s="915"/>
      <c r="K571" s="915"/>
      <c r="L571" s="915"/>
      <c r="M571" s="915"/>
      <c r="N571" s="915"/>
      <c r="O571" s="915"/>
      <c r="P571" s="915"/>
      <c r="Q571" s="915"/>
      <c r="R571" s="818"/>
      <c r="S571" s="916"/>
      <c r="T571" s="608"/>
      <c r="U571" s="3532"/>
      <c r="V571" s="3532"/>
      <c r="W571" s="1481"/>
      <c r="X571" s="1481"/>
      <c r="Y571" s="1481"/>
      <c r="Z571" s="1481"/>
      <c r="AA571" s="1481"/>
      <c r="AB571" s="1481"/>
      <c r="AC571" s="907"/>
      <c r="AD571" s="908"/>
      <c r="AE571" s="1481"/>
      <c r="AF571" s="1481"/>
      <c r="AG571" s="1481"/>
      <c r="AH571" s="1481"/>
      <c r="AI571" s="1481"/>
      <c r="AJ571" s="1481"/>
      <c r="AK571" s="1481"/>
      <c r="AL571" s="1481"/>
      <c r="AM571" s="1481"/>
      <c r="AN571" s="1481"/>
      <c r="AO571" s="1481"/>
      <c r="AP571" s="1481"/>
      <c r="AQ571" s="1481"/>
      <c r="AR571" s="1481"/>
      <c r="AS571" s="1481"/>
      <c r="AT571" s="1481"/>
      <c r="AU571" s="1481"/>
      <c r="AV571" s="1481"/>
      <c r="AW571" s="1481"/>
      <c r="AX571" s="1481"/>
      <c r="AY571" s="1481"/>
      <c r="AZ571" s="1481"/>
      <c r="BA571" s="1481"/>
      <c r="BB571" s="1481"/>
      <c r="BC571" s="1481"/>
      <c r="BD571" s="1481"/>
      <c r="BE571" s="1481"/>
      <c r="BF571" s="1481"/>
      <c r="BG571" s="1481"/>
      <c r="BH571" s="1481"/>
      <c r="BI571" s="1481"/>
      <c r="BJ571" s="1481"/>
      <c r="BK571" s="1481"/>
      <c r="BL571" s="1481"/>
      <c r="BM571" s="1481"/>
      <c r="BN571" s="1481"/>
      <c r="BO571" s="1481"/>
      <c r="BP571" s="1481"/>
      <c r="BQ571" s="1481"/>
      <c r="BR571" s="1481"/>
      <c r="BS571" s="1481"/>
      <c r="BT571" s="1481"/>
      <c r="BU571" s="1481"/>
      <c r="BV571" s="1481"/>
      <c r="BW571" s="1481"/>
      <c r="BX571" s="1481"/>
      <c r="BY571" s="1481"/>
      <c r="BZ571" s="1481"/>
      <c r="CA571" s="1481"/>
      <c r="CB571" s="1481"/>
      <c r="CC571" s="1481"/>
      <c r="CD571" s="1481"/>
      <c r="CE571" s="1481"/>
    </row>
    <row r="572" spans="1:83" ht="15" hidden="1" customHeight="1">
      <c r="A572" s="516" t="s">
        <v>296</v>
      </c>
      <c r="B572"/>
      <c r="C572" t="s">
        <v>18</v>
      </c>
      <c r="D572" s="3621" t="s">
        <v>941</v>
      </c>
      <c r="E572" s="3618" t="s">
        <v>102</v>
      </c>
      <c r="F572" s="3619"/>
      <c r="G572" s="3620"/>
      <c r="H572" s="3614" t="str">
        <f>IF(A572="","",INDEX(DIFFERENTIATION_UNMERGE_VD,MATCH(A572,DIFFERENTIATION_ID_DIFF,0)))</f>
        <v>Производство тепловой энергии. Некомбинированная выработка</v>
      </c>
      <c r="I572" s="3614"/>
      <c r="J572" s="3614"/>
      <c r="K572" s="3614"/>
      <c r="L572" s="3614"/>
      <c r="M572" s="3614"/>
      <c r="N572" s="3614"/>
      <c r="O572" s="3614"/>
      <c r="P572" s="3614"/>
      <c r="Q572" s="3614"/>
      <c r="R572" s="3614"/>
      <c r="S572" s="609"/>
      <c r="T572" s="606"/>
      <c r="U572" s="517"/>
      <c r="V572" s="517"/>
      <c r="W572" s="518"/>
      <c r="X572" s="518"/>
      <c r="Y572" s="518"/>
      <c r="Z572" s="518"/>
      <c r="AA572" s="519"/>
      <c r="AB572" s="520"/>
      <c r="AC572" s="3617"/>
      <c r="AD572" s="521"/>
      <c r="AE572" s="522" t="s">
        <v>18</v>
      </c>
      <c r="AF572" s="522"/>
      <c r="AG572" s="523" t="s">
        <v>874</v>
      </c>
      <c r="AH572" s="524">
        <v>3</v>
      </c>
      <c r="AI572" s="517"/>
      <c r="AJ572" s="517"/>
      <c r="AK572" s="517"/>
      <c r="AL572" s="517"/>
      <c r="AM572" s="517"/>
      <c r="AN572" s="517"/>
      <c r="AO572" s="517"/>
      <c r="AP572" s="517"/>
      <c r="AQ572" s="517"/>
      <c r="AR572" s="517"/>
      <c r="AS572" s="517"/>
      <c r="AT572" s="517"/>
      <c r="AU572" s="517"/>
      <c r="AV572" s="517"/>
      <c r="AW572" s="517"/>
      <c r="AX572" s="517"/>
      <c r="AY572" s="517"/>
      <c r="AZ572" s="517"/>
      <c r="BA572" s="517"/>
      <c r="BB572" s="517"/>
      <c r="BC572" s="517"/>
      <c r="BD572" s="517"/>
      <c r="BE572" s="517"/>
      <c r="BF572" s="517"/>
      <c r="BG572" s="517"/>
      <c r="BH572" s="517"/>
      <c r="BI572" s="517"/>
      <c r="BJ572" s="517"/>
      <c r="BK572" s="517"/>
      <c r="BL572" s="517"/>
      <c r="BM572" s="517"/>
      <c r="BN572" s="517"/>
      <c r="BO572" s="517"/>
      <c r="BP572" s="517"/>
      <c r="BQ572" s="517"/>
      <c r="BR572" s="517"/>
      <c r="BS572" s="517"/>
      <c r="BT572" s="517"/>
      <c r="BU572" s="517"/>
      <c r="BV572" s="518"/>
      <c r="BW572" s="518"/>
      <c r="BX572" s="518"/>
      <c r="BY572" s="518"/>
      <c r="BZ572" s="518"/>
      <c r="CA572" s="518"/>
      <c r="CB572" s="518"/>
      <c r="CC572" s="518"/>
      <c r="CD572" s="518"/>
      <c r="CE572" s="518"/>
    </row>
    <row r="573" spans="1:83" ht="15" hidden="1" customHeight="1">
      <c r="A573" s="516"/>
      <c r="B573"/>
      <c r="C573"/>
      <c r="D573" s="3622"/>
      <c r="E573" s="3618" t="s">
        <v>829</v>
      </c>
      <c r="F573" s="3619"/>
      <c r="G573" s="3620"/>
      <c r="H573" s="3614" t="str">
        <f>IF(A572="","",INDEX(DIFFERENTIATION_UNMERGE_AREA,MATCH(A572,DIFFERENTIATION_ID_DIFF,0)))</f>
        <v>Территория 1</v>
      </c>
      <c r="I573" s="3614"/>
      <c r="J573" s="3614"/>
      <c r="K573" s="3614"/>
      <c r="L573" s="3614"/>
      <c r="M573" s="3614"/>
      <c r="N573" s="3614"/>
      <c r="O573" s="3614"/>
      <c r="P573" s="3614"/>
      <c r="Q573" s="3614"/>
      <c r="R573" s="3614"/>
      <c r="S573" s="609"/>
      <c r="T573" s="606"/>
      <c r="U573" s="517"/>
      <c r="V573" s="517"/>
      <c r="W573" s="518"/>
      <c r="X573" s="518"/>
      <c r="Y573" s="518"/>
      <c r="Z573" s="518"/>
      <c r="AA573" s="519"/>
      <c r="AB573" s="520"/>
      <c r="AC573" s="3617"/>
      <c r="AD573" s="521"/>
      <c r="AE573" s="522"/>
      <c r="AF573" s="522"/>
      <c r="AG573" s="523"/>
      <c r="AH573" s="524"/>
      <c r="AI573" s="517"/>
      <c r="AJ573" s="517"/>
      <c r="AK573" s="517"/>
      <c r="AL573" s="517"/>
      <c r="AM573" s="517"/>
      <c r="AN573" s="517"/>
      <c r="AO573" s="517"/>
      <c r="AP573" s="517"/>
      <c r="AQ573" s="517"/>
      <c r="AR573" s="517"/>
      <c r="AS573" s="517"/>
      <c r="AT573" s="517"/>
      <c r="AU573" s="517"/>
      <c r="AV573" s="517"/>
      <c r="AW573" s="517"/>
      <c r="AX573" s="517"/>
      <c r="AY573" s="517"/>
      <c r="AZ573" s="517"/>
      <c r="BA573" s="517"/>
      <c r="BB573" s="517"/>
      <c r="BC573" s="517"/>
      <c r="BD573" s="517"/>
      <c r="BE573" s="517"/>
      <c r="BF573" s="517"/>
      <c r="BG573" s="517"/>
      <c r="BH573" s="517"/>
      <c r="BI573" s="517"/>
      <c r="BJ573" s="517"/>
      <c r="BK573" s="517"/>
      <c r="BL573" s="517"/>
      <c r="BM573" s="517"/>
      <c r="BN573" s="517"/>
      <c r="BO573" s="517"/>
      <c r="BP573" s="517"/>
      <c r="BQ573" s="517"/>
      <c r="BR573" s="517"/>
      <c r="BS573" s="517"/>
      <c r="BT573" s="517"/>
      <c r="BU573" s="517"/>
      <c r="BV573" s="518"/>
      <c r="BW573" s="518"/>
      <c r="BX573" s="518"/>
      <c r="BY573" s="518"/>
      <c r="BZ573" s="518"/>
      <c r="CA573" s="518"/>
      <c r="CB573" s="518"/>
      <c r="CC573" s="518"/>
      <c r="CD573" s="518"/>
      <c r="CE573" s="518"/>
    </row>
    <row r="574" spans="1:83" ht="15" hidden="1" customHeight="1">
      <c r="A574" s="516"/>
      <c r="B574"/>
      <c r="C574"/>
      <c r="D574" s="3622"/>
      <c r="E574" s="3618" t="s">
        <v>830</v>
      </c>
      <c r="F574" s="3619"/>
      <c r="G574" s="3620"/>
      <c r="H574" s="3614" t="str">
        <f>IF(A572="","",INDEX(DIFFERENTIATION_UNMERGE_SYSTEM,MATCH(A572,DIFFERENTIATION_ID_DIFF,0)))</f>
        <v>Наугорское, 27</v>
      </c>
      <c r="I574" s="3614"/>
      <c r="J574" s="3614"/>
      <c r="K574" s="3614"/>
      <c r="L574" s="3614"/>
      <c r="M574" s="3614"/>
      <c r="N574" s="3614"/>
      <c r="O574" s="3614"/>
      <c r="P574" s="3614"/>
      <c r="Q574" s="3614"/>
      <c r="R574" s="3614"/>
      <c r="S574" s="609"/>
      <c r="T574" s="606"/>
      <c r="U574" s="517"/>
      <c r="V574" s="517"/>
      <c r="W574" s="518"/>
      <c r="X574" s="518"/>
      <c r="Y574" s="518"/>
      <c r="Z574" s="518"/>
      <c r="AA574" s="519"/>
      <c r="AB574" s="520"/>
      <c r="AC574" s="3617"/>
      <c r="AD574" s="521"/>
      <c r="AE574" s="522"/>
      <c r="AF574" s="522"/>
      <c r="AG574" s="523"/>
      <c r="AH574" s="524"/>
      <c r="AI574" s="517"/>
      <c r="AJ574" s="517"/>
      <c r="AK574" s="517"/>
      <c r="AL574" s="517"/>
      <c r="AM574" s="517"/>
      <c r="AN574" s="517"/>
      <c r="AO574" s="517"/>
      <c r="AP574" s="517"/>
      <c r="AQ574" s="517"/>
      <c r="AR574" s="517"/>
      <c r="AS574" s="517"/>
      <c r="AT574" s="517"/>
      <c r="AU574" s="517"/>
      <c r="AV574" s="517"/>
      <c r="AW574" s="517"/>
      <c r="AX574" s="517"/>
      <c r="AY574" s="517"/>
      <c r="AZ574" s="517"/>
      <c r="BA574" s="517"/>
      <c r="BB574" s="517"/>
      <c r="BC574" s="517"/>
      <c r="BD574" s="517"/>
      <c r="BE574" s="517"/>
      <c r="BF574" s="517"/>
      <c r="BG574" s="517"/>
      <c r="BH574" s="517"/>
      <c r="BI574" s="517"/>
      <c r="BJ574" s="517"/>
      <c r="BK574" s="517"/>
      <c r="BL574" s="517"/>
      <c r="BM574" s="517"/>
      <c r="BN574" s="517"/>
      <c r="BO574" s="517"/>
      <c r="BP574" s="517"/>
      <c r="BQ574" s="517"/>
      <c r="BR574" s="517"/>
      <c r="BS574" s="517"/>
      <c r="BT574" s="517"/>
      <c r="BU574" s="517"/>
      <c r="BV574" s="518"/>
      <c r="BW574" s="518"/>
      <c r="BX574" s="518"/>
      <c r="BY574" s="518"/>
      <c r="BZ574" s="518"/>
      <c r="CA574" s="518"/>
      <c r="CB574" s="518"/>
      <c r="CC574" s="518"/>
      <c r="CD574" s="518"/>
      <c r="CE574" s="518"/>
    </row>
    <row r="575" spans="1:83" ht="24.75" hidden="1" customHeight="1">
      <c r="A575" s="1649"/>
      <c r="B575" s="1023"/>
      <c r="C575" s="319"/>
      <c r="D575" s="3622"/>
      <c r="E575" s="3616" t="s">
        <v>875</v>
      </c>
      <c r="F575" s="3616"/>
      <c r="G575" s="3616"/>
      <c r="H575" s="3616"/>
      <c r="I575" s="3616"/>
      <c r="J575" s="3616"/>
      <c r="K575" s="3616"/>
      <c r="L575" s="3616"/>
      <c r="M575" s="3616"/>
      <c r="N575" s="3616"/>
      <c r="O575" s="3616"/>
      <c r="P575" s="3616"/>
      <c r="Q575" s="455">
        <f>SUMIF(T576:T577,"i",Q576:Q577)</f>
        <v>0</v>
      </c>
      <c r="R575" s="887"/>
      <c r="S575" s="1641" t="s">
        <v>876</v>
      </c>
      <c r="T575" s="607" t="s">
        <v>877</v>
      </c>
      <c r="U575" s="3532">
        <v>1</v>
      </c>
      <c r="V575" s="3532" t="s">
        <v>840</v>
      </c>
      <c r="W575" s="1023"/>
      <c r="X575" s="1023"/>
      <c r="Y575" s="1023"/>
      <c r="Z575" s="1023"/>
      <c r="AA575" s="1481"/>
      <c r="AB575" s="1023"/>
      <c r="AC575" s="3617"/>
      <c r="AD575" s="521"/>
      <c r="AE575" s="1023"/>
      <c r="AF575" s="1023"/>
      <c r="AG575" s="1481"/>
      <c r="AH575" s="1481"/>
      <c r="AI575" s="1481"/>
      <c r="AJ575" s="1481"/>
      <c r="AK575" s="1481"/>
      <c r="AL575" s="1481"/>
      <c r="AM575" s="1481"/>
      <c r="AN575" s="1481"/>
      <c r="AO575" s="1481"/>
      <c r="AP575" s="1481"/>
      <c r="AQ575" s="1481"/>
      <c r="AR575" s="1481"/>
      <c r="AS575" s="1481"/>
      <c r="AT575" s="1481"/>
      <c r="AU575" s="1481"/>
      <c r="AV575" s="1481"/>
      <c r="AW575" s="1481"/>
      <c r="AX575" s="1481"/>
      <c r="AY575" s="1481"/>
      <c r="AZ575" s="1481"/>
      <c r="BA575" s="1481"/>
      <c r="BB575" s="1481"/>
      <c r="BC575" s="1481"/>
      <c r="BD575" s="1481"/>
      <c r="BE575" s="1481"/>
      <c r="BF575" s="1481"/>
      <c r="BG575" s="1481"/>
      <c r="BH575" s="1481"/>
      <c r="BI575" s="1481"/>
      <c r="BJ575" s="1481"/>
      <c r="BK575" s="1481"/>
      <c r="BL575" s="1481"/>
      <c r="BM575" s="1481"/>
      <c r="BN575" s="1481"/>
      <c r="BO575" s="1481"/>
      <c r="BP575" s="1481"/>
      <c r="BQ575" s="1481"/>
      <c r="BR575" s="1481"/>
      <c r="BS575" s="1481"/>
      <c r="BT575" s="1481"/>
      <c r="BU575" s="1481"/>
      <c r="BV575" s="1023"/>
      <c r="BW575" s="1023"/>
      <c r="BX575" s="1023"/>
      <c r="BY575" s="1023"/>
      <c r="BZ575" s="1023"/>
      <c r="CA575" s="1023"/>
      <c r="CB575" s="1023"/>
      <c r="CC575" s="1023"/>
      <c r="CD575" s="1023"/>
      <c r="CE575" s="1023"/>
    </row>
    <row r="576" spans="1:83" ht="11.25" hidden="1" customHeight="1">
      <c r="A576" s="1636"/>
      <c r="B576" s="1481"/>
      <c r="C576" s="1481"/>
      <c r="D576" s="3622"/>
      <c r="E576" s="527"/>
      <c r="F576" s="527">
        <v>0</v>
      </c>
      <c r="G576" s="527"/>
      <c r="H576" s="527"/>
      <c r="I576" s="527"/>
      <c r="J576" s="527"/>
      <c r="K576" s="527"/>
      <c r="L576" s="527"/>
      <c r="M576" s="527"/>
      <c r="N576" s="527"/>
      <c r="O576" s="527"/>
      <c r="P576" s="527"/>
      <c r="Q576" s="527"/>
      <c r="R576" s="527"/>
      <c r="S576" s="528"/>
      <c r="T576" s="608"/>
      <c r="U576" s="3532"/>
      <c r="V576" s="3532"/>
      <c r="W576" s="1481"/>
      <c r="X576" s="1481"/>
      <c r="Y576" s="1481"/>
      <c r="Z576" s="1481"/>
      <c r="AA576" s="1481"/>
      <c r="AB576" s="1023"/>
      <c r="AC576" s="3617"/>
      <c r="AD576" s="521"/>
      <c r="AE576" s="1023"/>
      <c r="AF576" s="1023"/>
      <c r="AG576" s="1481"/>
      <c r="AH576" s="1481"/>
      <c r="AI576" s="1481"/>
      <c r="AJ576" s="1481"/>
      <c r="AK576" s="1481"/>
      <c r="AL576" s="1481"/>
      <c r="AM576" s="1481"/>
      <c r="AN576" s="1481"/>
      <c r="AO576" s="1481"/>
      <c r="AP576" s="1481"/>
      <c r="AQ576" s="1481"/>
      <c r="AR576" s="1481"/>
      <c r="AS576" s="1481"/>
      <c r="AT576" s="1481"/>
      <c r="AU576" s="1481"/>
      <c r="AV576" s="1481"/>
      <c r="AW576" s="1481"/>
      <c r="AX576" s="1481"/>
      <c r="AY576" s="1481"/>
      <c r="AZ576" s="1481"/>
      <c r="BA576" s="1481"/>
      <c r="BB576" s="1481"/>
      <c r="BC576" s="1481"/>
      <c r="BD576" s="1481"/>
      <c r="BE576" s="1481"/>
      <c r="BF576" s="1481"/>
      <c r="BG576" s="1481"/>
      <c r="BH576" s="1481"/>
      <c r="BI576" s="1481"/>
      <c r="BJ576" s="1481"/>
      <c r="BK576" s="1481"/>
      <c r="BL576" s="1481"/>
      <c r="BM576" s="1481"/>
      <c r="BN576" s="1481"/>
      <c r="BO576" s="1481"/>
      <c r="BP576" s="1481"/>
      <c r="BQ576" s="1481"/>
      <c r="BR576" s="1481"/>
      <c r="BS576" s="1481"/>
      <c r="BT576" s="1481"/>
      <c r="BU576" s="1481"/>
      <c r="BV576" s="1481"/>
      <c r="BW576" s="1481"/>
      <c r="BX576" s="1481"/>
      <c r="BY576" s="1481"/>
      <c r="BZ576" s="1481"/>
      <c r="CA576" s="1481"/>
      <c r="CB576" s="1481"/>
      <c r="CC576" s="1481"/>
      <c r="CD576" s="1481"/>
      <c r="CE576" s="1481"/>
    </row>
    <row r="577" spans="1:83" ht="11.25" hidden="1" customHeight="1">
      <c r="A577" s="1649"/>
      <c r="B577" s="1023"/>
      <c r="C577" s="319"/>
      <c r="D577" s="3622"/>
      <c r="E577" s="541" t="s">
        <v>18</v>
      </c>
      <c r="F577" s="1031" t="s">
        <v>18</v>
      </c>
      <c r="G577" s="1031" t="s">
        <v>880</v>
      </c>
      <c r="H577" s="543" t="s">
        <v>18</v>
      </c>
      <c r="I577" s="543"/>
      <c r="J577" s="543"/>
      <c r="K577" s="543"/>
      <c r="L577" s="543"/>
      <c r="M577" s="543"/>
      <c r="N577" s="543"/>
      <c r="O577" s="543"/>
      <c r="P577" s="543"/>
      <c r="Q577" s="543"/>
      <c r="R577" s="544"/>
      <c r="S577" s="545"/>
      <c r="T577" s="608"/>
      <c r="U577" s="3532"/>
      <c r="V577" s="3532"/>
      <c r="W577" s="1023"/>
      <c r="X577" s="1023"/>
      <c r="Y577" s="1023"/>
      <c r="Z577" s="1023"/>
      <c r="AA577" s="1481"/>
      <c r="AB577" s="1023"/>
      <c r="AC577" s="3617"/>
      <c r="AD577" s="521"/>
      <c r="AE577" s="1023"/>
      <c r="AF577" s="1023"/>
      <c r="AG577" s="1481"/>
      <c r="AH577" s="1481"/>
      <c r="AI577" s="1481"/>
      <c r="AJ577" s="1481"/>
      <c r="AK577" s="1481"/>
      <c r="AL577" s="1481"/>
      <c r="AM577" s="1481"/>
      <c r="AN577" s="1481"/>
      <c r="AO577" s="1481"/>
      <c r="AP577" s="1481"/>
      <c r="AQ577" s="1481"/>
      <c r="AR577" s="1481"/>
      <c r="AS577" s="1481"/>
      <c r="AT577" s="1481"/>
      <c r="AU577" s="1481"/>
      <c r="AV577" s="1481"/>
      <c r="AW577" s="1481"/>
      <c r="AX577" s="1481"/>
      <c r="AY577" s="1481"/>
      <c r="AZ577" s="1481"/>
      <c r="BA577" s="1481"/>
      <c r="BB577" s="1481"/>
      <c r="BC577" s="1481"/>
      <c r="BD577" s="1481"/>
      <c r="BE577" s="1481"/>
      <c r="BF577" s="1481"/>
      <c r="BG577" s="1481"/>
      <c r="BH577" s="1481"/>
      <c r="BI577" s="1481"/>
      <c r="BJ577" s="1481"/>
      <c r="BK577" s="1481"/>
      <c r="BL577" s="1481"/>
      <c r="BM577" s="1481"/>
      <c r="BN577" s="1481"/>
      <c r="BO577" s="1481"/>
      <c r="BP577" s="1481"/>
      <c r="BQ577" s="1481"/>
      <c r="BR577" s="1481"/>
      <c r="BS577" s="1481"/>
      <c r="BT577" s="1481"/>
      <c r="BU577" s="1481"/>
      <c r="BV577" s="1023"/>
      <c r="BW577" s="1023"/>
      <c r="BX577" s="1023"/>
      <c r="BY577" s="1023"/>
      <c r="BZ577" s="1023"/>
      <c r="CA577" s="1023"/>
      <c r="CB577" s="1023"/>
      <c r="CC577" s="1023"/>
      <c r="CD577" s="1023"/>
      <c r="CE577" s="1023"/>
    </row>
    <row r="578" spans="1:83" ht="5.25" hidden="1" customHeight="1">
      <c r="A578" s="1636"/>
      <c r="B578" s="1481"/>
      <c r="C578" s="1481"/>
      <c r="D578" s="3622"/>
      <c r="E578" s="909"/>
      <c r="F578" s="909"/>
      <c r="G578" s="909"/>
      <c r="H578" s="909"/>
      <c r="I578" s="909"/>
      <c r="J578" s="909"/>
      <c r="K578" s="909"/>
      <c r="L578" s="909"/>
      <c r="M578" s="909"/>
      <c r="N578" s="909"/>
      <c r="O578" s="909"/>
      <c r="P578" s="909"/>
      <c r="Q578" s="910"/>
      <c r="R578" s="911"/>
      <c r="S578" s="912"/>
      <c r="T578" s="607" t="s">
        <v>877</v>
      </c>
      <c r="U578" s="3532">
        <v>1</v>
      </c>
      <c r="V578" s="3532" t="s">
        <v>840</v>
      </c>
      <c r="W578" s="1481"/>
      <c r="X578" s="1481"/>
      <c r="Y578" s="1481"/>
      <c r="Z578" s="1481"/>
      <c r="AA578" s="1481"/>
      <c r="AB578" s="1481"/>
      <c r="AC578" s="907"/>
      <c r="AD578" s="908"/>
      <c r="AE578" s="1481"/>
      <c r="AF578" s="1481"/>
      <c r="AG578" s="1481"/>
      <c r="AH578" s="1481"/>
      <c r="AI578" s="1481"/>
      <c r="AJ578" s="1481"/>
      <c r="AK578" s="1481"/>
      <c r="AL578" s="1481"/>
      <c r="AM578" s="1481"/>
      <c r="AN578" s="1481"/>
      <c r="AO578" s="1481"/>
      <c r="AP578" s="1481"/>
      <c r="AQ578" s="1481"/>
      <c r="AR578" s="1481"/>
      <c r="AS578" s="1481"/>
      <c r="AT578" s="1481"/>
      <c r="AU578" s="1481"/>
      <c r="AV578" s="1481"/>
      <c r="AW578" s="1481"/>
      <c r="AX578" s="1481"/>
      <c r="AY578" s="1481"/>
      <c r="AZ578" s="1481"/>
      <c r="BA578" s="1481"/>
      <c r="BB578" s="1481"/>
      <c r="BC578" s="1481"/>
      <c r="BD578" s="1481"/>
      <c r="BE578" s="1481"/>
      <c r="BF578" s="1481"/>
      <c r="BG578" s="1481"/>
      <c r="BH578" s="1481"/>
      <c r="BI578" s="1481"/>
      <c r="BJ578" s="1481"/>
      <c r="BK578" s="1481"/>
      <c r="BL578" s="1481"/>
      <c r="BM578" s="1481"/>
      <c r="BN578" s="1481"/>
      <c r="BO578" s="1481"/>
      <c r="BP578" s="1481"/>
      <c r="BQ578" s="1481"/>
      <c r="BR578" s="1481"/>
      <c r="BS578" s="1481"/>
      <c r="BT578" s="1481"/>
      <c r="BU578" s="1481"/>
      <c r="BV578" s="1481"/>
      <c r="BW578" s="1481"/>
      <c r="BX578" s="1481"/>
      <c r="BY578" s="1481"/>
      <c r="BZ578" s="1481"/>
      <c r="CA578" s="1481"/>
      <c r="CB578" s="1481"/>
      <c r="CC578" s="1481"/>
      <c r="CD578" s="1481"/>
      <c r="CE578" s="1481"/>
    </row>
    <row r="579" spans="1:83" ht="5.25" hidden="1" customHeight="1">
      <c r="A579" s="1636"/>
      <c r="B579" s="1481"/>
      <c r="C579" s="1481"/>
      <c r="D579" s="3622"/>
      <c r="E579" s="527"/>
      <c r="F579" s="527"/>
      <c r="G579" s="527"/>
      <c r="H579" s="527"/>
      <c r="I579" s="527"/>
      <c r="J579" s="527"/>
      <c r="K579" s="527"/>
      <c r="L579" s="527"/>
      <c r="M579" s="527"/>
      <c r="N579" s="527"/>
      <c r="O579" s="527"/>
      <c r="P579" s="527"/>
      <c r="Q579" s="527"/>
      <c r="R579" s="527"/>
      <c r="S579" s="528"/>
      <c r="T579" s="608"/>
      <c r="U579" s="3532"/>
      <c r="V579" s="3532"/>
      <c r="W579" s="1481"/>
      <c r="X579" s="1481"/>
      <c r="Y579" s="1481"/>
      <c r="Z579" s="1481"/>
      <c r="AA579" s="1481"/>
      <c r="AB579" s="1481"/>
      <c r="AC579" s="907"/>
      <c r="AD579" s="908"/>
      <c r="AE579" s="1481"/>
      <c r="AF579" s="1481"/>
      <c r="AG579" s="1481"/>
      <c r="AH579" s="1481"/>
      <c r="AI579" s="1481"/>
      <c r="AJ579" s="1481"/>
      <c r="AK579" s="1481"/>
      <c r="AL579" s="1481"/>
      <c r="AM579" s="1481"/>
      <c r="AN579" s="1481"/>
      <c r="AO579" s="1481"/>
      <c r="AP579" s="1481"/>
      <c r="AQ579" s="1481"/>
      <c r="AR579" s="1481"/>
      <c r="AS579" s="1481"/>
      <c r="AT579" s="1481"/>
      <c r="AU579" s="1481"/>
      <c r="AV579" s="1481"/>
      <c r="AW579" s="1481"/>
      <c r="AX579" s="1481"/>
      <c r="AY579" s="1481"/>
      <c r="AZ579" s="1481"/>
      <c r="BA579" s="1481"/>
      <c r="BB579" s="1481"/>
      <c r="BC579" s="1481"/>
      <c r="BD579" s="1481"/>
      <c r="BE579" s="1481"/>
      <c r="BF579" s="1481"/>
      <c r="BG579" s="1481"/>
      <c r="BH579" s="1481"/>
      <c r="BI579" s="1481"/>
      <c r="BJ579" s="1481"/>
      <c r="BK579" s="1481"/>
      <c r="BL579" s="1481"/>
      <c r="BM579" s="1481"/>
      <c r="BN579" s="1481"/>
      <c r="BO579" s="1481"/>
      <c r="BP579" s="1481"/>
      <c r="BQ579" s="1481"/>
      <c r="BR579" s="1481"/>
      <c r="BS579" s="1481"/>
      <c r="BT579" s="1481"/>
      <c r="BU579" s="1481"/>
      <c r="BV579" s="1481"/>
      <c r="BW579" s="1481"/>
      <c r="BX579" s="1481"/>
      <c r="BY579" s="1481"/>
      <c r="BZ579" s="1481"/>
      <c r="CA579" s="1481"/>
      <c r="CB579" s="1481"/>
      <c r="CC579" s="1481"/>
      <c r="CD579" s="1481"/>
      <c r="CE579" s="1481"/>
    </row>
    <row r="580" spans="1:83" ht="5.25" hidden="1" customHeight="1">
      <c r="A580" s="1636"/>
      <c r="B580" s="1481"/>
      <c r="C580" s="1481"/>
      <c r="D580" s="3623"/>
      <c r="E580" s="913"/>
      <c r="F580" s="914"/>
      <c r="G580" s="914"/>
      <c r="H580" s="915"/>
      <c r="I580" s="915"/>
      <c r="J580" s="915"/>
      <c r="K580" s="915"/>
      <c r="L580" s="915"/>
      <c r="M580" s="915"/>
      <c r="N580" s="915"/>
      <c r="O580" s="915"/>
      <c r="P580" s="915"/>
      <c r="Q580" s="915"/>
      <c r="R580" s="818"/>
      <c r="S580" s="916"/>
      <c r="T580" s="608"/>
      <c r="U580" s="3532"/>
      <c r="V580" s="3532"/>
      <c r="W580" s="1481"/>
      <c r="X580" s="1481"/>
      <c r="Y580" s="1481"/>
      <c r="Z580" s="1481"/>
      <c r="AA580" s="1481"/>
      <c r="AB580" s="1481"/>
      <c r="AC580" s="907"/>
      <c r="AD580" s="908"/>
      <c r="AE580" s="1481"/>
      <c r="AF580" s="1481"/>
      <c r="AG580" s="1481"/>
      <c r="AH580" s="1481"/>
      <c r="AI580" s="1481"/>
      <c r="AJ580" s="1481"/>
      <c r="AK580" s="1481"/>
      <c r="AL580" s="1481"/>
      <c r="AM580" s="1481"/>
      <c r="AN580" s="1481"/>
      <c r="AO580" s="1481"/>
      <c r="AP580" s="1481"/>
      <c r="AQ580" s="1481"/>
      <c r="AR580" s="1481"/>
      <c r="AS580" s="1481"/>
      <c r="AT580" s="1481"/>
      <c r="AU580" s="1481"/>
      <c r="AV580" s="1481"/>
      <c r="AW580" s="1481"/>
      <c r="AX580" s="1481"/>
      <c r="AY580" s="1481"/>
      <c r="AZ580" s="1481"/>
      <c r="BA580" s="1481"/>
      <c r="BB580" s="1481"/>
      <c r="BC580" s="1481"/>
      <c r="BD580" s="1481"/>
      <c r="BE580" s="1481"/>
      <c r="BF580" s="1481"/>
      <c r="BG580" s="1481"/>
      <c r="BH580" s="1481"/>
      <c r="BI580" s="1481"/>
      <c r="BJ580" s="1481"/>
      <c r="BK580" s="1481"/>
      <c r="BL580" s="1481"/>
      <c r="BM580" s="1481"/>
      <c r="BN580" s="1481"/>
      <c r="BO580" s="1481"/>
      <c r="BP580" s="1481"/>
      <c r="BQ580" s="1481"/>
      <c r="BR580" s="1481"/>
      <c r="BS580" s="1481"/>
      <c r="BT580" s="1481"/>
      <c r="BU580" s="1481"/>
      <c r="BV580" s="1481"/>
      <c r="BW580" s="1481"/>
      <c r="BX580" s="1481"/>
      <c r="BY580" s="1481"/>
      <c r="BZ580" s="1481"/>
      <c r="CA580" s="1481"/>
      <c r="CB580" s="1481"/>
      <c r="CC580" s="1481"/>
      <c r="CD580" s="1481"/>
      <c r="CE580" s="1481"/>
    </row>
    <row r="581" spans="1:83" ht="15" hidden="1" customHeight="1">
      <c r="A581" s="516" t="s">
        <v>299</v>
      </c>
      <c r="B581"/>
      <c r="C581" t="s">
        <v>18</v>
      </c>
      <c r="D581" s="3621" t="s">
        <v>942</v>
      </c>
      <c r="E581" s="3618" t="s">
        <v>102</v>
      </c>
      <c r="F581" s="3619"/>
      <c r="G581" s="3620"/>
      <c r="H581" s="3614" t="str">
        <f>IF(A581="","",INDEX(DIFFERENTIATION_UNMERGE_VD,MATCH(A581,DIFFERENTIATION_ID_DIFF,0)))</f>
        <v>Производство тепловой энергии. Некомбинированная выработка</v>
      </c>
      <c r="I581" s="3614"/>
      <c r="J581" s="3614"/>
      <c r="K581" s="3614"/>
      <c r="L581" s="3614"/>
      <c r="M581" s="3614"/>
      <c r="N581" s="3614"/>
      <c r="O581" s="3614"/>
      <c r="P581" s="3614"/>
      <c r="Q581" s="3614"/>
      <c r="R581" s="3614"/>
      <c r="S581" s="609"/>
      <c r="T581" s="606"/>
      <c r="U581" s="517"/>
      <c r="V581" s="517"/>
      <c r="W581" s="518"/>
      <c r="X581" s="518"/>
      <c r="Y581" s="518"/>
      <c r="Z581" s="518"/>
      <c r="AA581" s="519"/>
      <c r="AB581" s="520"/>
      <c r="AC581" s="3617"/>
      <c r="AD581" s="521"/>
      <c r="AE581" s="522" t="s">
        <v>18</v>
      </c>
      <c r="AF581" s="522"/>
      <c r="AG581" s="523" t="s">
        <v>874</v>
      </c>
      <c r="AH581" s="524">
        <v>3</v>
      </c>
      <c r="AI581" s="517"/>
      <c r="AJ581" s="517"/>
      <c r="AK581" s="517"/>
      <c r="AL581" s="517"/>
      <c r="AM581" s="517"/>
      <c r="AN581" s="517"/>
      <c r="AO581" s="517"/>
      <c r="AP581" s="517"/>
      <c r="AQ581" s="517"/>
      <c r="AR581" s="517"/>
      <c r="AS581" s="517"/>
      <c r="AT581" s="517"/>
      <c r="AU581" s="517"/>
      <c r="AV581" s="517"/>
      <c r="AW581" s="517"/>
      <c r="AX581" s="517"/>
      <c r="AY581" s="517"/>
      <c r="AZ581" s="517"/>
      <c r="BA581" s="517"/>
      <c r="BB581" s="517"/>
      <c r="BC581" s="517"/>
      <c r="BD581" s="517"/>
      <c r="BE581" s="517"/>
      <c r="BF581" s="517"/>
      <c r="BG581" s="517"/>
      <c r="BH581" s="517"/>
      <c r="BI581" s="517"/>
      <c r="BJ581" s="517"/>
      <c r="BK581" s="517"/>
      <c r="BL581" s="517"/>
      <c r="BM581" s="517"/>
      <c r="BN581" s="517"/>
      <c r="BO581" s="517"/>
      <c r="BP581" s="517"/>
      <c r="BQ581" s="517"/>
      <c r="BR581" s="517"/>
      <c r="BS581" s="517"/>
      <c r="BT581" s="517"/>
      <c r="BU581" s="517"/>
      <c r="BV581" s="518"/>
      <c r="BW581" s="518"/>
      <c r="BX581" s="518"/>
      <c r="BY581" s="518"/>
      <c r="BZ581" s="518"/>
      <c r="CA581" s="518"/>
      <c r="CB581" s="518"/>
      <c r="CC581" s="518"/>
      <c r="CD581" s="518"/>
      <c r="CE581" s="518"/>
    </row>
    <row r="582" spans="1:83" ht="15" hidden="1" customHeight="1">
      <c r="A582" s="516"/>
      <c r="B582"/>
      <c r="C582"/>
      <c r="D582" s="3622"/>
      <c r="E582" s="3618" t="s">
        <v>829</v>
      </c>
      <c r="F582" s="3619"/>
      <c r="G582" s="3620"/>
      <c r="H582" s="3614" t="str">
        <f>IF(A581="","",INDEX(DIFFERENTIATION_UNMERGE_AREA,MATCH(A581,DIFFERENTIATION_ID_DIFF,0)))</f>
        <v>Территория 1</v>
      </c>
      <c r="I582" s="3614"/>
      <c r="J582" s="3614"/>
      <c r="K582" s="3614"/>
      <c r="L582" s="3614"/>
      <c r="M582" s="3614"/>
      <c r="N582" s="3614"/>
      <c r="O582" s="3614"/>
      <c r="P582" s="3614"/>
      <c r="Q582" s="3614"/>
      <c r="R582" s="3614"/>
      <c r="S582" s="609"/>
      <c r="T582" s="606"/>
      <c r="U582" s="517"/>
      <c r="V582" s="517"/>
      <c r="W582" s="518"/>
      <c r="X582" s="518"/>
      <c r="Y582" s="518"/>
      <c r="Z582" s="518"/>
      <c r="AA582" s="519"/>
      <c r="AB582" s="520"/>
      <c r="AC582" s="3617"/>
      <c r="AD582" s="521"/>
      <c r="AE582" s="522"/>
      <c r="AF582" s="522"/>
      <c r="AG582" s="523"/>
      <c r="AH582" s="524"/>
      <c r="AI582" s="517"/>
      <c r="AJ582" s="517"/>
      <c r="AK582" s="517"/>
      <c r="AL582" s="517"/>
      <c r="AM582" s="517"/>
      <c r="AN582" s="517"/>
      <c r="AO582" s="517"/>
      <c r="AP582" s="517"/>
      <c r="AQ582" s="517"/>
      <c r="AR582" s="517"/>
      <c r="AS582" s="517"/>
      <c r="AT582" s="517"/>
      <c r="AU582" s="517"/>
      <c r="AV582" s="517"/>
      <c r="AW582" s="517"/>
      <c r="AX582" s="517"/>
      <c r="AY582" s="517"/>
      <c r="AZ582" s="517"/>
      <c r="BA582" s="517"/>
      <c r="BB582" s="517"/>
      <c r="BC582" s="517"/>
      <c r="BD582" s="517"/>
      <c r="BE582" s="517"/>
      <c r="BF582" s="517"/>
      <c r="BG582" s="517"/>
      <c r="BH582" s="517"/>
      <c r="BI582" s="517"/>
      <c r="BJ582" s="517"/>
      <c r="BK582" s="517"/>
      <c r="BL582" s="517"/>
      <c r="BM582" s="517"/>
      <c r="BN582" s="517"/>
      <c r="BO582" s="517"/>
      <c r="BP582" s="517"/>
      <c r="BQ582" s="517"/>
      <c r="BR582" s="517"/>
      <c r="BS582" s="517"/>
      <c r="BT582" s="517"/>
      <c r="BU582" s="517"/>
      <c r="BV582" s="518"/>
      <c r="BW582" s="518"/>
      <c r="BX582" s="518"/>
      <c r="BY582" s="518"/>
      <c r="BZ582" s="518"/>
      <c r="CA582" s="518"/>
      <c r="CB582" s="518"/>
      <c r="CC582" s="518"/>
      <c r="CD582" s="518"/>
      <c r="CE582" s="518"/>
    </row>
    <row r="583" spans="1:83" ht="15" hidden="1" customHeight="1">
      <c r="A583" s="516"/>
      <c r="B583"/>
      <c r="C583"/>
      <c r="D583" s="3622"/>
      <c r="E583" s="3618" t="s">
        <v>830</v>
      </c>
      <c r="F583" s="3619"/>
      <c r="G583" s="3620"/>
      <c r="H583" s="3614" t="str">
        <f>IF(A581="","",INDEX(DIFFERENTIATION_UNMERGE_SYSTEM,MATCH(A581,DIFFERENTIATION_ID_DIFF,0)))</f>
        <v>Наугорское, 29б</v>
      </c>
      <c r="I583" s="3614"/>
      <c r="J583" s="3614"/>
      <c r="K583" s="3614"/>
      <c r="L583" s="3614"/>
      <c r="M583" s="3614"/>
      <c r="N583" s="3614"/>
      <c r="O583" s="3614"/>
      <c r="P583" s="3614"/>
      <c r="Q583" s="3614"/>
      <c r="R583" s="3614"/>
      <c r="S583" s="609"/>
      <c r="T583" s="606"/>
      <c r="U583" s="517"/>
      <c r="V583" s="517"/>
      <c r="W583" s="518"/>
      <c r="X583" s="518"/>
      <c r="Y583" s="518"/>
      <c r="Z583" s="518"/>
      <c r="AA583" s="519"/>
      <c r="AB583" s="520"/>
      <c r="AC583" s="3617"/>
      <c r="AD583" s="521"/>
      <c r="AE583" s="522"/>
      <c r="AF583" s="522"/>
      <c r="AG583" s="523"/>
      <c r="AH583" s="524"/>
      <c r="AI583" s="517"/>
      <c r="AJ583" s="517"/>
      <c r="AK583" s="517"/>
      <c r="AL583" s="517"/>
      <c r="AM583" s="517"/>
      <c r="AN583" s="517"/>
      <c r="AO583" s="517"/>
      <c r="AP583" s="517"/>
      <c r="AQ583" s="517"/>
      <c r="AR583" s="517"/>
      <c r="AS583" s="517"/>
      <c r="AT583" s="517"/>
      <c r="AU583" s="517"/>
      <c r="AV583" s="517"/>
      <c r="AW583" s="517"/>
      <c r="AX583" s="517"/>
      <c r="AY583" s="517"/>
      <c r="AZ583" s="517"/>
      <c r="BA583" s="517"/>
      <c r="BB583" s="517"/>
      <c r="BC583" s="517"/>
      <c r="BD583" s="517"/>
      <c r="BE583" s="517"/>
      <c r="BF583" s="517"/>
      <c r="BG583" s="517"/>
      <c r="BH583" s="517"/>
      <c r="BI583" s="517"/>
      <c r="BJ583" s="517"/>
      <c r="BK583" s="517"/>
      <c r="BL583" s="517"/>
      <c r="BM583" s="517"/>
      <c r="BN583" s="517"/>
      <c r="BO583" s="517"/>
      <c r="BP583" s="517"/>
      <c r="BQ583" s="517"/>
      <c r="BR583" s="517"/>
      <c r="BS583" s="517"/>
      <c r="BT583" s="517"/>
      <c r="BU583" s="517"/>
      <c r="BV583" s="518"/>
      <c r="BW583" s="518"/>
      <c r="BX583" s="518"/>
      <c r="BY583" s="518"/>
      <c r="BZ583" s="518"/>
      <c r="CA583" s="518"/>
      <c r="CB583" s="518"/>
      <c r="CC583" s="518"/>
      <c r="CD583" s="518"/>
      <c r="CE583" s="518"/>
    </row>
    <row r="584" spans="1:83" ht="24.75" hidden="1" customHeight="1">
      <c r="A584" s="1649"/>
      <c r="B584" s="1023"/>
      <c r="C584" s="319"/>
      <c r="D584" s="3622"/>
      <c r="E584" s="3616" t="s">
        <v>875</v>
      </c>
      <c r="F584" s="3616"/>
      <c r="G584" s="3616"/>
      <c r="H584" s="3616"/>
      <c r="I584" s="3616"/>
      <c r="J584" s="3616"/>
      <c r="K584" s="3616"/>
      <c r="L584" s="3616"/>
      <c r="M584" s="3616"/>
      <c r="N584" s="3616"/>
      <c r="O584" s="3616"/>
      <c r="P584" s="3616"/>
      <c r="Q584" s="455">
        <f>SUMIF(T585:T586,"i",Q585:Q586)</f>
        <v>0</v>
      </c>
      <c r="R584" s="887"/>
      <c r="S584" s="1641" t="s">
        <v>876</v>
      </c>
      <c r="T584" s="607" t="s">
        <v>877</v>
      </c>
      <c r="U584" s="3532">
        <v>1</v>
      </c>
      <c r="V584" s="3532" t="s">
        <v>840</v>
      </c>
      <c r="W584" s="1023"/>
      <c r="X584" s="1023"/>
      <c r="Y584" s="1023"/>
      <c r="Z584" s="1023"/>
      <c r="AA584" s="1481"/>
      <c r="AB584" s="1023"/>
      <c r="AC584" s="3617"/>
      <c r="AD584" s="521"/>
      <c r="AE584" s="1023"/>
      <c r="AF584" s="1023"/>
      <c r="AG584" s="1481"/>
      <c r="AH584" s="1481"/>
      <c r="AI584" s="1481"/>
      <c r="AJ584" s="1481"/>
      <c r="AK584" s="1481"/>
      <c r="AL584" s="1481"/>
      <c r="AM584" s="1481"/>
      <c r="AN584" s="1481"/>
      <c r="AO584" s="1481"/>
      <c r="AP584" s="1481"/>
      <c r="AQ584" s="1481"/>
      <c r="AR584" s="1481"/>
      <c r="AS584" s="1481"/>
      <c r="AT584" s="1481"/>
      <c r="AU584" s="1481"/>
      <c r="AV584" s="1481"/>
      <c r="AW584" s="1481"/>
      <c r="AX584" s="1481"/>
      <c r="AY584" s="1481"/>
      <c r="AZ584" s="1481"/>
      <c r="BA584" s="1481"/>
      <c r="BB584" s="1481"/>
      <c r="BC584" s="1481"/>
      <c r="BD584" s="1481"/>
      <c r="BE584" s="1481"/>
      <c r="BF584" s="1481"/>
      <c r="BG584" s="1481"/>
      <c r="BH584" s="1481"/>
      <c r="BI584" s="1481"/>
      <c r="BJ584" s="1481"/>
      <c r="BK584" s="1481"/>
      <c r="BL584" s="1481"/>
      <c r="BM584" s="1481"/>
      <c r="BN584" s="1481"/>
      <c r="BO584" s="1481"/>
      <c r="BP584" s="1481"/>
      <c r="BQ584" s="1481"/>
      <c r="BR584" s="1481"/>
      <c r="BS584" s="1481"/>
      <c r="BT584" s="1481"/>
      <c r="BU584" s="1481"/>
      <c r="BV584" s="1023"/>
      <c r="BW584" s="1023"/>
      <c r="BX584" s="1023"/>
      <c r="BY584" s="1023"/>
      <c r="BZ584" s="1023"/>
      <c r="CA584" s="1023"/>
      <c r="CB584" s="1023"/>
      <c r="CC584" s="1023"/>
      <c r="CD584" s="1023"/>
      <c r="CE584" s="1023"/>
    </row>
    <row r="585" spans="1:83" ht="11.25" hidden="1" customHeight="1">
      <c r="A585" s="1636"/>
      <c r="B585" s="1481"/>
      <c r="C585" s="1481"/>
      <c r="D585" s="3622"/>
      <c r="E585" s="527"/>
      <c r="F585" s="527">
        <v>0</v>
      </c>
      <c r="G585" s="527"/>
      <c r="H585" s="527"/>
      <c r="I585" s="527"/>
      <c r="J585" s="527"/>
      <c r="K585" s="527"/>
      <c r="L585" s="527"/>
      <c r="M585" s="527"/>
      <c r="N585" s="527"/>
      <c r="O585" s="527"/>
      <c r="P585" s="527"/>
      <c r="Q585" s="527"/>
      <c r="R585" s="527"/>
      <c r="S585" s="528"/>
      <c r="T585" s="608"/>
      <c r="U585" s="3532"/>
      <c r="V585" s="3532"/>
      <c r="W585" s="1481"/>
      <c r="X585" s="1481"/>
      <c r="Y585" s="1481"/>
      <c r="Z585" s="1481"/>
      <c r="AA585" s="1481"/>
      <c r="AB585" s="1023"/>
      <c r="AC585" s="3617"/>
      <c r="AD585" s="521"/>
      <c r="AE585" s="1023"/>
      <c r="AF585" s="1023"/>
      <c r="AG585" s="1481"/>
      <c r="AH585" s="1481"/>
      <c r="AI585" s="1481"/>
      <c r="AJ585" s="1481"/>
      <c r="AK585" s="1481"/>
      <c r="AL585" s="1481"/>
      <c r="AM585" s="1481"/>
      <c r="AN585" s="1481"/>
      <c r="AO585" s="1481"/>
      <c r="AP585" s="1481"/>
      <c r="AQ585" s="1481"/>
      <c r="AR585" s="1481"/>
      <c r="AS585" s="1481"/>
      <c r="AT585" s="1481"/>
      <c r="AU585" s="1481"/>
      <c r="AV585" s="1481"/>
      <c r="AW585" s="1481"/>
      <c r="AX585" s="1481"/>
      <c r="AY585" s="1481"/>
      <c r="AZ585" s="1481"/>
      <c r="BA585" s="1481"/>
      <c r="BB585" s="1481"/>
      <c r="BC585" s="1481"/>
      <c r="BD585" s="1481"/>
      <c r="BE585" s="1481"/>
      <c r="BF585" s="1481"/>
      <c r="BG585" s="1481"/>
      <c r="BH585" s="1481"/>
      <c r="BI585" s="1481"/>
      <c r="BJ585" s="1481"/>
      <c r="BK585" s="1481"/>
      <c r="BL585" s="1481"/>
      <c r="BM585" s="1481"/>
      <c r="BN585" s="1481"/>
      <c r="BO585" s="1481"/>
      <c r="BP585" s="1481"/>
      <c r="BQ585" s="1481"/>
      <c r="BR585" s="1481"/>
      <c r="BS585" s="1481"/>
      <c r="BT585" s="1481"/>
      <c r="BU585" s="1481"/>
      <c r="BV585" s="1481"/>
      <c r="BW585" s="1481"/>
      <c r="BX585" s="1481"/>
      <c r="BY585" s="1481"/>
      <c r="BZ585" s="1481"/>
      <c r="CA585" s="1481"/>
      <c r="CB585" s="1481"/>
      <c r="CC585" s="1481"/>
      <c r="CD585" s="1481"/>
      <c r="CE585" s="1481"/>
    </row>
    <row r="586" spans="1:83" ht="11.25" hidden="1" customHeight="1">
      <c r="A586" s="1649"/>
      <c r="B586" s="1023"/>
      <c r="C586" s="319"/>
      <c r="D586" s="3622"/>
      <c r="E586" s="541" t="s">
        <v>18</v>
      </c>
      <c r="F586" s="1031" t="s">
        <v>18</v>
      </c>
      <c r="G586" s="1031" t="s">
        <v>880</v>
      </c>
      <c r="H586" s="543" t="s">
        <v>18</v>
      </c>
      <c r="I586" s="543"/>
      <c r="J586" s="543"/>
      <c r="K586" s="543"/>
      <c r="L586" s="543"/>
      <c r="M586" s="543"/>
      <c r="N586" s="543"/>
      <c r="O586" s="543"/>
      <c r="P586" s="543"/>
      <c r="Q586" s="543"/>
      <c r="R586" s="544"/>
      <c r="S586" s="545"/>
      <c r="T586" s="608"/>
      <c r="U586" s="3532"/>
      <c r="V586" s="3532"/>
      <c r="W586" s="1023"/>
      <c r="X586" s="1023"/>
      <c r="Y586" s="1023"/>
      <c r="Z586" s="1023"/>
      <c r="AA586" s="1481"/>
      <c r="AB586" s="1023"/>
      <c r="AC586" s="3617"/>
      <c r="AD586" s="521"/>
      <c r="AE586" s="1023"/>
      <c r="AF586" s="1023"/>
      <c r="AG586" s="1481"/>
      <c r="AH586" s="1481"/>
      <c r="AI586" s="1481"/>
      <c r="AJ586" s="1481"/>
      <c r="AK586" s="1481"/>
      <c r="AL586" s="1481"/>
      <c r="AM586" s="1481"/>
      <c r="AN586" s="1481"/>
      <c r="AO586" s="1481"/>
      <c r="AP586" s="1481"/>
      <c r="AQ586" s="1481"/>
      <c r="AR586" s="1481"/>
      <c r="AS586" s="1481"/>
      <c r="AT586" s="1481"/>
      <c r="AU586" s="1481"/>
      <c r="AV586" s="1481"/>
      <c r="AW586" s="1481"/>
      <c r="AX586" s="1481"/>
      <c r="AY586" s="1481"/>
      <c r="AZ586" s="1481"/>
      <c r="BA586" s="1481"/>
      <c r="BB586" s="1481"/>
      <c r="BC586" s="1481"/>
      <c r="BD586" s="1481"/>
      <c r="BE586" s="1481"/>
      <c r="BF586" s="1481"/>
      <c r="BG586" s="1481"/>
      <c r="BH586" s="1481"/>
      <c r="BI586" s="1481"/>
      <c r="BJ586" s="1481"/>
      <c r="BK586" s="1481"/>
      <c r="BL586" s="1481"/>
      <c r="BM586" s="1481"/>
      <c r="BN586" s="1481"/>
      <c r="BO586" s="1481"/>
      <c r="BP586" s="1481"/>
      <c r="BQ586" s="1481"/>
      <c r="BR586" s="1481"/>
      <c r="BS586" s="1481"/>
      <c r="BT586" s="1481"/>
      <c r="BU586" s="1481"/>
      <c r="BV586" s="1023"/>
      <c r="BW586" s="1023"/>
      <c r="BX586" s="1023"/>
      <c r="BY586" s="1023"/>
      <c r="BZ586" s="1023"/>
      <c r="CA586" s="1023"/>
      <c r="CB586" s="1023"/>
      <c r="CC586" s="1023"/>
      <c r="CD586" s="1023"/>
      <c r="CE586" s="1023"/>
    </row>
    <row r="587" spans="1:83" ht="5.25" hidden="1" customHeight="1">
      <c r="A587" s="1636"/>
      <c r="B587" s="1481"/>
      <c r="C587" s="1481"/>
      <c r="D587" s="3622"/>
      <c r="E587" s="909"/>
      <c r="F587" s="909"/>
      <c r="G587" s="909"/>
      <c r="H587" s="909"/>
      <c r="I587" s="909"/>
      <c r="J587" s="909"/>
      <c r="K587" s="909"/>
      <c r="L587" s="909"/>
      <c r="M587" s="909"/>
      <c r="N587" s="909"/>
      <c r="O587" s="909"/>
      <c r="P587" s="909"/>
      <c r="Q587" s="910"/>
      <c r="R587" s="911"/>
      <c r="S587" s="912"/>
      <c r="T587" s="607" t="s">
        <v>877</v>
      </c>
      <c r="U587" s="3532">
        <v>1</v>
      </c>
      <c r="V587" s="3532" t="s">
        <v>840</v>
      </c>
      <c r="W587" s="1481"/>
      <c r="X587" s="1481"/>
      <c r="Y587" s="1481"/>
      <c r="Z587" s="1481"/>
      <c r="AA587" s="1481"/>
      <c r="AB587" s="1481"/>
      <c r="AC587" s="907"/>
      <c r="AD587" s="908"/>
      <c r="AE587" s="1481"/>
      <c r="AF587" s="1481"/>
      <c r="AG587" s="1481"/>
      <c r="AH587" s="1481"/>
      <c r="AI587" s="1481"/>
      <c r="AJ587" s="1481"/>
      <c r="AK587" s="1481"/>
      <c r="AL587" s="1481"/>
      <c r="AM587" s="1481"/>
      <c r="AN587" s="1481"/>
      <c r="AO587" s="1481"/>
      <c r="AP587" s="1481"/>
      <c r="AQ587" s="1481"/>
      <c r="AR587" s="1481"/>
      <c r="AS587" s="1481"/>
      <c r="AT587" s="1481"/>
      <c r="AU587" s="1481"/>
      <c r="AV587" s="1481"/>
      <c r="AW587" s="1481"/>
      <c r="AX587" s="1481"/>
      <c r="AY587" s="1481"/>
      <c r="AZ587" s="1481"/>
      <c r="BA587" s="1481"/>
      <c r="BB587" s="1481"/>
      <c r="BC587" s="1481"/>
      <c r="BD587" s="1481"/>
      <c r="BE587" s="1481"/>
      <c r="BF587" s="1481"/>
      <c r="BG587" s="1481"/>
      <c r="BH587" s="1481"/>
      <c r="BI587" s="1481"/>
      <c r="BJ587" s="1481"/>
      <c r="BK587" s="1481"/>
      <c r="BL587" s="1481"/>
      <c r="BM587" s="1481"/>
      <c r="BN587" s="1481"/>
      <c r="BO587" s="1481"/>
      <c r="BP587" s="1481"/>
      <c r="BQ587" s="1481"/>
      <c r="BR587" s="1481"/>
      <c r="BS587" s="1481"/>
      <c r="BT587" s="1481"/>
      <c r="BU587" s="1481"/>
      <c r="BV587" s="1481"/>
      <c r="BW587" s="1481"/>
      <c r="BX587" s="1481"/>
      <c r="BY587" s="1481"/>
      <c r="BZ587" s="1481"/>
      <c r="CA587" s="1481"/>
      <c r="CB587" s="1481"/>
      <c r="CC587" s="1481"/>
      <c r="CD587" s="1481"/>
      <c r="CE587" s="1481"/>
    </row>
    <row r="588" spans="1:83" ht="5.25" hidden="1" customHeight="1">
      <c r="A588" s="1636"/>
      <c r="B588" s="1481"/>
      <c r="C588" s="1481"/>
      <c r="D588" s="3622"/>
      <c r="E588" s="527"/>
      <c r="F588" s="527"/>
      <c r="G588" s="527"/>
      <c r="H588" s="527"/>
      <c r="I588" s="527"/>
      <c r="J588" s="527"/>
      <c r="K588" s="527"/>
      <c r="L588" s="527"/>
      <c r="M588" s="527"/>
      <c r="N588" s="527"/>
      <c r="O588" s="527"/>
      <c r="P588" s="527"/>
      <c r="Q588" s="527"/>
      <c r="R588" s="527"/>
      <c r="S588" s="528"/>
      <c r="T588" s="608"/>
      <c r="U588" s="3532"/>
      <c r="V588" s="3532"/>
      <c r="W588" s="1481"/>
      <c r="X588" s="1481"/>
      <c r="Y588" s="1481"/>
      <c r="Z588" s="1481"/>
      <c r="AA588" s="1481"/>
      <c r="AB588" s="1481"/>
      <c r="AC588" s="907"/>
      <c r="AD588" s="908"/>
      <c r="AE588" s="1481"/>
      <c r="AF588" s="1481"/>
      <c r="AG588" s="1481"/>
      <c r="AH588" s="1481"/>
      <c r="AI588" s="1481"/>
      <c r="AJ588" s="1481"/>
      <c r="AK588" s="1481"/>
      <c r="AL588" s="1481"/>
      <c r="AM588" s="1481"/>
      <c r="AN588" s="1481"/>
      <c r="AO588" s="1481"/>
      <c r="AP588" s="1481"/>
      <c r="AQ588" s="1481"/>
      <c r="AR588" s="1481"/>
      <c r="AS588" s="1481"/>
      <c r="AT588" s="1481"/>
      <c r="AU588" s="1481"/>
      <c r="AV588" s="1481"/>
      <c r="AW588" s="1481"/>
      <c r="AX588" s="1481"/>
      <c r="AY588" s="1481"/>
      <c r="AZ588" s="1481"/>
      <c r="BA588" s="1481"/>
      <c r="BB588" s="1481"/>
      <c r="BC588" s="1481"/>
      <c r="BD588" s="1481"/>
      <c r="BE588" s="1481"/>
      <c r="BF588" s="1481"/>
      <c r="BG588" s="1481"/>
      <c r="BH588" s="1481"/>
      <c r="BI588" s="1481"/>
      <c r="BJ588" s="1481"/>
      <c r="BK588" s="1481"/>
      <c r="BL588" s="1481"/>
      <c r="BM588" s="1481"/>
      <c r="BN588" s="1481"/>
      <c r="BO588" s="1481"/>
      <c r="BP588" s="1481"/>
      <c r="BQ588" s="1481"/>
      <c r="BR588" s="1481"/>
      <c r="BS588" s="1481"/>
      <c r="BT588" s="1481"/>
      <c r="BU588" s="1481"/>
      <c r="BV588" s="1481"/>
      <c r="BW588" s="1481"/>
      <c r="BX588" s="1481"/>
      <c r="BY588" s="1481"/>
      <c r="BZ588" s="1481"/>
      <c r="CA588" s="1481"/>
      <c r="CB588" s="1481"/>
      <c r="CC588" s="1481"/>
      <c r="CD588" s="1481"/>
      <c r="CE588" s="1481"/>
    </row>
    <row r="589" spans="1:83" ht="5.25" hidden="1" customHeight="1">
      <c r="A589" s="1636"/>
      <c r="B589" s="1481"/>
      <c r="C589" s="1481"/>
      <c r="D589" s="3623"/>
      <c r="E589" s="913"/>
      <c r="F589" s="914"/>
      <c r="G589" s="914"/>
      <c r="H589" s="915"/>
      <c r="I589" s="915"/>
      <c r="J589" s="915"/>
      <c r="K589" s="915"/>
      <c r="L589" s="915"/>
      <c r="M589" s="915"/>
      <c r="N589" s="915"/>
      <c r="O589" s="915"/>
      <c r="P589" s="915"/>
      <c r="Q589" s="915"/>
      <c r="R589" s="818"/>
      <c r="S589" s="916"/>
      <c r="T589" s="608"/>
      <c r="U589" s="3532"/>
      <c r="V589" s="3532"/>
      <c r="W589" s="1481"/>
      <c r="X589" s="1481"/>
      <c r="Y589" s="1481"/>
      <c r="Z589" s="1481"/>
      <c r="AA589" s="1481"/>
      <c r="AB589" s="1481"/>
      <c r="AC589" s="907"/>
      <c r="AD589" s="908"/>
      <c r="AE589" s="1481"/>
      <c r="AF589" s="1481"/>
      <c r="AG589" s="1481"/>
      <c r="AH589" s="1481"/>
      <c r="AI589" s="1481"/>
      <c r="AJ589" s="1481"/>
      <c r="AK589" s="1481"/>
      <c r="AL589" s="1481"/>
      <c r="AM589" s="1481"/>
      <c r="AN589" s="1481"/>
      <c r="AO589" s="1481"/>
      <c r="AP589" s="1481"/>
      <c r="AQ589" s="1481"/>
      <c r="AR589" s="1481"/>
      <c r="AS589" s="1481"/>
      <c r="AT589" s="1481"/>
      <c r="AU589" s="1481"/>
      <c r="AV589" s="1481"/>
      <c r="AW589" s="1481"/>
      <c r="AX589" s="1481"/>
      <c r="AY589" s="1481"/>
      <c r="AZ589" s="1481"/>
      <c r="BA589" s="1481"/>
      <c r="BB589" s="1481"/>
      <c r="BC589" s="1481"/>
      <c r="BD589" s="1481"/>
      <c r="BE589" s="1481"/>
      <c r="BF589" s="1481"/>
      <c r="BG589" s="1481"/>
      <c r="BH589" s="1481"/>
      <c r="BI589" s="1481"/>
      <c r="BJ589" s="1481"/>
      <c r="BK589" s="1481"/>
      <c r="BL589" s="1481"/>
      <c r="BM589" s="1481"/>
      <c r="BN589" s="1481"/>
      <c r="BO589" s="1481"/>
      <c r="BP589" s="1481"/>
      <c r="BQ589" s="1481"/>
      <c r="BR589" s="1481"/>
      <c r="BS589" s="1481"/>
      <c r="BT589" s="1481"/>
      <c r="BU589" s="1481"/>
      <c r="BV589" s="1481"/>
      <c r="BW589" s="1481"/>
      <c r="BX589" s="1481"/>
      <c r="BY589" s="1481"/>
      <c r="BZ589" s="1481"/>
      <c r="CA589" s="1481"/>
      <c r="CB589" s="1481"/>
      <c r="CC589" s="1481"/>
      <c r="CD589" s="1481"/>
      <c r="CE589" s="1481"/>
    </row>
    <row r="590" spans="1:83" ht="15" hidden="1" customHeight="1">
      <c r="A590" s="516" t="s">
        <v>302</v>
      </c>
      <c r="B590"/>
      <c r="C590" t="s">
        <v>18</v>
      </c>
      <c r="D590" s="3621" t="s">
        <v>943</v>
      </c>
      <c r="E590" s="3618" t="s">
        <v>102</v>
      </c>
      <c r="F590" s="3619"/>
      <c r="G590" s="3620"/>
      <c r="H590" s="3614" t="str">
        <f>IF(A590="","",INDEX(DIFFERENTIATION_UNMERGE_VD,MATCH(A590,DIFFERENTIATION_ID_DIFF,0)))</f>
        <v>Производство тепловой энергии. Некомбинированная выработка</v>
      </c>
      <c r="I590" s="3614"/>
      <c r="J590" s="3614"/>
      <c r="K590" s="3614"/>
      <c r="L590" s="3614"/>
      <c r="M590" s="3614"/>
      <c r="N590" s="3614"/>
      <c r="O590" s="3614"/>
      <c r="P590" s="3614"/>
      <c r="Q590" s="3614"/>
      <c r="R590" s="3614"/>
      <c r="S590" s="609"/>
      <c r="T590" s="606"/>
      <c r="U590" s="517"/>
      <c r="V590" s="517"/>
      <c r="W590" s="518"/>
      <c r="X590" s="518"/>
      <c r="Y590" s="518"/>
      <c r="Z590" s="518"/>
      <c r="AA590" s="519"/>
      <c r="AB590" s="520"/>
      <c r="AC590" s="3617"/>
      <c r="AD590" s="521"/>
      <c r="AE590" s="522" t="s">
        <v>18</v>
      </c>
      <c r="AF590" s="522"/>
      <c r="AG590" s="523" t="s">
        <v>874</v>
      </c>
      <c r="AH590" s="524">
        <v>3</v>
      </c>
      <c r="AI590" s="517"/>
      <c r="AJ590" s="517"/>
      <c r="AK590" s="517"/>
      <c r="AL590" s="517"/>
      <c r="AM590" s="517"/>
      <c r="AN590" s="517"/>
      <c r="AO590" s="517"/>
      <c r="AP590" s="517"/>
      <c r="AQ590" s="517"/>
      <c r="AR590" s="517"/>
      <c r="AS590" s="517"/>
      <c r="AT590" s="517"/>
      <c r="AU590" s="517"/>
      <c r="AV590" s="517"/>
      <c r="AW590" s="517"/>
      <c r="AX590" s="517"/>
      <c r="AY590" s="517"/>
      <c r="AZ590" s="517"/>
      <c r="BA590" s="517"/>
      <c r="BB590" s="517"/>
      <c r="BC590" s="517"/>
      <c r="BD590" s="517"/>
      <c r="BE590" s="517"/>
      <c r="BF590" s="517"/>
      <c r="BG590" s="517"/>
      <c r="BH590" s="517"/>
      <c r="BI590" s="517"/>
      <c r="BJ590" s="517"/>
      <c r="BK590" s="517"/>
      <c r="BL590" s="517"/>
      <c r="BM590" s="517"/>
      <c r="BN590" s="517"/>
      <c r="BO590" s="517"/>
      <c r="BP590" s="517"/>
      <c r="BQ590" s="517"/>
      <c r="BR590" s="517"/>
      <c r="BS590" s="517"/>
      <c r="BT590" s="517"/>
      <c r="BU590" s="517"/>
      <c r="BV590" s="518"/>
      <c r="BW590" s="518"/>
      <c r="BX590" s="518"/>
      <c r="BY590" s="518"/>
      <c r="BZ590" s="518"/>
      <c r="CA590" s="518"/>
      <c r="CB590" s="518"/>
      <c r="CC590" s="518"/>
      <c r="CD590" s="518"/>
      <c r="CE590" s="518"/>
    </row>
    <row r="591" spans="1:83" ht="15" hidden="1" customHeight="1">
      <c r="A591" s="516"/>
      <c r="B591"/>
      <c r="C591"/>
      <c r="D591" s="3622"/>
      <c r="E591" s="3618" t="s">
        <v>829</v>
      </c>
      <c r="F591" s="3619"/>
      <c r="G591" s="3620"/>
      <c r="H591" s="3614" t="str">
        <f>IF(A590="","",INDEX(DIFFERENTIATION_UNMERGE_AREA,MATCH(A590,DIFFERENTIATION_ID_DIFF,0)))</f>
        <v>Территория 1</v>
      </c>
      <c r="I591" s="3614"/>
      <c r="J591" s="3614"/>
      <c r="K591" s="3614"/>
      <c r="L591" s="3614"/>
      <c r="M591" s="3614"/>
      <c r="N591" s="3614"/>
      <c r="O591" s="3614"/>
      <c r="P591" s="3614"/>
      <c r="Q591" s="3614"/>
      <c r="R591" s="3614"/>
      <c r="S591" s="609"/>
      <c r="T591" s="606"/>
      <c r="U591" s="517"/>
      <c r="V591" s="517"/>
      <c r="W591" s="518"/>
      <c r="X591" s="518"/>
      <c r="Y591" s="518"/>
      <c r="Z591" s="518"/>
      <c r="AA591" s="519"/>
      <c r="AB591" s="520"/>
      <c r="AC591" s="3617"/>
      <c r="AD591" s="521"/>
      <c r="AE591" s="522"/>
      <c r="AF591" s="522"/>
      <c r="AG591" s="523"/>
      <c r="AH591" s="524"/>
      <c r="AI591" s="517"/>
      <c r="AJ591" s="517"/>
      <c r="AK591" s="517"/>
      <c r="AL591" s="517"/>
      <c r="AM591" s="517"/>
      <c r="AN591" s="517"/>
      <c r="AO591" s="517"/>
      <c r="AP591" s="517"/>
      <c r="AQ591" s="517"/>
      <c r="AR591" s="517"/>
      <c r="AS591" s="517"/>
      <c r="AT591" s="517"/>
      <c r="AU591" s="517"/>
      <c r="AV591" s="517"/>
      <c r="AW591" s="517"/>
      <c r="AX591" s="517"/>
      <c r="AY591" s="517"/>
      <c r="AZ591" s="517"/>
      <c r="BA591" s="517"/>
      <c r="BB591" s="517"/>
      <c r="BC591" s="517"/>
      <c r="BD591" s="517"/>
      <c r="BE591" s="517"/>
      <c r="BF591" s="517"/>
      <c r="BG591" s="517"/>
      <c r="BH591" s="517"/>
      <c r="BI591" s="517"/>
      <c r="BJ591" s="517"/>
      <c r="BK591" s="517"/>
      <c r="BL591" s="517"/>
      <c r="BM591" s="517"/>
      <c r="BN591" s="517"/>
      <c r="BO591" s="517"/>
      <c r="BP591" s="517"/>
      <c r="BQ591" s="517"/>
      <c r="BR591" s="517"/>
      <c r="BS591" s="517"/>
      <c r="BT591" s="517"/>
      <c r="BU591" s="517"/>
      <c r="BV591" s="518"/>
      <c r="BW591" s="518"/>
      <c r="BX591" s="518"/>
      <c r="BY591" s="518"/>
      <c r="BZ591" s="518"/>
      <c r="CA591" s="518"/>
      <c r="CB591" s="518"/>
      <c r="CC591" s="518"/>
      <c r="CD591" s="518"/>
      <c r="CE591" s="518"/>
    </row>
    <row r="592" spans="1:83" ht="15" hidden="1" customHeight="1">
      <c r="A592" s="516"/>
      <c r="B592"/>
      <c r="C592"/>
      <c r="D592" s="3622"/>
      <c r="E592" s="3618" t="s">
        <v>830</v>
      </c>
      <c r="F592" s="3619"/>
      <c r="G592" s="3620"/>
      <c r="H592" s="3614" t="str">
        <f>IF(A590="","",INDEX(DIFFERENTIATION_UNMERGE_SYSTEM,MATCH(A590,DIFFERENTIATION_ID_DIFF,0)))</f>
        <v>Октябрьская, 4а</v>
      </c>
      <c r="I592" s="3614"/>
      <c r="J592" s="3614"/>
      <c r="K592" s="3614"/>
      <c r="L592" s="3614"/>
      <c r="M592" s="3614"/>
      <c r="N592" s="3614"/>
      <c r="O592" s="3614"/>
      <c r="P592" s="3614"/>
      <c r="Q592" s="3614"/>
      <c r="R592" s="3614"/>
      <c r="S592" s="609"/>
      <c r="T592" s="606"/>
      <c r="U592" s="517"/>
      <c r="V592" s="517"/>
      <c r="W592" s="518"/>
      <c r="X592" s="518"/>
      <c r="Y592" s="518"/>
      <c r="Z592" s="518"/>
      <c r="AA592" s="519"/>
      <c r="AB592" s="520"/>
      <c r="AC592" s="3617"/>
      <c r="AD592" s="521"/>
      <c r="AE592" s="522"/>
      <c r="AF592" s="522"/>
      <c r="AG592" s="523"/>
      <c r="AH592" s="524"/>
      <c r="AI592" s="517"/>
      <c r="AJ592" s="517"/>
      <c r="AK592" s="517"/>
      <c r="AL592" s="517"/>
      <c r="AM592" s="517"/>
      <c r="AN592" s="517"/>
      <c r="AO592" s="517"/>
      <c r="AP592" s="517"/>
      <c r="AQ592" s="517"/>
      <c r="AR592" s="517"/>
      <c r="AS592" s="517"/>
      <c r="AT592" s="517"/>
      <c r="AU592" s="517"/>
      <c r="AV592" s="517"/>
      <c r="AW592" s="517"/>
      <c r="AX592" s="517"/>
      <c r="AY592" s="517"/>
      <c r="AZ592" s="517"/>
      <c r="BA592" s="517"/>
      <c r="BB592" s="517"/>
      <c r="BC592" s="517"/>
      <c r="BD592" s="517"/>
      <c r="BE592" s="517"/>
      <c r="BF592" s="517"/>
      <c r="BG592" s="517"/>
      <c r="BH592" s="517"/>
      <c r="BI592" s="517"/>
      <c r="BJ592" s="517"/>
      <c r="BK592" s="517"/>
      <c r="BL592" s="517"/>
      <c r="BM592" s="517"/>
      <c r="BN592" s="517"/>
      <c r="BO592" s="517"/>
      <c r="BP592" s="517"/>
      <c r="BQ592" s="517"/>
      <c r="BR592" s="517"/>
      <c r="BS592" s="517"/>
      <c r="BT592" s="517"/>
      <c r="BU592" s="517"/>
      <c r="BV592" s="518"/>
      <c r="BW592" s="518"/>
      <c r="BX592" s="518"/>
      <c r="BY592" s="518"/>
      <c r="BZ592" s="518"/>
      <c r="CA592" s="518"/>
      <c r="CB592" s="518"/>
      <c r="CC592" s="518"/>
      <c r="CD592" s="518"/>
      <c r="CE592" s="518"/>
    </row>
    <row r="593" spans="1:83" ht="24.75" hidden="1" customHeight="1">
      <c r="A593" s="1649"/>
      <c r="B593" s="1023"/>
      <c r="C593" s="319"/>
      <c r="D593" s="3622"/>
      <c r="E593" s="3616" t="s">
        <v>875</v>
      </c>
      <c r="F593" s="3616"/>
      <c r="G593" s="3616"/>
      <c r="H593" s="3616"/>
      <c r="I593" s="3616"/>
      <c r="J593" s="3616"/>
      <c r="K593" s="3616"/>
      <c r="L593" s="3616"/>
      <c r="M593" s="3616"/>
      <c r="N593" s="3616"/>
      <c r="O593" s="3616"/>
      <c r="P593" s="3616"/>
      <c r="Q593" s="455">
        <f>SUMIF(T594:T595,"i",Q594:Q595)</f>
        <v>0</v>
      </c>
      <c r="R593" s="887"/>
      <c r="S593" s="1641" t="s">
        <v>876</v>
      </c>
      <c r="T593" s="607" t="s">
        <v>877</v>
      </c>
      <c r="U593" s="3532">
        <v>1</v>
      </c>
      <c r="V593" s="3532" t="s">
        <v>840</v>
      </c>
      <c r="W593" s="1023"/>
      <c r="X593" s="1023"/>
      <c r="Y593" s="1023"/>
      <c r="Z593" s="1023"/>
      <c r="AA593" s="1481"/>
      <c r="AB593" s="1023"/>
      <c r="AC593" s="3617"/>
      <c r="AD593" s="521"/>
      <c r="AE593" s="1023"/>
      <c r="AF593" s="1023"/>
      <c r="AG593" s="1481"/>
      <c r="AH593" s="1481"/>
      <c r="AI593" s="1481"/>
      <c r="AJ593" s="1481"/>
      <c r="AK593" s="1481"/>
      <c r="AL593" s="1481"/>
      <c r="AM593" s="1481"/>
      <c r="AN593" s="1481"/>
      <c r="AO593" s="1481"/>
      <c r="AP593" s="1481"/>
      <c r="AQ593" s="1481"/>
      <c r="AR593" s="1481"/>
      <c r="AS593" s="1481"/>
      <c r="AT593" s="1481"/>
      <c r="AU593" s="1481"/>
      <c r="AV593" s="1481"/>
      <c r="AW593" s="1481"/>
      <c r="AX593" s="1481"/>
      <c r="AY593" s="1481"/>
      <c r="AZ593" s="1481"/>
      <c r="BA593" s="1481"/>
      <c r="BB593" s="1481"/>
      <c r="BC593" s="1481"/>
      <c r="BD593" s="1481"/>
      <c r="BE593" s="1481"/>
      <c r="BF593" s="1481"/>
      <c r="BG593" s="1481"/>
      <c r="BH593" s="1481"/>
      <c r="BI593" s="1481"/>
      <c r="BJ593" s="1481"/>
      <c r="BK593" s="1481"/>
      <c r="BL593" s="1481"/>
      <c r="BM593" s="1481"/>
      <c r="BN593" s="1481"/>
      <c r="BO593" s="1481"/>
      <c r="BP593" s="1481"/>
      <c r="BQ593" s="1481"/>
      <c r="BR593" s="1481"/>
      <c r="BS593" s="1481"/>
      <c r="BT593" s="1481"/>
      <c r="BU593" s="1481"/>
      <c r="BV593" s="1023"/>
      <c r="BW593" s="1023"/>
      <c r="BX593" s="1023"/>
      <c r="BY593" s="1023"/>
      <c r="BZ593" s="1023"/>
      <c r="CA593" s="1023"/>
      <c r="CB593" s="1023"/>
      <c r="CC593" s="1023"/>
      <c r="CD593" s="1023"/>
      <c r="CE593" s="1023"/>
    </row>
    <row r="594" spans="1:83" ht="11.25" hidden="1" customHeight="1">
      <c r="A594" s="1636"/>
      <c r="B594" s="1481"/>
      <c r="C594" s="1481"/>
      <c r="D594" s="3622"/>
      <c r="E594" s="527"/>
      <c r="F594" s="527">
        <v>0</v>
      </c>
      <c r="G594" s="527"/>
      <c r="H594" s="527"/>
      <c r="I594" s="527"/>
      <c r="J594" s="527"/>
      <c r="K594" s="527"/>
      <c r="L594" s="527"/>
      <c r="M594" s="527"/>
      <c r="N594" s="527"/>
      <c r="O594" s="527"/>
      <c r="P594" s="527"/>
      <c r="Q594" s="527"/>
      <c r="R594" s="527"/>
      <c r="S594" s="528"/>
      <c r="T594" s="608"/>
      <c r="U594" s="3532"/>
      <c r="V594" s="3532"/>
      <c r="W594" s="1481"/>
      <c r="X594" s="1481"/>
      <c r="Y594" s="1481"/>
      <c r="Z594" s="1481"/>
      <c r="AA594" s="1481"/>
      <c r="AB594" s="1023"/>
      <c r="AC594" s="3617"/>
      <c r="AD594" s="521"/>
      <c r="AE594" s="1023"/>
      <c r="AF594" s="1023"/>
      <c r="AG594" s="1481"/>
      <c r="AH594" s="1481"/>
      <c r="AI594" s="1481"/>
      <c r="AJ594" s="1481"/>
      <c r="AK594" s="1481"/>
      <c r="AL594" s="1481"/>
      <c r="AM594" s="1481"/>
      <c r="AN594" s="1481"/>
      <c r="AO594" s="1481"/>
      <c r="AP594" s="1481"/>
      <c r="AQ594" s="1481"/>
      <c r="AR594" s="1481"/>
      <c r="AS594" s="1481"/>
      <c r="AT594" s="1481"/>
      <c r="AU594" s="1481"/>
      <c r="AV594" s="1481"/>
      <c r="AW594" s="1481"/>
      <c r="AX594" s="1481"/>
      <c r="AY594" s="1481"/>
      <c r="AZ594" s="1481"/>
      <c r="BA594" s="1481"/>
      <c r="BB594" s="1481"/>
      <c r="BC594" s="1481"/>
      <c r="BD594" s="1481"/>
      <c r="BE594" s="1481"/>
      <c r="BF594" s="1481"/>
      <c r="BG594" s="1481"/>
      <c r="BH594" s="1481"/>
      <c r="BI594" s="1481"/>
      <c r="BJ594" s="1481"/>
      <c r="BK594" s="1481"/>
      <c r="BL594" s="1481"/>
      <c r="BM594" s="1481"/>
      <c r="BN594" s="1481"/>
      <c r="BO594" s="1481"/>
      <c r="BP594" s="1481"/>
      <c r="BQ594" s="1481"/>
      <c r="BR594" s="1481"/>
      <c r="BS594" s="1481"/>
      <c r="BT594" s="1481"/>
      <c r="BU594" s="1481"/>
      <c r="BV594" s="1481"/>
      <c r="BW594" s="1481"/>
      <c r="BX594" s="1481"/>
      <c r="BY594" s="1481"/>
      <c r="BZ594" s="1481"/>
      <c r="CA594" s="1481"/>
      <c r="CB594" s="1481"/>
      <c r="CC594" s="1481"/>
      <c r="CD594" s="1481"/>
      <c r="CE594" s="1481"/>
    </row>
    <row r="595" spans="1:83" ht="11.25" hidden="1" customHeight="1">
      <c r="A595" s="1649"/>
      <c r="B595" s="1023"/>
      <c r="C595" s="319"/>
      <c r="D595" s="3622"/>
      <c r="E595" s="541" t="s">
        <v>18</v>
      </c>
      <c r="F595" s="1031" t="s">
        <v>18</v>
      </c>
      <c r="G595" s="1031" t="s">
        <v>880</v>
      </c>
      <c r="H595" s="543" t="s">
        <v>18</v>
      </c>
      <c r="I595" s="543"/>
      <c r="J595" s="543"/>
      <c r="K595" s="543"/>
      <c r="L595" s="543"/>
      <c r="M595" s="543"/>
      <c r="N595" s="543"/>
      <c r="O595" s="543"/>
      <c r="P595" s="543"/>
      <c r="Q595" s="543"/>
      <c r="R595" s="544"/>
      <c r="S595" s="545"/>
      <c r="T595" s="608"/>
      <c r="U595" s="3532"/>
      <c r="V595" s="3532"/>
      <c r="W595" s="1023"/>
      <c r="X595" s="1023"/>
      <c r="Y595" s="1023"/>
      <c r="Z595" s="1023"/>
      <c r="AA595" s="1481"/>
      <c r="AB595" s="1023"/>
      <c r="AC595" s="3617"/>
      <c r="AD595" s="521"/>
      <c r="AE595" s="1023"/>
      <c r="AF595" s="1023"/>
      <c r="AG595" s="1481"/>
      <c r="AH595" s="1481"/>
      <c r="AI595" s="1481"/>
      <c r="AJ595" s="1481"/>
      <c r="AK595" s="1481"/>
      <c r="AL595" s="1481"/>
      <c r="AM595" s="1481"/>
      <c r="AN595" s="1481"/>
      <c r="AO595" s="1481"/>
      <c r="AP595" s="1481"/>
      <c r="AQ595" s="1481"/>
      <c r="AR595" s="1481"/>
      <c r="AS595" s="1481"/>
      <c r="AT595" s="1481"/>
      <c r="AU595" s="1481"/>
      <c r="AV595" s="1481"/>
      <c r="AW595" s="1481"/>
      <c r="AX595" s="1481"/>
      <c r="AY595" s="1481"/>
      <c r="AZ595" s="1481"/>
      <c r="BA595" s="1481"/>
      <c r="BB595" s="1481"/>
      <c r="BC595" s="1481"/>
      <c r="BD595" s="1481"/>
      <c r="BE595" s="1481"/>
      <c r="BF595" s="1481"/>
      <c r="BG595" s="1481"/>
      <c r="BH595" s="1481"/>
      <c r="BI595" s="1481"/>
      <c r="BJ595" s="1481"/>
      <c r="BK595" s="1481"/>
      <c r="BL595" s="1481"/>
      <c r="BM595" s="1481"/>
      <c r="BN595" s="1481"/>
      <c r="BO595" s="1481"/>
      <c r="BP595" s="1481"/>
      <c r="BQ595" s="1481"/>
      <c r="BR595" s="1481"/>
      <c r="BS595" s="1481"/>
      <c r="BT595" s="1481"/>
      <c r="BU595" s="1481"/>
      <c r="BV595" s="1023"/>
      <c r="BW595" s="1023"/>
      <c r="BX595" s="1023"/>
      <c r="BY595" s="1023"/>
      <c r="BZ595" s="1023"/>
      <c r="CA595" s="1023"/>
      <c r="CB595" s="1023"/>
      <c r="CC595" s="1023"/>
      <c r="CD595" s="1023"/>
      <c r="CE595" s="1023"/>
    </row>
    <row r="596" spans="1:83" ht="5.25" hidden="1" customHeight="1">
      <c r="A596" s="1636"/>
      <c r="B596" s="1481"/>
      <c r="C596" s="1481"/>
      <c r="D596" s="3622"/>
      <c r="E596" s="909"/>
      <c r="F596" s="909"/>
      <c r="G596" s="909"/>
      <c r="H596" s="909"/>
      <c r="I596" s="909"/>
      <c r="J596" s="909"/>
      <c r="K596" s="909"/>
      <c r="L596" s="909"/>
      <c r="M596" s="909"/>
      <c r="N596" s="909"/>
      <c r="O596" s="909"/>
      <c r="P596" s="909"/>
      <c r="Q596" s="910"/>
      <c r="R596" s="911"/>
      <c r="S596" s="912"/>
      <c r="T596" s="607" t="s">
        <v>877</v>
      </c>
      <c r="U596" s="3532">
        <v>1</v>
      </c>
      <c r="V596" s="3532" t="s">
        <v>840</v>
      </c>
      <c r="W596" s="1481"/>
      <c r="X596" s="1481"/>
      <c r="Y596" s="1481"/>
      <c r="Z596" s="1481"/>
      <c r="AA596" s="1481"/>
      <c r="AB596" s="1481"/>
      <c r="AC596" s="907"/>
      <c r="AD596" s="908"/>
      <c r="AE596" s="1481"/>
      <c r="AF596" s="1481"/>
      <c r="AG596" s="1481"/>
      <c r="AH596" s="1481"/>
      <c r="AI596" s="1481"/>
      <c r="AJ596" s="1481"/>
      <c r="AK596" s="1481"/>
      <c r="AL596" s="1481"/>
      <c r="AM596" s="1481"/>
      <c r="AN596" s="1481"/>
      <c r="AO596" s="1481"/>
      <c r="AP596" s="1481"/>
      <c r="AQ596" s="1481"/>
      <c r="AR596" s="1481"/>
      <c r="AS596" s="1481"/>
      <c r="AT596" s="1481"/>
      <c r="AU596" s="1481"/>
      <c r="AV596" s="1481"/>
      <c r="AW596" s="1481"/>
      <c r="AX596" s="1481"/>
      <c r="AY596" s="1481"/>
      <c r="AZ596" s="1481"/>
      <c r="BA596" s="1481"/>
      <c r="BB596" s="1481"/>
      <c r="BC596" s="1481"/>
      <c r="BD596" s="1481"/>
      <c r="BE596" s="1481"/>
      <c r="BF596" s="1481"/>
      <c r="BG596" s="1481"/>
      <c r="BH596" s="1481"/>
      <c r="BI596" s="1481"/>
      <c r="BJ596" s="1481"/>
      <c r="BK596" s="1481"/>
      <c r="BL596" s="1481"/>
      <c r="BM596" s="1481"/>
      <c r="BN596" s="1481"/>
      <c r="BO596" s="1481"/>
      <c r="BP596" s="1481"/>
      <c r="BQ596" s="1481"/>
      <c r="BR596" s="1481"/>
      <c r="BS596" s="1481"/>
      <c r="BT596" s="1481"/>
      <c r="BU596" s="1481"/>
      <c r="BV596" s="1481"/>
      <c r="BW596" s="1481"/>
      <c r="BX596" s="1481"/>
      <c r="BY596" s="1481"/>
      <c r="BZ596" s="1481"/>
      <c r="CA596" s="1481"/>
      <c r="CB596" s="1481"/>
      <c r="CC596" s="1481"/>
      <c r="CD596" s="1481"/>
      <c r="CE596" s="1481"/>
    </row>
    <row r="597" spans="1:83" ht="5.25" hidden="1" customHeight="1">
      <c r="A597" s="1636"/>
      <c r="B597" s="1481"/>
      <c r="C597" s="1481"/>
      <c r="D597" s="3622"/>
      <c r="E597" s="527"/>
      <c r="F597" s="527"/>
      <c r="G597" s="527"/>
      <c r="H597" s="527"/>
      <c r="I597" s="527"/>
      <c r="J597" s="527"/>
      <c r="K597" s="527"/>
      <c r="L597" s="527"/>
      <c r="M597" s="527"/>
      <c r="N597" s="527"/>
      <c r="O597" s="527"/>
      <c r="P597" s="527"/>
      <c r="Q597" s="527"/>
      <c r="R597" s="527"/>
      <c r="S597" s="528"/>
      <c r="T597" s="608"/>
      <c r="U597" s="3532"/>
      <c r="V597" s="3532"/>
      <c r="W597" s="1481"/>
      <c r="X597" s="1481"/>
      <c r="Y597" s="1481"/>
      <c r="Z597" s="1481"/>
      <c r="AA597" s="1481"/>
      <c r="AB597" s="1481"/>
      <c r="AC597" s="907"/>
      <c r="AD597" s="908"/>
      <c r="AE597" s="1481"/>
      <c r="AF597" s="1481"/>
      <c r="AG597" s="1481"/>
      <c r="AH597" s="1481"/>
      <c r="AI597" s="1481"/>
      <c r="AJ597" s="1481"/>
      <c r="AK597" s="1481"/>
      <c r="AL597" s="1481"/>
      <c r="AM597" s="1481"/>
      <c r="AN597" s="1481"/>
      <c r="AO597" s="1481"/>
      <c r="AP597" s="1481"/>
      <c r="AQ597" s="1481"/>
      <c r="AR597" s="1481"/>
      <c r="AS597" s="1481"/>
      <c r="AT597" s="1481"/>
      <c r="AU597" s="1481"/>
      <c r="AV597" s="1481"/>
      <c r="AW597" s="1481"/>
      <c r="AX597" s="1481"/>
      <c r="AY597" s="1481"/>
      <c r="AZ597" s="1481"/>
      <c r="BA597" s="1481"/>
      <c r="BB597" s="1481"/>
      <c r="BC597" s="1481"/>
      <c r="BD597" s="1481"/>
      <c r="BE597" s="1481"/>
      <c r="BF597" s="1481"/>
      <c r="BG597" s="1481"/>
      <c r="BH597" s="1481"/>
      <c r="BI597" s="1481"/>
      <c r="BJ597" s="1481"/>
      <c r="BK597" s="1481"/>
      <c r="BL597" s="1481"/>
      <c r="BM597" s="1481"/>
      <c r="BN597" s="1481"/>
      <c r="BO597" s="1481"/>
      <c r="BP597" s="1481"/>
      <c r="BQ597" s="1481"/>
      <c r="BR597" s="1481"/>
      <c r="BS597" s="1481"/>
      <c r="BT597" s="1481"/>
      <c r="BU597" s="1481"/>
      <c r="BV597" s="1481"/>
      <c r="BW597" s="1481"/>
      <c r="BX597" s="1481"/>
      <c r="BY597" s="1481"/>
      <c r="BZ597" s="1481"/>
      <c r="CA597" s="1481"/>
      <c r="CB597" s="1481"/>
      <c r="CC597" s="1481"/>
      <c r="CD597" s="1481"/>
      <c r="CE597" s="1481"/>
    </row>
    <row r="598" spans="1:83" ht="5.25" hidden="1" customHeight="1">
      <c r="A598" s="1636"/>
      <c r="B598" s="1481"/>
      <c r="C598" s="1481"/>
      <c r="D598" s="3623"/>
      <c r="E598" s="913"/>
      <c r="F598" s="914"/>
      <c r="G598" s="914"/>
      <c r="H598" s="915"/>
      <c r="I598" s="915"/>
      <c r="J598" s="915"/>
      <c r="K598" s="915"/>
      <c r="L598" s="915"/>
      <c r="M598" s="915"/>
      <c r="N598" s="915"/>
      <c r="O598" s="915"/>
      <c r="P598" s="915"/>
      <c r="Q598" s="915"/>
      <c r="R598" s="818"/>
      <c r="S598" s="916"/>
      <c r="T598" s="608"/>
      <c r="U598" s="3532"/>
      <c r="V598" s="3532"/>
      <c r="W598" s="1481"/>
      <c r="X598" s="1481"/>
      <c r="Y598" s="1481"/>
      <c r="Z598" s="1481"/>
      <c r="AA598" s="1481"/>
      <c r="AB598" s="1481"/>
      <c r="AC598" s="907"/>
      <c r="AD598" s="908"/>
      <c r="AE598" s="1481"/>
      <c r="AF598" s="1481"/>
      <c r="AG598" s="1481"/>
      <c r="AH598" s="1481"/>
      <c r="AI598" s="1481"/>
      <c r="AJ598" s="1481"/>
      <c r="AK598" s="1481"/>
      <c r="AL598" s="1481"/>
      <c r="AM598" s="1481"/>
      <c r="AN598" s="1481"/>
      <c r="AO598" s="1481"/>
      <c r="AP598" s="1481"/>
      <c r="AQ598" s="1481"/>
      <c r="AR598" s="1481"/>
      <c r="AS598" s="1481"/>
      <c r="AT598" s="1481"/>
      <c r="AU598" s="1481"/>
      <c r="AV598" s="1481"/>
      <c r="AW598" s="1481"/>
      <c r="AX598" s="1481"/>
      <c r="AY598" s="1481"/>
      <c r="AZ598" s="1481"/>
      <c r="BA598" s="1481"/>
      <c r="BB598" s="1481"/>
      <c r="BC598" s="1481"/>
      <c r="BD598" s="1481"/>
      <c r="BE598" s="1481"/>
      <c r="BF598" s="1481"/>
      <c r="BG598" s="1481"/>
      <c r="BH598" s="1481"/>
      <c r="BI598" s="1481"/>
      <c r="BJ598" s="1481"/>
      <c r="BK598" s="1481"/>
      <c r="BL598" s="1481"/>
      <c r="BM598" s="1481"/>
      <c r="BN598" s="1481"/>
      <c r="BO598" s="1481"/>
      <c r="BP598" s="1481"/>
      <c r="BQ598" s="1481"/>
      <c r="BR598" s="1481"/>
      <c r="BS598" s="1481"/>
      <c r="BT598" s="1481"/>
      <c r="BU598" s="1481"/>
      <c r="BV598" s="1481"/>
      <c r="BW598" s="1481"/>
      <c r="BX598" s="1481"/>
      <c r="BY598" s="1481"/>
      <c r="BZ598" s="1481"/>
      <c r="CA598" s="1481"/>
      <c r="CB598" s="1481"/>
      <c r="CC598" s="1481"/>
      <c r="CD598" s="1481"/>
      <c r="CE598" s="1481"/>
    </row>
    <row r="599" spans="1:83" ht="15" hidden="1" customHeight="1">
      <c r="A599" s="516" t="s">
        <v>305</v>
      </c>
      <c r="B599"/>
      <c r="C599" t="s">
        <v>18</v>
      </c>
      <c r="D599" s="3621" t="s">
        <v>944</v>
      </c>
      <c r="E599" s="3618" t="s">
        <v>102</v>
      </c>
      <c r="F599" s="3619"/>
      <c r="G599" s="3620"/>
      <c r="H599" s="3614" t="str">
        <f>IF(A599="","",INDEX(DIFFERENTIATION_UNMERGE_VD,MATCH(A599,DIFFERENTIATION_ID_DIFF,0)))</f>
        <v>Производство тепловой энергии. Некомбинированная выработка</v>
      </c>
      <c r="I599" s="3614"/>
      <c r="J599" s="3614"/>
      <c r="K599" s="3614"/>
      <c r="L599" s="3614"/>
      <c r="M599" s="3614"/>
      <c r="N599" s="3614"/>
      <c r="O599" s="3614"/>
      <c r="P599" s="3614"/>
      <c r="Q599" s="3614"/>
      <c r="R599" s="3614"/>
      <c r="S599" s="609"/>
      <c r="T599" s="606"/>
      <c r="U599" s="517"/>
      <c r="V599" s="517"/>
      <c r="W599" s="518"/>
      <c r="X599" s="518"/>
      <c r="Y599" s="518"/>
      <c r="Z599" s="518"/>
      <c r="AA599" s="519"/>
      <c r="AB599" s="520"/>
      <c r="AC599" s="3617"/>
      <c r="AD599" s="521"/>
      <c r="AE599" s="522" t="s">
        <v>18</v>
      </c>
      <c r="AF599" s="522"/>
      <c r="AG599" s="523" t="s">
        <v>874</v>
      </c>
      <c r="AH599" s="524">
        <v>3</v>
      </c>
      <c r="AI599" s="517"/>
      <c r="AJ599" s="517"/>
      <c r="AK599" s="517"/>
      <c r="AL599" s="517"/>
      <c r="AM599" s="517"/>
      <c r="AN599" s="517"/>
      <c r="AO599" s="517"/>
      <c r="AP599" s="517"/>
      <c r="AQ599" s="517"/>
      <c r="AR599" s="517"/>
      <c r="AS599" s="517"/>
      <c r="AT599" s="517"/>
      <c r="AU599" s="517"/>
      <c r="AV599" s="517"/>
      <c r="AW599" s="517"/>
      <c r="AX599" s="517"/>
      <c r="AY599" s="517"/>
      <c r="AZ599" s="517"/>
      <c r="BA599" s="517"/>
      <c r="BB599" s="517"/>
      <c r="BC599" s="517"/>
      <c r="BD599" s="517"/>
      <c r="BE599" s="517"/>
      <c r="BF599" s="517"/>
      <c r="BG599" s="517"/>
      <c r="BH599" s="517"/>
      <c r="BI599" s="517"/>
      <c r="BJ599" s="517"/>
      <c r="BK599" s="517"/>
      <c r="BL599" s="517"/>
      <c r="BM599" s="517"/>
      <c r="BN599" s="517"/>
      <c r="BO599" s="517"/>
      <c r="BP599" s="517"/>
      <c r="BQ599" s="517"/>
      <c r="BR599" s="517"/>
      <c r="BS599" s="517"/>
      <c r="BT599" s="517"/>
      <c r="BU599" s="517"/>
      <c r="BV599" s="518"/>
      <c r="BW599" s="518"/>
      <c r="BX599" s="518"/>
      <c r="BY599" s="518"/>
      <c r="BZ599" s="518"/>
      <c r="CA599" s="518"/>
      <c r="CB599" s="518"/>
      <c r="CC599" s="518"/>
      <c r="CD599" s="518"/>
      <c r="CE599" s="518"/>
    </row>
    <row r="600" spans="1:83" ht="15" hidden="1" customHeight="1">
      <c r="A600" s="516"/>
      <c r="B600"/>
      <c r="C600"/>
      <c r="D600" s="3622"/>
      <c r="E600" s="3618" t="s">
        <v>829</v>
      </c>
      <c r="F600" s="3619"/>
      <c r="G600" s="3620"/>
      <c r="H600" s="3614" t="str">
        <f>IF(A599="","",INDEX(DIFFERENTIATION_UNMERGE_AREA,MATCH(A599,DIFFERENTIATION_ID_DIFF,0)))</f>
        <v>Территория 1</v>
      </c>
      <c r="I600" s="3614"/>
      <c r="J600" s="3614"/>
      <c r="K600" s="3614"/>
      <c r="L600" s="3614"/>
      <c r="M600" s="3614"/>
      <c r="N600" s="3614"/>
      <c r="O600" s="3614"/>
      <c r="P600" s="3614"/>
      <c r="Q600" s="3614"/>
      <c r="R600" s="3614"/>
      <c r="S600" s="609"/>
      <c r="T600" s="606"/>
      <c r="U600" s="517"/>
      <c r="V600" s="517"/>
      <c r="W600" s="518"/>
      <c r="X600" s="518"/>
      <c r="Y600" s="518"/>
      <c r="Z600" s="518"/>
      <c r="AA600" s="519"/>
      <c r="AB600" s="520"/>
      <c r="AC600" s="3617"/>
      <c r="AD600" s="521"/>
      <c r="AE600" s="522"/>
      <c r="AF600" s="522"/>
      <c r="AG600" s="523"/>
      <c r="AH600" s="524"/>
      <c r="AI600" s="517"/>
      <c r="AJ600" s="517"/>
      <c r="AK600" s="517"/>
      <c r="AL600" s="517"/>
      <c r="AM600" s="517"/>
      <c r="AN600" s="517"/>
      <c r="AO600" s="517"/>
      <c r="AP600" s="517"/>
      <c r="AQ600" s="517"/>
      <c r="AR600" s="517"/>
      <c r="AS600" s="517"/>
      <c r="AT600" s="517"/>
      <c r="AU600" s="517"/>
      <c r="AV600" s="517"/>
      <c r="AW600" s="517"/>
      <c r="AX600" s="517"/>
      <c r="AY600" s="517"/>
      <c r="AZ600" s="517"/>
      <c r="BA600" s="517"/>
      <c r="BB600" s="517"/>
      <c r="BC600" s="517"/>
      <c r="BD600" s="517"/>
      <c r="BE600" s="517"/>
      <c r="BF600" s="517"/>
      <c r="BG600" s="517"/>
      <c r="BH600" s="517"/>
      <c r="BI600" s="517"/>
      <c r="BJ600" s="517"/>
      <c r="BK600" s="517"/>
      <c r="BL600" s="517"/>
      <c r="BM600" s="517"/>
      <c r="BN600" s="517"/>
      <c r="BO600" s="517"/>
      <c r="BP600" s="517"/>
      <c r="BQ600" s="517"/>
      <c r="BR600" s="517"/>
      <c r="BS600" s="517"/>
      <c r="BT600" s="517"/>
      <c r="BU600" s="517"/>
      <c r="BV600" s="518"/>
      <c r="BW600" s="518"/>
      <c r="BX600" s="518"/>
      <c r="BY600" s="518"/>
      <c r="BZ600" s="518"/>
      <c r="CA600" s="518"/>
      <c r="CB600" s="518"/>
      <c r="CC600" s="518"/>
      <c r="CD600" s="518"/>
      <c r="CE600" s="518"/>
    </row>
    <row r="601" spans="1:83" ht="15" hidden="1" customHeight="1">
      <c r="A601" s="516"/>
      <c r="B601"/>
      <c r="C601"/>
      <c r="D601" s="3622"/>
      <c r="E601" s="3618" t="s">
        <v>830</v>
      </c>
      <c r="F601" s="3619"/>
      <c r="G601" s="3620"/>
      <c r="H601" s="3614" t="str">
        <f>IF(A599="","",INDEX(DIFFERENTIATION_UNMERGE_SYSTEM,MATCH(A599,DIFFERENTIATION_ID_DIFF,0)))</f>
        <v>Октябрьская, 54а</v>
      </c>
      <c r="I601" s="3614"/>
      <c r="J601" s="3614"/>
      <c r="K601" s="3614"/>
      <c r="L601" s="3614"/>
      <c r="M601" s="3614"/>
      <c r="N601" s="3614"/>
      <c r="O601" s="3614"/>
      <c r="P601" s="3614"/>
      <c r="Q601" s="3614"/>
      <c r="R601" s="3614"/>
      <c r="S601" s="609"/>
      <c r="T601" s="606"/>
      <c r="U601" s="517"/>
      <c r="V601" s="517"/>
      <c r="W601" s="518"/>
      <c r="X601" s="518"/>
      <c r="Y601" s="518"/>
      <c r="Z601" s="518"/>
      <c r="AA601" s="519"/>
      <c r="AB601" s="520"/>
      <c r="AC601" s="3617"/>
      <c r="AD601" s="521"/>
      <c r="AE601" s="522"/>
      <c r="AF601" s="522"/>
      <c r="AG601" s="523"/>
      <c r="AH601" s="524"/>
      <c r="AI601" s="517"/>
      <c r="AJ601" s="517"/>
      <c r="AK601" s="517"/>
      <c r="AL601" s="517"/>
      <c r="AM601" s="517"/>
      <c r="AN601" s="517"/>
      <c r="AO601" s="517"/>
      <c r="AP601" s="517"/>
      <c r="AQ601" s="517"/>
      <c r="AR601" s="517"/>
      <c r="AS601" s="517"/>
      <c r="AT601" s="517"/>
      <c r="AU601" s="517"/>
      <c r="AV601" s="517"/>
      <c r="AW601" s="517"/>
      <c r="AX601" s="517"/>
      <c r="AY601" s="517"/>
      <c r="AZ601" s="517"/>
      <c r="BA601" s="517"/>
      <c r="BB601" s="517"/>
      <c r="BC601" s="517"/>
      <c r="BD601" s="517"/>
      <c r="BE601" s="517"/>
      <c r="BF601" s="517"/>
      <c r="BG601" s="517"/>
      <c r="BH601" s="517"/>
      <c r="BI601" s="517"/>
      <c r="BJ601" s="517"/>
      <c r="BK601" s="517"/>
      <c r="BL601" s="517"/>
      <c r="BM601" s="517"/>
      <c r="BN601" s="517"/>
      <c r="BO601" s="517"/>
      <c r="BP601" s="517"/>
      <c r="BQ601" s="517"/>
      <c r="BR601" s="517"/>
      <c r="BS601" s="517"/>
      <c r="BT601" s="517"/>
      <c r="BU601" s="517"/>
      <c r="BV601" s="518"/>
      <c r="BW601" s="518"/>
      <c r="BX601" s="518"/>
      <c r="BY601" s="518"/>
      <c r="BZ601" s="518"/>
      <c r="CA601" s="518"/>
      <c r="CB601" s="518"/>
      <c r="CC601" s="518"/>
      <c r="CD601" s="518"/>
      <c r="CE601" s="518"/>
    </row>
    <row r="602" spans="1:83" ht="24.75" hidden="1" customHeight="1">
      <c r="A602" s="1649"/>
      <c r="B602" s="1023"/>
      <c r="C602" s="319"/>
      <c r="D602" s="3622"/>
      <c r="E602" s="3616" t="s">
        <v>875</v>
      </c>
      <c r="F602" s="3616"/>
      <c r="G602" s="3616"/>
      <c r="H602" s="3616"/>
      <c r="I602" s="3616"/>
      <c r="J602" s="3616"/>
      <c r="K602" s="3616"/>
      <c r="L602" s="3616"/>
      <c r="M602" s="3616"/>
      <c r="N602" s="3616"/>
      <c r="O602" s="3616"/>
      <c r="P602" s="3616"/>
      <c r="Q602" s="455">
        <f>SUMIF(T603:T604,"i",Q603:Q604)</f>
        <v>0</v>
      </c>
      <c r="R602" s="887"/>
      <c r="S602" s="1641" t="s">
        <v>876</v>
      </c>
      <c r="T602" s="607" t="s">
        <v>877</v>
      </c>
      <c r="U602" s="3532">
        <v>1</v>
      </c>
      <c r="V602" s="3532" t="s">
        <v>840</v>
      </c>
      <c r="W602" s="1023"/>
      <c r="X602" s="1023"/>
      <c r="Y602" s="1023"/>
      <c r="Z602" s="1023"/>
      <c r="AA602" s="1481"/>
      <c r="AB602" s="1023"/>
      <c r="AC602" s="3617"/>
      <c r="AD602" s="521"/>
      <c r="AE602" s="1023"/>
      <c r="AF602" s="1023"/>
      <c r="AG602" s="1481"/>
      <c r="AH602" s="1481"/>
      <c r="AI602" s="1481"/>
      <c r="AJ602" s="1481"/>
      <c r="AK602" s="1481"/>
      <c r="AL602" s="1481"/>
      <c r="AM602" s="1481"/>
      <c r="AN602" s="1481"/>
      <c r="AO602" s="1481"/>
      <c r="AP602" s="1481"/>
      <c r="AQ602" s="1481"/>
      <c r="AR602" s="1481"/>
      <c r="AS602" s="1481"/>
      <c r="AT602" s="1481"/>
      <c r="AU602" s="1481"/>
      <c r="AV602" s="1481"/>
      <c r="AW602" s="1481"/>
      <c r="AX602" s="1481"/>
      <c r="AY602" s="1481"/>
      <c r="AZ602" s="1481"/>
      <c r="BA602" s="1481"/>
      <c r="BB602" s="1481"/>
      <c r="BC602" s="1481"/>
      <c r="BD602" s="1481"/>
      <c r="BE602" s="1481"/>
      <c r="BF602" s="1481"/>
      <c r="BG602" s="1481"/>
      <c r="BH602" s="1481"/>
      <c r="BI602" s="1481"/>
      <c r="BJ602" s="1481"/>
      <c r="BK602" s="1481"/>
      <c r="BL602" s="1481"/>
      <c r="BM602" s="1481"/>
      <c r="BN602" s="1481"/>
      <c r="BO602" s="1481"/>
      <c r="BP602" s="1481"/>
      <c r="BQ602" s="1481"/>
      <c r="BR602" s="1481"/>
      <c r="BS602" s="1481"/>
      <c r="BT602" s="1481"/>
      <c r="BU602" s="1481"/>
      <c r="BV602" s="1023"/>
      <c r="BW602" s="1023"/>
      <c r="BX602" s="1023"/>
      <c r="BY602" s="1023"/>
      <c r="BZ602" s="1023"/>
      <c r="CA602" s="1023"/>
      <c r="CB602" s="1023"/>
      <c r="CC602" s="1023"/>
      <c r="CD602" s="1023"/>
      <c r="CE602" s="1023"/>
    </row>
    <row r="603" spans="1:83" ht="11.25" hidden="1" customHeight="1">
      <c r="A603" s="1636"/>
      <c r="B603" s="1481"/>
      <c r="C603" s="1481"/>
      <c r="D603" s="3622"/>
      <c r="E603" s="527"/>
      <c r="F603" s="527">
        <v>0</v>
      </c>
      <c r="G603" s="527"/>
      <c r="H603" s="527"/>
      <c r="I603" s="527"/>
      <c r="J603" s="527"/>
      <c r="K603" s="527"/>
      <c r="L603" s="527"/>
      <c r="M603" s="527"/>
      <c r="N603" s="527"/>
      <c r="O603" s="527"/>
      <c r="P603" s="527"/>
      <c r="Q603" s="527"/>
      <c r="R603" s="527"/>
      <c r="S603" s="528"/>
      <c r="T603" s="608"/>
      <c r="U603" s="3532"/>
      <c r="V603" s="3532"/>
      <c r="W603" s="1481"/>
      <c r="X603" s="1481"/>
      <c r="Y603" s="1481"/>
      <c r="Z603" s="1481"/>
      <c r="AA603" s="1481"/>
      <c r="AB603" s="1023"/>
      <c r="AC603" s="3617"/>
      <c r="AD603" s="521"/>
      <c r="AE603" s="1023"/>
      <c r="AF603" s="1023"/>
      <c r="AG603" s="1481"/>
      <c r="AH603" s="1481"/>
      <c r="AI603" s="1481"/>
      <c r="AJ603" s="1481"/>
      <c r="AK603" s="1481"/>
      <c r="AL603" s="1481"/>
      <c r="AM603" s="1481"/>
      <c r="AN603" s="1481"/>
      <c r="AO603" s="1481"/>
      <c r="AP603" s="1481"/>
      <c r="AQ603" s="1481"/>
      <c r="AR603" s="1481"/>
      <c r="AS603" s="1481"/>
      <c r="AT603" s="1481"/>
      <c r="AU603" s="1481"/>
      <c r="AV603" s="1481"/>
      <c r="AW603" s="1481"/>
      <c r="AX603" s="1481"/>
      <c r="AY603" s="1481"/>
      <c r="AZ603" s="1481"/>
      <c r="BA603" s="1481"/>
      <c r="BB603" s="1481"/>
      <c r="BC603" s="1481"/>
      <c r="BD603" s="1481"/>
      <c r="BE603" s="1481"/>
      <c r="BF603" s="1481"/>
      <c r="BG603" s="1481"/>
      <c r="BH603" s="1481"/>
      <c r="BI603" s="1481"/>
      <c r="BJ603" s="1481"/>
      <c r="BK603" s="1481"/>
      <c r="BL603" s="1481"/>
      <c r="BM603" s="1481"/>
      <c r="BN603" s="1481"/>
      <c r="BO603" s="1481"/>
      <c r="BP603" s="1481"/>
      <c r="BQ603" s="1481"/>
      <c r="BR603" s="1481"/>
      <c r="BS603" s="1481"/>
      <c r="BT603" s="1481"/>
      <c r="BU603" s="1481"/>
      <c r="BV603" s="1481"/>
      <c r="BW603" s="1481"/>
      <c r="BX603" s="1481"/>
      <c r="BY603" s="1481"/>
      <c r="BZ603" s="1481"/>
      <c r="CA603" s="1481"/>
      <c r="CB603" s="1481"/>
      <c r="CC603" s="1481"/>
      <c r="CD603" s="1481"/>
      <c r="CE603" s="1481"/>
    </row>
    <row r="604" spans="1:83" ht="11.25" hidden="1" customHeight="1">
      <c r="A604" s="1649"/>
      <c r="B604" s="1023"/>
      <c r="C604" s="319"/>
      <c r="D604" s="3622"/>
      <c r="E604" s="541" t="s">
        <v>18</v>
      </c>
      <c r="F604" s="1031" t="s">
        <v>18</v>
      </c>
      <c r="G604" s="1031" t="s">
        <v>880</v>
      </c>
      <c r="H604" s="543" t="s">
        <v>18</v>
      </c>
      <c r="I604" s="543"/>
      <c r="J604" s="543"/>
      <c r="K604" s="543"/>
      <c r="L604" s="543"/>
      <c r="M604" s="543"/>
      <c r="N604" s="543"/>
      <c r="O604" s="543"/>
      <c r="P604" s="543"/>
      <c r="Q604" s="543"/>
      <c r="R604" s="544"/>
      <c r="S604" s="545"/>
      <c r="T604" s="608"/>
      <c r="U604" s="3532"/>
      <c r="V604" s="3532"/>
      <c r="W604" s="1023"/>
      <c r="X604" s="1023"/>
      <c r="Y604" s="1023"/>
      <c r="Z604" s="1023"/>
      <c r="AA604" s="1481"/>
      <c r="AB604" s="1023"/>
      <c r="AC604" s="3617"/>
      <c r="AD604" s="521"/>
      <c r="AE604" s="1023"/>
      <c r="AF604" s="1023"/>
      <c r="AG604" s="1481"/>
      <c r="AH604" s="1481"/>
      <c r="AI604" s="1481"/>
      <c r="AJ604" s="1481"/>
      <c r="AK604" s="1481"/>
      <c r="AL604" s="1481"/>
      <c r="AM604" s="1481"/>
      <c r="AN604" s="1481"/>
      <c r="AO604" s="1481"/>
      <c r="AP604" s="1481"/>
      <c r="AQ604" s="1481"/>
      <c r="AR604" s="1481"/>
      <c r="AS604" s="1481"/>
      <c r="AT604" s="1481"/>
      <c r="AU604" s="1481"/>
      <c r="AV604" s="1481"/>
      <c r="AW604" s="1481"/>
      <c r="AX604" s="1481"/>
      <c r="AY604" s="1481"/>
      <c r="AZ604" s="1481"/>
      <c r="BA604" s="1481"/>
      <c r="BB604" s="1481"/>
      <c r="BC604" s="1481"/>
      <c r="BD604" s="1481"/>
      <c r="BE604" s="1481"/>
      <c r="BF604" s="1481"/>
      <c r="BG604" s="1481"/>
      <c r="BH604" s="1481"/>
      <c r="BI604" s="1481"/>
      <c r="BJ604" s="1481"/>
      <c r="BK604" s="1481"/>
      <c r="BL604" s="1481"/>
      <c r="BM604" s="1481"/>
      <c r="BN604" s="1481"/>
      <c r="BO604" s="1481"/>
      <c r="BP604" s="1481"/>
      <c r="BQ604" s="1481"/>
      <c r="BR604" s="1481"/>
      <c r="BS604" s="1481"/>
      <c r="BT604" s="1481"/>
      <c r="BU604" s="1481"/>
      <c r="BV604" s="1023"/>
      <c r="BW604" s="1023"/>
      <c r="BX604" s="1023"/>
      <c r="BY604" s="1023"/>
      <c r="BZ604" s="1023"/>
      <c r="CA604" s="1023"/>
      <c r="CB604" s="1023"/>
      <c r="CC604" s="1023"/>
      <c r="CD604" s="1023"/>
      <c r="CE604" s="1023"/>
    </row>
    <row r="605" spans="1:83" ht="5.25" hidden="1" customHeight="1">
      <c r="A605" s="1636"/>
      <c r="B605" s="1481"/>
      <c r="C605" s="1481"/>
      <c r="D605" s="3622"/>
      <c r="E605" s="909"/>
      <c r="F605" s="909"/>
      <c r="G605" s="909"/>
      <c r="H605" s="909"/>
      <c r="I605" s="909"/>
      <c r="J605" s="909"/>
      <c r="K605" s="909"/>
      <c r="L605" s="909"/>
      <c r="M605" s="909"/>
      <c r="N605" s="909"/>
      <c r="O605" s="909"/>
      <c r="P605" s="909"/>
      <c r="Q605" s="910"/>
      <c r="R605" s="911"/>
      <c r="S605" s="912"/>
      <c r="T605" s="607" t="s">
        <v>877</v>
      </c>
      <c r="U605" s="3532">
        <v>1</v>
      </c>
      <c r="V605" s="3532" t="s">
        <v>840</v>
      </c>
      <c r="W605" s="1481"/>
      <c r="X605" s="1481"/>
      <c r="Y605" s="1481"/>
      <c r="Z605" s="1481"/>
      <c r="AA605" s="1481"/>
      <c r="AB605" s="1481"/>
      <c r="AC605" s="907"/>
      <c r="AD605" s="908"/>
      <c r="AE605" s="1481"/>
      <c r="AF605" s="1481"/>
      <c r="AG605" s="1481"/>
      <c r="AH605" s="1481"/>
      <c r="AI605" s="1481"/>
      <c r="AJ605" s="1481"/>
      <c r="AK605" s="1481"/>
      <c r="AL605" s="1481"/>
      <c r="AM605" s="1481"/>
      <c r="AN605" s="1481"/>
      <c r="AO605" s="1481"/>
      <c r="AP605" s="1481"/>
      <c r="AQ605" s="1481"/>
      <c r="AR605" s="1481"/>
      <c r="AS605" s="1481"/>
      <c r="AT605" s="1481"/>
      <c r="AU605" s="1481"/>
      <c r="AV605" s="1481"/>
      <c r="AW605" s="1481"/>
      <c r="AX605" s="1481"/>
      <c r="AY605" s="1481"/>
      <c r="AZ605" s="1481"/>
      <c r="BA605" s="1481"/>
      <c r="BB605" s="1481"/>
      <c r="BC605" s="1481"/>
      <c r="BD605" s="1481"/>
      <c r="BE605" s="1481"/>
      <c r="BF605" s="1481"/>
      <c r="BG605" s="1481"/>
      <c r="BH605" s="1481"/>
      <c r="BI605" s="1481"/>
      <c r="BJ605" s="1481"/>
      <c r="BK605" s="1481"/>
      <c r="BL605" s="1481"/>
      <c r="BM605" s="1481"/>
      <c r="BN605" s="1481"/>
      <c r="BO605" s="1481"/>
      <c r="BP605" s="1481"/>
      <c r="BQ605" s="1481"/>
      <c r="BR605" s="1481"/>
      <c r="BS605" s="1481"/>
      <c r="BT605" s="1481"/>
      <c r="BU605" s="1481"/>
      <c r="BV605" s="1481"/>
      <c r="BW605" s="1481"/>
      <c r="BX605" s="1481"/>
      <c r="BY605" s="1481"/>
      <c r="BZ605" s="1481"/>
      <c r="CA605" s="1481"/>
      <c r="CB605" s="1481"/>
      <c r="CC605" s="1481"/>
      <c r="CD605" s="1481"/>
      <c r="CE605" s="1481"/>
    </row>
    <row r="606" spans="1:83" ht="5.25" hidden="1" customHeight="1">
      <c r="A606" s="1636"/>
      <c r="B606" s="1481"/>
      <c r="C606" s="1481"/>
      <c r="D606" s="3622"/>
      <c r="E606" s="527"/>
      <c r="F606" s="527"/>
      <c r="G606" s="527"/>
      <c r="H606" s="527"/>
      <c r="I606" s="527"/>
      <c r="J606" s="527"/>
      <c r="K606" s="527"/>
      <c r="L606" s="527"/>
      <c r="M606" s="527"/>
      <c r="N606" s="527"/>
      <c r="O606" s="527"/>
      <c r="P606" s="527"/>
      <c r="Q606" s="527"/>
      <c r="R606" s="527"/>
      <c r="S606" s="528"/>
      <c r="T606" s="608"/>
      <c r="U606" s="3532"/>
      <c r="V606" s="3532"/>
      <c r="W606" s="1481"/>
      <c r="X606" s="1481"/>
      <c r="Y606" s="1481"/>
      <c r="Z606" s="1481"/>
      <c r="AA606" s="1481"/>
      <c r="AB606" s="1481"/>
      <c r="AC606" s="907"/>
      <c r="AD606" s="908"/>
      <c r="AE606" s="1481"/>
      <c r="AF606" s="1481"/>
      <c r="AG606" s="1481"/>
      <c r="AH606" s="1481"/>
      <c r="AI606" s="1481"/>
      <c r="AJ606" s="1481"/>
      <c r="AK606" s="1481"/>
      <c r="AL606" s="1481"/>
      <c r="AM606" s="1481"/>
      <c r="AN606" s="1481"/>
      <c r="AO606" s="1481"/>
      <c r="AP606" s="1481"/>
      <c r="AQ606" s="1481"/>
      <c r="AR606" s="1481"/>
      <c r="AS606" s="1481"/>
      <c r="AT606" s="1481"/>
      <c r="AU606" s="1481"/>
      <c r="AV606" s="1481"/>
      <c r="AW606" s="1481"/>
      <c r="AX606" s="1481"/>
      <c r="AY606" s="1481"/>
      <c r="AZ606" s="1481"/>
      <c r="BA606" s="1481"/>
      <c r="BB606" s="1481"/>
      <c r="BC606" s="1481"/>
      <c r="BD606" s="1481"/>
      <c r="BE606" s="1481"/>
      <c r="BF606" s="1481"/>
      <c r="BG606" s="1481"/>
      <c r="BH606" s="1481"/>
      <c r="BI606" s="1481"/>
      <c r="BJ606" s="1481"/>
      <c r="BK606" s="1481"/>
      <c r="BL606" s="1481"/>
      <c r="BM606" s="1481"/>
      <c r="BN606" s="1481"/>
      <c r="BO606" s="1481"/>
      <c r="BP606" s="1481"/>
      <c r="BQ606" s="1481"/>
      <c r="BR606" s="1481"/>
      <c r="BS606" s="1481"/>
      <c r="BT606" s="1481"/>
      <c r="BU606" s="1481"/>
      <c r="BV606" s="1481"/>
      <c r="BW606" s="1481"/>
      <c r="BX606" s="1481"/>
      <c r="BY606" s="1481"/>
      <c r="BZ606" s="1481"/>
      <c r="CA606" s="1481"/>
      <c r="CB606" s="1481"/>
      <c r="CC606" s="1481"/>
      <c r="CD606" s="1481"/>
      <c r="CE606" s="1481"/>
    </row>
    <row r="607" spans="1:83" ht="5.25" hidden="1" customHeight="1">
      <c r="A607" s="1636"/>
      <c r="B607" s="1481"/>
      <c r="C607" s="1481"/>
      <c r="D607" s="3623"/>
      <c r="E607" s="913"/>
      <c r="F607" s="914"/>
      <c r="G607" s="914"/>
      <c r="H607" s="915"/>
      <c r="I607" s="915"/>
      <c r="J607" s="915"/>
      <c r="K607" s="915"/>
      <c r="L607" s="915"/>
      <c r="M607" s="915"/>
      <c r="N607" s="915"/>
      <c r="O607" s="915"/>
      <c r="P607" s="915"/>
      <c r="Q607" s="915"/>
      <c r="R607" s="818"/>
      <c r="S607" s="916"/>
      <c r="T607" s="608"/>
      <c r="U607" s="3532"/>
      <c r="V607" s="3532"/>
      <c r="W607" s="1481"/>
      <c r="X607" s="1481"/>
      <c r="Y607" s="1481"/>
      <c r="Z607" s="1481"/>
      <c r="AA607" s="1481"/>
      <c r="AB607" s="1481"/>
      <c r="AC607" s="907"/>
      <c r="AD607" s="908"/>
      <c r="AE607" s="1481"/>
      <c r="AF607" s="1481"/>
      <c r="AG607" s="1481"/>
      <c r="AH607" s="1481"/>
      <c r="AI607" s="1481"/>
      <c r="AJ607" s="1481"/>
      <c r="AK607" s="1481"/>
      <c r="AL607" s="1481"/>
      <c r="AM607" s="1481"/>
      <c r="AN607" s="1481"/>
      <c r="AO607" s="1481"/>
      <c r="AP607" s="1481"/>
      <c r="AQ607" s="1481"/>
      <c r="AR607" s="1481"/>
      <c r="AS607" s="1481"/>
      <c r="AT607" s="1481"/>
      <c r="AU607" s="1481"/>
      <c r="AV607" s="1481"/>
      <c r="AW607" s="1481"/>
      <c r="AX607" s="1481"/>
      <c r="AY607" s="1481"/>
      <c r="AZ607" s="1481"/>
      <c r="BA607" s="1481"/>
      <c r="BB607" s="1481"/>
      <c r="BC607" s="1481"/>
      <c r="BD607" s="1481"/>
      <c r="BE607" s="1481"/>
      <c r="BF607" s="1481"/>
      <c r="BG607" s="1481"/>
      <c r="BH607" s="1481"/>
      <c r="BI607" s="1481"/>
      <c r="BJ607" s="1481"/>
      <c r="BK607" s="1481"/>
      <c r="BL607" s="1481"/>
      <c r="BM607" s="1481"/>
      <c r="BN607" s="1481"/>
      <c r="BO607" s="1481"/>
      <c r="BP607" s="1481"/>
      <c r="BQ607" s="1481"/>
      <c r="BR607" s="1481"/>
      <c r="BS607" s="1481"/>
      <c r="BT607" s="1481"/>
      <c r="BU607" s="1481"/>
      <c r="BV607" s="1481"/>
      <c r="BW607" s="1481"/>
      <c r="BX607" s="1481"/>
      <c r="BY607" s="1481"/>
      <c r="BZ607" s="1481"/>
      <c r="CA607" s="1481"/>
      <c r="CB607" s="1481"/>
      <c r="CC607" s="1481"/>
      <c r="CD607" s="1481"/>
      <c r="CE607" s="1481"/>
    </row>
    <row r="608" spans="1:83" ht="15" hidden="1" customHeight="1">
      <c r="A608" s="516" t="s">
        <v>308</v>
      </c>
      <c r="B608"/>
      <c r="C608" t="s">
        <v>18</v>
      </c>
      <c r="D608" s="3621" t="s">
        <v>945</v>
      </c>
      <c r="E608" s="3618" t="s">
        <v>102</v>
      </c>
      <c r="F608" s="3619"/>
      <c r="G608" s="3620"/>
      <c r="H608" s="3614" t="str">
        <f>IF(A608="","",INDEX(DIFFERENTIATION_UNMERGE_VD,MATCH(A608,DIFFERENTIATION_ID_DIFF,0)))</f>
        <v>Производство тепловой энергии. Некомбинированная выработка</v>
      </c>
      <c r="I608" s="3614"/>
      <c r="J608" s="3614"/>
      <c r="K608" s="3614"/>
      <c r="L608" s="3614"/>
      <c r="M608" s="3614"/>
      <c r="N608" s="3614"/>
      <c r="O608" s="3614"/>
      <c r="P608" s="3614"/>
      <c r="Q608" s="3614"/>
      <c r="R608" s="3614"/>
      <c r="S608" s="609"/>
      <c r="T608" s="606"/>
      <c r="U608" s="517"/>
      <c r="V608" s="517"/>
      <c r="W608" s="518"/>
      <c r="X608" s="518"/>
      <c r="Y608" s="518"/>
      <c r="Z608" s="518"/>
      <c r="AA608" s="519"/>
      <c r="AB608" s="520"/>
      <c r="AC608" s="3617"/>
      <c r="AD608" s="521"/>
      <c r="AE608" s="522" t="s">
        <v>18</v>
      </c>
      <c r="AF608" s="522"/>
      <c r="AG608" s="523" t="s">
        <v>874</v>
      </c>
      <c r="AH608" s="524">
        <v>3</v>
      </c>
      <c r="AI608" s="517"/>
      <c r="AJ608" s="517"/>
      <c r="AK608" s="517"/>
      <c r="AL608" s="517"/>
      <c r="AM608" s="517"/>
      <c r="AN608" s="517"/>
      <c r="AO608" s="517"/>
      <c r="AP608" s="517"/>
      <c r="AQ608" s="517"/>
      <c r="AR608" s="517"/>
      <c r="AS608" s="517"/>
      <c r="AT608" s="517"/>
      <c r="AU608" s="517"/>
      <c r="AV608" s="517"/>
      <c r="AW608" s="517"/>
      <c r="AX608" s="517"/>
      <c r="AY608" s="517"/>
      <c r="AZ608" s="517"/>
      <c r="BA608" s="517"/>
      <c r="BB608" s="517"/>
      <c r="BC608" s="517"/>
      <c r="BD608" s="517"/>
      <c r="BE608" s="517"/>
      <c r="BF608" s="517"/>
      <c r="BG608" s="517"/>
      <c r="BH608" s="517"/>
      <c r="BI608" s="517"/>
      <c r="BJ608" s="517"/>
      <c r="BK608" s="517"/>
      <c r="BL608" s="517"/>
      <c r="BM608" s="517"/>
      <c r="BN608" s="517"/>
      <c r="BO608" s="517"/>
      <c r="BP608" s="517"/>
      <c r="BQ608" s="517"/>
      <c r="BR608" s="517"/>
      <c r="BS608" s="517"/>
      <c r="BT608" s="517"/>
      <c r="BU608" s="517"/>
      <c r="BV608" s="518"/>
      <c r="BW608" s="518"/>
      <c r="BX608" s="518"/>
      <c r="BY608" s="518"/>
      <c r="BZ608" s="518"/>
      <c r="CA608" s="518"/>
      <c r="CB608" s="518"/>
      <c r="CC608" s="518"/>
      <c r="CD608" s="518"/>
      <c r="CE608" s="518"/>
    </row>
    <row r="609" spans="1:83" ht="15" hidden="1" customHeight="1">
      <c r="A609" s="516"/>
      <c r="B609"/>
      <c r="C609"/>
      <c r="D609" s="3622"/>
      <c r="E609" s="3618" t="s">
        <v>829</v>
      </c>
      <c r="F609" s="3619"/>
      <c r="G609" s="3620"/>
      <c r="H609" s="3614" t="str">
        <f>IF(A608="","",INDEX(DIFFERENTIATION_UNMERGE_AREA,MATCH(A608,DIFFERENTIATION_ID_DIFF,0)))</f>
        <v>Территория 1</v>
      </c>
      <c r="I609" s="3614"/>
      <c r="J609" s="3614"/>
      <c r="K609" s="3614"/>
      <c r="L609" s="3614"/>
      <c r="M609" s="3614"/>
      <c r="N609" s="3614"/>
      <c r="O609" s="3614"/>
      <c r="P609" s="3614"/>
      <c r="Q609" s="3614"/>
      <c r="R609" s="3614"/>
      <c r="S609" s="609"/>
      <c r="T609" s="606"/>
      <c r="U609" s="517"/>
      <c r="V609" s="517"/>
      <c r="W609" s="518"/>
      <c r="X609" s="518"/>
      <c r="Y609" s="518"/>
      <c r="Z609" s="518"/>
      <c r="AA609" s="519"/>
      <c r="AB609" s="520"/>
      <c r="AC609" s="3617"/>
      <c r="AD609" s="521"/>
      <c r="AE609" s="522"/>
      <c r="AF609" s="522"/>
      <c r="AG609" s="523"/>
      <c r="AH609" s="524"/>
      <c r="AI609" s="517"/>
      <c r="AJ609" s="517"/>
      <c r="AK609" s="517"/>
      <c r="AL609" s="517"/>
      <c r="AM609" s="517"/>
      <c r="AN609" s="517"/>
      <c r="AO609" s="517"/>
      <c r="AP609" s="517"/>
      <c r="AQ609" s="517"/>
      <c r="AR609" s="517"/>
      <c r="AS609" s="517"/>
      <c r="AT609" s="517"/>
      <c r="AU609" s="517"/>
      <c r="AV609" s="517"/>
      <c r="AW609" s="517"/>
      <c r="AX609" s="517"/>
      <c r="AY609" s="517"/>
      <c r="AZ609" s="517"/>
      <c r="BA609" s="517"/>
      <c r="BB609" s="517"/>
      <c r="BC609" s="517"/>
      <c r="BD609" s="517"/>
      <c r="BE609" s="517"/>
      <c r="BF609" s="517"/>
      <c r="BG609" s="517"/>
      <c r="BH609" s="517"/>
      <c r="BI609" s="517"/>
      <c r="BJ609" s="517"/>
      <c r="BK609" s="517"/>
      <c r="BL609" s="517"/>
      <c r="BM609" s="517"/>
      <c r="BN609" s="517"/>
      <c r="BO609" s="517"/>
      <c r="BP609" s="517"/>
      <c r="BQ609" s="517"/>
      <c r="BR609" s="517"/>
      <c r="BS609" s="517"/>
      <c r="BT609" s="517"/>
      <c r="BU609" s="517"/>
      <c r="BV609" s="518"/>
      <c r="BW609" s="518"/>
      <c r="BX609" s="518"/>
      <c r="BY609" s="518"/>
      <c r="BZ609" s="518"/>
      <c r="CA609" s="518"/>
      <c r="CB609" s="518"/>
      <c r="CC609" s="518"/>
      <c r="CD609" s="518"/>
      <c r="CE609" s="518"/>
    </row>
    <row r="610" spans="1:83" ht="15" hidden="1" customHeight="1">
      <c r="A610" s="516"/>
      <c r="B610"/>
      <c r="C610"/>
      <c r="D610" s="3622"/>
      <c r="E610" s="3618" t="s">
        <v>830</v>
      </c>
      <c r="F610" s="3619"/>
      <c r="G610" s="3620"/>
      <c r="H610" s="3614" t="str">
        <f>IF(A608="","",INDEX(DIFFERENTIATION_UNMERGE_SYSTEM,MATCH(A608,DIFFERENTIATION_ID_DIFF,0)))</f>
        <v>Трудовые резервы, 32а</v>
      </c>
      <c r="I610" s="3614"/>
      <c r="J610" s="3614"/>
      <c r="K610" s="3614"/>
      <c r="L610" s="3614"/>
      <c r="M610" s="3614"/>
      <c r="N610" s="3614"/>
      <c r="O610" s="3614"/>
      <c r="P610" s="3614"/>
      <c r="Q610" s="3614"/>
      <c r="R610" s="3614"/>
      <c r="S610" s="609"/>
      <c r="T610" s="606"/>
      <c r="U610" s="517"/>
      <c r="V610" s="517"/>
      <c r="W610" s="518"/>
      <c r="X610" s="518"/>
      <c r="Y610" s="518"/>
      <c r="Z610" s="518"/>
      <c r="AA610" s="519"/>
      <c r="AB610" s="520"/>
      <c r="AC610" s="3617"/>
      <c r="AD610" s="521"/>
      <c r="AE610" s="522"/>
      <c r="AF610" s="522"/>
      <c r="AG610" s="523"/>
      <c r="AH610" s="524"/>
      <c r="AI610" s="517"/>
      <c r="AJ610" s="517"/>
      <c r="AK610" s="517"/>
      <c r="AL610" s="517"/>
      <c r="AM610" s="517"/>
      <c r="AN610" s="517"/>
      <c r="AO610" s="517"/>
      <c r="AP610" s="517"/>
      <c r="AQ610" s="517"/>
      <c r="AR610" s="517"/>
      <c r="AS610" s="517"/>
      <c r="AT610" s="517"/>
      <c r="AU610" s="517"/>
      <c r="AV610" s="517"/>
      <c r="AW610" s="517"/>
      <c r="AX610" s="517"/>
      <c r="AY610" s="517"/>
      <c r="AZ610" s="517"/>
      <c r="BA610" s="517"/>
      <c r="BB610" s="517"/>
      <c r="BC610" s="517"/>
      <c r="BD610" s="517"/>
      <c r="BE610" s="517"/>
      <c r="BF610" s="517"/>
      <c r="BG610" s="517"/>
      <c r="BH610" s="517"/>
      <c r="BI610" s="517"/>
      <c r="BJ610" s="517"/>
      <c r="BK610" s="517"/>
      <c r="BL610" s="517"/>
      <c r="BM610" s="517"/>
      <c r="BN610" s="517"/>
      <c r="BO610" s="517"/>
      <c r="BP610" s="517"/>
      <c r="BQ610" s="517"/>
      <c r="BR610" s="517"/>
      <c r="BS610" s="517"/>
      <c r="BT610" s="517"/>
      <c r="BU610" s="517"/>
      <c r="BV610" s="518"/>
      <c r="BW610" s="518"/>
      <c r="BX610" s="518"/>
      <c r="BY610" s="518"/>
      <c r="BZ610" s="518"/>
      <c r="CA610" s="518"/>
      <c r="CB610" s="518"/>
      <c r="CC610" s="518"/>
      <c r="CD610" s="518"/>
      <c r="CE610" s="518"/>
    </row>
    <row r="611" spans="1:83" ht="24.75" hidden="1" customHeight="1">
      <c r="A611" s="1649"/>
      <c r="B611" s="1023"/>
      <c r="C611" s="319"/>
      <c r="D611" s="3622"/>
      <c r="E611" s="3616" t="s">
        <v>875</v>
      </c>
      <c r="F611" s="3616"/>
      <c r="G611" s="3616"/>
      <c r="H611" s="3616"/>
      <c r="I611" s="3616"/>
      <c r="J611" s="3616"/>
      <c r="K611" s="3616"/>
      <c r="L611" s="3616"/>
      <c r="M611" s="3616"/>
      <c r="N611" s="3616"/>
      <c r="O611" s="3616"/>
      <c r="P611" s="3616"/>
      <c r="Q611" s="455">
        <f>SUMIF(T612:T613,"i",Q612:Q613)</f>
        <v>0</v>
      </c>
      <c r="R611" s="887"/>
      <c r="S611" s="1641" t="s">
        <v>876</v>
      </c>
      <c r="T611" s="607" t="s">
        <v>877</v>
      </c>
      <c r="U611" s="3532">
        <v>1</v>
      </c>
      <c r="V611" s="3532" t="s">
        <v>840</v>
      </c>
      <c r="W611" s="1023"/>
      <c r="X611" s="1023"/>
      <c r="Y611" s="1023"/>
      <c r="Z611" s="1023"/>
      <c r="AA611" s="1481"/>
      <c r="AB611" s="1023"/>
      <c r="AC611" s="3617"/>
      <c r="AD611" s="521"/>
      <c r="AE611" s="1023"/>
      <c r="AF611" s="1023"/>
      <c r="AG611" s="1481"/>
      <c r="AH611" s="1481"/>
      <c r="AI611" s="1481"/>
      <c r="AJ611" s="1481"/>
      <c r="AK611" s="1481"/>
      <c r="AL611" s="1481"/>
      <c r="AM611" s="1481"/>
      <c r="AN611" s="1481"/>
      <c r="AO611" s="1481"/>
      <c r="AP611" s="1481"/>
      <c r="AQ611" s="1481"/>
      <c r="AR611" s="1481"/>
      <c r="AS611" s="1481"/>
      <c r="AT611" s="1481"/>
      <c r="AU611" s="1481"/>
      <c r="AV611" s="1481"/>
      <c r="AW611" s="1481"/>
      <c r="AX611" s="1481"/>
      <c r="AY611" s="1481"/>
      <c r="AZ611" s="1481"/>
      <c r="BA611" s="1481"/>
      <c r="BB611" s="1481"/>
      <c r="BC611" s="1481"/>
      <c r="BD611" s="1481"/>
      <c r="BE611" s="1481"/>
      <c r="BF611" s="1481"/>
      <c r="BG611" s="1481"/>
      <c r="BH611" s="1481"/>
      <c r="BI611" s="1481"/>
      <c r="BJ611" s="1481"/>
      <c r="BK611" s="1481"/>
      <c r="BL611" s="1481"/>
      <c r="BM611" s="1481"/>
      <c r="BN611" s="1481"/>
      <c r="BO611" s="1481"/>
      <c r="BP611" s="1481"/>
      <c r="BQ611" s="1481"/>
      <c r="BR611" s="1481"/>
      <c r="BS611" s="1481"/>
      <c r="BT611" s="1481"/>
      <c r="BU611" s="1481"/>
      <c r="BV611" s="1023"/>
      <c r="BW611" s="1023"/>
      <c r="BX611" s="1023"/>
      <c r="BY611" s="1023"/>
      <c r="BZ611" s="1023"/>
      <c r="CA611" s="1023"/>
      <c r="CB611" s="1023"/>
      <c r="CC611" s="1023"/>
      <c r="CD611" s="1023"/>
      <c r="CE611" s="1023"/>
    </row>
    <row r="612" spans="1:83" ht="11.25" hidden="1" customHeight="1">
      <c r="A612" s="1636"/>
      <c r="B612" s="1481"/>
      <c r="C612" s="1481"/>
      <c r="D612" s="3622"/>
      <c r="E612" s="527"/>
      <c r="F612" s="527">
        <v>0</v>
      </c>
      <c r="G612" s="527"/>
      <c r="H612" s="527"/>
      <c r="I612" s="527"/>
      <c r="J612" s="527"/>
      <c r="K612" s="527"/>
      <c r="L612" s="527"/>
      <c r="M612" s="527"/>
      <c r="N612" s="527"/>
      <c r="O612" s="527"/>
      <c r="P612" s="527"/>
      <c r="Q612" s="527"/>
      <c r="R612" s="527"/>
      <c r="S612" s="528"/>
      <c r="T612" s="608"/>
      <c r="U612" s="3532"/>
      <c r="V612" s="3532"/>
      <c r="W612" s="1481"/>
      <c r="X612" s="1481"/>
      <c r="Y612" s="1481"/>
      <c r="Z612" s="1481"/>
      <c r="AA612" s="1481"/>
      <c r="AB612" s="1023"/>
      <c r="AC612" s="3617"/>
      <c r="AD612" s="521"/>
      <c r="AE612" s="1023"/>
      <c r="AF612" s="1023"/>
      <c r="AG612" s="1481"/>
      <c r="AH612" s="1481"/>
      <c r="AI612" s="1481"/>
      <c r="AJ612" s="1481"/>
      <c r="AK612" s="1481"/>
      <c r="AL612" s="1481"/>
      <c r="AM612" s="1481"/>
      <c r="AN612" s="1481"/>
      <c r="AO612" s="1481"/>
      <c r="AP612" s="1481"/>
      <c r="AQ612" s="1481"/>
      <c r="AR612" s="1481"/>
      <c r="AS612" s="1481"/>
      <c r="AT612" s="1481"/>
      <c r="AU612" s="1481"/>
      <c r="AV612" s="1481"/>
      <c r="AW612" s="1481"/>
      <c r="AX612" s="1481"/>
      <c r="AY612" s="1481"/>
      <c r="AZ612" s="1481"/>
      <c r="BA612" s="1481"/>
      <c r="BB612" s="1481"/>
      <c r="BC612" s="1481"/>
      <c r="BD612" s="1481"/>
      <c r="BE612" s="1481"/>
      <c r="BF612" s="1481"/>
      <c r="BG612" s="1481"/>
      <c r="BH612" s="1481"/>
      <c r="BI612" s="1481"/>
      <c r="BJ612" s="1481"/>
      <c r="BK612" s="1481"/>
      <c r="BL612" s="1481"/>
      <c r="BM612" s="1481"/>
      <c r="BN612" s="1481"/>
      <c r="BO612" s="1481"/>
      <c r="BP612" s="1481"/>
      <c r="BQ612" s="1481"/>
      <c r="BR612" s="1481"/>
      <c r="BS612" s="1481"/>
      <c r="BT612" s="1481"/>
      <c r="BU612" s="1481"/>
      <c r="BV612" s="1481"/>
      <c r="BW612" s="1481"/>
      <c r="BX612" s="1481"/>
      <c r="BY612" s="1481"/>
      <c r="BZ612" s="1481"/>
      <c r="CA612" s="1481"/>
      <c r="CB612" s="1481"/>
      <c r="CC612" s="1481"/>
      <c r="CD612" s="1481"/>
      <c r="CE612" s="1481"/>
    </row>
    <row r="613" spans="1:83" ht="11.25" hidden="1" customHeight="1">
      <c r="A613" s="1649"/>
      <c r="B613" s="1023"/>
      <c r="C613" s="319"/>
      <c r="D613" s="3622"/>
      <c r="E613" s="541" t="s">
        <v>18</v>
      </c>
      <c r="F613" s="1031" t="s">
        <v>18</v>
      </c>
      <c r="G613" s="1031" t="s">
        <v>880</v>
      </c>
      <c r="H613" s="543" t="s">
        <v>18</v>
      </c>
      <c r="I613" s="543"/>
      <c r="J613" s="543"/>
      <c r="K613" s="543"/>
      <c r="L613" s="543"/>
      <c r="M613" s="543"/>
      <c r="N613" s="543"/>
      <c r="O613" s="543"/>
      <c r="P613" s="543"/>
      <c r="Q613" s="543"/>
      <c r="R613" s="544"/>
      <c r="S613" s="545"/>
      <c r="T613" s="608"/>
      <c r="U613" s="3532"/>
      <c r="V613" s="3532"/>
      <c r="W613" s="1023"/>
      <c r="X613" s="1023"/>
      <c r="Y613" s="1023"/>
      <c r="Z613" s="1023"/>
      <c r="AA613" s="1481"/>
      <c r="AB613" s="1023"/>
      <c r="AC613" s="3617"/>
      <c r="AD613" s="521"/>
      <c r="AE613" s="1023"/>
      <c r="AF613" s="1023"/>
      <c r="AG613" s="1481"/>
      <c r="AH613" s="1481"/>
      <c r="AI613" s="1481"/>
      <c r="AJ613" s="1481"/>
      <c r="AK613" s="1481"/>
      <c r="AL613" s="1481"/>
      <c r="AM613" s="1481"/>
      <c r="AN613" s="1481"/>
      <c r="AO613" s="1481"/>
      <c r="AP613" s="1481"/>
      <c r="AQ613" s="1481"/>
      <c r="AR613" s="1481"/>
      <c r="AS613" s="1481"/>
      <c r="AT613" s="1481"/>
      <c r="AU613" s="1481"/>
      <c r="AV613" s="1481"/>
      <c r="AW613" s="1481"/>
      <c r="AX613" s="1481"/>
      <c r="AY613" s="1481"/>
      <c r="AZ613" s="1481"/>
      <c r="BA613" s="1481"/>
      <c r="BB613" s="1481"/>
      <c r="BC613" s="1481"/>
      <c r="BD613" s="1481"/>
      <c r="BE613" s="1481"/>
      <c r="BF613" s="1481"/>
      <c r="BG613" s="1481"/>
      <c r="BH613" s="1481"/>
      <c r="BI613" s="1481"/>
      <c r="BJ613" s="1481"/>
      <c r="BK613" s="1481"/>
      <c r="BL613" s="1481"/>
      <c r="BM613" s="1481"/>
      <c r="BN613" s="1481"/>
      <c r="BO613" s="1481"/>
      <c r="BP613" s="1481"/>
      <c r="BQ613" s="1481"/>
      <c r="BR613" s="1481"/>
      <c r="BS613" s="1481"/>
      <c r="BT613" s="1481"/>
      <c r="BU613" s="1481"/>
      <c r="BV613" s="1023"/>
      <c r="BW613" s="1023"/>
      <c r="BX613" s="1023"/>
      <c r="BY613" s="1023"/>
      <c r="BZ613" s="1023"/>
      <c r="CA613" s="1023"/>
      <c r="CB613" s="1023"/>
      <c r="CC613" s="1023"/>
      <c r="CD613" s="1023"/>
      <c r="CE613" s="1023"/>
    </row>
    <row r="614" spans="1:83" ht="5.25" hidden="1" customHeight="1">
      <c r="A614" s="1636"/>
      <c r="B614" s="1481"/>
      <c r="C614" s="1481"/>
      <c r="D614" s="3622"/>
      <c r="E614" s="909"/>
      <c r="F614" s="909"/>
      <c r="G614" s="909"/>
      <c r="H614" s="909"/>
      <c r="I614" s="909"/>
      <c r="J614" s="909"/>
      <c r="K614" s="909"/>
      <c r="L614" s="909"/>
      <c r="M614" s="909"/>
      <c r="N614" s="909"/>
      <c r="O614" s="909"/>
      <c r="P614" s="909"/>
      <c r="Q614" s="910"/>
      <c r="R614" s="911"/>
      <c r="S614" s="912"/>
      <c r="T614" s="607" t="s">
        <v>877</v>
      </c>
      <c r="U614" s="3532">
        <v>1</v>
      </c>
      <c r="V614" s="3532" t="s">
        <v>840</v>
      </c>
      <c r="W614" s="1481"/>
      <c r="X614" s="1481"/>
      <c r="Y614" s="1481"/>
      <c r="Z614" s="1481"/>
      <c r="AA614" s="1481"/>
      <c r="AB614" s="1481"/>
      <c r="AC614" s="907"/>
      <c r="AD614" s="908"/>
      <c r="AE614" s="1481"/>
      <c r="AF614" s="1481"/>
      <c r="AG614" s="1481"/>
      <c r="AH614" s="1481"/>
      <c r="AI614" s="1481"/>
      <c r="AJ614" s="1481"/>
      <c r="AK614" s="1481"/>
      <c r="AL614" s="1481"/>
      <c r="AM614" s="1481"/>
      <c r="AN614" s="1481"/>
      <c r="AO614" s="1481"/>
      <c r="AP614" s="1481"/>
      <c r="AQ614" s="1481"/>
      <c r="AR614" s="1481"/>
      <c r="AS614" s="1481"/>
      <c r="AT614" s="1481"/>
      <c r="AU614" s="1481"/>
      <c r="AV614" s="1481"/>
      <c r="AW614" s="1481"/>
      <c r="AX614" s="1481"/>
      <c r="AY614" s="1481"/>
      <c r="AZ614" s="1481"/>
      <c r="BA614" s="1481"/>
      <c r="BB614" s="1481"/>
      <c r="BC614" s="1481"/>
      <c r="BD614" s="1481"/>
      <c r="BE614" s="1481"/>
      <c r="BF614" s="1481"/>
      <c r="BG614" s="1481"/>
      <c r="BH614" s="1481"/>
      <c r="BI614" s="1481"/>
      <c r="BJ614" s="1481"/>
      <c r="BK614" s="1481"/>
      <c r="BL614" s="1481"/>
      <c r="BM614" s="1481"/>
      <c r="BN614" s="1481"/>
      <c r="BO614" s="1481"/>
      <c r="BP614" s="1481"/>
      <c r="BQ614" s="1481"/>
      <c r="BR614" s="1481"/>
      <c r="BS614" s="1481"/>
      <c r="BT614" s="1481"/>
      <c r="BU614" s="1481"/>
      <c r="BV614" s="1481"/>
      <c r="BW614" s="1481"/>
      <c r="BX614" s="1481"/>
      <c r="BY614" s="1481"/>
      <c r="BZ614" s="1481"/>
      <c r="CA614" s="1481"/>
      <c r="CB614" s="1481"/>
      <c r="CC614" s="1481"/>
      <c r="CD614" s="1481"/>
      <c r="CE614" s="1481"/>
    </row>
    <row r="615" spans="1:83" ht="5.25" hidden="1" customHeight="1">
      <c r="A615" s="1636"/>
      <c r="B615" s="1481"/>
      <c r="C615" s="1481"/>
      <c r="D615" s="3622"/>
      <c r="E615" s="527"/>
      <c r="F615" s="527"/>
      <c r="G615" s="527"/>
      <c r="H615" s="527"/>
      <c r="I615" s="527"/>
      <c r="J615" s="527"/>
      <c r="K615" s="527"/>
      <c r="L615" s="527"/>
      <c r="M615" s="527"/>
      <c r="N615" s="527"/>
      <c r="O615" s="527"/>
      <c r="P615" s="527"/>
      <c r="Q615" s="527"/>
      <c r="R615" s="527"/>
      <c r="S615" s="528"/>
      <c r="T615" s="608"/>
      <c r="U615" s="3532"/>
      <c r="V615" s="3532"/>
      <c r="W615" s="1481"/>
      <c r="X615" s="1481"/>
      <c r="Y615" s="1481"/>
      <c r="Z615" s="1481"/>
      <c r="AA615" s="1481"/>
      <c r="AB615" s="1481"/>
      <c r="AC615" s="907"/>
      <c r="AD615" s="908"/>
      <c r="AE615" s="1481"/>
      <c r="AF615" s="1481"/>
      <c r="AG615" s="1481"/>
      <c r="AH615" s="1481"/>
      <c r="AI615" s="1481"/>
      <c r="AJ615" s="1481"/>
      <c r="AK615" s="1481"/>
      <c r="AL615" s="1481"/>
      <c r="AM615" s="1481"/>
      <c r="AN615" s="1481"/>
      <c r="AO615" s="1481"/>
      <c r="AP615" s="1481"/>
      <c r="AQ615" s="1481"/>
      <c r="AR615" s="1481"/>
      <c r="AS615" s="1481"/>
      <c r="AT615" s="1481"/>
      <c r="AU615" s="1481"/>
      <c r="AV615" s="1481"/>
      <c r="AW615" s="1481"/>
      <c r="AX615" s="1481"/>
      <c r="AY615" s="1481"/>
      <c r="AZ615" s="1481"/>
      <c r="BA615" s="1481"/>
      <c r="BB615" s="1481"/>
      <c r="BC615" s="1481"/>
      <c r="BD615" s="1481"/>
      <c r="BE615" s="1481"/>
      <c r="BF615" s="1481"/>
      <c r="BG615" s="1481"/>
      <c r="BH615" s="1481"/>
      <c r="BI615" s="1481"/>
      <c r="BJ615" s="1481"/>
      <c r="BK615" s="1481"/>
      <c r="BL615" s="1481"/>
      <c r="BM615" s="1481"/>
      <c r="BN615" s="1481"/>
      <c r="BO615" s="1481"/>
      <c r="BP615" s="1481"/>
      <c r="BQ615" s="1481"/>
      <c r="BR615" s="1481"/>
      <c r="BS615" s="1481"/>
      <c r="BT615" s="1481"/>
      <c r="BU615" s="1481"/>
      <c r="BV615" s="1481"/>
      <c r="BW615" s="1481"/>
      <c r="BX615" s="1481"/>
      <c r="BY615" s="1481"/>
      <c r="BZ615" s="1481"/>
      <c r="CA615" s="1481"/>
      <c r="CB615" s="1481"/>
      <c r="CC615" s="1481"/>
      <c r="CD615" s="1481"/>
      <c r="CE615" s="1481"/>
    </row>
    <row r="616" spans="1:83" ht="5.25" hidden="1" customHeight="1">
      <c r="A616" s="1636"/>
      <c r="B616" s="1481"/>
      <c r="C616" s="1481"/>
      <c r="D616" s="3623"/>
      <c r="E616" s="913"/>
      <c r="F616" s="914"/>
      <c r="G616" s="914"/>
      <c r="H616" s="915"/>
      <c r="I616" s="915"/>
      <c r="J616" s="915"/>
      <c r="K616" s="915"/>
      <c r="L616" s="915"/>
      <c r="M616" s="915"/>
      <c r="N616" s="915"/>
      <c r="O616" s="915"/>
      <c r="P616" s="915"/>
      <c r="Q616" s="915"/>
      <c r="R616" s="818"/>
      <c r="S616" s="916"/>
      <c r="T616" s="608"/>
      <c r="U616" s="3532"/>
      <c r="V616" s="3532"/>
      <c r="W616" s="1481"/>
      <c r="X616" s="1481"/>
      <c r="Y616" s="1481"/>
      <c r="Z616" s="1481"/>
      <c r="AA616" s="1481"/>
      <c r="AB616" s="1481"/>
      <c r="AC616" s="907"/>
      <c r="AD616" s="908"/>
      <c r="AE616" s="1481"/>
      <c r="AF616" s="1481"/>
      <c r="AG616" s="1481"/>
      <c r="AH616" s="1481"/>
      <c r="AI616" s="1481"/>
      <c r="AJ616" s="1481"/>
      <c r="AK616" s="1481"/>
      <c r="AL616" s="1481"/>
      <c r="AM616" s="1481"/>
      <c r="AN616" s="1481"/>
      <c r="AO616" s="1481"/>
      <c r="AP616" s="1481"/>
      <c r="AQ616" s="1481"/>
      <c r="AR616" s="1481"/>
      <c r="AS616" s="1481"/>
      <c r="AT616" s="1481"/>
      <c r="AU616" s="1481"/>
      <c r="AV616" s="1481"/>
      <c r="AW616" s="1481"/>
      <c r="AX616" s="1481"/>
      <c r="AY616" s="1481"/>
      <c r="AZ616" s="1481"/>
      <c r="BA616" s="1481"/>
      <c r="BB616" s="1481"/>
      <c r="BC616" s="1481"/>
      <c r="BD616" s="1481"/>
      <c r="BE616" s="1481"/>
      <c r="BF616" s="1481"/>
      <c r="BG616" s="1481"/>
      <c r="BH616" s="1481"/>
      <c r="BI616" s="1481"/>
      <c r="BJ616" s="1481"/>
      <c r="BK616" s="1481"/>
      <c r="BL616" s="1481"/>
      <c r="BM616" s="1481"/>
      <c r="BN616" s="1481"/>
      <c r="BO616" s="1481"/>
      <c r="BP616" s="1481"/>
      <c r="BQ616" s="1481"/>
      <c r="BR616" s="1481"/>
      <c r="BS616" s="1481"/>
      <c r="BT616" s="1481"/>
      <c r="BU616" s="1481"/>
      <c r="BV616" s="1481"/>
      <c r="BW616" s="1481"/>
      <c r="BX616" s="1481"/>
      <c r="BY616" s="1481"/>
      <c r="BZ616" s="1481"/>
      <c r="CA616" s="1481"/>
      <c r="CB616" s="1481"/>
      <c r="CC616" s="1481"/>
      <c r="CD616" s="1481"/>
      <c r="CE616" s="1481"/>
    </row>
    <row r="617" spans="1:83" ht="15" hidden="1" customHeight="1">
      <c r="A617" s="516" t="s">
        <v>311</v>
      </c>
      <c r="B617"/>
      <c r="C617" t="s">
        <v>18</v>
      </c>
      <c r="D617" s="3621" t="s">
        <v>946</v>
      </c>
      <c r="E617" s="3618" t="s">
        <v>102</v>
      </c>
      <c r="F617" s="3619"/>
      <c r="G617" s="3620"/>
      <c r="H617" s="3614" t="str">
        <f>IF(A617="","",INDEX(DIFFERENTIATION_UNMERGE_VD,MATCH(A617,DIFFERENTIATION_ID_DIFF,0)))</f>
        <v>Производство тепловой энергии. Некомбинированная выработка</v>
      </c>
      <c r="I617" s="3614"/>
      <c r="J617" s="3614"/>
      <c r="K617" s="3614"/>
      <c r="L617" s="3614"/>
      <c r="M617" s="3614"/>
      <c r="N617" s="3614"/>
      <c r="O617" s="3614"/>
      <c r="P617" s="3614"/>
      <c r="Q617" s="3614"/>
      <c r="R617" s="3614"/>
      <c r="S617" s="609"/>
      <c r="T617" s="606"/>
      <c r="U617" s="517"/>
      <c r="V617" s="517"/>
      <c r="W617" s="518"/>
      <c r="X617" s="518"/>
      <c r="Y617" s="518"/>
      <c r="Z617" s="518"/>
      <c r="AA617" s="519"/>
      <c r="AB617" s="520"/>
      <c r="AC617" s="3617"/>
      <c r="AD617" s="521"/>
      <c r="AE617" s="522" t="s">
        <v>18</v>
      </c>
      <c r="AF617" s="522"/>
      <c r="AG617" s="523" t="s">
        <v>874</v>
      </c>
      <c r="AH617" s="524">
        <v>3</v>
      </c>
      <c r="AI617" s="517"/>
      <c r="AJ617" s="517"/>
      <c r="AK617" s="517"/>
      <c r="AL617" s="517"/>
      <c r="AM617" s="517"/>
      <c r="AN617" s="517"/>
      <c r="AO617" s="517"/>
      <c r="AP617" s="517"/>
      <c r="AQ617" s="517"/>
      <c r="AR617" s="517"/>
      <c r="AS617" s="517"/>
      <c r="AT617" s="517"/>
      <c r="AU617" s="517"/>
      <c r="AV617" s="517"/>
      <c r="AW617" s="517"/>
      <c r="AX617" s="517"/>
      <c r="AY617" s="517"/>
      <c r="AZ617" s="517"/>
      <c r="BA617" s="517"/>
      <c r="BB617" s="517"/>
      <c r="BC617" s="517"/>
      <c r="BD617" s="517"/>
      <c r="BE617" s="517"/>
      <c r="BF617" s="517"/>
      <c r="BG617" s="517"/>
      <c r="BH617" s="517"/>
      <c r="BI617" s="517"/>
      <c r="BJ617" s="517"/>
      <c r="BK617" s="517"/>
      <c r="BL617" s="517"/>
      <c r="BM617" s="517"/>
      <c r="BN617" s="517"/>
      <c r="BO617" s="517"/>
      <c r="BP617" s="517"/>
      <c r="BQ617" s="517"/>
      <c r="BR617" s="517"/>
      <c r="BS617" s="517"/>
      <c r="BT617" s="517"/>
      <c r="BU617" s="517"/>
      <c r="BV617" s="518"/>
      <c r="BW617" s="518"/>
      <c r="BX617" s="518"/>
      <c r="BY617" s="518"/>
      <c r="BZ617" s="518"/>
      <c r="CA617" s="518"/>
      <c r="CB617" s="518"/>
      <c r="CC617" s="518"/>
      <c r="CD617" s="518"/>
      <c r="CE617" s="518"/>
    </row>
    <row r="618" spans="1:83" ht="15" hidden="1" customHeight="1">
      <c r="A618" s="516"/>
      <c r="B618"/>
      <c r="C618"/>
      <c r="D618" s="3622"/>
      <c r="E618" s="3618" t="s">
        <v>829</v>
      </c>
      <c r="F618" s="3619"/>
      <c r="G618" s="3620"/>
      <c r="H618" s="3614" t="str">
        <f>IF(A617="","",INDEX(DIFFERENTIATION_UNMERGE_AREA,MATCH(A617,DIFFERENTIATION_ID_DIFF,0)))</f>
        <v>Территория 1</v>
      </c>
      <c r="I618" s="3614"/>
      <c r="J618" s="3614"/>
      <c r="K618" s="3614"/>
      <c r="L618" s="3614"/>
      <c r="M618" s="3614"/>
      <c r="N618" s="3614"/>
      <c r="O618" s="3614"/>
      <c r="P618" s="3614"/>
      <c r="Q618" s="3614"/>
      <c r="R618" s="3614"/>
      <c r="S618" s="609"/>
      <c r="T618" s="606"/>
      <c r="U618" s="517"/>
      <c r="V618" s="517"/>
      <c r="W618" s="518"/>
      <c r="X618" s="518"/>
      <c r="Y618" s="518"/>
      <c r="Z618" s="518"/>
      <c r="AA618" s="519"/>
      <c r="AB618" s="520"/>
      <c r="AC618" s="3617"/>
      <c r="AD618" s="521"/>
      <c r="AE618" s="522"/>
      <c r="AF618" s="522"/>
      <c r="AG618" s="523"/>
      <c r="AH618" s="524"/>
      <c r="AI618" s="517"/>
      <c r="AJ618" s="517"/>
      <c r="AK618" s="517"/>
      <c r="AL618" s="517"/>
      <c r="AM618" s="517"/>
      <c r="AN618" s="517"/>
      <c r="AO618" s="517"/>
      <c r="AP618" s="517"/>
      <c r="AQ618" s="517"/>
      <c r="AR618" s="517"/>
      <c r="AS618" s="517"/>
      <c r="AT618" s="517"/>
      <c r="AU618" s="517"/>
      <c r="AV618" s="517"/>
      <c r="AW618" s="517"/>
      <c r="AX618" s="517"/>
      <c r="AY618" s="517"/>
      <c r="AZ618" s="517"/>
      <c r="BA618" s="517"/>
      <c r="BB618" s="517"/>
      <c r="BC618" s="517"/>
      <c r="BD618" s="517"/>
      <c r="BE618" s="517"/>
      <c r="BF618" s="517"/>
      <c r="BG618" s="517"/>
      <c r="BH618" s="517"/>
      <c r="BI618" s="517"/>
      <c r="BJ618" s="517"/>
      <c r="BK618" s="517"/>
      <c r="BL618" s="517"/>
      <c r="BM618" s="517"/>
      <c r="BN618" s="517"/>
      <c r="BO618" s="517"/>
      <c r="BP618" s="517"/>
      <c r="BQ618" s="517"/>
      <c r="BR618" s="517"/>
      <c r="BS618" s="517"/>
      <c r="BT618" s="517"/>
      <c r="BU618" s="517"/>
      <c r="BV618" s="518"/>
      <c r="BW618" s="518"/>
      <c r="BX618" s="518"/>
      <c r="BY618" s="518"/>
      <c r="BZ618" s="518"/>
      <c r="CA618" s="518"/>
      <c r="CB618" s="518"/>
      <c r="CC618" s="518"/>
      <c r="CD618" s="518"/>
      <c r="CE618" s="518"/>
    </row>
    <row r="619" spans="1:83" ht="15" hidden="1" customHeight="1">
      <c r="A619" s="516"/>
      <c r="B619"/>
      <c r="C619"/>
      <c r="D619" s="3622"/>
      <c r="E619" s="3618" t="s">
        <v>830</v>
      </c>
      <c r="F619" s="3619"/>
      <c r="G619" s="3620"/>
      <c r="H619" s="3614" t="str">
        <f>IF(A617="","",INDEX(DIFFERENTIATION_UNMERGE_SYSTEM,MATCH(A617,DIFFERENTIATION_ID_DIFF,0)))</f>
        <v>Цветаева, 15б</v>
      </c>
      <c r="I619" s="3614"/>
      <c r="J619" s="3614"/>
      <c r="K619" s="3614"/>
      <c r="L619" s="3614"/>
      <c r="M619" s="3614"/>
      <c r="N619" s="3614"/>
      <c r="O619" s="3614"/>
      <c r="P619" s="3614"/>
      <c r="Q619" s="3614"/>
      <c r="R619" s="3614"/>
      <c r="S619" s="609"/>
      <c r="T619" s="606"/>
      <c r="U619" s="517"/>
      <c r="V619" s="517"/>
      <c r="W619" s="518"/>
      <c r="X619" s="518"/>
      <c r="Y619" s="518"/>
      <c r="Z619" s="518"/>
      <c r="AA619" s="519"/>
      <c r="AB619" s="520"/>
      <c r="AC619" s="3617"/>
      <c r="AD619" s="521"/>
      <c r="AE619" s="522"/>
      <c r="AF619" s="522"/>
      <c r="AG619" s="523"/>
      <c r="AH619" s="524"/>
      <c r="AI619" s="517"/>
      <c r="AJ619" s="517"/>
      <c r="AK619" s="517"/>
      <c r="AL619" s="517"/>
      <c r="AM619" s="517"/>
      <c r="AN619" s="517"/>
      <c r="AO619" s="517"/>
      <c r="AP619" s="517"/>
      <c r="AQ619" s="517"/>
      <c r="AR619" s="517"/>
      <c r="AS619" s="517"/>
      <c r="AT619" s="517"/>
      <c r="AU619" s="517"/>
      <c r="AV619" s="517"/>
      <c r="AW619" s="517"/>
      <c r="AX619" s="517"/>
      <c r="AY619" s="517"/>
      <c r="AZ619" s="517"/>
      <c r="BA619" s="517"/>
      <c r="BB619" s="517"/>
      <c r="BC619" s="517"/>
      <c r="BD619" s="517"/>
      <c r="BE619" s="517"/>
      <c r="BF619" s="517"/>
      <c r="BG619" s="517"/>
      <c r="BH619" s="517"/>
      <c r="BI619" s="517"/>
      <c r="BJ619" s="517"/>
      <c r="BK619" s="517"/>
      <c r="BL619" s="517"/>
      <c r="BM619" s="517"/>
      <c r="BN619" s="517"/>
      <c r="BO619" s="517"/>
      <c r="BP619" s="517"/>
      <c r="BQ619" s="517"/>
      <c r="BR619" s="517"/>
      <c r="BS619" s="517"/>
      <c r="BT619" s="517"/>
      <c r="BU619" s="517"/>
      <c r="BV619" s="518"/>
      <c r="BW619" s="518"/>
      <c r="BX619" s="518"/>
      <c r="BY619" s="518"/>
      <c r="BZ619" s="518"/>
      <c r="CA619" s="518"/>
      <c r="CB619" s="518"/>
      <c r="CC619" s="518"/>
      <c r="CD619" s="518"/>
      <c r="CE619" s="518"/>
    </row>
    <row r="620" spans="1:83" ht="24.75" hidden="1" customHeight="1">
      <c r="A620" s="1649"/>
      <c r="B620" s="1023"/>
      <c r="C620" s="319"/>
      <c r="D620" s="3622"/>
      <c r="E620" s="3616" t="s">
        <v>875</v>
      </c>
      <c r="F620" s="3616"/>
      <c r="G620" s="3616"/>
      <c r="H620" s="3616"/>
      <c r="I620" s="3616"/>
      <c r="J620" s="3616"/>
      <c r="K620" s="3616"/>
      <c r="L620" s="3616"/>
      <c r="M620" s="3616"/>
      <c r="N620" s="3616"/>
      <c r="O620" s="3616"/>
      <c r="P620" s="3616"/>
      <c r="Q620" s="455">
        <f>SUMIF(T621:T622,"i",Q621:Q622)</f>
        <v>0</v>
      </c>
      <c r="R620" s="887"/>
      <c r="S620" s="1641" t="s">
        <v>876</v>
      </c>
      <c r="T620" s="607" t="s">
        <v>877</v>
      </c>
      <c r="U620" s="3532">
        <v>1</v>
      </c>
      <c r="V620" s="3532" t="s">
        <v>840</v>
      </c>
      <c r="W620" s="1023"/>
      <c r="X620" s="1023"/>
      <c r="Y620" s="1023"/>
      <c r="Z620" s="1023"/>
      <c r="AA620" s="1481"/>
      <c r="AB620" s="1023"/>
      <c r="AC620" s="3617"/>
      <c r="AD620" s="521"/>
      <c r="AE620" s="1023"/>
      <c r="AF620" s="1023"/>
      <c r="AG620" s="1481"/>
      <c r="AH620" s="1481"/>
      <c r="AI620" s="1481"/>
      <c r="AJ620" s="1481"/>
      <c r="AK620" s="1481"/>
      <c r="AL620" s="1481"/>
      <c r="AM620" s="1481"/>
      <c r="AN620" s="1481"/>
      <c r="AO620" s="1481"/>
      <c r="AP620" s="1481"/>
      <c r="AQ620" s="1481"/>
      <c r="AR620" s="1481"/>
      <c r="AS620" s="1481"/>
      <c r="AT620" s="1481"/>
      <c r="AU620" s="1481"/>
      <c r="AV620" s="1481"/>
      <c r="AW620" s="1481"/>
      <c r="AX620" s="1481"/>
      <c r="AY620" s="1481"/>
      <c r="AZ620" s="1481"/>
      <c r="BA620" s="1481"/>
      <c r="BB620" s="1481"/>
      <c r="BC620" s="1481"/>
      <c r="BD620" s="1481"/>
      <c r="BE620" s="1481"/>
      <c r="BF620" s="1481"/>
      <c r="BG620" s="1481"/>
      <c r="BH620" s="1481"/>
      <c r="BI620" s="1481"/>
      <c r="BJ620" s="1481"/>
      <c r="BK620" s="1481"/>
      <c r="BL620" s="1481"/>
      <c r="BM620" s="1481"/>
      <c r="BN620" s="1481"/>
      <c r="BO620" s="1481"/>
      <c r="BP620" s="1481"/>
      <c r="BQ620" s="1481"/>
      <c r="BR620" s="1481"/>
      <c r="BS620" s="1481"/>
      <c r="BT620" s="1481"/>
      <c r="BU620" s="1481"/>
      <c r="BV620" s="1023"/>
      <c r="BW620" s="1023"/>
      <c r="BX620" s="1023"/>
      <c r="BY620" s="1023"/>
      <c r="BZ620" s="1023"/>
      <c r="CA620" s="1023"/>
      <c r="CB620" s="1023"/>
      <c r="CC620" s="1023"/>
      <c r="CD620" s="1023"/>
      <c r="CE620" s="1023"/>
    </row>
    <row r="621" spans="1:83" ht="11.25" hidden="1" customHeight="1">
      <c r="A621" s="1636"/>
      <c r="B621" s="1481"/>
      <c r="C621" s="1481"/>
      <c r="D621" s="3622"/>
      <c r="E621" s="527"/>
      <c r="F621" s="527">
        <v>0</v>
      </c>
      <c r="G621" s="527"/>
      <c r="H621" s="527"/>
      <c r="I621" s="527"/>
      <c r="J621" s="527"/>
      <c r="K621" s="527"/>
      <c r="L621" s="527"/>
      <c r="M621" s="527"/>
      <c r="N621" s="527"/>
      <c r="O621" s="527"/>
      <c r="P621" s="527"/>
      <c r="Q621" s="527"/>
      <c r="R621" s="527"/>
      <c r="S621" s="528"/>
      <c r="T621" s="608"/>
      <c r="U621" s="3532"/>
      <c r="V621" s="3532"/>
      <c r="W621" s="1481"/>
      <c r="X621" s="1481"/>
      <c r="Y621" s="1481"/>
      <c r="Z621" s="1481"/>
      <c r="AA621" s="1481"/>
      <c r="AB621" s="1023"/>
      <c r="AC621" s="3617"/>
      <c r="AD621" s="521"/>
      <c r="AE621" s="1023"/>
      <c r="AF621" s="1023"/>
      <c r="AG621" s="1481"/>
      <c r="AH621" s="1481"/>
      <c r="AI621" s="1481"/>
      <c r="AJ621" s="1481"/>
      <c r="AK621" s="1481"/>
      <c r="AL621" s="1481"/>
      <c r="AM621" s="1481"/>
      <c r="AN621" s="1481"/>
      <c r="AO621" s="1481"/>
      <c r="AP621" s="1481"/>
      <c r="AQ621" s="1481"/>
      <c r="AR621" s="1481"/>
      <c r="AS621" s="1481"/>
      <c r="AT621" s="1481"/>
      <c r="AU621" s="1481"/>
      <c r="AV621" s="1481"/>
      <c r="AW621" s="1481"/>
      <c r="AX621" s="1481"/>
      <c r="AY621" s="1481"/>
      <c r="AZ621" s="1481"/>
      <c r="BA621" s="1481"/>
      <c r="BB621" s="1481"/>
      <c r="BC621" s="1481"/>
      <c r="BD621" s="1481"/>
      <c r="BE621" s="1481"/>
      <c r="BF621" s="1481"/>
      <c r="BG621" s="1481"/>
      <c r="BH621" s="1481"/>
      <c r="BI621" s="1481"/>
      <c r="BJ621" s="1481"/>
      <c r="BK621" s="1481"/>
      <c r="BL621" s="1481"/>
      <c r="BM621" s="1481"/>
      <c r="BN621" s="1481"/>
      <c r="BO621" s="1481"/>
      <c r="BP621" s="1481"/>
      <c r="BQ621" s="1481"/>
      <c r="BR621" s="1481"/>
      <c r="BS621" s="1481"/>
      <c r="BT621" s="1481"/>
      <c r="BU621" s="1481"/>
      <c r="BV621" s="1481"/>
      <c r="BW621" s="1481"/>
      <c r="BX621" s="1481"/>
      <c r="BY621" s="1481"/>
      <c r="BZ621" s="1481"/>
      <c r="CA621" s="1481"/>
      <c r="CB621" s="1481"/>
      <c r="CC621" s="1481"/>
      <c r="CD621" s="1481"/>
      <c r="CE621" s="1481"/>
    </row>
    <row r="622" spans="1:83" ht="11.25" hidden="1" customHeight="1">
      <c r="A622" s="1649"/>
      <c r="B622" s="1023"/>
      <c r="C622" s="319"/>
      <c r="D622" s="3622"/>
      <c r="E622" s="541" t="s">
        <v>18</v>
      </c>
      <c r="F622" s="1031" t="s">
        <v>18</v>
      </c>
      <c r="G622" s="1031" t="s">
        <v>880</v>
      </c>
      <c r="H622" s="543" t="s">
        <v>18</v>
      </c>
      <c r="I622" s="543"/>
      <c r="J622" s="543"/>
      <c r="K622" s="543"/>
      <c r="L622" s="543"/>
      <c r="M622" s="543"/>
      <c r="N622" s="543"/>
      <c r="O622" s="543"/>
      <c r="P622" s="543"/>
      <c r="Q622" s="543"/>
      <c r="R622" s="544"/>
      <c r="S622" s="545"/>
      <c r="T622" s="608"/>
      <c r="U622" s="3532"/>
      <c r="V622" s="3532"/>
      <c r="W622" s="1023"/>
      <c r="X622" s="1023"/>
      <c r="Y622" s="1023"/>
      <c r="Z622" s="1023"/>
      <c r="AA622" s="1481"/>
      <c r="AB622" s="1023"/>
      <c r="AC622" s="3617"/>
      <c r="AD622" s="521"/>
      <c r="AE622" s="1023"/>
      <c r="AF622" s="1023"/>
      <c r="AG622" s="1481"/>
      <c r="AH622" s="1481"/>
      <c r="AI622" s="1481"/>
      <c r="AJ622" s="1481"/>
      <c r="AK622" s="1481"/>
      <c r="AL622" s="1481"/>
      <c r="AM622" s="1481"/>
      <c r="AN622" s="1481"/>
      <c r="AO622" s="1481"/>
      <c r="AP622" s="1481"/>
      <c r="AQ622" s="1481"/>
      <c r="AR622" s="1481"/>
      <c r="AS622" s="1481"/>
      <c r="AT622" s="1481"/>
      <c r="AU622" s="1481"/>
      <c r="AV622" s="1481"/>
      <c r="AW622" s="1481"/>
      <c r="AX622" s="1481"/>
      <c r="AY622" s="1481"/>
      <c r="AZ622" s="1481"/>
      <c r="BA622" s="1481"/>
      <c r="BB622" s="1481"/>
      <c r="BC622" s="1481"/>
      <c r="BD622" s="1481"/>
      <c r="BE622" s="1481"/>
      <c r="BF622" s="1481"/>
      <c r="BG622" s="1481"/>
      <c r="BH622" s="1481"/>
      <c r="BI622" s="1481"/>
      <c r="BJ622" s="1481"/>
      <c r="BK622" s="1481"/>
      <c r="BL622" s="1481"/>
      <c r="BM622" s="1481"/>
      <c r="BN622" s="1481"/>
      <c r="BO622" s="1481"/>
      <c r="BP622" s="1481"/>
      <c r="BQ622" s="1481"/>
      <c r="BR622" s="1481"/>
      <c r="BS622" s="1481"/>
      <c r="BT622" s="1481"/>
      <c r="BU622" s="1481"/>
      <c r="BV622" s="1023"/>
      <c r="BW622" s="1023"/>
      <c r="BX622" s="1023"/>
      <c r="BY622" s="1023"/>
      <c r="BZ622" s="1023"/>
      <c r="CA622" s="1023"/>
      <c r="CB622" s="1023"/>
      <c r="CC622" s="1023"/>
      <c r="CD622" s="1023"/>
      <c r="CE622" s="1023"/>
    </row>
    <row r="623" spans="1:83" ht="5.25" hidden="1" customHeight="1">
      <c r="A623" s="1636"/>
      <c r="B623" s="1481"/>
      <c r="C623" s="1481"/>
      <c r="D623" s="3622"/>
      <c r="E623" s="909"/>
      <c r="F623" s="909"/>
      <c r="G623" s="909"/>
      <c r="H623" s="909"/>
      <c r="I623" s="909"/>
      <c r="J623" s="909"/>
      <c r="K623" s="909"/>
      <c r="L623" s="909"/>
      <c r="M623" s="909"/>
      <c r="N623" s="909"/>
      <c r="O623" s="909"/>
      <c r="P623" s="909"/>
      <c r="Q623" s="910"/>
      <c r="R623" s="911"/>
      <c r="S623" s="912"/>
      <c r="T623" s="607" t="s">
        <v>877</v>
      </c>
      <c r="U623" s="3532">
        <v>1</v>
      </c>
      <c r="V623" s="3532" t="s">
        <v>840</v>
      </c>
      <c r="W623" s="1481"/>
      <c r="X623" s="1481"/>
      <c r="Y623" s="1481"/>
      <c r="Z623" s="1481"/>
      <c r="AA623" s="1481"/>
      <c r="AB623" s="1481"/>
      <c r="AC623" s="907"/>
      <c r="AD623" s="908"/>
      <c r="AE623" s="1481"/>
      <c r="AF623" s="1481"/>
      <c r="AG623" s="1481"/>
      <c r="AH623" s="1481"/>
      <c r="AI623" s="1481"/>
      <c r="AJ623" s="1481"/>
      <c r="AK623" s="1481"/>
      <c r="AL623" s="1481"/>
      <c r="AM623" s="1481"/>
      <c r="AN623" s="1481"/>
      <c r="AO623" s="1481"/>
      <c r="AP623" s="1481"/>
      <c r="AQ623" s="1481"/>
      <c r="AR623" s="1481"/>
      <c r="AS623" s="1481"/>
      <c r="AT623" s="1481"/>
      <c r="AU623" s="1481"/>
      <c r="AV623" s="1481"/>
      <c r="AW623" s="1481"/>
      <c r="AX623" s="1481"/>
      <c r="AY623" s="1481"/>
      <c r="AZ623" s="1481"/>
      <c r="BA623" s="1481"/>
      <c r="BB623" s="1481"/>
      <c r="BC623" s="1481"/>
      <c r="BD623" s="1481"/>
      <c r="BE623" s="1481"/>
      <c r="BF623" s="1481"/>
      <c r="BG623" s="1481"/>
      <c r="BH623" s="1481"/>
      <c r="BI623" s="1481"/>
      <c r="BJ623" s="1481"/>
      <c r="BK623" s="1481"/>
      <c r="BL623" s="1481"/>
      <c r="BM623" s="1481"/>
      <c r="BN623" s="1481"/>
      <c r="BO623" s="1481"/>
      <c r="BP623" s="1481"/>
      <c r="BQ623" s="1481"/>
      <c r="BR623" s="1481"/>
      <c r="BS623" s="1481"/>
      <c r="BT623" s="1481"/>
      <c r="BU623" s="1481"/>
      <c r="BV623" s="1481"/>
      <c r="BW623" s="1481"/>
      <c r="BX623" s="1481"/>
      <c r="BY623" s="1481"/>
      <c r="BZ623" s="1481"/>
      <c r="CA623" s="1481"/>
      <c r="CB623" s="1481"/>
      <c r="CC623" s="1481"/>
      <c r="CD623" s="1481"/>
      <c r="CE623" s="1481"/>
    </row>
    <row r="624" spans="1:83" ht="5.25" hidden="1" customHeight="1">
      <c r="A624" s="1636"/>
      <c r="B624" s="1481"/>
      <c r="C624" s="1481"/>
      <c r="D624" s="3622"/>
      <c r="E624" s="527"/>
      <c r="F624" s="527"/>
      <c r="G624" s="527"/>
      <c r="H624" s="527"/>
      <c r="I624" s="527"/>
      <c r="J624" s="527"/>
      <c r="K624" s="527"/>
      <c r="L624" s="527"/>
      <c r="M624" s="527"/>
      <c r="N624" s="527"/>
      <c r="O624" s="527"/>
      <c r="P624" s="527"/>
      <c r="Q624" s="527"/>
      <c r="R624" s="527"/>
      <c r="S624" s="528"/>
      <c r="T624" s="608"/>
      <c r="U624" s="3532"/>
      <c r="V624" s="3532"/>
      <c r="W624" s="1481"/>
      <c r="X624" s="1481"/>
      <c r="Y624" s="1481"/>
      <c r="Z624" s="1481"/>
      <c r="AA624" s="1481"/>
      <c r="AB624" s="1481"/>
      <c r="AC624" s="907"/>
      <c r="AD624" s="908"/>
      <c r="AE624" s="1481"/>
      <c r="AF624" s="1481"/>
      <c r="AG624" s="1481"/>
      <c r="AH624" s="1481"/>
      <c r="AI624" s="1481"/>
      <c r="AJ624" s="1481"/>
      <c r="AK624" s="1481"/>
      <c r="AL624" s="1481"/>
      <c r="AM624" s="1481"/>
      <c r="AN624" s="1481"/>
      <c r="AO624" s="1481"/>
      <c r="AP624" s="1481"/>
      <c r="AQ624" s="1481"/>
      <c r="AR624" s="1481"/>
      <c r="AS624" s="1481"/>
      <c r="AT624" s="1481"/>
      <c r="AU624" s="1481"/>
      <c r="AV624" s="1481"/>
      <c r="AW624" s="1481"/>
      <c r="AX624" s="1481"/>
      <c r="AY624" s="1481"/>
      <c r="AZ624" s="1481"/>
      <c r="BA624" s="1481"/>
      <c r="BB624" s="1481"/>
      <c r="BC624" s="1481"/>
      <c r="BD624" s="1481"/>
      <c r="BE624" s="1481"/>
      <c r="BF624" s="1481"/>
      <c r="BG624" s="1481"/>
      <c r="BH624" s="1481"/>
      <c r="BI624" s="1481"/>
      <c r="BJ624" s="1481"/>
      <c r="BK624" s="1481"/>
      <c r="BL624" s="1481"/>
      <c r="BM624" s="1481"/>
      <c r="BN624" s="1481"/>
      <c r="BO624" s="1481"/>
      <c r="BP624" s="1481"/>
      <c r="BQ624" s="1481"/>
      <c r="BR624" s="1481"/>
      <c r="BS624" s="1481"/>
      <c r="BT624" s="1481"/>
      <c r="BU624" s="1481"/>
      <c r="BV624" s="1481"/>
      <c r="BW624" s="1481"/>
      <c r="BX624" s="1481"/>
      <c r="BY624" s="1481"/>
      <c r="BZ624" s="1481"/>
      <c r="CA624" s="1481"/>
      <c r="CB624" s="1481"/>
      <c r="CC624" s="1481"/>
      <c r="CD624" s="1481"/>
      <c r="CE624" s="1481"/>
    </row>
    <row r="625" spans="1:83" ht="5.25" hidden="1" customHeight="1">
      <c r="A625" s="1636"/>
      <c r="B625" s="1481"/>
      <c r="C625" s="1481"/>
      <c r="D625" s="3623"/>
      <c r="E625" s="913"/>
      <c r="F625" s="914"/>
      <c r="G625" s="914"/>
      <c r="H625" s="915"/>
      <c r="I625" s="915"/>
      <c r="J625" s="915"/>
      <c r="K625" s="915"/>
      <c r="L625" s="915"/>
      <c r="M625" s="915"/>
      <c r="N625" s="915"/>
      <c r="O625" s="915"/>
      <c r="P625" s="915"/>
      <c r="Q625" s="915"/>
      <c r="R625" s="818"/>
      <c r="S625" s="916"/>
      <c r="T625" s="608"/>
      <c r="U625" s="3532"/>
      <c r="V625" s="3532"/>
      <c r="W625" s="1481"/>
      <c r="X625" s="1481"/>
      <c r="Y625" s="1481"/>
      <c r="Z625" s="1481"/>
      <c r="AA625" s="1481"/>
      <c r="AB625" s="1481"/>
      <c r="AC625" s="907"/>
      <c r="AD625" s="908"/>
      <c r="AE625" s="1481"/>
      <c r="AF625" s="1481"/>
      <c r="AG625" s="1481"/>
      <c r="AH625" s="1481"/>
      <c r="AI625" s="1481"/>
      <c r="AJ625" s="1481"/>
      <c r="AK625" s="1481"/>
      <c r="AL625" s="1481"/>
      <c r="AM625" s="1481"/>
      <c r="AN625" s="1481"/>
      <c r="AO625" s="1481"/>
      <c r="AP625" s="1481"/>
      <c r="AQ625" s="1481"/>
      <c r="AR625" s="1481"/>
      <c r="AS625" s="1481"/>
      <c r="AT625" s="1481"/>
      <c r="AU625" s="1481"/>
      <c r="AV625" s="1481"/>
      <c r="AW625" s="1481"/>
      <c r="AX625" s="1481"/>
      <c r="AY625" s="1481"/>
      <c r="AZ625" s="1481"/>
      <c r="BA625" s="1481"/>
      <c r="BB625" s="1481"/>
      <c r="BC625" s="1481"/>
      <c r="BD625" s="1481"/>
      <c r="BE625" s="1481"/>
      <c r="BF625" s="1481"/>
      <c r="BG625" s="1481"/>
      <c r="BH625" s="1481"/>
      <c r="BI625" s="1481"/>
      <c r="BJ625" s="1481"/>
      <c r="BK625" s="1481"/>
      <c r="BL625" s="1481"/>
      <c r="BM625" s="1481"/>
      <c r="BN625" s="1481"/>
      <c r="BO625" s="1481"/>
      <c r="BP625" s="1481"/>
      <c r="BQ625" s="1481"/>
      <c r="BR625" s="1481"/>
      <c r="BS625" s="1481"/>
      <c r="BT625" s="1481"/>
      <c r="BU625" s="1481"/>
      <c r="BV625" s="1481"/>
      <c r="BW625" s="1481"/>
      <c r="BX625" s="1481"/>
      <c r="BY625" s="1481"/>
      <c r="BZ625" s="1481"/>
      <c r="CA625" s="1481"/>
      <c r="CB625" s="1481"/>
      <c r="CC625" s="1481"/>
      <c r="CD625" s="1481"/>
      <c r="CE625" s="1481"/>
    </row>
    <row r="626" spans="1:83" ht="15" hidden="1" customHeight="1">
      <c r="A626" s="516" t="s">
        <v>314</v>
      </c>
      <c r="B626"/>
      <c r="C626" t="s">
        <v>18</v>
      </c>
      <c r="D626" s="3621" t="s">
        <v>947</v>
      </c>
      <c r="E626" s="3618" t="s">
        <v>102</v>
      </c>
      <c r="F626" s="3619"/>
      <c r="G626" s="3620"/>
      <c r="H626" s="3614" t="str">
        <f>IF(A626="","",INDEX(DIFFERENTIATION_UNMERGE_VD,MATCH(A626,DIFFERENTIATION_ID_DIFF,0)))</f>
        <v>Производство тепловой энергии. Некомбинированная выработка</v>
      </c>
      <c r="I626" s="3614"/>
      <c r="J626" s="3614"/>
      <c r="K626" s="3614"/>
      <c r="L626" s="3614"/>
      <c r="M626" s="3614"/>
      <c r="N626" s="3614"/>
      <c r="O626" s="3614"/>
      <c r="P626" s="3614"/>
      <c r="Q626" s="3614"/>
      <c r="R626" s="3614"/>
      <c r="S626" s="609"/>
      <c r="T626" s="606"/>
      <c r="U626" s="517"/>
      <c r="V626" s="517"/>
      <c r="W626" s="518"/>
      <c r="X626" s="518"/>
      <c r="Y626" s="518"/>
      <c r="Z626" s="518"/>
      <c r="AA626" s="519"/>
      <c r="AB626" s="520"/>
      <c r="AC626" s="3617"/>
      <c r="AD626" s="521"/>
      <c r="AE626" s="522" t="s">
        <v>18</v>
      </c>
      <c r="AF626" s="522"/>
      <c r="AG626" s="523" t="s">
        <v>874</v>
      </c>
      <c r="AH626" s="524">
        <v>3</v>
      </c>
      <c r="AI626" s="517"/>
      <c r="AJ626" s="517"/>
      <c r="AK626" s="517"/>
      <c r="AL626" s="517"/>
      <c r="AM626" s="517"/>
      <c r="AN626" s="517"/>
      <c r="AO626" s="517"/>
      <c r="AP626" s="517"/>
      <c r="AQ626" s="517"/>
      <c r="AR626" s="517"/>
      <c r="AS626" s="517"/>
      <c r="AT626" s="517"/>
      <c r="AU626" s="517"/>
      <c r="AV626" s="517"/>
      <c r="AW626" s="517"/>
      <c r="AX626" s="517"/>
      <c r="AY626" s="517"/>
      <c r="AZ626" s="517"/>
      <c r="BA626" s="517"/>
      <c r="BB626" s="517"/>
      <c r="BC626" s="517"/>
      <c r="BD626" s="517"/>
      <c r="BE626" s="517"/>
      <c r="BF626" s="517"/>
      <c r="BG626" s="517"/>
      <c r="BH626" s="517"/>
      <c r="BI626" s="517"/>
      <c r="BJ626" s="517"/>
      <c r="BK626" s="517"/>
      <c r="BL626" s="517"/>
      <c r="BM626" s="517"/>
      <c r="BN626" s="517"/>
      <c r="BO626" s="517"/>
      <c r="BP626" s="517"/>
      <c r="BQ626" s="517"/>
      <c r="BR626" s="517"/>
      <c r="BS626" s="517"/>
      <c r="BT626" s="517"/>
      <c r="BU626" s="517"/>
      <c r="BV626" s="518"/>
      <c r="BW626" s="518"/>
      <c r="BX626" s="518"/>
      <c r="BY626" s="518"/>
      <c r="BZ626" s="518"/>
      <c r="CA626" s="518"/>
      <c r="CB626" s="518"/>
      <c r="CC626" s="518"/>
      <c r="CD626" s="518"/>
      <c r="CE626" s="518"/>
    </row>
    <row r="627" spans="1:83" ht="15" hidden="1" customHeight="1">
      <c r="A627" s="516"/>
      <c r="B627"/>
      <c r="C627"/>
      <c r="D627" s="3622"/>
      <c r="E627" s="3618" t="s">
        <v>829</v>
      </c>
      <c r="F627" s="3619"/>
      <c r="G627" s="3620"/>
      <c r="H627" s="3614" t="str">
        <f>IF(A626="","",INDEX(DIFFERENTIATION_UNMERGE_AREA,MATCH(A626,DIFFERENTIATION_ID_DIFF,0)))</f>
        <v>Территория 1</v>
      </c>
      <c r="I627" s="3614"/>
      <c r="J627" s="3614"/>
      <c r="K627" s="3614"/>
      <c r="L627" s="3614"/>
      <c r="M627" s="3614"/>
      <c r="N627" s="3614"/>
      <c r="O627" s="3614"/>
      <c r="P627" s="3614"/>
      <c r="Q627" s="3614"/>
      <c r="R627" s="3614"/>
      <c r="S627" s="609"/>
      <c r="T627" s="606"/>
      <c r="U627" s="517"/>
      <c r="V627" s="517"/>
      <c r="W627" s="518"/>
      <c r="X627" s="518"/>
      <c r="Y627" s="518"/>
      <c r="Z627" s="518"/>
      <c r="AA627" s="519"/>
      <c r="AB627" s="520"/>
      <c r="AC627" s="3617"/>
      <c r="AD627" s="521"/>
      <c r="AE627" s="522"/>
      <c r="AF627" s="522"/>
      <c r="AG627" s="523"/>
      <c r="AH627" s="524"/>
      <c r="AI627" s="517"/>
      <c r="AJ627" s="517"/>
      <c r="AK627" s="517"/>
      <c r="AL627" s="517"/>
      <c r="AM627" s="517"/>
      <c r="AN627" s="517"/>
      <c r="AO627" s="517"/>
      <c r="AP627" s="517"/>
      <c r="AQ627" s="517"/>
      <c r="AR627" s="517"/>
      <c r="AS627" s="517"/>
      <c r="AT627" s="517"/>
      <c r="AU627" s="517"/>
      <c r="AV627" s="517"/>
      <c r="AW627" s="517"/>
      <c r="AX627" s="517"/>
      <c r="AY627" s="517"/>
      <c r="AZ627" s="517"/>
      <c r="BA627" s="517"/>
      <c r="BB627" s="517"/>
      <c r="BC627" s="517"/>
      <c r="BD627" s="517"/>
      <c r="BE627" s="517"/>
      <c r="BF627" s="517"/>
      <c r="BG627" s="517"/>
      <c r="BH627" s="517"/>
      <c r="BI627" s="517"/>
      <c r="BJ627" s="517"/>
      <c r="BK627" s="517"/>
      <c r="BL627" s="517"/>
      <c r="BM627" s="517"/>
      <c r="BN627" s="517"/>
      <c r="BO627" s="517"/>
      <c r="BP627" s="517"/>
      <c r="BQ627" s="517"/>
      <c r="BR627" s="517"/>
      <c r="BS627" s="517"/>
      <c r="BT627" s="517"/>
      <c r="BU627" s="517"/>
      <c r="BV627" s="518"/>
      <c r="BW627" s="518"/>
      <c r="BX627" s="518"/>
      <c r="BY627" s="518"/>
      <c r="BZ627" s="518"/>
      <c r="CA627" s="518"/>
      <c r="CB627" s="518"/>
      <c r="CC627" s="518"/>
      <c r="CD627" s="518"/>
      <c r="CE627" s="518"/>
    </row>
    <row r="628" spans="1:83" ht="15" hidden="1" customHeight="1">
      <c r="A628" s="516"/>
      <c r="B628"/>
      <c r="C628"/>
      <c r="D628" s="3622"/>
      <c r="E628" s="3618" t="s">
        <v>830</v>
      </c>
      <c r="F628" s="3619"/>
      <c r="G628" s="3620"/>
      <c r="H628" s="3614" t="str">
        <f>IF(A626="","",INDEX(DIFFERENTIATION_UNMERGE_SYSTEM,MATCH(A626,DIFFERENTIATION_ID_DIFF,0)))</f>
        <v>Бресткая,6</v>
      </c>
      <c r="I628" s="3614"/>
      <c r="J628" s="3614"/>
      <c r="K628" s="3614"/>
      <c r="L628" s="3614"/>
      <c r="M628" s="3614"/>
      <c r="N628" s="3614"/>
      <c r="O628" s="3614"/>
      <c r="P628" s="3614"/>
      <c r="Q628" s="3614"/>
      <c r="R628" s="3614"/>
      <c r="S628" s="609"/>
      <c r="T628" s="606"/>
      <c r="U628" s="517"/>
      <c r="V628" s="517"/>
      <c r="W628" s="518"/>
      <c r="X628" s="518"/>
      <c r="Y628" s="518"/>
      <c r="Z628" s="518"/>
      <c r="AA628" s="519"/>
      <c r="AB628" s="520"/>
      <c r="AC628" s="3617"/>
      <c r="AD628" s="521"/>
      <c r="AE628" s="522"/>
      <c r="AF628" s="522"/>
      <c r="AG628" s="523"/>
      <c r="AH628" s="524"/>
      <c r="AI628" s="517"/>
      <c r="AJ628" s="517"/>
      <c r="AK628" s="517"/>
      <c r="AL628" s="517"/>
      <c r="AM628" s="517"/>
      <c r="AN628" s="517"/>
      <c r="AO628" s="517"/>
      <c r="AP628" s="517"/>
      <c r="AQ628" s="517"/>
      <c r="AR628" s="517"/>
      <c r="AS628" s="517"/>
      <c r="AT628" s="517"/>
      <c r="AU628" s="517"/>
      <c r="AV628" s="517"/>
      <c r="AW628" s="517"/>
      <c r="AX628" s="517"/>
      <c r="AY628" s="517"/>
      <c r="AZ628" s="517"/>
      <c r="BA628" s="517"/>
      <c r="BB628" s="517"/>
      <c r="BC628" s="517"/>
      <c r="BD628" s="517"/>
      <c r="BE628" s="517"/>
      <c r="BF628" s="517"/>
      <c r="BG628" s="517"/>
      <c r="BH628" s="517"/>
      <c r="BI628" s="517"/>
      <c r="BJ628" s="517"/>
      <c r="BK628" s="517"/>
      <c r="BL628" s="517"/>
      <c r="BM628" s="517"/>
      <c r="BN628" s="517"/>
      <c r="BO628" s="517"/>
      <c r="BP628" s="517"/>
      <c r="BQ628" s="517"/>
      <c r="BR628" s="517"/>
      <c r="BS628" s="517"/>
      <c r="BT628" s="517"/>
      <c r="BU628" s="517"/>
      <c r="BV628" s="518"/>
      <c r="BW628" s="518"/>
      <c r="BX628" s="518"/>
      <c r="BY628" s="518"/>
      <c r="BZ628" s="518"/>
      <c r="CA628" s="518"/>
      <c r="CB628" s="518"/>
      <c r="CC628" s="518"/>
      <c r="CD628" s="518"/>
      <c r="CE628" s="518"/>
    </row>
    <row r="629" spans="1:83" ht="24.75" hidden="1" customHeight="1">
      <c r="A629" s="1649"/>
      <c r="B629" s="1023"/>
      <c r="C629" s="319"/>
      <c r="D629" s="3622"/>
      <c r="E629" s="3616" t="s">
        <v>875</v>
      </c>
      <c r="F629" s="3616"/>
      <c r="G629" s="3616"/>
      <c r="H629" s="3616"/>
      <c r="I629" s="3616"/>
      <c r="J629" s="3616"/>
      <c r="K629" s="3616"/>
      <c r="L629" s="3616"/>
      <c r="M629" s="3616"/>
      <c r="N629" s="3616"/>
      <c r="O629" s="3616"/>
      <c r="P629" s="3616"/>
      <c r="Q629" s="455">
        <f>SUMIF(T630:T631,"i",Q630:Q631)</f>
        <v>0</v>
      </c>
      <c r="R629" s="887"/>
      <c r="S629" s="1641" t="s">
        <v>876</v>
      </c>
      <c r="T629" s="607" t="s">
        <v>877</v>
      </c>
      <c r="U629" s="3532">
        <v>1</v>
      </c>
      <c r="V629" s="3532" t="s">
        <v>840</v>
      </c>
      <c r="W629" s="1023"/>
      <c r="X629" s="1023"/>
      <c r="Y629" s="1023"/>
      <c r="Z629" s="1023"/>
      <c r="AA629" s="1481"/>
      <c r="AB629" s="1023"/>
      <c r="AC629" s="3617"/>
      <c r="AD629" s="521"/>
      <c r="AE629" s="1023"/>
      <c r="AF629" s="1023"/>
      <c r="AG629" s="1481"/>
      <c r="AH629" s="1481"/>
      <c r="AI629" s="1481"/>
      <c r="AJ629" s="1481"/>
      <c r="AK629" s="1481"/>
      <c r="AL629" s="1481"/>
      <c r="AM629" s="1481"/>
      <c r="AN629" s="1481"/>
      <c r="AO629" s="1481"/>
      <c r="AP629" s="1481"/>
      <c r="AQ629" s="1481"/>
      <c r="AR629" s="1481"/>
      <c r="AS629" s="1481"/>
      <c r="AT629" s="1481"/>
      <c r="AU629" s="1481"/>
      <c r="AV629" s="1481"/>
      <c r="AW629" s="1481"/>
      <c r="AX629" s="1481"/>
      <c r="AY629" s="1481"/>
      <c r="AZ629" s="1481"/>
      <c r="BA629" s="1481"/>
      <c r="BB629" s="1481"/>
      <c r="BC629" s="1481"/>
      <c r="BD629" s="1481"/>
      <c r="BE629" s="1481"/>
      <c r="BF629" s="1481"/>
      <c r="BG629" s="1481"/>
      <c r="BH629" s="1481"/>
      <c r="BI629" s="1481"/>
      <c r="BJ629" s="1481"/>
      <c r="BK629" s="1481"/>
      <c r="BL629" s="1481"/>
      <c r="BM629" s="1481"/>
      <c r="BN629" s="1481"/>
      <c r="BO629" s="1481"/>
      <c r="BP629" s="1481"/>
      <c r="BQ629" s="1481"/>
      <c r="BR629" s="1481"/>
      <c r="BS629" s="1481"/>
      <c r="BT629" s="1481"/>
      <c r="BU629" s="1481"/>
      <c r="BV629" s="1023"/>
      <c r="BW629" s="1023"/>
      <c r="BX629" s="1023"/>
      <c r="BY629" s="1023"/>
      <c r="BZ629" s="1023"/>
      <c r="CA629" s="1023"/>
      <c r="CB629" s="1023"/>
      <c r="CC629" s="1023"/>
      <c r="CD629" s="1023"/>
      <c r="CE629" s="1023"/>
    </row>
    <row r="630" spans="1:83" ht="11.25" hidden="1" customHeight="1">
      <c r="A630" s="1636"/>
      <c r="B630" s="1481"/>
      <c r="C630" s="1481"/>
      <c r="D630" s="3622"/>
      <c r="E630" s="527"/>
      <c r="F630" s="527">
        <v>0</v>
      </c>
      <c r="G630" s="527"/>
      <c r="H630" s="527"/>
      <c r="I630" s="527"/>
      <c r="J630" s="527"/>
      <c r="K630" s="527"/>
      <c r="L630" s="527"/>
      <c r="M630" s="527"/>
      <c r="N630" s="527"/>
      <c r="O630" s="527"/>
      <c r="P630" s="527"/>
      <c r="Q630" s="527"/>
      <c r="R630" s="527"/>
      <c r="S630" s="528"/>
      <c r="T630" s="608"/>
      <c r="U630" s="3532"/>
      <c r="V630" s="3532"/>
      <c r="W630" s="1481"/>
      <c r="X630" s="1481"/>
      <c r="Y630" s="1481"/>
      <c r="Z630" s="1481"/>
      <c r="AA630" s="1481"/>
      <c r="AB630" s="1023"/>
      <c r="AC630" s="3617"/>
      <c r="AD630" s="521"/>
      <c r="AE630" s="1023"/>
      <c r="AF630" s="1023"/>
      <c r="AG630" s="1481"/>
      <c r="AH630" s="1481"/>
      <c r="AI630" s="1481"/>
      <c r="AJ630" s="1481"/>
      <c r="AK630" s="1481"/>
      <c r="AL630" s="1481"/>
      <c r="AM630" s="1481"/>
      <c r="AN630" s="1481"/>
      <c r="AO630" s="1481"/>
      <c r="AP630" s="1481"/>
      <c r="AQ630" s="1481"/>
      <c r="AR630" s="1481"/>
      <c r="AS630" s="1481"/>
      <c r="AT630" s="1481"/>
      <c r="AU630" s="1481"/>
      <c r="AV630" s="1481"/>
      <c r="AW630" s="1481"/>
      <c r="AX630" s="1481"/>
      <c r="AY630" s="1481"/>
      <c r="AZ630" s="1481"/>
      <c r="BA630" s="1481"/>
      <c r="BB630" s="1481"/>
      <c r="BC630" s="1481"/>
      <c r="BD630" s="1481"/>
      <c r="BE630" s="1481"/>
      <c r="BF630" s="1481"/>
      <c r="BG630" s="1481"/>
      <c r="BH630" s="1481"/>
      <c r="BI630" s="1481"/>
      <c r="BJ630" s="1481"/>
      <c r="BK630" s="1481"/>
      <c r="BL630" s="1481"/>
      <c r="BM630" s="1481"/>
      <c r="BN630" s="1481"/>
      <c r="BO630" s="1481"/>
      <c r="BP630" s="1481"/>
      <c r="BQ630" s="1481"/>
      <c r="BR630" s="1481"/>
      <c r="BS630" s="1481"/>
      <c r="BT630" s="1481"/>
      <c r="BU630" s="1481"/>
      <c r="BV630" s="1481"/>
      <c r="BW630" s="1481"/>
      <c r="BX630" s="1481"/>
      <c r="BY630" s="1481"/>
      <c r="BZ630" s="1481"/>
      <c r="CA630" s="1481"/>
      <c r="CB630" s="1481"/>
      <c r="CC630" s="1481"/>
      <c r="CD630" s="1481"/>
      <c r="CE630" s="1481"/>
    </row>
    <row r="631" spans="1:83" ht="11.25" hidden="1" customHeight="1">
      <c r="A631" s="1649"/>
      <c r="B631" s="1023"/>
      <c r="C631" s="319"/>
      <c r="D631" s="3622"/>
      <c r="E631" s="541" t="s">
        <v>18</v>
      </c>
      <c r="F631" s="1031" t="s">
        <v>18</v>
      </c>
      <c r="G631" s="1031" t="s">
        <v>880</v>
      </c>
      <c r="H631" s="543" t="s">
        <v>18</v>
      </c>
      <c r="I631" s="543"/>
      <c r="J631" s="543"/>
      <c r="K631" s="543"/>
      <c r="L631" s="543"/>
      <c r="M631" s="543"/>
      <c r="N631" s="543"/>
      <c r="O631" s="543"/>
      <c r="P631" s="543"/>
      <c r="Q631" s="543"/>
      <c r="R631" s="544"/>
      <c r="S631" s="545"/>
      <c r="T631" s="608"/>
      <c r="U631" s="3532"/>
      <c r="V631" s="3532"/>
      <c r="W631" s="1023"/>
      <c r="X631" s="1023"/>
      <c r="Y631" s="1023"/>
      <c r="Z631" s="1023"/>
      <c r="AA631" s="1481"/>
      <c r="AB631" s="1023"/>
      <c r="AC631" s="3617"/>
      <c r="AD631" s="521"/>
      <c r="AE631" s="1023"/>
      <c r="AF631" s="1023"/>
      <c r="AG631" s="1481"/>
      <c r="AH631" s="1481"/>
      <c r="AI631" s="1481"/>
      <c r="AJ631" s="1481"/>
      <c r="AK631" s="1481"/>
      <c r="AL631" s="1481"/>
      <c r="AM631" s="1481"/>
      <c r="AN631" s="1481"/>
      <c r="AO631" s="1481"/>
      <c r="AP631" s="1481"/>
      <c r="AQ631" s="1481"/>
      <c r="AR631" s="1481"/>
      <c r="AS631" s="1481"/>
      <c r="AT631" s="1481"/>
      <c r="AU631" s="1481"/>
      <c r="AV631" s="1481"/>
      <c r="AW631" s="1481"/>
      <c r="AX631" s="1481"/>
      <c r="AY631" s="1481"/>
      <c r="AZ631" s="1481"/>
      <c r="BA631" s="1481"/>
      <c r="BB631" s="1481"/>
      <c r="BC631" s="1481"/>
      <c r="BD631" s="1481"/>
      <c r="BE631" s="1481"/>
      <c r="BF631" s="1481"/>
      <c r="BG631" s="1481"/>
      <c r="BH631" s="1481"/>
      <c r="BI631" s="1481"/>
      <c r="BJ631" s="1481"/>
      <c r="BK631" s="1481"/>
      <c r="BL631" s="1481"/>
      <c r="BM631" s="1481"/>
      <c r="BN631" s="1481"/>
      <c r="BO631" s="1481"/>
      <c r="BP631" s="1481"/>
      <c r="BQ631" s="1481"/>
      <c r="BR631" s="1481"/>
      <c r="BS631" s="1481"/>
      <c r="BT631" s="1481"/>
      <c r="BU631" s="1481"/>
      <c r="BV631" s="1023"/>
      <c r="BW631" s="1023"/>
      <c r="BX631" s="1023"/>
      <c r="BY631" s="1023"/>
      <c r="BZ631" s="1023"/>
      <c r="CA631" s="1023"/>
      <c r="CB631" s="1023"/>
      <c r="CC631" s="1023"/>
      <c r="CD631" s="1023"/>
      <c r="CE631" s="1023"/>
    </row>
    <row r="632" spans="1:83" ht="5.25" hidden="1" customHeight="1">
      <c r="A632" s="1636"/>
      <c r="B632" s="1481"/>
      <c r="C632" s="1481"/>
      <c r="D632" s="3622"/>
      <c r="E632" s="909"/>
      <c r="F632" s="909"/>
      <c r="G632" s="909"/>
      <c r="H632" s="909"/>
      <c r="I632" s="909"/>
      <c r="J632" s="909"/>
      <c r="K632" s="909"/>
      <c r="L632" s="909"/>
      <c r="M632" s="909"/>
      <c r="N632" s="909"/>
      <c r="O632" s="909"/>
      <c r="P632" s="909"/>
      <c r="Q632" s="910"/>
      <c r="R632" s="911"/>
      <c r="S632" s="912"/>
      <c r="T632" s="607" t="s">
        <v>877</v>
      </c>
      <c r="U632" s="3532">
        <v>1</v>
      </c>
      <c r="V632" s="3532" t="s">
        <v>840</v>
      </c>
      <c r="W632" s="1481"/>
      <c r="X632" s="1481"/>
      <c r="Y632" s="1481"/>
      <c r="Z632" s="1481"/>
      <c r="AA632" s="1481"/>
      <c r="AB632" s="1481"/>
      <c r="AC632" s="907"/>
      <c r="AD632" s="908"/>
      <c r="AE632" s="1481"/>
      <c r="AF632" s="1481"/>
      <c r="AG632" s="1481"/>
      <c r="AH632" s="1481"/>
      <c r="AI632" s="1481"/>
      <c r="AJ632" s="1481"/>
      <c r="AK632" s="1481"/>
      <c r="AL632" s="1481"/>
      <c r="AM632" s="1481"/>
      <c r="AN632" s="1481"/>
      <c r="AO632" s="1481"/>
      <c r="AP632" s="1481"/>
      <c r="AQ632" s="1481"/>
      <c r="AR632" s="1481"/>
      <c r="AS632" s="1481"/>
      <c r="AT632" s="1481"/>
      <c r="AU632" s="1481"/>
      <c r="AV632" s="1481"/>
      <c r="AW632" s="1481"/>
      <c r="AX632" s="1481"/>
      <c r="AY632" s="1481"/>
      <c r="AZ632" s="1481"/>
      <c r="BA632" s="1481"/>
      <c r="BB632" s="1481"/>
      <c r="BC632" s="1481"/>
      <c r="BD632" s="1481"/>
      <c r="BE632" s="1481"/>
      <c r="BF632" s="1481"/>
      <c r="BG632" s="1481"/>
      <c r="BH632" s="1481"/>
      <c r="BI632" s="1481"/>
      <c r="BJ632" s="1481"/>
      <c r="BK632" s="1481"/>
      <c r="BL632" s="1481"/>
      <c r="BM632" s="1481"/>
      <c r="BN632" s="1481"/>
      <c r="BO632" s="1481"/>
      <c r="BP632" s="1481"/>
      <c r="BQ632" s="1481"/>
      <c r="BR632" s="1481"/>
      <c r="BS632" s="1481"/>
      <c r="BT632" s="1481"/>
      <c r="BU632" s="1481"/>
      <c r="BV632" s="1481"/>
      <c r="BW632" s="1481"/>
      <c r="BX632" s="1481"/>
      <c r="BY632" s="1481"/>
      <c r="BZ632" s="1481"/>
      <c r="CA632" s="1481"/>
      <c r="CB632" s="1481"/>
      <c r="CC632" s="1481"/>
      <c r="CD632" s="1481"/>
      <c r="CE632" s="1481"/>
    </row>
    <row r="633" spans="1:83" ht="5.25" hidden="1" customHeight="1">
      <c r="A633" s="1636"/>
      <c r="B633" s="1481"/>
      <c r="C633" s="1481"/>
      <c r="D633" s="3622"/>
      <c r="E633" s="527"/>
      <c r="F633" s="527"/>
      <c r="G633" s="527"/>
      <c r="H633" s="527"/>
      <c r="I633" s="527"/>
      <c r="J633" s="527"/>
      <c r="K633" s="527"/>
      <c r="L633" s="527"/>
      <c r="M633" s="527"/>
      <c r="N633" s="527"/>
      <c r="O633" s="527"/>
      <c r="P633" s="527"/>
      <c r="Q633" s="527"/>
      <c r="R633" s="527"/>
      <c r="S633" s="528"/>
      <c r="T633" s="608"/>
      <c r="U633" s="3532"/>
      <c r="V633" s="3532"/>
      <c r="W633" s="1481"/>
      <c r="X633" s="1481"/>
      <c r="Y633" s="1481"/>
      <c r="Z633" s="1481"/>
      <c r="AA633" s="1481"/>
      <c r="AB633" s="1481"/>
      <c r="AC633" s="907"/>
      <c r="AD633" s="908"/>
      <c r="AE633" s="1481"/>
      <c r="AF633" s="1481"/>
      <c r="AG633" s="1481"/>
      <c r="AH633" s="1481"/>
      <c r="AI633" s="1481"/>
      <c r="AJ633" s="1481"/>
      <c r="AK633" s="1481"/>
      <c r="AL633" s="1481"/>
      <c r="AM633" s="1481"/>
      <c r="AN633" s="1481"/>
      <c r="AO633" s="1481"/>
      <c r="AP633" s="1481"/>
      <c r="AQ633" s="1481"/>
      <c r="AR633" s="1481"/>
      <c r="AS633" s="1481"/>
      <c r="AT633" s="1481"/>
      <c r="AU633" s="1481"/>
      <c r="AV633" s="1481"/>
      <c r="AW633" s="1481"/>
      <c r="AX633" s="1481"/>
      <c r="AY633" s="1481"/>
      <c r="AZ633" s="1481"/>
      <c r="BA633" s="1481"/>
      <c r="BB633" s="1481"/>
      <c r="BC633" s="1481"/>
      <c r="BD633" s="1481"/>
      <c r="BE633" s="1481"/>
      <c r="BF633" s="1481"/>
      <c r="BG633" s="1481"/>
      <c r="BH633" s="1481"/>
      <c r="BI633" s="1481"/>
      <c r="BJ633" s="1481"/>
      <c r="BK633" s="1481"/>
      <c r="BL633" s="1481"/>
      <c r="BM633" s="1481"/>
      <c r="BN633" s="1481"/>
      <c r="BO633" s="1481"/>
      <c r="BP633" s="1481"/>
      <c r="BQ633" s="1481"/>
      <c r="BR633" s="1481"/>
      <c r="BS633" s="1481"/>
      <c r="BT633" s="1481"/>
      <c r="BU633" s="1481"/>
      <c r="BV633" s="1481"/>
      <c r="BW633" s="1481"/>
      <c r="BX633" s="1481"/>
      <c r="BY633" s="1481"/>
      <c r="BZ633" s="1481"/>
      <c r="CA633" s="1481"/>
      <c r="CB633" s="1481"/>
      <c r="CC633" s="1481"/>
      <c r="CD633" s="1481"/>
      <c r="CE633" s="1481"/>
    </row>
    <row r="634" spans="1:83" ht="5.25" hidden="1" customHeight="1">
      <c r="A634" s="1636"/>
      <c r="B634" s="1481"/>
      <c r="C634" s="1481"/>
      <c r="D634" s="3623"/>
      <c r="E634" s="913"/>
      <c r="F634" s="914"/>
      <c r="G634" s="914"/>
      <c r="H634" s="915"/>
      <c r="I634" s="915"/>
      <c r="J634" s="915"/>
      <c r="K634" s="915"/>
      <c r="L634" s="915"/>
      <c r="M634" s="915"/>
      <c r="N634" s="915"/>
      <c r="O634" s="915"/>
      <c r="P634" s="915"/>
      <c r="Q634" s="915"/>
      <c r="R634" s="818"/>
      <c r="S634" s="916"/>
      <c r="T634" s="608"/>
      <c r="U634" s="3532"/>
      <c r="V634" s="3532"/>
      <c r="W634" s="1481"/>
      <c r="X634" s="1481"/>
      <c r="Y634" s="1481"/>
      <c r="Z634" s="1481"/>
      <c r="AA634" s="1481"/>
      <c r="AB634" s="1481"/>
      <c r="AC634" s="907"/>
      <c r="AD634" s="908"/>
      <c r="AE634" s="1481"/>
      <c r="AF634" s="1481"/>
      <c r="AG634" s="1481"/>
      <c r="AH634" s="1481"/>
      <c r="AI634" s="1481"/>
      <c r="AJ634" s="1481"/>
      <c r="AK634" s="1481"/>
      <c r="AL634" s="1481"/>
      <c r="AM634" s="1481"/>
      <c r="AN634" s="1481"/>
      <c r="AO634" s="1481"/>
      <c r="AP634" s="1481"/>
      <c r="AQ634" s="1481"/>
      <c r="AR634" s="1481"/>
      <c r="AS634" s="1481"/>
      <c r="AT634" s="1481"/>
      <c r="AU634" s="1481"/>
      <c r="AV634" s="1481"/>
      <c r="AW634" s="1481"/>
      <c r="AX634" s="1481"/>
      <c r="AY634" s="1481"/>
      <c r="AZ634" s="1481"/>
      <c r="BA634" s="1481"/>
      <c r="BB634" s="1481"/>
      <c r="BC634" s="1481"/>
      <c r="BD634" s="1481"/>
      <c r="BE634" s="1481"/>
      <c r="BF634" s="1481"/>
      <c r="BG634" s="1481"/>
      <c r="BH634" s="1481"/>
      <c r="BI634" s="1481"/>
      <c r="BJ634" s="1481"/>
      <c r="BK634" s="1481"/>
      <c r="BL634" s="1481"/>
      <c r="BM634" s="1481"/>
      <c r="BN634" s="1481"/>
      <c r="BO634" s="1481"/>
      <c r="BP634" s="1481"/>
      <c r="BQ634" s="1481"/>
      <c r="BR634" s="1481"/>
      <c r="BS634" s="1481"/>
      <c r="BT634" s="1481"/>
      <c r="BU634" s="1481"/>
      <c r="BV634" s="1481"/>
      <c r="BW634" s="1481"/>
      <c r="BX634" s="1481"/>
      <c r="BY634" s="1481"/>
      <c r="BZ634" s="1481"/>
      <c r="CA634" s="1481"/>
      <c r="CB634" s="1481"/>
      <c r="CC634" s="1481"/>
      <c r="CD634" s="1481"/>
      <c r="CE634" s="1481"/>
    </row>
    <row r="635" spans="1:83" ht="15" hidden="1" customHeight="1">
      <c r="A635" s="516" t="s">
        <v>317</v>
      </c>
      <c r="B635"/>
      <c r="C635" t="s">
        <v>18</v>
      </c>
      <c r="D635" s="3621" t="s">
        <v>948</v>
      </c>
      <c r="E635" s="3618" t="s">
        <v>102</v>
      </c>
      <c r="F635" s="3619"/>
      <c r="G635" s="3620"/>
      <c r="H635" s="3614" t="str">
        <f>IF(A635="","",INDEX(DIFFERENTIATION_UNMERGE_VD,MATCH(A635,DIFFERENTIATION_ID_DIFF,0)))</f>
        <v>Производство тепловой энергии. Некомбинированная выработка</v>
      </c>
      <c r="I635" s="3614"/>
      <c r="J635" s="3614"/>
      <c r="K635" s="3614"/>
      <c r="L635" s="3614"/>
      <c r="M635" s="3614"/>
      <c r="N635" s="3614"/>
      <c r="O635" s="3614"/>
      <c r="P635" s="3614"/>
      <c r="Q635" s="3614"/>
      <c r="R635" s="3614"/>
      <c r="S635" s="609"/>
      <c r="T635" s="606"/>
      <c r="U635" s="517"/>
      <c r="V635" s="517"/>
      <c r="W635" s="518"/>
      <c r="X635" s="518"/>
      <c r="Y635" s="518"/>
      <c r="Z635" s="518"/>
      <c r="AA635" s="519"/>
      <c r="AB635" s="520"/>
      <c r="AC635" s="3617"/>
      <c r="AD635" s="521"/>
      <c r="AE635" s="522" t="s">
        <v>18</v>
      </c>
      <c r="AF635" s="522"/>
      <c r="AG635" s="523" t="s">
        <v>874</v>
      </c>
      <c r="AH635" s="524">
        <v>3</v>
      </c>
      <c r="AI635" s="517"/>
      <c r="AJ635" s="517"/>
      <c r="AK635" s="517"/>
      <c r="AL635" s="517"/>
      <c r="AM635" s="517"/>
      <c r="AN635" s="517"/>
      <c r="AO635" s="517"/>
      <c r="AP635" s="517"/>
      <c r="AQ635" s="517"/>
      <c r="AR635" s="517"/>
      <c r="AS635" s="517"/>
      <c r="AT635" s="517"/>
      <c r="AU635" s="517"/>
      <c r="AV635" s="517"/>
      <c r="AW635" s="517"/>
      <c r="AX635" s="517"/>
      <c r="AY635" s="517"/>
      <c r="AZ635" s="517"/>
      <c r="BA635" s="517"/>
      <c r="BB635" s="517"/>
      <c r="BC635" s="517"/>
      <c r="BD635" s="517"/>
      <c r="BE635" s="517"/>
      <c r="BF635" s="517"/>
      <c r="BG635" s="517"/>
      <c r="BH635" s="517"/>
      <c r="BI635" s="517"/>
      <c r="BJ635" s="517"/>
      <c r="BK635" s="517"/>
      <c r="BL635" s="517"/>
      <c r="BM635" s="517"/>
      <c r="BN635" s="517"/>
      <c r="BO635" s="517"/>
      <c r="BP635" s="517"/>
      <c r="BQ635" s="517"/>
      <c r="BR635" s="517"/>
      <c r="BS635" s="517"/>
      <c r="BT635" s="517"/>
      <c r="BU635" s="517"/>
      <c r="BV635" s="518"/>
      <c r="BW635" s="518"/>
      <c r="BX635" s="518"/>
      <c r="BY635" s="518"/>
      <c r="BZ635" s="518"/>
      <c r="CA635" s="518"/>
      <c r="CB635" s="518"/>
      <c r="CC635" s="518"/>
      <c r="CD635" s="518"/>
      <c r="CE635" s="518"/>
    </row>
    <row r="636" spans="1:83" ht="15" hidden="1" customHeight="1">
      <c r="A636" s="516"/>
      <c r="B636"/>
      <c r="C636"/>
      <c r="D636" s="3622"/>
      <c r="E636" s="3618" t="s">
        <v>829</v>
      </c>
      <c r="F636" s="3619"/>
      <c r="G636" s="3620"/>
      <c r="H636" s="3614" t="str">
        <f>IF(A635="","",INDEX(DIFFERENTIATION_UNMERGE_AREA,MATCH(A635,DIFFERENTIATION_ID_DIFF,0)))</f>
        <v>Территория 1</v>
      </c>
      <c r="I636" s="3614"/>
      <c r="J636" s="3614"/>
      <c r="K636" s="3614"/>
      <c r="L636" s="3614"/>
      <c r="M636" s="3614"/>
      <c r="N636" s="3614"/>
      <c r="O636" s="3614"/>
      <c r="P636" s="3614"/>
      <c r="Q636" s="3614"/>
      <c r="R636" s="3614"/>
      <c r="S636" s="609"/>
      <c r="T636" s="606"/>
      <c r="U636" s="517"/>
      <c r="V636" s="517"/>
      <c r="W636" s="518"/>
      <c r="X636" s="518"/>
      <c r="Y636" s="518"/>
      <c r="Z636" s="518"/>
      <c r="AA636" s="519"/>
      <c r="AB636" s="520"/>
      <c r="AC636" s="3617"/>
      <c r="AD636" s="521"/>
      <c r="AE636" s="522"/>
      <c r="AF636" s="522"/>
      <c r="AG636" s="523"/>
      <c r="AH636" s="524"/>
      <c r="AI636" s="517"/>
      <c r="AJ636" s="517"/>
      <c r="AK636" s="517"/>
      <c r="AL636" s="517"/>
      <c r="AM636" s="517"/>
      <c r="AN636" s="517"/>
      <c r="AO636" s="517"/>
      <c r="AP636" s="517"/>
      <c r="AQ636" s="517"/>
      <c r="AR636" s="517"/>
      <c r="AS636" s="517"/>
      <c r="AT636" s="517"/>
      <c r="AU636" s="517"/>
      <c r="AV636" s="517"/>
      <c r="AW636" s="517"/>
      <c r="AX636" s="517"/>
      <c r="AY636" s="517"/>
      <c r="AZ636" s="517"/>
      <c r="BA636" s="517"/>
      <c r="BB636" s="517"/>
      <c r="BC636" s="517"/>
      <c r="BD636" s="517"/>
      <c r="BE636" s="517"/>
      <c r="BF636" s="517"/>
      <c r="BG636" s="517"/>
      <c r="BH636" s="517"/>
      <c r="BI636" s="517"/>
      <c r="BJ636" s="517"/>
      <c r="BK636" s="517"/>
      <c r="BL636" s="517"/>
      <c r="BM636" s="517"/>
      <c r="BN636" s="517"/>
      <c r="BO636" s="517"/>
      <c r="BP636" s="517"/>
      <c r="BQ636" s="517"/>
      <c r="BR636" s="517"/>
      <c r="BS636" s="517"/>
      <c r="BT636" s="517"/>
      <c r="BU636" s="517"/>
      <c r="BV636" s="518"/>
      <c r="BW636" s="518"/>
      <c r="BX636" s="518"/>
      <c r="BY636" s="518"/>
      <c r="BZ636" s="518"/>
      <c r="CA636" s="518"/>
      <c r="CB636" s="518"/>
      <c r="CC636" s="518"/>
      <c r="CD636" s="518"/>
      <c r="CE636" s="518"/>
    </row>
    <row r="637" spans="1:83" ht="15" hidden="1" customHeight="1">
      <c r="A637" s="516"/>
      <c r="B637"/>
      <c r="C637"/>
      <c r="D637" s="3622"/>
      <c r="E637" s="3618" t="s">
        <v>830</v>
      </c>
      <c r="F637" s="3619"/>
      <c r="G637" s="3620"/>
      <c r="H637" s="3614" t="str">
        <f>IF(A635="","",INDEX(DIFFERENTIATION_UNMERGE_SYSTEM,MATCH(A635,DIFFERENTIATION_ID_DIFF,0)))</f>
        <v>Веселая,2</v>
      </c>
      <c r="I637" s="3614"/>
      <c r="J637" s="3614"/>
      <c r="K637" s="3614"/>
      <c r="L637" s="3614"/>
      <c r="M637" s="3614"/>
      <c r="N637" s="3614"/>
      <c r="O637" s="3614"/>
      <c r="P637" s="3614"/>
      <c r="Q637" s="3614"/>
      <c r="R637" s="3614"/>
      <c r="S637" s="609"/>
      <c r="T637" s="606"/>
      <c r="U637" s="517"/>
      <c r="V637" s="517"/>
      <c r="W637" s="518"/>
      <c r="X637" s="518"/>
      <c r="Y637" s="518"/>
      <c r="Z637" s="518"/>
      <c r="AA637" s="519"/>
      <c r="AB637" s="520"/>
      <c r="AC637" s="3617"/>
      <c r="AD637" s="521"/>
      <c r="AE637" s="522"/>
      <c r="AF637" s="522"/>
      <c r="AG637" s="523"/>
      <c r="AH637" s="524"/>
      <c r="AI637" s="517"/>
      <c r="AJ637" s="517"/>
      <c r="AK637" s="517"/>
      <c r="AL637" s="517"/>
      <c r="AM637" s="517"/>
      <c r="AN637" s="517"/>
      <c r="AO637" s="517"/>
      <c r="AP637" s="517"/>
      <c r="AQ637" s="517"/>
      <c r="AR637" s="517"/>
      <c r="AS637" s="517"/>
      <c r="AT637" s="517"/>
      <c r="AU637" s="517"/>
      <c r="AV637" s="517"/>
      <c r="AW637" s="517"/>
      <c r="AX637" s="517"/>
      <c r="AY637" s="517"/>
      <c r="AZ637" s="517"/>
      <c r="BA637" s="517"/>
      <c r="BB637" s="517"/>
      <c r="BC637" s="517"/>
      <c r="BD637" s="517"/>
      <c r="BE637" s="517"/>
      <c r="BF637" s="517"/>
      <c r="BG637" s="517"/>
      <c r="BH637" s="517"/>
      <c r="BI637" s="517"/>
      <c r="BJ637" s="517"/>
      <c r="BK637" s="517"/>
      <c r="BL637" s="517"/>
      <c r="BM637" s="517"/>
      <c r="BN637" s="517"/>
      <c r="BO637" s="517"/>
      <c r="BP637" s="517"/>
      <c r="BQ637" s="517"/>
      <c r="BR637" s="517"/>
      <c r="BS637" s="517"/>
      <c r="BT637" s="517"/>
      <c r="BU637" s="517"/>
      <c r="BV637" s="518"/>
      <c r="BW637" s="518"/>
      <c r="BX637" s="518"/>
      <c r="BY637" s="518"/>
      <c r="BZ637" s="518"/>
      <c r="CA637" s="518"/>
      <c r="CB637" s="518"/>
      <c r="CC637" s="518"/>
      <c r="CD637" s="518"/>
      <c r="CE637" s="518"/>
    </row>
    <row r="638" spans="1:83" ht="24.75" hidden="1" customHeight="1">
      <c r="A638" s="1649"/>
      <c r="B638" s="1023"/>
      <c r="C638" s="319"/>
      <c r="D638" s="3622"/>
      <c r="E638" s="3616" t="s">
        <v>875</v>
      </c>
      <c r="F638" s="3616"/>
      <c r="G638" s="3616"/>
      <c r="H638" s="3616"/>
      <c r="I638" s="3616"/>
      <c r="J638" s="3616"/>
      <c r="K638" s="3616"/>
      <c r="L638" s="3616"/>
      <c r="M638" s="3616"/>
      <c r="N638" s="3616"/>
      <c r="O638" s="3616"/>
      <c r="P638" s="3616"/>
      <c r="Q638" s="455">
        <f>SUMIF(T639:T640,"i",Q639:Q640)</f>
        <v>0</v>
      </c>
      <c r="R638" s="887"/>
      <c r="S638" s="1641" t="s">
        <v>876</v>
      </c>
      <c r="T638" s="607" t="s">
        <v>877</v>
      </c>
      <c r="U638" s="3532">
        <v>1</v>
      </c>
      <c r="V638" s="3532" t="s">
        <v>840</v>
      </c>
      <c r="W638" s="1023"/>
      <c r="X638" s="1023"/>
      <c r="Y638" s="1023"/>
      <c r="Z638" s="1023"/>
      <c r="AA638" s="1481"/>
      <c r="AB638" s="1023"/>
      <c r="AC638" s="3617"/>
      <c r="AD638" s="521"/>
      <c r="AE638" s="1023"/>
      <c r="AF638" s="1023"/>
      <c r="AG638" s="1481"/>
      <c r="AH638" s="1481"/>
      <c r="AI638" s="1481"/>
      <c r="AJ638" s="1481"/>
      <c r="AK638" s="1481"/>
      <c r="AL638" s="1481"/>
      <c r="AM638" s="1481"/>
      <c r="AN638" s="1481"/>
      <c r="AO638" s="1481"/>
      <c r="AP638" s="1481"/>
      <c r="AQ638" s="1481"/>
      <c r="AR638" s="1481"/>
      <c r="AS638" s="1481"/>
      <c r="AT638" s="1481"/>
      <c r="AU638" s="1481"/>
      <c r="AV638" s="1481"/>
      <c r="AW638" s="1481"/>
      <c r="AX638" s="1481"/>
      <c r="AY638" s="1481"/>
      <c r="AZ638" s="1481"/>
      <c r="BA638" s="1481"/>
      <c r="BB638" s="1481"/>
      <c r="BC638" s="1481"/>
      <c r="BD638" s="1481"/>
      <c r="BE638" s="1481"/>
      <c r="BF638" s="1481"/>
      <c r="BG638" s="1481"/>
      <c r="BH638" s="1481"/>
      <c r="BI638" s="1481"/>
      <c r="BJ638" s="1481"/>
      <c r="BK638" s="1481"/>
      <c r="BL638" s="1481"/>
      <c r="BM638" s="1481"/>
      <c r="BN638" s="1481"/>
      <c r="BO638" s="1481"/>
      <c r="BP638" s="1481"/>
      <c r="BQ638" s="1481"/>
      <c r="BR638" s="1481"/>
      <c r="BS638" s="1481"/>
      <c r="BT638" s="1481"/>
      <c r="BU638" s="1481"/>
      <c r="BV638" s="1023"/>
      <c r="BW638" s="1023"/>
      <c r="BX638" s="1023"/>
      <c r="BY638" s="1023"/>
      <c r="BZ638" s="1023"/>
      <c r="CA638" s="1023"/>
      <c r="CB638" s="1023"/>
      <c r="CC638" s="1023"/>
      <c r="CD638" s="1023"/>
      <c r="CE638" s="1023"/>
    </row>
    <row r="639" spans="1:83" ht="11.25" hidden="1" customHeight="1">
      <c r="A639" s="1636"/>
      <c r="B639" s="1481"/>
      <c r="C639" s="1481"/>
      <c r="D639" s="3622"/>
      <c r="E639" s="527"/>
      <c r="F639" s="527">
        <v>0</v>
      </c>
      <c r="G639" s="527"/>
      <c r="H639" s="527"/>
      <c r="I639" s="527"/>
      <c r="J639" s="527"/>
      <c r="K639" s="527"/>
      <c r="L639" s="527"/>
      <c r="M639" s="527"/>
      <c r="N639" s="527"/>
      <c r="O639" s="527"/>
      <c r="P639" s="527"/>
      <c r="Q639" s="527"/>
      <c r="R639" s="527"/>
      <c r="S639" s="528"/>
      <c r="T639" s="608"/>
      <c r="U639" s="3532"/>
      <c r="V639" s="3532"/>
      <c r="W639" s="1481"/>
      <c r="X639" s="1481"/>
      <c r="Y639" s="1481"/>
      <c r="Z639" s="1481"/>
      <c r="AA639" s="1481"/>
      <c r="AB639" s="1023"/>
      <c r="AC639" s="3617"/>
      <c r="AD639" s="521"/>
      <c r="AE639" s="1023"/>
      <c r="AF639" s="1023"/>
      <c r="AG639" s="1481"/>
      <c r="AH639" s="1481"/>
      <c r="AI639" s="1481"/>
      <c r="AJ639" s="1481"/>
      <c r="AK639" s="1481"/>
      <c r="AL639" s="1481"/>
      <c r="AM639" s="1481"/>
      <c r="AN639" s="1481"/>
      <c r="AO639" s="1481"/>
      <c r="AP639" s="1481"/>
      <c r="AQ639" s="1481"/>
      <c r="AR639" s="1481"/>
      <c r="AS639" s="1481"/>
      <c r="AT639" s="1481"/>
      <c r="AU639" s="1481"/>
      <c r="AV639" s="1481"/>
      <c r="AW639" s="1481"/>
      <c r="AX639" s="1481"/>
      <c r="AY639" s="1481"/>
      <c r="AZ639" s="1481"/>
      <c r="BA639" s="1481"/>
      <c r="BB639" s="1481"/>
      <c r="BC639" s="1481"/>
      <c r="BD639" s="1481"/>
      <c r="BE639" s="1481"/>
      <c r="BF639" s="1481"/>
      <c r="BG639" s="1481"/>
      <c r="BH639" s="1481"/>
      <c r="BI639" s="1481"/>
      <c r="BJ639" s="1481"/>
      <c r="BK639" s="1481"/>
      <c r="BL639" s="1481"/>
      <c r="BM639" s="1481"/>
      <c r="BN639" s="1481"/>
      <c r="BO639" s="1481"/>
      <c r="BP639" s="1481"/>
      <c r="BQ639" s="1481"/>
      <c r="BR639" s="1481"/>
      <c r="BS639" s="1481"/>
      <c r="BT639" s="1481"/>
      <c r="BU639" s="1481"/>
      <c r="BV639" s="1481"/>
      <c r="BW639" s="1481"/>
      <c r="BX639" s="1481"/>
      <c r="BY639" s="1481"/>
      <c r="BZ639" s="1481"/>
      <c r="CA639" s="1481"/>
      <c r="CB639" s="1481"/>
      <c r="CC639" s="1481"/>
      <c r="CD639" s="1481"/>
      <c r="CE639" s="1481"/>
    </row>
    <row r="640" spans="1:83" ht="11.25" hidden="1" customHeight="1">
      <c r="A640" s="1649"/>
      <c r="B640" s="1023"/>
      <c r="C640" s="319"/>
      <c r="D640" s="3622"/>
      <c r="E640" s="541" t="s">
        <v>18</v>
      </c>
      <c r="F640" s="1031" t="s">
        <v>18</v>
      </c>
      <c r="G640" s="1031" t="s">
        <v>880</v>
      </c>
      <c r="H640" s="543" t="s">
        <v>18</v>
      </c>
      <c r="I640" s="543"/>
      <c r="J640" s="543"/>
      <c r="K640" s="543"/>
      <c r="L640" s="543"/>
      <c r="M640" s="543"/>
      <c r="N640" s="543"/>
      <c r="O640" s="543"/>
      <c r="P640" s="543"/>
      <c r="Q640" s="543"/>
      <c r="R640" s="544"/>
      <c r="S640" s="545"/>
      <c r="T640" s="608"/>
      <c r="U640" s="3532"/>
      <c r="V640" s="3532"/>
      <c r="W640" s="1023"/>
      <c r="X640" s="1023"/>
      <c r="Y640" s="1023"/>
      <c r="Z640" s="1023"/>
      <c r="AA640" s="1481"/>
      <c r="AB640" s="1023"/>
      <c r="AC640" s="3617"/>
      <c r="AD640" s="521"/>
      <c r="AE640" s="1023"/>
      <c r="AF640" s="1023"/>
      <c r="AG640" s="1481"/>
      <c r="AH640" s="1481"/>
      <c r="AI640" s="1481"/>
      <c r="AJ640" s="1481"/>
      <c r="AK640" s="1481"/>
      <c r="AL640" s="1481"/>
      <c r="AM640" s="1481"/>
      <c r="AN640" s="1481"/>
      <c r="AO640" s="1481"/>
      <c r="AP640" s="1481"/>
      <c r="AQ640" s="1481"/>
      <c r="AR640" s="1481"/>
      <c r="AS640" s="1481"/>
      <c r="AT640" s="1481"/>
      <c r="AU640" s="1481"/>
      <c r="AV640" s="1481"/>
      <c r="AW640" s="1481"/>
      <c r="AX640" s="1481"/>
      <c r="AY640" s="1481"/>
      <c r="AZ640" s="1481"/>
      <c r="BA640" s="1481"/>
      <c r="BB640" s="1481"/>
      <c r="BC640" s="1481"/>
      <c r="BD640" s="1481"/>
      <c r="BE640" s="1481"/>
      <c r="BF640" s="1481"/>
      <c r="BG640" s="1481"/>
      <c r="BH640" s="1481"/>
      <c r="BI640" s="1481"/>
      <c r="BJ640" s="1481"/>
      <c r="BK640" s="1481"/>
      <c r="BL640" s="1481"/>
      <c r="BM640" s="1481"/>
      <c r="BN640" s="1481"/>
      <c r="BO640" s="1481"/>
      <c r="BP640" s="1481"/>
      <c r="BQ640" s="1481"/>
      <c r="BR640" s="1481"/>
      <c r="BS640" s="1481"/>
      <c r="BT640" s="1481"/>
      <c r="BU640" s="1481"/>
      <c r="BV640" s="1023"/>
      <c r="BW640" s="1023"/>
      <c r="BX640" s="1023"/>
      <c r="BY640" s="1023"/>
      <c r="BZ640" s="1023"/>
      <c r="CA640" s="1023"/>
      <c r="CB640" s="1023"/>
      <c r="CC640" s="1023"/>
      <c r="CD640" s="1023"/>
      <c r="CE640" s="1023"/>
    </row>
    <row r="641" spans="1:83" ht="5.25" hidden="1" customHeight="1">
      <c r="A641" s="1636"/>
      <c r="B641" s="1481"/>
      <c r="C641" s="1481"/>
      <c r="D641" s="3622"/>
      <c r="E641" s="909"/>
      <c r="F641" s="909"/>
      <c r="G641" s="909"/>
      <c r="H641" s="909"/>
      <c r="I641" s="909"/>
      <c r="J641" s="909"/>
      <c r="K641" s="909"/>
      <c r="L641" s="909"/>
      <c r="M641" s="909"/>
      <c r="N641" s="909"/>
      <c r="O641" s="909"/>
      <c r="P641" s="909"/>
      <c r="Q641" s="910"/>
      <c r="R641" s="911"/>
      <c r="S641" s="912"/>
      <c r="T641" s="607" t="s">
        <v>877</v>
      </c>
      <c r="U641" s="3532">
        <v>1</v>
      </c>
      <c r="V641" s="3532" t="s">
        <v>840</v>
      </c>
      <c r="W641" s="1481"/>
      <c r="X641" s="1481"/>
      <c r="Y641" s="1481"/>
      <c r="Z641" s="1481"/>
      <c r="AA641" s="1481"/>
      <c r="AB641" s="1481"/>
      <c r="AC641" s="907"/>
      <c r="AD641" s="908"/>
      <c r="AE641" s="1481"/>
      <c r="AF641" s="1481"/>
      <c r="AG641" s="1481"/>
      <c r="AH641" s="1481"/>
      <c r="AI641" s="1481"/>
      <c r="AJ641" s="1481"/>
      <c r="AK641" s="1481"/>
      <c r="AL641" s="1481"/>
      <c r="AM641" s="1481"/>
      <c r="AN641" s="1481"/>
      <c r="AO641" s="1481"/>
      <c r="AP641" s="1481"/>
      <c r="AQ641" s="1481"/>
      <c r="AR641" s="1481"/>
      <c r="AS641" s="1481"/>
      <c r="AT641" s="1481"/>
      <c r="AU641" s="1481"/>
      <c r="AV641" s="1481"/>
      <c r="AW641" s="1481"/>
      <c r="AX641" s="1481"/>
      <c r="AY641" s="1481"/>
      <c r="AZ641" s="1481"/>
      <c r="BA641" s="1481"/>
      <c r="BB641" s="1481"/>
      <c r="BC641" s="1481"/>
      <c r="BD641" s="1481"/>
      <c r="BE641" s="1481"/>
      <c r="BF641" s="1481"/>
      <c r="BG641" s="1481"/>
      <c r="BH641" s="1481"/>
      <c r="BI641" s="1481"/>
      <c r="BJ641" s="1481"/>
      <c r="BK641" s="1481"/>
      <c r="BL641" s="1481"/>
      <c r="BM641" s="1481"/>
      <c r="BN641" s="1481"/>
      <c r="BO641" s="1481"/>
      <c r="BP641" s="1481"/>
      <c r="BQ641" s="1481"/>
      <c r="BR641" s="1481"/>
      <c r="BS641" s="1481"/>
      <c r="BT641" s="1481"/>
      <c r="BU641" s="1481"/>
      <c r="BV641" s="1481"/>
      <c r="BW641" s="1481"/>
      <c r="BX641" s="1481"/>
      <c r="BY641" s="1481"/>
      <c r="BZ641" s="1481"/>
      <c r="CA641" s="1481"/>
      <c r="CB641" s="1481"/>
      <c r="CC641" s="1481"/>
      <c r="CD641" s="1481"/>
      <c r="CE641" s="1481"/>
    </row>
    <row r="642" spans="1:83" ht="5.25" hidden="1" customHeight="1">
      <c r="A642" s="1636"/>
      <c r="B642" s="1481"/>
      <c r="C642" s="1481"/>
      <c r="D642" s="3622"/>
      <c r="E642" s="527"/>
      <c r="F642" s="527"/>
      <c r="G642" s="527"/>
      <c r="H642" s="527"/>
      <c r="I642" s="527"/>
      <c r="J642" s="527"/>
      <c r="K642" s="527"/>
      <c r="L642" s="527"/>
      <c r="M642" s="527"/>
      <c r="N642" s="527"/>
      <c r="O642" s="527"/>
      <c r="P642" s="527"/>
      <c r="Q642" s="527"/>
      <c r="R642" s="527"/>
      <c r="S642" s="528"/>
      <c r="T642" s="608"/>
      <c r="U642" s="3532"/>
      <c r="V642" s="3532"/>
      <c r="W642" s="1481"/>
      <c r="X642" s="1481"/>
      <c r="Y642" s="1481"/>
      <c r="Z642" s="1481"/>
      <c r="AA642" s="1481"/>
      <c r="AB642" s="1481"/>
      <c r="AC642" s="907"/>
      <c r="AD642" s="908"/>
      <c r="AE642" s="1481"/>
      <c r="AF642" s="1481"/>
      <c r="AG642" s="1481"/>
      <c r="AH642" s="1481"/>
      <c r="AI642" s="1481"/>
      <c r="AJ642" s="1481"/>
      <c r="AK642" s="1481"/>
      <c r="AL642" s="1481"/>
      <c r="AM642" s="1481"/>
      <c r="AN642" s="1481"/>
      <c r="AO642" s="1481"/>
      <c r="AP642" s="1481"/>
      <c r="AQ642" s="1481"/>
      <c r="AR642" s="1481"/>
      <c r="AS642" s="1481"/>
      <c r="AT642" s="1481"/>
      <c r="AU642" s="1481"/>
      <c r="AV642" s="1481"/>
      <c r="AW642" s="1481"/>
      <c r="AX642" s="1481"/>
      <c r="AY642" s="1481"/>
      <c r="AZ642" s="1481"/>
      <c r="BA642" s="1481"/>
      <c r="BB642" s="1481"/>
      <c r="BC642" s="1481"/>
      <c r="BD642" s="1481"/>
      <c r="BE642" s="1481"/>
      <c r="BF642" s="1481"/>
      <c r="BG642" s="1481"/>
      <c r="BH642" s="1481"/>
      <c r="BI642" s="1481"/>
      <c r="BJ642" s="1481"/>
      <c r="BK642" s="1481"/>
      <c r="BL642" s="1481"/>
      <c r="BM642" s="1481"/>
      <c r="BN642" s="1481"/>
      <c r="BO642" s="1481"/>
      <c r="BP642" s="1481"/>
      <c r="BQ642" s="1481"/>
      <c r="BR642" s="1481"/>
      <c r="BS642" s="1481"/>
      <c r="BT642" s="1481"/>
      <c r="BU642" s="1481"/>
      <c r="BV642" s="1481"/>
      <c r="BW642" s="1481"/>
      <c r="BX642" s="1481"/>
      <c r="BY642" s="1481"/>
      <c r="BZ642" s="1481"/>
      <c r="CA642" s="1481"/>
      <c r="CB642" s="1481"/>
      <c r="CC642" s="1481"/>
      <c r="CD642" s="1481"/>
      <c r="CE642" s="1481"/>
    </row>
    <row r="643" spans="1:83" ht="5.25" hidden="1" customHeight="1">
      <c r="A643" s="1636"/>
      <c r="B643" s="1481"/>
      <c r="C643" s="1481"/>
      <c r="D643" s="3623"/>
      <c r="E643" s="913"/>
      <c r="F643" s="914"/>
      <c r="G643" s="914"/>
      <c r="H643" s="915"/>
      <c r="I643" s="915"/>
      <c r="J643" s="915"/>
      <c r="K643" s="915"/>
      <c r="L643" s="915"/>
      <c r="M643" s="915"/>
      <c r="N643" s="915"/>
      <c r="O643" s="915"/>
      <c r="P643" s="915"/>
      <c r="Q643" s="915"/>
      <c r="R643" s="818"/>
      <c r="S643" s="916"/>
      <c r="T643" s="608"/>
      <c r="U643" s="3532"/>
      <c r="V643" s="3532"/>
      <c r="W643" s="1481"/>
      <c r="X643" s="1481"/>
      <c r="Y643" s="1481"/>
      <c r="Z643" s="1481"/>
      <c r="AA643" s="1481"/>
      <c r="AB643" s="1481"/>
      <c r="AC643" s="907"/>
      <c r="AD643" s="908"/>
      <c r="AE643" s="1481"/>
      <c r="AF643" s="1481"/>
      <c r="AG643" s="1481"/>
      <c r="AH643" s="1481"/>
      <c r="AI643" s="1481"/>
      <c r="AJ643" s="1481"/>
      <c r="AK643" s="1481"/>
      <c r="AL643" s="1481"/>
      <c r="AM643" s="1481"/>
      <c r="AN643" s="1481"/>
      <c r="AO643" s="1481"/>
      <c r="AP643" s="1481"/>
      <c r="AQ643" s="1481"/>
      <c r="AR643" s="1481"/>
      <c r="AS643" s="1481"/>
      <c r="AT643" s="1481"/>
      <c r="AU643" s="1481"/>
      <c r="AV643" s="1481"/>
      <c r="AW643" s="1481"/>
      <c r="AX643" s="1481"/>
      <c r="AY643" s="1481"/>
      <c r="AZ643" s="1481"/>
      <c r="BA643" s="1481"/>
      <c r="BB643" s="1481"/>
      <c r="BC643" s="1481"/>
      <c r="BD643" s="1481"/>
      <c r="BE643" s="1481"/>
      <c r="BF643" s="1481"/>
      <c r="BG643" s="1481"/>
      <c r="BH643" s="1481"/>
      <c r="BI643" s="1481"/>
      <c r="BJ643" s="1481"/>
      <c r="BK643" s="1481"/>
      <c r="BL643" s="1481"/>
      <c r="BM643" s="1481"/>
      <c r="BN643" s="1481"/>
      <c r="BO643" s="1481"/>
      <c r="BP643" s="1481"/>
      <c r="BQ643" s="1481"/>
      <c r="BR643" s="1481"/>
      <c r="BS643" s="1481"/>
      <c r="BT643" s="1481"/>
      <c r="BU643" s="1481"/>
      <c r="BV643" s="1481"/>
      <c r="BW643" s="1481"/>
      <c r="BX643" s="1481"/>
      <c r="BY643" s="1481"/>
      <c r="BZ643" s="1481"/>
      <c r="CA643" s="1481"/>
      <c r="CB643" s="1481"/>
      <c r="CC643" s="1481"/>
      <c r="CD643" s="1481"/>
      <c r="CE643" s="1481"/>
    </row>
    <row r="644" spans="1:83" ht="15" hidden="1" customHeight="1">
      <c r="A644" s="516" t="s">
        <v>320</v>
      </c>
      <c r="B644"/>
      <c r="C644" t="s">
        <v>18</v>
      </c>
      <c r="D644" s="3621" t="s">
        <v>949</v>
      </c>
      <c r="E644" s="3618" t="s">
        <v>102</v>
      </c>
      <c r="F644" s="3619"/>
      <c r="G644" s="3620"/>
      <c r="H644" s="3614" t="str">
        <f>IF(A644="","",INDEX(DIFFERENTIATION_UNMERGE_VD,MATCH(A644,DIFFERENTIATION_ID_DIFF,0)))</f>
        <v>Производство тепловой энергии. Некомбинированная выработка</v>
      </c>
      <c r="I644" s="3614"/>
      <c r="J644" s="3614"/>
      <c r="K644" s="3614"/>
      <c r="L644" s="3614"/>
      <c r="M644" s="3614"/>
      <c r="N644" s="3614"/>
      <c r="O644" s="3614"/>
      <c r="P644" s="3614"/>
      <c r="Q644" s="3614"/>
      <c r="R644" s="3614"/>
      <c r="S644" s="609"/>
      <c r="T644" s="606"/>
      <c r="U644" s="517"/>
      <c r="V644" s="517"/>
      <c r="W644" s="518"/>
      <c r="X644" s="518"/>
      <c r="Y644" s="518"/>
      <c r="Z644" s="518"/>
      <c r="AA644" s="519"/>
      <c r="AB644" s="520"/>
      <c r="AC644" s="3617"/>
      <c r="AD644" s="521"/>
      <c r="AE644" s="522" t="s">
        <v>18</v>
      </c>
      <c r="AF644" s="522"/>
      <c r="AG644" s="523" t="s">
        <v>874</v>
      </c>
      <c r="AH644" s="524">
        <v>3</v>
      </c>
      <c r="AI644" s="517"/>
      <c r="AJ644" s="517"/>
      <c r="AK644" s="517"/>
      <c r="AL644" s="517"/>
      <c r="AM644" s="517"/>
      <c r="AN644" s="517"/>
      <c r="AO644" s="517"/>
      <c r="AP644" s="517"/>
      <c r="AQ644" s="517"/>
      <c r="AR644" s="517"/>
      <c r="AS644" s="517"/>
      <c r="AT644" s="517"/>
      <c r="AU644" s="517"/>
      <c r="AV644" s="517"/>
      <c r="AW644" s="517"/>
      <c r="AX644" s="517"/>
      <c r="AY644" s="517"/>
      <c r="AZ644" s="517"/>
      <c r="BA644" s="517"/>
      <c r="BB644" s="517"/>
      <c r="BC644" s="517"/>
      <c r="BD644" s="517"/>
      <c r="BE644" s="517"/>
      <c r="BF644" s="517"/>
      <c r="BG644" s="517"/>
      <c r="BH644" s="517"/>
      <c r="BI644" s="517"/>
      <c r="BJ644" s="517"/>
      <c r="BK644" s="517"/>
      <c r="BL644" s="517"/>
      <c r="BM644" s="517"/>
      <c r="BN644" s="517"/>
      <c r="BO644" s="517"/>
      <c r="BP644" s="517"/>
      <c r="BQ644" s="517"/>
      <c r="BR644" s="517"/>
      <c r="BS644" s="517"/>
      <c r="BT644" s="517"/>
      <c r="BU644" s="517"/>
      <c r="BV644" s="518"/>
      <c r="BW644" s="518"/>
      <c r="BX644" s="518"/>
      <c r="BY644" s="518"/>
      <c r="BZ644" s="518"/>
      <c r="CA644" s="518"/>
      <c r="CB644" s="518"/>
      <c r="CC644" s="518"/>
      <c r="CD644" s="518"/>
      <c r="CE644" s="518"/>
    </row>
    <row r="645" spans="1:83" ht="15" hidden="1" customHeight="1">
      <c r="A645" s="516"/>
      <c r="B645"/>
      <c r="C645"/>
      <c r="D645" s="3622"/>
      <c r="E645" s="3618" t="s">
        <v>829</v>
      </c>
      <c r="F645" s="3619"/>
      <c r="G645" s="3620"/>
      <c r="H645" s="3614" t="str">
        <f>IF(A644="","",INDEX(DIFFERENTIATION_UNMERGE_AREA,MATCH(A644,DIFFERENTIATION_ID_DIFF,0)))</f>
        <v>Территория 1</v>
      </c>
      <c r="I645" s="3614"/>
      <c r="J645" s="3614"/>
      <c r="K645" s="3614"/>
      <c r="L645" s="3614"/>
      <c r="M645" s="3614"/>
      <c r="N645" s="3614"/>
      <c r="O645" s="3614"/>
      <c r="P645" s="3614"/>
      <c r="Q645" s="3614"/>
      <c r="R645" s="3614"/>
      <c r="S645" s="609"/>
      <c r="T645" s="606"/>
      <c r="U645" s="517"/>
      <c r="V645" s="517"/>
      <c r="W645" s="518"/>
      <c r="X645" s="518"/>
      <c r="Y645" s="518"/>
      <c r="Z645" s="518"/>
      <c r="AA645" s="519"/>
      <c r="AB645" s="520"/>
      <c r="AC645" s="3617"/>
      <c r="AD645" s="521"/>
      <c r="AE645" s="522"/>
      <c r="AF645" s="522"/>
      <c r="AG645" s="523"/>
      <c r="AH645" s="524"/>
      <c r="AI645" s="517"/>
      <c r="AJ645" s="517"/>
      <c r="AK645" s="517"/>
      <c r="AL645" s="517"/>
      <c r="AM645" s="517"/>
      <c r="AN645" s="517"/>
      <c r="AO645" s="517"/>
      <c r="AP645" s="517"/>
      <c r="AQ645" s="517"/>
      <c r="AR645" s="517"/>
      <c r="AS645" s="517"/>
      <c r="AT645" s="517"/>
      <c r="AU645" s="517"/>
      <c r="AV645" s="517"/>
      <c r="AW645" s="517"/>
      <c r="AX645" s="517"/>
      <c r="AY645" s="517"/>
      <c r="AZ645" s="517"/>
      <c r="BA645" s="517"/>
      <c r="BB645" s="517"/>
      <c r="BC645" s="517"/>
      <c r="BD645" s="517"/>
      <c r="BE645" s="517"/>
      <c r="BF645" s="517"/>
      <c r="BG645" s="517"/>
      <c r="BH645" s="517"/>
      <c r="BI645" s="517"/>
      <c r="BJ645" s="517"/>
      <c r="BK645" s="517"/>
      <c r="BL645" s="517"/>
      <c r="BM645" s="517"/>
      <c r="BN645" s="517"/>
      <c r="BO645" s="517"/>
      <c r="BP645" s="517"/>
      <c r="BQ645" s="517"/>
      <c r="BR645" s="517"/>
      <c r="BS645" s="517"/>
      <c r="BT645" s="517"/>
      <c r="BU645" s="517"/>
      <c r="BV645" s="518"/>
      <c r="BW645" s="518"/>
      <c r="BX645" s="518"/>
      <c r="BY645" s="518"/>
      <c r="BZ645" s="518"/>
      <c r="CA645" s="518"/>
      <c r="CB645" s="518"/>
      <c r="CC645" s="518"/>
      <c r="CD645" s="518"/>
      <c r="CE645" s="518"/>
    </row>
    <row r="646" spans="1:83" ht="15" hidden="1" customHeight="1">
      <c r="A646" s="516"/>
      <c r="B646"/>
      <c r="C646"/>
      <c r="D646" s="3622"/>
      <c r="E646" s="3618" t="s">
        <v>830</v>
      </c>
      <c r="F646" s="3619"/>
      <c r="G646" s="3620"/>
      <c r="H646" s="3614" t="str">
        <f>IF(A644="","",INDEX(DIFFERENTIATION_UNMERGE_SYSTEM,MATCH(A644,DIFFERENTIATION_ID_DIFF,0)))</f>
        <v>Огородный,7а</v>
      </c>
      <c r="I646" s="3614"/>
      <c r="J646" s="3614"/>
      <c r="K646" s="3614"/>
      <c r="L646" s="3614"/>
      <c r="M646" s="3614"/>
      <c r="N646" s="3614"/>
      <c r="O646" s="3614"/>
      <c r="P646" s="3614"/>
      <c r="Q646" s="3614"/>
      <c r="R646" s="3614"/>
      <c r="S646" s="609"/>
      <c r="T646" s="606"/>
      <c r="U646" s="517"/>
      <c r="V646" s="517"/>
      <c r="W646" s="518"/>
      <c r="X646" s="518"/>
      <c r="Y646" s="518"/>
      <c r="Z646" s="518"/>
      <c r="AA646" s="519"/>
      <c r="AB646" s="520"/>
      <c r="AC646" s="3617"/>
      <c r="AD646" s="521"/>
      <c r="AE646" s="522"/>
      <c r="AF646" s="522"/>
      <c r="AG646" s="523"/>
      <c r="AH646" s="524"/>
      <c r="AI646" s="517"/>
      <c r="AJ646" s="517"/>
      <c r="AK646" s="517"/>
      <c r="AL646" s="517"/>
      <c r="AM646" s="517"/>
      <c r="AN646" s="517"/>
      <c r="AO646" s="517"/>
      <c r="AP646" s="517"/>
      <c r="AQ646" s="517"/>
      <c r="AR646" s="517"/>
      <c r="AS646" s="517"/>
      <c r="AT646" s="517"/>
      <c r="AU646" s="517"/>
      <c r="AV646" s="517"/>
      <c r="AW646" s="517"/>
      <c r="AX646" s="517"/>
      <c r="AY646" s="517"/>
      <c r="AZ646" s="517"/>
      <c r="BA646" s="517"/>
      <c r="BB646" s="517"/>
      <c r="BC646" s="517"/>
      <c r="BD646" s="517"/>
      <c r="BE646" s="517"/>
      <c r="BF646" s="517"/>
      <c r="BG646" s="517"/>
      <c r="BH646" s="517"/>
      <c r="BI646" s="517"/>
      <c r="BJ646" s="517"/>
      <c r="BK646" s="517"/>
      <c r="BL646" s="517"/>
      <c r="BM646" s="517"/>
      <c r="BN646" s="517"/>
      <c r="BO646" s="517"/>
      <c r="BP646" s="517"/>
      <c r="BQ646" s="517"/>
      <c r="BR646" s="517"/>
      <c r="BS646" s="517"/>
      <c r="BT646" s="517"/>
      <c r="BU646" s="517"/>
      <c r="BV646" s="518"/>
      <c r="BW646" s="518"/>
      <c r="BX646" s="518"/>
      <c r="BY646" s="518"/>
      <c r="BZ646" s="518"/>
      <c r="CA646" s="518"/>
      <c r="CB646" s="518"/>
      <c r="CC646" s="518"/>
      <c r="CD646" s="518"/>
      <c r="CE646" s="518"/>
    </row>
    <row r="647" spans="1:83" ht="24.75" hidden="1" customHeight="1">
      <c r="A647" s="1649"/>
      <c r="B647" s="1023"/>
      <c r="C647" s="319"/>
      <c r="D647" s="3622"/>
      <c r="E647" s="3616" t="s">
        <v>875</v>
      </c>
      <c r="F647" s="3616"/>
      <c r="G647" s="3616"/>
      <c r="H647" s="3616"/>
      <c r="I647" s="3616"/>
      <c r="J647" s="3616"/>
      <c r="K647" s="3616"/>
      <c r="L647" s="3616"/>
      <c r="M647" s="3616"/>
      <c r="N647" s="3616"/>
      <c r="O647" s="3616"/>
      <c r="P647" s="3616"/>
      <c r="Q647" s="455">
        <f>SUMIF(T648:T649,"i",Q648:Q649)</f>
        <v>0</v>
      </c>
      <c r="R647" s="887"/>
      <c r="S647" s="1641" t="s">
        <v>876</v>
      </c>
      <c r="T647" s="607" t="s">
        <v>877</v>
      </c>
      <c r="U647" s="3532">
        <v>1</v>
      </c>
      <c r="V647" s="3532" t="s">
        <v>840</v>
      </c>
      <c r="W647" s="1023"/>
      <c r="X647" s="1023"/>
      <c r="Y647" s="1023"/>
      <c r="Z647" s="1023"/>
      <c r="AA647" s="1481"/>
      <c r="AB647" s="1023"/>
      <c r="AC647" s="3617"/>
      <c r="AD647" s="521"/>
      <c r="AE647" s="1023"/>
      <c r="AF647" s="1023"/>
      <c r="AG647" s="1481"/>
      <c r="AH647" s="1481"/>
      <c r="AI647" s="1481"/>
      <c r="AJ647" s="1481"/>
      <c r="AK647" s="1481"/>
      <c r="AL647" s="1481"/>
      <c r="AM647" s="1481"/>
      <c r="AN647" s="1481"/>
      <c r="AO647" s="1481"/>
      <c r="AP647" s="1481"/>
      <c r="AQ647" s="1481"/>
      <c r="AR647" s="1481"/>
      <c r="AS647" s="1481"/>
      <c r="AT647" s="1481"/>
      <c r="AU647" s="1481"/>
      <c r="AV647" s="1481"/>
      <c r="AW647" s="1481"/>
      <c r="AX647" s="1481"/>
      <c r="AY647" s="1481"/>
      <c r="AZ647" s="1481"/>
      <c r="BA647" s="1481"/>
      <c r="BB647" s="1481"/>
      <c r="BC647" s="1481"/>
      <c r="BD647" s="1481"/>
      <c r="BE647" s="1481"/>
      <c r="BF647" s="1481"/>
      <c r="BG647" s="1481"/>
      <c r="BH647" s="1481"/>
      <c r="BI647" s="1481"/>
      <c r="BJ647" s="1481"/>
      <c r="BK647" s="1481"/>
      <c r="BL647" s="1481"/>
      <c r="BM647" s="1481"/>
      <c r="BN647" s="1481"/>
      <c r="BO647" s="1481"/>
      <c r="BP647" s="1481"/>
      <c r="BQ647" s="1481"/>
      <c r="BR647" s="1481"/>
      <c r="BS647" s="1481"/>
      <c r="BT647" s="1481"/>
      <c r="BU647" s="1481"/>
      <c r="BV647" s="1023"/>
      <c r="BW647" s="1023"/>
      <c r="BX647" s="1023"/>
      <c r="BY647" s="1023"/>
      <c r="BZ647" s="1023"/>
      <c r="CA647" s="1023"/>
      <c r="CB647" s="1023"/>
      <c r="CC647" s="1023"/>
      <c r="CD647" s="1023"/>
      <c r="CE647" s="1023"/>
    </row>
    <row r="648" spans="1:83" ht="11.25" hidden="1" customHeight="1">
      <c r="A648" s="1636"/>
      <c r="B648" s="1481"/>
      <c r="C648" s="1481"/>
      <c r="D648" s="3622"/>
      <c r="E648" s="527"/>
      <c r="F648" s="527">
        <v>0</v>
      </c>
      <c r="G648" s="527"/>
      <c r="H648" s="527"/>
      <c r="I648" s="527"/>
      <c r="J648" s="527"/>
      <c r="K648" s="527"/>
      <c r="L648" s="527"/>
      <c r="M648" s="527"/>
      <c r="N648" s="527"/>
      <c r="O648" s="527"/>
      <c r="P648" s="527"/>
      <c r="Q648" s="527"/>
      <c r="R648" s="527"/>
      <c r="S648" s="528"/>
      <c r="T648" s="608"/>
      <c r="U648" s="3532"/>
      <c r="V648" s="3532"/>
      <c r="W648" s="1481"/>
      <c r="X648" s="1481"/>
      <c r="Y648" s="1481"/>
      <c r="Z648" s="1481"/>
      <c r="AA648" s="1481"/>
      <c r="AB648" s="1023"/>
      <c r="AC648" s="3617"/>
      <c r="AD648" s="521"/>
      <c r="AE648" s="1023"/>
      <c r="AF648" s="1023"/>
      <c r="AG648" s="1481"/>
      <c r="AH648" s="1481"/>
      <c r="AI648" s="1481"/>
      <c r="AJ648" s="1481"/>
      <c r="AK648" s="1481"/>
      <c r="AL648" s="1481"/>
      <c r="AM648" s="1481"/>
      <c r="AN648" s="1481"/>
      <c r="AO648" s="1481"/>
      <c r="AP648" s="1481"/>
      <c r="AQ648" s="1481"/>
      <c r="AR648" s="1481"/>
      <c r="AS648" s="1481"/>
      <c r="AT648" s="1481"/>
      <c r="AU648" s="1481"/>
      <c r="AV648" s="1481"/>
      <c r="AW648" s="1481"/>
      <c r="AX648" s="1481"/>
      <c r="AY648" s="1481"/>
      <c r="AZ648" s="1481"/>
      <c r="BA648" s="1481"/>
      <c r="BB648" s="1481"/>
      <c r="BC648" s="1481"/>
      <c r="BD648" s="1481"/>
      <c r="BE648" s="1481"/>
      <c r="BF648" s="1481"/>
      <c r="BG648" s="1481"/>
      <c r="BH648" s="1481"/>
      <c r="BI648" s="1481"/>
      <c r="BJ648" s="1481"/>
      <c r="BK648" s="1481"/>
      <c r="BL648" s="1481"/>
      <c r="BM648" s="1481"/>
      <c r="BN648" s="1481"/>
      <c r="BO648" s="1481"/>
      <c r="BP648" s="1481"/>
      <c r="BQ648" s="1481"/>
      <c r="BR648" s="1481"/>
      <c r="BS648" s="1481"/>
      <c r="BT648" s="1481"/>
      <c r="BU648" s="1481"/>
      <c r="BV648" s="1481"/>
      <c r="BW648" s="1481"/>
      <c r="BX648" s="1481"/>
      <c r="BY648" s="1481"/>
      <c r="BZ648" s="1481"/>
      <c r="CA648" s="1481"/>
      <c r="CB648" s="1481"/>
      <c r="CC648" s="1481"/>
      <c r="CD648" s="1481"/>
      <c r="CE648" s="1481"/>
    </row>
    <row r="649" spans="1:83" ht="11.25" hidden="1" customHeight="1">
      <c r="A649" s="1649"/>
      <c r="B649" s="1023"/>
      <c r="C649" s="319"/>
      <c r="D649" s="3622"/>
      <c r="E649" s="541" t="s">
        <v>18</v>
      </c>
      <c r="F649" s="1031" t="s">
        <v>18</v>
      </c>
      <c r="G649" s="1031" t="s">
        <v>880</v>
      </c>
      <c r="H649" s="543" t="s">
        <v>18</v>
      </c>
      <c r="I649" s="543"/>
      <c r="J649" s="543"/>
      <c r="K649" s="543"/>
      <c r="L649" s="543"/>
      <c r="M649" s="543"/>
      <c r="N649" s="543"/>
      <c r="O649" s="543"/>
      <c r="P649" s="543"/>
      <c r="Q649" s="543"/>
      <c r="R649" s="544"/>
      <c r="S649" s="545"/>
      <c r="T649" s="608"/>
      <c r="U649" s="3532"/>
      <c r="V649" s="3532"/>
      <c r="W649" s="1023"/>
      <c r="X649" s="1023"/>
      <c r="Y649" s="1023"/>
      <c r="Z649" s="1023"/>
      <c r="AA649" s="1481"/>
      <c r="AB649" s="1023"/>
      <c r="AC649" s="3617"/>
      <c r="AD649" s="521"/>
      <c r="AE649" s="1023"/>
      <c r="AF649" s="1023"/>
      <c r="AG649" s="1481"/>
      <c r="AH649" s="1481"/>
      <c r="AI649" s="1481"/>
      <c r="AJ649" s="1481"/>
      <c r="AK649" s="1481"/>
      <c r="AL649" s="1481"/>
      <c r="AM649" s="1481"/>
      <c r="AN649" s="1481"/>
      <c r="AO649" s="1481"/>
      <c r="AP649" s="1481"/>
      <c r="AQ649" s="1481"/>
      <c r="AR649" s="1481"/>
      <c r="AS649" s="1481"/>
      <c r="AT649" s="1481"/>
      <c r="AU649" s="1481"/>
      <c r="AV649" s="1481"/>
      <c r="AW649" s="1481"/>
      <c r="AX649" s="1481"/>
      <c r="AY649" s="1481"/>
      <c r="AZ649" s="1481"/>
      <c r="BA649" s="1481"/>
      <c r="BB649" s="1481"/>
      <c r="BC649" s="1481"/>
      <c r="BD649" s="1481"/>
      <c r="BE649" s="1481"/>
      <c r="BF649" s="1481"/>
      <c r="BG649" s="1481"/>
      <c r="BH649" s="1481"/>
      <c r="BI649" s="1481"/>
      <c r="BJ649" s="1481"/>
      <c r="BK649" s="1481"/>
      <c r="BL649" s="1481"/>
      <c r="BM649" s="1481"/>
      <c r="BN649" s="1481"/>
      <c r="BO649" s="1481"/>
      <c r="BP649" s="1481"/>
      <c r="BQ649" s="1481"/>
      <c r="BR649" s="1481"/>
      <c r="BS649" s="1481"/>
      <c r="BT649" s="1481"/>
      <c r="BU649" s="1481"/>
      <c r="BV649" s="1023"/>
      <c r="BW649" s="1023"/>
      <c r="BX649" s="1023"/>
      <c r="BY649" s="1023"/>
      <c r="BZ649" s="1023"/>
      <c r="CA649" s="1023"/>
      <c r="CB649" s="1023"/>
      <c r="CC649" s="1023"/>
      <c r="CD649" s="1023"/>
      <c r="CE649" s="1023"/>
    </row>
    <row r="650" spans="1:83" ht="5.25" hidden="1" customHeight="1">
      <c r="A650" s="1636"/>
      <c r="B650" s="1481"/>
      <c r="C650" s="1481"/>
      <c r="D650" s="3622"/>
      <c r="E650" s="909"/>
      <c r="F650" s="909"/>
      <c r="G650" s="909"/>
      <c r="H650" s="909"/>
      <c r="I650" s="909"/>
      <c r="J650" s="909"/>
      <c r="K650" s="909"/>
      <c r="L650" s="909"/>
      <c r="M650" s="909"/>
      <c r="N650" s="909"/>
      <c r="O650" s="909"/>
      <c r="P650" s="909"/>
      <c r="Q650" s="910"/>
      <c r="R650" s="911"/>
      <c r="S650" s="912"/>
      <c r="T650" s="607" t="s">
        <v>877</v>
      </c>
      <c r="U650" s="3532">
        <v>1</v>
      </c>
      <c r="V650" s="3532" t="s">
        <v>840</v>
      </c>
      <c r="W650" s="1481"/>
      <c r="X650" s="1481"/>
      <c r="Y650" s="1481"/>
      <c r="Z650" s="1481"/>
      <c r="AA650" s="1481"/>
      <c r="AB650" s="1481"/>
      <c r="AC650" s="907"/>
      <c r="AD650" s="908"/>
      <c r="AE650" s="1481"/>
      <c r="AF650" s="1481"/>
      <c r="AG650" s="1481"/>
      <c r="AH650" s="1481"/>
      <c r="AI650" s="1481"/>
      <c r="AJ650" s="1481"/>
      <c r="AK650" s="1481"/>
      <c r="AL650" s="1481"/>
      <c r="AM650" s="1481"/>
      <c r="AN650" s="1481"/>
      <c r="AO650" s="1481"/>
      <c r="AP650" s="1481"/>
      <c r="AQ650" s="1481"/>
      <c r="AR650" s="1481"/>
      <c r="AS650" s="1481"/>
      <c r="AT650" s="1481"/>
      <c r="AU650" s="1481"/>
      <c r="AV650" s="1481"/>
      <c r="AW650" s="1481"/>
      <c r="AX650" s="1481"/>
      <c r="AY650" s="1481"/>
      <c r="AZ650" s="1481"/>
      <c r="BA650" s="1481"/>
      <c r="BB650" s="1481"/>
      <c r="BC650" s="1481"/>
      <c r="BD650" s="1481"/>
      <c r="BE650" s="1481"/>
      <c r="BF650" s="1481"/>
      <c r="BG650" s="1481"/>
      <c r="BH650" s="1481"/>
      <c r="BI650" s="1481"/>
      <c r="BJ650" s="1481"/>
      <c r="BK650" s="1481"/>
      <c r="BL650" s="1481"/>
      <c r="BM650" s="1481"/>
      <c r="BN650" s="1481"/>
      <c r="BO650" s="1481"/>
      <c r="BP650" s="1481"/>
      <c r="BQ650" s="1481"/>
      <c r="BR650" s="1481"/>
      <c r="BS650" s="1481"/>
      <c r="BT650" s="1481"/>
      <c r="BU650" s="1481"/>
      <c r="BV650" s="1481"/>
      <c r="BW650" s="1481"/>
      <c r="BX650" s="1481"/>
      <c r="BY650" s="1481"/>
      <c r="BZ650" s="1481"/>
      <c r="CA650" s="1481"/>
      <c r="CB650" s="1481"/>
      <c r="CC650" s="1481"/>
      <c r="CD650" s="1481"/>
      <c r="CE650" s="1481"/>
    </row>
    <row r="651" spans="1:83" ht="5.25" hidden="1" customHeight="1">
      <c r="A651" s="1636"/>
      <c r="B651" s="1481"/>
      <c r="C651" s="1481"/>
      <c r="D651" s="3622"/>
      <c r="E651" s="527"/>
      <c r="F651" s="527"/>
      <c r="G651" s="527"/>
      <c r="H651" s="527"/>
      <c r="I651" s="527"/>
      <c r="J651" s="527"/>
      <c r="K651" s="527"/>
      <c r="L651" s="527"/>
      <c r="M651" s="527"/>
      <c r="N651" s="527"/>
      <c r="O651" s="527"/>
      <c r="P651" s="527"/>
      <c r="Q651" s="527"/>
      <c r="R651" s="527"/>
      <c r="S651" s="528"/>
      <c r="T651" s="608"/>
      <c r="U651" s="3532"/>
      <c r="V651" s="3532"/>
      <c r="W651" s="1481"/>
      <c r="X651" s="1481"/>
      <c r="Y651" s="1481"/>
      <c r="Z651" s="1481"/>
      <c r="AA651" s="1481"/>
      <c r="AB651" s="1481"/>
      <c r="AC651" s="907"/>
      <c r="AD651" s="908"/>
      <c r="AE651" s="1481"/>
      <c r="AF651" s="1481"/>
      <c r="AG651" s="1481"/>
      <c r="AH651" s="1481"/>
      <c r="AI651" s="1481"/>
      <c r="AJ651" s="1481"/>
      <c r="AK651" s="1481"/>
      <c r="AL651" s="1481"/>
      <c r="AM651" s="1481"/>
      <c r="AN651" s="1481"/>
      <c r="AO651" s="1481"/>
      <c r="AP651" s="1481"/>
      <c r="AQ651" s="1481"/>
      <c r="AR651" s="1481"/>
      <c r="AS651" s="1481"/>
      <c r="AT651" s="1481"/>
      <c r="AU651" s="1481"/>
      <c r="AV651" s="1481"/>
      <c r="AW651" s="1481"/>
      <c r="AX651" s="1481"/>
      <c r="AY651" s="1481"/>
      <c r="AZ651" s="1481"/>
      <c r="BA651" s="1481"/>
      <c r="BB651" s="1481"/>
      <c r="BC651" s="1481"/>
      <c r="BD651" s="1481"/>
      <c r="BE651" s="1481"/>
      <c r="BF651" s="1481"/>
      <c r="BG651" s="1481"/>
      <c r="BH651" s="1481"/>
      <c r="BI651" s="1481"/>
      <c r="BJ651" s="1481"/>
      <c r="BK651" s="1481"/>
      <c r="BL651" s="1481"/>
      <c r="BM651" s="1481"/>
      <c r="BN651" s="1481"/>
      <c r="BO651" s="1481"/>
      <c r="BP651" s="1481"/>
      <c r="BQ651" s="1481"/>
      <c r="BR651" s="1481"/>
      <c r="BS651" s="1481"/>
      <c r="BT651" s="1481"/>
      <c r="BU651" s="1481"/>
      <c r="BV651" s="1481"/>
      <c r="BW651" s="1481"/>
      <c r="BX651" s="1481"/>
      <c r="BY651" s="1481"/>
      <c r="BZ651" s="1481"/>
      <c r="CA651" s="1481"/>
      <c r="CB651" s="1481"/>
      <c r="CC651" s="1481"/>
      <c r="CD651" s="1481"/>
      <c r="CE651" s="1481"/>
    </row>
    <row r="652" spans="1:83" ht="5.25" hidden="1" customHeight="1">
      <c r="A652" s="1636"/>
      <c r="B652" s="1481"/>
      <c r="C652" s="1481"/>
      <c r="D652" s="3623"/>
      <c r="E652" s="913"/>
      <c r="F652" s="914"/>
      <c r="G652" s="914"/>
      <c r="H652" s="915"/>
      <c r="I652" s="915"/>
      <c r="J652" s="915"/>
      <c r="K652" s="915"/>
      <c r="L652" s="915"/>
      <c r="M652" s="915"/>
      <c r="N652" s="915"/>
      <c r="O652" s="915"/>
      <c r="P652" s="915"/>
      <c r="Q652" s="915"/>
      <c r="R652" s="818"/>
      <c r="S652" s="916"/>
      <c r="T652" s="608"/>
      <c r="U652" s="3532"/>
      <c r="V652" s="3532"/>
      <c r="W652" s="1481"/>
      <c r="X652" s="1481"/>
      <c r="Y652" s="1481"/>
      <c r="Z652" s="1481"/>
      <c r="AA652" s="1481"/>
      <c r="AB652" s="1481"/>
      <c r="AC652" s="907"/>
      <c r="AD652" s="908"/>
      <c r="AE652" s="1481"/>
      <c r="AF652" s="1481"/>
      <c r="AG652" s="1481"/>
      <c r="AH652" s="1481"/>
      <c r="AI652" s="1481"/>
      <c r="AJ652" s="1481"/>
      <c r="AK652" s="1481"/>
      <c r="AL652" s="1481"/>
      <c r="AM652" s="1481"/>
      <c r="AN652" s="1481"/>
      <c r="AO652" s="1481"/>
      <c r="AP652" s="1481"/>
      <c r="AQ652" s="1481"/>
      <c r="AR652" s="1481"/>
      <c r="AS652" s="1481"/>
      <c r="AT652" s="1481"/>
      <c r="AU652" s="1481"/>
      <c r="AV652" s="1481"/>
      <c r="AW652" s="1481"/>
      <c r="AX652" s="1481"/>
      <c r="AY652" s="1481"/>
      <c r="AZ652" s="1481"/>
      <c r="BA652" s="1481"/>
      <c r="BB652" s="1481"/>
      <c r="BC652" s="1481"/>
      <c r="BD652" s="1481"/>
      <c r="BE652" s="1481"/>
      <c r="BF652" s="1481"/>
      <c r="BG652" s="1481"/>
      <c r="BH652" s="1481"/>
      <c r="BI652" s="1481"/>
      <c r="BJ652" s="1481"/>
      <c r="BK652" s="1481"/>
      <c r="BL652" s="1481"/>
      <c r="BM652" s="1481"/>
      <c r="BN652" s="1481"/>
      <c r="BO652" s="1481"/>
      <c r="BP652" s="1481"/>
      <c r="BQ652" s="1481"/>
      <c r="BR652" s="1481"/>
      <c r="BS652" s="1481"/>
      <c r="BT652" s="1481"/>
      <c r="BU652" s="1481"/>
      <c r="BV652" s="1481"/>
      <c r="BW652" s="1481"/>
      <c r="BX652" s="1481"/>
      <c r="BY652" s="1481"/>
      <c r="BZ652" s="1481"/>
      <c r="CA652" s="1481"/>
      <c r="CB652" s="1481"/>
      <c r="CC652" s="1481"/>
      <c r="CD652" s="1481"/>
      <c r="CE652" s="1481"/>
    </row>
    <row r="653" spans="1:83" ht="15" hidden="1" customHeight="1">
      <c r="A653" s="516" t="s">
        <v>323</v>
      </c>
      <c r="B653"/>
      <c r="C653" t="s">
        <v>18</v>
      </c>
      <c r="D653" s="3621" t="s">
        <v>950</v>
      </c>
      <c r="E653" s="3618" t="s">
        <v>102</v>
      </c>
      <c r="F653" s="3619"/>
      <c r="G653" s="3620"/>
      <c r="H653" s="3614" t="str">
        <f>IF(A653="","",INDEX(DIFFERENTIATION_UNMERGE_VD,MATCH(A653,DIFFERENTIATION_ID_DIFF,0)))</f>
        <v>Производство тепловой энергии. Некомбинированная выработка</v>
      </c>
      <c r="I653" s="3614"/>
      <c r="J653" s="3614"/>
      <c r="K653" s="3614"/>
      <c r="L653" s="3614"/>
      <c r="M653" s="3614"/>
      <c r="N653" s="3614"/>
      <c r="O653" s="3614"/>
      <c r="P653" s="3614"/>
      <c r="Q653" s="3614"/>
      <c r="R653" s="3614"/>
      <c r="S653" s="609"/>
      <c r="T653" s="606"/>
      <c r="U653" s="517"/>
      <c r="V653" s="517"/>
      <c r="W653" s="518"/>
      <c r="X653" s="518"/>
      <c r="Y653" s="518"/>
      <c r="Z653" s="518"/>
      <c r="AA653" s="519"/>
      <c r="AB653" s="520"/>
      <c r="AC653" s="3617"/>
      <c r="AD653" s="521"/>
      <c r="AE653" s="522" t="s">
        <v>18</v>
      </c>
      <c r="AF653" s="522"/>
      <c r="AG653" s="523" t="s">
        <v>874</v>
      </c>
      <c r="AH653" s="524">
        <v>3</v>
      </c>
      <c r="AI653" s="517"/>
      <c r="AJ653" s="517"/>
      <c r="AK653" s="517"/>
      <c r="AL653" s="517"/>
      <c r="AM653" s="517"/>
      <c r="AN653" s="517"/>
      <c r="AO653" s="517"/>
      <c r="AP653" s="517"/>
      <c r="AQ653" s="517"/>
      <c r="AR653" s="517"/>
      <c r="AS653" s="517"/>
      <c r="AT653" s="517"/>
      <c r="AU653" s="517"/>
      <c r="AV653" s="517"/>
      <c r="AW653" s="517"/>
      <c r="AX653" s="517"/>
      <c r="AY653" s="517"/>
      <c r="AZ653" s="517"/>
      <c r="BA653" s="517"/>
      <c r="BB653" s="517"/>
      <c r="BC653" s="517"/>
      <c r="BD653" s="517"/>
      <c r="BE653" s="517"/>
      <c r="BF653" s="517"/>
      <c r="BG653" s="517"/>
      <c r="BH653" s="517"/>
      <c r="BI653" s="517"/>
      <c r="BJ653" s="517"/>
      <c r="BK653" s="517"/>
      <c r="BL653" s="517"/>
      <c r="BM653" s="517"/>
      <c r="BN653" s="517"/>
      <c r="BO653" s="517"/>
      <c r="BP653" s="517"/>
      <c r="BQ653" s="517"/>
      <c r="BR653" s="517"/>
      <c r="BS653" s="517"/>
      <c r="BT653" s="517"/>
      <c r="BU653" s="517"/>
      <c r="BV653" s="518"/>
      <c r="BW653" s="518"/>
      <c r="BX653" s="518"/>
      <c r="BY653" s="518"/>
      <c r="BZ653" s="518"/>
      <c r="CA653" s="518"/>
      <c r="CB653" s="518"/>
      <c r="CC653" s="518"/>
      <c r="CD653" s="518"/>
      <c r="CE653" s="518"/>
    </row>
    <row r="654" spans="1:83" ht="15" hidden="1" customHeight="1">
      <c r="A654" s="516"/>
      <c r="B654"/>
      <c r="C654"/>
      <c r="D654" s="3622"/>
      <c r="E654" s="3618" t="s">
        <v>829</v>
      </c>
      <c r="F654" s="3619"/>
      <c r="G654" s="3620"/>
      <c r="H654" s="3614" t="str">
        <f>IF(A653="","",INDEX(DIFFERENTIATION_UNMERGE_AREA,MATCH(A653,DIFFERENTIATION_ID_DIFF,0)))</f>
        <v>Территория 1</v>
      </c>
      <c r="I654" s="3614"/>
      <c r="J654" s="3614"/>
      <c r="K654" s="3614"/>
      <c r="L654" s="3614"/>
      <c r="M654" s="3614"/>
      <c r="N654" s="3614"/>
      <c r="O654" s="3614"/>
      <c r="P654" s="3614"/>
      <c r="Q654" s="3614"/>
      <c r="R654" s="3614"/>
      <c r="S654" s="609"/>
      <c r="T654" s="606"/>
      <c r="U654" s="517"/>
      <c r="V654" s="517"/>
      <c r="W654" s="518"/>
      <c r="X654" s="518"/>
      <c r="Y654" s="518"/>
      <c r="Z654" s="518"/>
      <c r="AA654" s="519"/>
      <c r="AB654" s="520"/>
      <c r="AC654" s="3617"/>
      <c r="AD654" s="521"/>
      <c r="AE654" s="522"/>
      <c r="AF654" s="522"/>
      <c r="AG654" s="523"/>
      <c r="AH654" s="524"/>
      <c r="AI654" s="517"/>
      <c r="AJ654" s="517"/>
      <c r="AK654" s="517"/>
      <c r="AL654" s="517"/>
      <c r="AM654" s="517"/>
      <c r="AN654" s="517"/>
      <c r="AO654" s="517"/>
      <c r="AP654" s="517"/>
      <c r="AQ654" s="517"/>
      <c r="AR654" s="517"/>
      <c r="AS654" s="517"/>
      <c r="AT654" s="517"/>
      <c r="AU654" s="517"/>
      <c r="AV654" s="517"/>
      <c r="AW654" s="517"/>
      <c r="AX654" s="517"/>
      <c r="AY654" s="517"/>
      <c r="AZ654" s="517"/>
      <c r="BA654" s="517"/>
      <c r="BB654" s="517"/>
      <c r="BC654" s="517"/>
      <c r="BD654" s="517"/>
      <c r="BE654" s="517"/>
      <c r="BF654" s="517"/>
      <c r="BG654" s="517"/>
      <c r="BH654" s="517"/>
      <c r="BI654" s="517"/>
      <c r="BJ654" s="517"/>
      <c r="BK654" s="517"/>
      <c r="BL654" s="517"/>
      <c r="BM654" s="517"/>
      <c r="BN654" s="517"/>
      <c r="BO654" s="517"/>
      <c r="BP654" s="517"/>
      <c r="BQ654" s="517"/>
      <c r="BR654" s="517"/>
      <c r="BS654" s="517"/>
      <c r="BT654" s="517"/>
      <c r="BU654" s="517"/>
      <c r="BV654" s="518"/>
      <c r="BW654" s="518"/>
      <c r="BX654" s="518"/>
      <c r="BY654" s="518"/>
      <c r="BZ654" s="518"/>
      <c r="CA654" s="518"/>
      <c r="CB654" s="518"/>
      <c r="CC654" s="518"/>
      <c r="CD654" s="518"/>
      <c r="CE654" s="518"/>
    </row>
    <row r="655" spans="1:83" ht="15" hidden="1" customHeight="1">
      <c r="A655" s="516"/>
      <c r="B655"/>
      <c r="C655"/>
      <c r="D655" s="3622"/>
      <c r="E655" s="3618" t="s">
        <v>830</v>
      </c>
      <c r="F655" s="3619"/>
      <c r="G655" s="3620"/>
      <c r="H655" s="3614" t="str">
        <f>IF(A653="","",INDEX(DIFFERENTIATION_UNMERGE_SYSTEM,MATCH(A653,DIFFERENTIATION_ID_DIFF,0)))</f>
        <v>Пролетарская гора, 1</v>
      </c>
      <c r="I655" s="3614"/>
      <c r="J655" s="3614"/>
      <c r="K655" s="3614"/>
      <c r="L655" s="3614"/>
      <c r="M655" s="3614"/>
      <c r="N655" s="3614"/>
      <c r="O655" s="3614"/>
      <c r="P655" s="3614"/>
      <c r="Q655" s="3614"/>
      <c r="R655" s="3614"/>
      <c r="S655" s="609"/>
      <c r="T655" s="606"/>
      <c r="U655" s="517"/>
      <c r="V655" s="517"/>
      <c r="W655" s="518"/>
      <c r="X655" s="518"/>
      <c r="Y655" s="518"/>
      <c r="Z655" s="518"/>
      <c r="AA655" s="519"/>
      <c r="AB655" s="520"/>
      <c r="AC655" s="3617"/>
      <c r="AD655" s="521"/>
      <c r="AE655" s="522"/>
      <c r="AF655" s="522"/>
      <c r="AG655" s="523"/>
      <c r="AH655" s="524"/>
      <c r="AI655" s="517"/>
      <c r="AJ655" s="517"/>
      <c r="AK655" s="517"/>
      <c r="AL655" s="517"/>
      <c r="AM655" s="517"/>
      <c r="AN655" s="517"/>
      <c r="AO655" s="517"/>
      <c r="AP655" s="517"/>
      <c r="AQ655" s="517"/>
      <c r="AR655" s="517"/>
      <c r="AS655" s="517"/>
      <c r="AT655" s="517"/>
      <c r="AU655" s="517"/>
      <c r="AV655" s="517"/>
      <c r="AW655" s="517"/>
      <c r="AX655" s="517"/>
      <c r="AY655" s="517"/>
      <c r="AZ655" s="517"/>
      <c r="BA655" s="517"/>
      <c r="BB655" s="517"/>
      <c r="BC655" s="517"/>
      <c r="BD655" s="517"/>
      <c r="BE655" s="517"/>
      <c r="BF655" s="517"/>
      <c r="BG655" s="517"/>
      <c r="BH655" s="517"/>
      <c r="BI655" s="517"/>
      <c r="BJ655" s="517"/>
      <c r="BK655" s="517"/>
      <c r="BL655" s="517"/>
      <c r="BM655" s="517"/>
      <c r="BN655" s="517"/>
      <c r="BO655" s="517"/>
      <c r="BP655" s="517"/>
      <c r="BQ655" s="517"/>
      <c r="BR655" s="517"/>
      <c r="BS655" s="517"/>
      <c r="BT655" s="517"/>
      <c r="BU655" s="517"/>
      <c r="BV655" s="518"/>
      <c r="BW655" s="518"/>
      <c r="BX655" s="518"/>
      <c r="BY655" s="518"/>
      <c r="BZ655" s="518"/>
      <c r="CA655" s="518"/>
      <c r="CB655" s="518"/>
      <c r="CC655" s="518"/>
      <c r="CD655" s="518"/>
      <c r="CE655" s="518"/>
    </row>
    <row r="656" spans="1:83" ht="24.75" hidden="1" customHeight="1">
      <c r="A656" s="1649"/>
      <c r="B656" s="1023"/>
      <c r="C656" s="319"/>
      <c r="D656" s="3622"/>
      <c r="E656" s="3616" t="s">
        <v>875</v>
      </c>
      <c r="F656" s="3616"/>
      <c r="G656" s="3616"/>
      <c r="H656" s="3616"/>
      <c r="I656" s="3616"/>
      <c r="J656" s="3616"/>
      <c r="K656" s="3616"/>
      <c r="L656" s="3616"/>
      <c r="M656" s="3616"/>
      <c r="N656" s="3616"/>
      <c r="O656" s="3616"/>
      <c r="P656" s="3616"/>
      <c r="Q656" s="455">
        <f>SUMIF(T657:T658,"i",Q657:Q658)</f>
        <v>0</v>
      </c>
      <c r="R656" s="887"/>
      <c r="S656" s="1641" t="s">
        <v>876</v>
      </c>
      <c r="T656" s="607" t="s">
        <v>877</v>
      </c>
      <c r="U656" s="3532">
        <v>1</v>
      </c>
      <c r="V656" s="3532" t="s">
        <v>840</v>
      </c>
      <c r="W656" s="1023"/>
      <c r="X656" s="1023"/>
      <c r="Y656" s="1023"/>
      <c r="Z656" s="1023"/>
      <c r="AA656" s="1481"/>
      <c r="AB656" s="1023"/>
      <c r="AC656" s="3617"/>
      <c r="AD656" s="521"/>
      <c r="AE656" s="1023"/>
      <c r="AF656" s="1023"/>
      <c r="AG656" s="1481"/>
      <c r="AH656" s="1481"/>
      <c r="AI656" s="1481"/>
      <c r="AJ656" s="1481"/>
      <c r="AK656" s="1481"/>
      <c r="AL656" s="1481"/>
      <c r="AM656" s="1481"/>
      <c r="AN656" s="1481"/>
      <c r="AO656" s="1481"/>
      <c r="AP656" s="1481"/>
      <c r="AQ656" s="1481"/>
      <c r="AR656" s="1481"/>
      <c r="AS656" s="1481"/>
      <c r="AT656" s="1481"/>
      <c r="AU656" s="1481"/>
      <c r="AV656" s="1481"/>
      <c r="AW656" s="1481"/>
      <c r="AX656" s="1481"/>
      <c r="AY656" s="1481"/>
      <c r="AZ656" s="1481"/>
      <c r="BA656" s="1481"/>
      <c r="BB656" s="1481"/>
      <c r="BC656" s="1481"/>
      <c r="BD656" s="1481"/>
      <c r="BE656" s="1481"/>
      <c r="BF656" s="1481"/>
      <c r="BG656" s="1481"/>
      <c r="BH656" s="1481"/>
      <c r="BI656" s="1481"/>
      <c r="BJ656" s="1481"/>
      <c r="BK656" s="1481"/>
      <c r="BL656" s="1481"/>
      <c r="BM656" s="1481"/>
      <c r="BN656" s="1481"/>
      <c r="BO656" s="1481"/>
      <c r="BP656" s="1481"/>
      <c r="BQ656" s="1481"/>
      <c r="BR656" s="1481"/>
      <c r="BS656" s="1481"/>
      <c r="BT656" s="1481"/>
      <c r="BU656" s="1481"/>
      <c r="BV656" s="1023"/>
      <c r="BW656" s="1023"/>
      <c r="BX656" s="1023"/>
      <c r="BY656" s="1023"/>
      <c r="BZ656" s="1023"/>
      <c r="CA656" s="1023"/>
      <c r="CB656" s="1023"/>
      <c r="CC656" s="1023"/>
      <c r="CD656" s="1023"/>
      <c r="CE656" s="1023"/>
    </row>
    <row r="657" spans="1:83" ht="11.25" hidden="1" customHeight="1">
      <c r="A657" s="1636"/>
      <c r="B657" s="1481"/>
      <c r="C657" s="1481"/>
      <c r="D657" s="3622"/>
      <c r="E657" s="527"/>
      <c r="F657" s="527">
        <v>0</v>
      </c>
      <c r="G657" s="527"/>
      <c r="H657" s="527"/>
      <c r="I657" s="527"/>
      <c r="J657" s="527"/>
      <c r="K657" s="527"/>
      <c r="L657" s="527"/>
      <c r="M657" s="527"/>
      <c r="N657" s="527"/>
      <c r="O657" s="527"/>
      <c r="P657" s="527"/>
      <c r="Q657" s="527"/>
      <c r="R657" s="527"/>
      <c r="S657" s="528"/>
      <c r="T657" s="608"/>
      <c r="U657" s="3532"/>
      <c r="V657" s="3532"/>
      <c r="W657" s="1481"/>
      <c r="X657" s="1481"/>
      <c r="Y657" s="1481"/>
      <c r="Z657" s="1481"/>
      <c r="AA657" s="1481"/>
      <c r="AB657" s="1023"/>
      <c r="AC657" s="3617"/>
      <c r="AD657" s="521"/>
      <c r="AE657" s="1023"/>
      <c r="AF657" s="1023"/>
      <c r="AG657" s="1481"/>
      <c r="AH657" s="1481"/>
      <c r="AI657" s="1481"/>
      <c r="AJ657" s="1481"/>
      <c r="AK657" s="1481"/>
      <c r="AL657" s="1481"/>
      <c r="AM657" s="1481"/>
      <c r="AN657" s="1481"/>
      <c r="AO657" s="1481"/>
      <c r="AP657" s="1481"/>
      <c r="AQ657" s="1481"/>
      <c r="AR657" s="1481"/>
      <c r="AS657" s="1481"/>
      <c r="AT657" s="1481"/>
      <c r="AU657" s="1481"/>
      <c r="AV657" s="1481"/>
      <c r="AW657" s="1481"/>
      <c r="AX657" s="1481"/>
      <c r="AY657" s="1481"/>
      <c r="AZ657" s="1481"/>
      <c r="BA657" s="1481"/>
      <c r="BB657" s="1481"/>
      <c r="BC657" s="1481"/>
      <c r="BD657" s="1481"/>
      <c r="BE657" s="1481"/>
      <c r="BF657" s="1481"/>
      <c r="BG657" s="1481"/>
      <c r="BH657" s="1481"/>
      <c r="BI657" s="1481"/>
      <c r="BJ657" s="1481"/>
      <c r="BK657" s="1481"/>
      <c r="BL657" s="1481"/>
      <c r="BM657" s="1481"/>
      <c r="BN657" s="1481"/>
      <c r="BO657" s="1481"/>
      <c r="BP657" s="1481"/>
      <c r="BQ657" s="1481"/>
      <c r="BR657" s="1481"/>
      <c r="BS657" s="1481"/>
      <c r="BT657" s="1481"/>
      <c r="BU657" s="1481"/>
      <c r="BV657" s="1481"/>
      <c r="BW657" s="1481"/>
      <c r="BX657" s="1481"/>
      <c r="BY657" s="1481"/>
      <c r="BZ657" s="1481"/>
      <c r="CA657" s="1481"/>
      <c r="CB657" s="1481"/>
      <c r="CC657" s="1481"/>
      <c r="CD657" s="1481"/>
      <c r="CE657" s="1481"/>
    </row>
    <row r="658" spans="1:83" ht="11.25" hidden="1" customHeight="1">
      <c r="A658" s="1649"/>
      <c r="B658" s="1023"/>
      <c r="C658" s="319"/>
      <c r="D658" s="3622"/>
      <c r="E658" s="541" t="s">
        <v>18</v>
      </c>
      <c r="F658" s="1031" t="s">
        <v>18</v>
      </c>
      <c r="G658" s="1031" t="s">
        <v>880</v>
      </c>
      <c r="H658" s="543" t="s">
        <v>18</v>
      </c>
      <c r="I658" s="543"/>
      <c r="J658" s="543"/>
      <c r="K658" s="543"/>
      <c r="L658" s="543"/>
      <c r="M658" s="543"/>
      <c r="N658" s="543"/>
      <c r="O658" s="543"/>
      <c r="P658" s="543"/>
      <c r="Q658" s="543"/>
      <c r="R658" s="544"/>
      <c r="S658" s="545"/>
      <c r="T658" s="608"/>
      <c r="U658" s="3532"/>
      <c r="V658" s="3532"/>
      <c r="W658" s="1023"/>
      <c r="X658" s="1023"/>
      <c r="Y658" s="1023"/>
      <c r="Z658" s="1023"/>
      <c r="AA658" s="1481"/>
      <c r="AB658" s="1023"/>
      <c r="AC658" s="3617"/>
      <c r="AD658" s="521"/>
      <c r="AE658" s="1023"/>
      <c r="AF658" s="1023"/>
      <c r="AG658" s="1481"/>
      <c r="AH658" s="1481"/>
      <c r="AI658" s="1481"/>
      <c r="AJ658" s="1481"/>
      <c r="AK658" s="1481"/>
      <c r="AL658" s="1481"/>
      <c r="AM658" s="1481"/>
      <c r="AN658" s="1481"/>
      <c r="AO658" s="1481"/>
      <c r="AP658" s="1481"/>
      <c r="AQ658" s="1481"/>
      <c r="AR658" s="1481"/>
      <c r="AS658" s="1481"/>
      <c r="AT658" s="1481"/>
      <c r="AU658" s="1481"/>
      <c r="AV658" s="1481"/>
      <c r="AW658" s="1481"/>
      <c r="AX658" s="1481"/>
      <c r="AY658" s="1481"/>
      <c r="AZ658" s="1481"/>
      <c r="BA658" s="1481"/>
      <c r="BB658" s="1481"/>
      <c r="BC658" s="1481"/>
      <c r="BD658" s="1481"/>
      <c r="BE658" s="1481"/>
      <c r="BF658" s="1481"/>
      <c r="BG658" s="1481"/>
      <c r="BH658" s="1481"/>
      <c r="BI658" s="1481"/>
      <c r="BJ658" s="1481"/>
      <c r="BK658" s="1481"/>
      <c r="BL658" s="1481"/>
      <c r="BM658" s="1481"/>
      <c r="BN658" s="1481"/>
      <c r="BO658" s="1481"/>
      <c r="BP658" s="1481"/>
      <c r="BQ658" s="1481"/>
      <c r="BR658" s="1481"/>
      <c r="BS658" s="1481"/>
      <c r="BT658" s="1481"/>
      <c r="BU658" s="1481"/>
      <c r="BV658" s="1023"/>
      <c r="BW658" s="1023"/>
      <c r="BX658" s="1023"/>
      <c r="BY658" s="1023"/>
      <c r="BZ658" s="1023"/>
      <c r="CA658" s="1023"/>
      <c r="CB658" s="1023"/>
      <c r="CC658" s="1023"/>
      <c r="CD658" s="1023"/>
      <c r="CE658" s="1023"/>
    </row>
    <row r="659" spans="1:83" ht="5.25" hidden="1" customHeight="1">
      <c r="A659" s="1636"/>
      <c r="B659" s="1481"/>
      <c r="C659" s="1481"/>
      <c r="D659" s="3622"/>
      <c r="E659" s="909"/>
      <c r="F659" s="909"/>
      <c r="G659" s="909"/>
      <c r="H659" s="909"/>
      <c r="I659" s="909"/>
      <c r="J659" s="909"/>
      <c r="K659" s="909"/>
      <c r="L659" s="909"/>
      <c r="M659" s="909"/>
      <c r="N659" s="909"/>
      <c r="O659" s="909"/>
      <c r="P659" s="909"/>
      <c r="Q659" s="910"/>
      <c r="R659" s="911"/>
      <c r="S659" s="912"/>
      <c r="T659" s="607" t="s">
        <v>877</v>
      </c>
      <c r="U659" s="3532">
        <v>1</v>
      </c>
      <c r="V659" s="3532" t="s">
        <v>840</v>
      </c>
      <c r="W659" s="1481"/>
      <c r="X659" s="1481"/>
      <c r="Y659" s="1481"/>
      <c r="Z659" s="1481"/>
      <c r="AA659" s="1481"/>
      <c r="AB659" s="1481"/>
      <c r="AC659" s="907"/>
      <c r="AD659" s="908"/>
      <c r="AE659" s="1481"/>
      <c r="AF659" s="1481"/>
      <c r="AG659" s="1481"/>
      <c r="AH659" s="1481"/>
      <c r="AI659" s="1481"/>
      <c r="AJ659" s="1481"/>
      <c r="AK659" s="1481"/>
      <c r="AL659" s="1481"/>
      <c r="AM659" s="1481"/>
      <c r="AN659" s="1481"/>
      <c r="AO659" s="1481"/>
      <c r="AP659" s="1481"/>
      <c r="AQ659" s="1481"/>
      <c r="AR659" s="1481"/>
      <c r="AS659" s="1481"/>
      <c r="AT659" s="1481"/>
      <c r="AU659" s="1481"/>
      <c r="AV659" s="1481"/>
      <c r="AW659" s="1481"/>
      <c r="AX659" s="1481"/>
      <c r="AY659" s="1481"/>
      <c r="AZ659" s="1481"/>
      <c r="BA659" s="1481"/>
      <c r="BB659" s="1481"/>
      <c r="BC659" s="1481"/>
      <c r="BD659" s="1481"/>
      <c r="BE659" s="1481"/>
      <c r="BF659" s="1481"/>
      <c r="BG659" s="1481"/>
      <c r="BH659" s="1481"/>
      <c r="BI659" s="1481"/>
      <c r="BJ659" s="1481"/>
      <c r="BK659" s="1481"/>
      <c r="BL659" s="1481"/>
      <c r="BM659" s="1481"/>
      <c r="BN659" s="1481"/>
      <c r="BO659" s="1481"/>
      <c r="BP659" s="1481"/>
      <c r="BQ659" s="1481"/>
      <c r="BR659" s="1481"/>
      <c r="BS659" s="1481"/>
      <c r="BT659" s="1481"/>
      <c r="BU659" s="1481"/>
      <c r="BV659" s="1481"/>
      <c r="BW659" s="1481"/>
      <c r="BX659" s="1481"/>
      <c r="BY659" s="1481"/>
      <c r="BZ659" s="1481"/>
      <c r="CA659" s="1481"/>
      <c r="CB659" s="1481"/>
      <c r="CC659" s="1481"/>
      <c r="CD659" s="1481"/>
      <c r="CE659" s="1481"/>
    </row>
    <row r="660" spans="1:83" ht="5.25" hidden="1" customHeight="1">
      <c r="A660" s="1636"/>
      <c r="B660" s="1481"/>
      <c r="C660" s="1481"/>
      <c r="D660" s="3622"/>
      <c r="E660" s="527"/>
      <c r="F660" s="527"/>
      <c r="G660" s="527"/>
      <c r="H660" s="527"/>
      <c r="I660" s="527"/>
      <c r="J660" s="527"/>
      <c r="K660" s="527"/>
      <c r="L660" s="527"/>
      <c r="M660" s="527"/>
      <c r="N660" s="527"/>
      <c r="O660" s="527"/>
      <c r="P660" s="527"/>
      <c r="Q660" s="527"/>
      <c r="R660" s="527"/>
      <c r="S660" s="528"/>
      <c r="T660" s="608"/>
      <c r="U660" s="3532"/>
      <c r="V660" s="3532"/>
      <c r="W660" s="1481"/>
      <c r="X660" s="1481"/>
      <c r="Y660" s="1481"/>
      <c r="Z660" s="1481"/>
      <c r="AA660" s="1481"/>
      <c r="AB660" s="1481"/>
      <c r="AC660" s="907"/>
      <c r="AD660" s="908"/>
      <c r="AE660" s="1481"/>
      <c r="AF660" s="1481"/>
      <c r="AG660" s="1481"/>
      <c r="AH660" s="1481"/>
      <c r="AI660" s="1481"/>
      <c r="AJ660" s="1481"/>
      <c r="AK660" s="1481"/>
      <c r="AL660" s="1481"/>
      <c r="AM660" s="1481"/>
      <c r="AN660" s="1481"/>
      <c r="AO660" s="1481"/>
      <c r="AP660" s="1481"/>
      <c r="AQ660" s="1481"/>
      <c r="AR660" s="1481"/>
      <c r="AS660" s="1481"/>
      <c r="AT660" s="1481"/>
      <c r="AU660" s="1481"/>
      <c r="AV660" s="1481"/>
      <c r="AW660" s="1481"/>
      <c r="AX660" s="1481"/>
      <c r="AY660" s="1481"/>
      <c r="AZ660" s="1481"/>
      <c r="BA660" s="1481"/>
      <c r="BB660" s="1481"/>
      <c r="BC660" s="1481"/>
      <c r="BD660" s="1481"/>
      <c r="BE660" s="1481"/>
      <c r="BF660" s="1481"/>
      <c r="BG660" s="1481"/>
      <c r="BH660" s="1481"/>
      <c r="BI660" s="1481"/>
      <c r="BJ660" s="1481"/>
      <c r="BK660" s="1481"/>
      <c r="BL660" s="1481"/>
      <c r="BM660" s="1481"/>
      <c r="BN660" s="1481"/>
      <c r="BO660" s="1481"/>
      <c r="BP660" s="1481"/>
      <c r="BQ660" s="1481"/>
      <c r="BR660" s="1481"/>
      <c r="BS660" s="1481"/>
      <c r="BT660" s="1481"/>
      <c r="BU660" s="1481"/>
      <c r="BV660" s="1481"/>
      <c r="BW660" s="1481"/>
      <c r="BX660" s="1481"/>
      <c r="BY660" s="1481"/>
      <c r="BZ660" s="1481"/>
      <c r="CA660" s="1481"/>
      <c r="CB660" s="1481"/>
      <c r="CC660" s="1481"/>
      <c r="CD660" s="1481"/>
      <c r="CE660" s="1481"/>
    </row>
    <row r="661" spans="1:83" ht="5.25" hidden="1" customHeight="1">
      <c r="A661" s="1636"/>
      <c r="B661" s="1481"/>
      <c r="C661" s="1481"/>
      <c r="D661" s="3623"/>
      <c r="E661" s="913"/>
      <c r="F661" s="914"/>
      <c r="G661" s="914"/>
      <c r="H661" s="915"/>
      <c r="I661" s="915"/>
      <c r="J661" s="915"/>
      <c r="K661" s="915"/>
      <c r="L661" s="915"/>
      <c r="M661" s="915"/>
      <c r="N661" s="915"/>
      <c r="O661" s="915"/>
      <c r="P661" s="915"/>
      <c r="Q661" s="915"/>
      <c r="R661" s="818"/>
      <c r="S661" s="916"/>
      <c r="T661" s="608"/>
      <c r="U661" s="3532"/>
      <c r="V661" s="3532"/>
      <c r="W661" s="1481"/>
      <c r="X661" s="1481"/>
      <c r="Y661" s="1481"/>
      <c r="Z661" s="1481"/>
      <c r="AA661" s="1481"/>
      <c r="AB661" s="1481"/>
      <c r="AC661" s="907"/>
      <c r="AD661" s="908"/>
      <c r="AE661" s="1481"/>
      <c r="AF661" s="1481"/>
      <c r="AG661" s="1481"/>
      <c r="AH661" s="1481"/>
      <c r="AI661" s="1481"/>
      <c r="AJ661" s="1481"/>
      <c r="AK661" s="1481"/>
      <c r="AL661" s="1481"/>
      <c r="AM661" s="1481"/>
      <c r="AN661" s="1481"/>
      <c r="AO661" s="1481"/>
      <c r="AP661" s="1481"/>
      <c r="AQ661" s="1481"/>
      <c r="AR661" s="1481"/>
      <c r="AS661" s="1481"/>
      <c r="AT661" s="1481"/>
      <c r="AU661" s="1481"/>
      <c r="AV661" s="1481"/>
      <c r="AW661" s="1481"/>
      <c r="AX661" s="1481"/>
      <c r="AY661" s="1481"/>
      <c r="AZ661" s="1481"/>
      <c r="BA661" s="1481"/>
      <c r="BB661" s="1481"/>
      <c r="BC661" s="1481"/>
      <c r="BD661" s="1481"/>
      <c r="BE661" s="1481"/>
      <c r="BF661" s="1481"/>
      <c r="BG661" s="1481"/>
      <c r="BH661" s="1481"/>
      <c r="BI661" s="1481"/>
      <c r="BJ661" s="1481"/>
      <c r="BK661" s="1481"/>
      <c r="BL661" s="1481"/>
      <c r="BM661" s="1481"/>
      <c r="BN661" s="1481"/>
      <c r="BO661" s="1481"/>
      <c r="BP661" s="1481"/>
      <c r="BQ661" s="1481"/>
      <c r="BR661" s="1481"/>
      <c r="BS661" s="1481"/>
      <c r="BT661" s="1481"/>
      <c r="BU661" s="1481"/>
      <c r="BV661" s="1481"/>
      <c r="BW661" s="1481"/>
      <c r="BX661" s="1481"/>
      <c r="BY661" s="1481"/>
      <c r="BZ661" s="1481"/>
      <c r="CA661" s="1481"/>
      <c r="CB661" s="1481"/>
      <c r="CC661" s="1481"/>
      <c r="CD661" s="1481"/>
      <c r="CE661" s="1481"/>
    </row>
    <row r="662" spans="1:83" ht="15" hidden="1" customHeight="1">
      <c r="A662" s="516" t="s">
        <v>326</v>
      </c>
      <c r="B662"/>
      <c r="C662" t="s">
        <v>18</v>
      </c>
      <c r="D662" s="3621" t="s">
        <v>951</v>
      </c>
      <c r="E662" s="3618" t="s">
        <v>102</v>
      </c>
      <c r="F662" s="3619"/>
      <c r="G662" s="3620"/>
      <c r="H662" s="3614" t="str">
        <f>IF(A662="","",INDEX(DIFFERENTIATION_UNMERGE_VD,MATCH(A662,DIFFERENTIATION_ID_DIFF,0)))</f>
        <v>Производство тепловой энергии. Некомбинированная выработка</v>
      </c>
      <c r="I662" s="3614"/>
      <c r="J662" s="3614"/>
      <c r="K662" s="3614"/>
      <c r="L662" s="3614"/>
      <c r="M662" s="3614"/>
      <c r="N662" s="3614"/>
      <c r="O662" s="3614"/>
      <c r="P662" s="3614"/>
      <c r="Q662" s="3614"/>
      <c r="R662" s="3614"/>
      <c r="S662" s="609"/>
      <c r="T662" s="606"/>
      <c r="U662" s="517"/>
      <c r="V662" s="517"/>
      <c r="W662" s="518"/>
      <c r="X662" s="518"/>
      <c r="Y662" s="518"/>
      <c r="Z662" s="518"/>
      <c r="AA662" s="519"/>
      <c r="AB662" s="520"/>
      <c r="AC662" s="3617"/>
      <c r="AD662" s="521"/>
      <c r="AE662" s="522" t="s">
        <v>18</v>
      </c>
      <c r="AF662" s="522"/>
      <c r="AG662" s="523" t="s">
        <v>874</v>
      </c>
      <c r="AH662" s="524">
        <v>3</v>
      </c>
      <c r="AI662" s="517"/>
      <c r="AJ662" s="517"/>
      <c r="AK662" s="517"/>
      <c r="AL662" s="517"/>
      <c r="AM662" s="517"/>
      <c r="AN662" s="517"/>
      <c r="AO662" s="517"/>
      <c r="AP662" s="517"/>
      <c r="AQ662" s="517"/>
      <c r="AR662" s="517"/>
      <c r="AS662" s="517"/>
      <c r="AT662" s="517"/>
      <c r="AU662" s="517"/>
      <c r="AV662" s="517"/>
      <c r="AW662" s="517"/>
      <c r="AX662" s="517"/>
      <c r="AY662" s="517"/>
      <c r="AZ662" s="517"/>
      <c r="BA662" s="517"/>
      <c r="BB662" s="517"/>
      <c r="BC662" s="517"/>
      <c r="BD662" s="517"/>
      <c r="BE662" s="517"/>
      <c r="BF662" s="517"/>
      <c r="BG662" s="517"/>
      <c r="BH662" s="517"/>
      <c r="BI662" s="517"/>
      <c r="BJ662" s="517"/>
      <c r="BK662" s="517"/>
      <c r="BL662" s="517"/>
      <c r="BM662" s="517"/>
      <c r="BN662" s="517"/>
      <c r="BO662" s="517"/>
      <c r="BP662" s="517"/>
      <c r="BQ662" s="517"/>
      <c r="BR662" s="517"/>
      <c r="BS662" s="517"/>
      <c r="BT662" s="517"/>
      <c r="BU662" s="517"/>
      <c r="BV662" s="518"/>
      <c r="BW662" s="518"/>
      <c r="BX662" s="518"/>
      <c r="BY662" s="518"/>
      <c r="BZ662" s="518"/>
      <c r="CA662" s="518"/>
      <c r="CB662" s="518"/>
      <c r="CC662" s="518"/>
      <c r="CD662" s="518"/>
      <c r="CE662" s="518"/>
    </row>
    <row r="663" spans="1:83" ht="15" hidden="1" customHeight="1">
      <c r="A663" s="516"/>
      <c r="B663"/>
      <c r="C663"/>
      <c r="D663" s="3622"/>
      <c r="E663" s="3618" t="s">
        <v>829</v>
      </c>
      <c r="F663" s="3619"/>
      <c r="G663" s="3620"/>
      <c r="H663" s="3614" t="str">
        <f>IF(A662="","",INDEX(DIFFERENTIATION_UNMERGE_AREA,MATCH(A662,DIFFERENTIATION_ID_DIFF,0)))</f>
        <v>Территория 1</v>
      </c>
      <c r="I663" s="3614"/>
      <c r="J663" s="3614"/>
      <c r="K663" s="3614"/>
      <c r="L663" s="3614"/>
      <c r="M663" s="3614"/>
      <c r="N663" s="3614"/>
      <c r="O663" s="3614"/>
      <c r="P663" s="3614"/>
      <c r="Q663" s="3614"/>
      <c r="R663" s="3614"/>
      <c r="S663" s="609"/>
      <c r="T663" s="606"/>
      <c r="U663" s="517"/>
      <c r="V663" s="517"/>
      <c r="W663" s="518"/>
      <c r="X663" s="518"/>
      <c r="Y663" s="518"/>
      <c r="Z663" s="518"/>
      <c r="AA663" s="519"/>
      <c r="AB663" s="520"/>
      <c r="AC663" s="3617"/>
      <c r="AD663" s="521"/>
      <c r="AE663" s="522"/>
      <c r="AF663" s="522"/>
      <c r="AG663" s="523"/>
      <c r="AH663" s="524"/>
      <c r="AI663" s="517"/>
      <c r="AJ663" s="517"/>
      <c r="AK663" s="517"/>
      <c r="AL663" s="517"/>
      <c r="AM663" s="517"/>
      <c r="AN663" s="517"/>
      <c r="AO663" s="517"/>
      <c r="AP663" s="517"/>
      <c r="AQ663" s="517"/>
      <c r="AR663" s="517"/>
      <c r="AS663" s="517"/>
      <c r="AT663" s="517"/>
      <c r="AU663" s="517"/>
      <c r="AV663" s="517"/>
      <c r="AW663" s="517"/>
      <c r="AX663" s="517"/>
      <c r="AY663" s="517"/>
      <c r="AZ663" s="517"/>
      <c r="BA663" s="517"/>
      <c r="BB663" s="517"/>
      <c r="BC663" s="517"/>
      <c r="BD663" s="517"/>
      <c r="BE663" s="517"/>
      <c r="BF663" s="517"/>
      <c r="BG663" s="517"/>
      <c r="BH663" s="517"/>
      <c r="BI663" s="517"/>
      <c r="BJ663" s="517"/>
      <c r="BK663" s="517"/>
      <c r="BL663" s="517"/>
      <c r="BM663" s="517"/>
      <c r="BN663" s="517"/>
      <c r="BO663" s="517"/>
      <c r="BP663" s="517"/>
      <c r="BQ663" s="517"/>
      <c r="BR663" s="517"/>
      <c r="BS663" s="517"/>
      <c r="BT663" s="517"/>
      <c r="BU663" s="517"/>
      <c r="BV663" s="518"/>
      <c r="BW663" s="518"/>
      <c r="BX663" s="518"/>
      <c r="BY663" s="518"/>
      <c r="BZ663" s="518"/>
      <c r="CA663" s="518"/>
      <c r="CB663" s="518"/>
      <c r="CC663" s="518"/>
      <c r="CD663" s="518"/>
      <c r="CE663" s="518"/>
    </row>
    <row r="664" spans="1:83" ht="15" hidden="1" customHeight="1">
      <c r="A664" s="516"/>
      <c r="B664"/>
      <c r="C664"/>
      <c r="D664" s="3622"/>
      <c r="E664" s="3618" t="s">
        <v>830</v>
      </c>
      <c r="F664" s="3619"/>
      <c r="G664" s="3620"/>
      <c r="H664" s="3614" t="str">
        <f>IF(A662="","",INDEX(DIFFERENTIATION_UNMERGE_SYSTEM,MATCH(A662,DIFFERENTIATION_ID_DIFF,0)))</f>
        <v>Тургенева, 50а</v>
      </c>
      <c r="I664" s="3614"/>
      <c r="J664" s="3614"/>
      <c r="K664" s="3614"/>
      <c r="L664" s="3614"/>
      <c r="M664" s="3614"/>
      <c r="N664" s="3614"/>
      <c r="O664" s="3614"/>
      <c r="P664" s="3614"/>
      <c r="Q664" s="3614"/>
      <c r="R664" s="3614"/>
      <c r="S664" s="609"/>
      <c r="T664" s="606"/>
      <c r="U664" s="517"/>
      <c r="V664" s="517"/>
      <c r="W664" s="518"/>
      <c r="X664" s="518"/>
      <c r="Y664" s="518"/>
      <c r="Z664" s="518"/>
      <c r="AA664" s="519"/>
      <c r="AB664" s="520"/>
      <c r="AC664" s="3617"/>
      <c r="AD664" s="521"/>
      <c r="AE664" s="522"/>
      <c r="AF664" s="522"/>
      <c r="AG664" s="523"/>
      <c r="AH664" s="524"/>
      <c r="AI664" s="517"/>
      <c r="AJ664" s="517"/>
      <c r="AK664" s="517"/>
      <c r="AL664" s="517"/>
      <c r="AM664" s="517"/>
      <c r="AN664" s="517"/>
      <c r="AO664" s="517"/>
      <c r="AP664" s="517"/>
      <c r="AQ664" s="517"/>
      <c r="AR664" s="517"/>
      <c r="AS664" s="517"/>
      <c r="AT664" s="517"/>
      <c r="AU664" s="517"/>
      <c r="AV664" s="517"/>
      <c r="AW664" s="517"/>
      <c r="AX664" s="517"/>
      <c r="AY664" s="517"/>
      <c r="AZ664" s="517"/>
      <c r="BA664" s="517"/>
      <c r="BB664" s="517"/>
      <c r="BC664" s="517"/>
      <c r="BD664" s="517"/>
      <c r="BE664" s="517"/>
      <c r="BF664" s="517"/>
      <c r="BG664" s="517"/>
      <c r="BH664" s="517"/>
      <c r="BI664" s="517"/>
      <c r="BJ664" s="517"/>
      <c r="BK664" s="517"/>
      <c r="BL664" s="517"/>
      <c r="BM664" s="517"/>
      <c r="BN664" s="517"/>
      <c r="BO664" s="517"/>
      <c r="BP664" s="517"/>
      <c r="BQ664" s="517"/>
      <c r="BR664" s="517"/>
      <c r="BS664" s="517"/>
      <c r="BT664" s="517"/>
      <c r="BU664" s="517"/>
      <c r="BV664" s="518"/>
      <c r="BW664" s="518"/>
      <c r="BX664" s="518"/>
      <c r="BY664" s="518"/>
      <c r="BZ664" s="518"/>
      <c r="CA664" s="518"/>
      <c r="CB664" s="518"/>
      <c r="CC664" s="518"/>
      <c r="CD664" s="518"/>
      <c r="CE664" s="518"/>
    </row>
    <row r="665" spans="1:83" ht="24.75" hidden="1" customHeight="1">
      <c r="A665" s="1649"/>
      <c r="B665" s="1023"/>
      <c r="C665" s="319"/>
      <c r="D665" s="3622"/>
      <c r="E665" s="3616" t="s">
        <v>875</v>
      </c>
      <c r="F665" s="3616"/>
      <c r="G665" s="3616"/>
      <c r="H665" s="3616"/>
      <c r="I665" s="3616"/>
      <c r="J665" s="3616"/>
      <c r="K665" s="3616"/>
      <c r="L665" s="3616"/>
      <c r="M665" s="3616"/>
      <c r="N665" s="3616"/>
      <c r="O665" s="3616"/>
      <c r="P665" s="3616"/>
      <c r="Q665" s="455">
        <f>SUMIF(T666:T667,"i",Q666:Q667)</f>
        <v>0</v>
      </c>
      <c r="R665" s="887"/>
      <c r="S665" s="1641" t="s">
        <v>876</v>
      </c>
      <c r="T665" s="607" t="s">
        <v>877</v>
      </c>
      <c r="U665" s="3532">
        <v>1</v>
      </c>
      <c r="V665" s="3532" t="s">
        <v>840</v>
      </c>
      <c r="W665" s="1023"/>
      <c r="X665" s="1023"/>
      <c r="Y665" s="1023"/>
      <c r="Z665" s="1023"/>
      <c r="AA665" s="1481"/>
      <c r="AB665" s="1023"/>
      <c r="AC665" s="3617"/>
      <c r="AD665" s="521"/>
      <c r="AE665" s="1023"/>
      <c r="AF665" s="1023"/>
      <c r="AG665" s="1481"/>
      <c r="AH665" s="1481"/>
      <c r="AI665" s="1481"/>
      <c r="AJ665" s="1481"/>
      <c r="AK665" s="1481"/>
      <c r="AL665" s="1481"/>
      <c r="AM665" s="1481"/>
      <c r="AN665" s="1481"/>
      <c r="AO665" s="1481"/>
      <c r="AP665" s="1481"/>
      <c r="AQ665" s="1481"/>
      <c r="AR665" s="1481"/>
      <c r="AS665" s="1481"/>
      <c r="AT665" s="1481"/>
      <c r="AU665" s="1481"/>
      <c r="AV665" s="1481"/>
      <c r="AW665" s="1481"/>
      <c r="AX665" s="1481"/>
      <c r="AY665" s="1481"/>
      <c r="AZ665" s="1481"/>
      <c r="BA665" s="1481"/>
      <c r="BB665" s="1481"/>
      <c r="BC665" s="1481"/>
      <c r="BD665" s="1481"/>
      <c r="BE665" s="1481"/>
      <c r="BF665" s="1481"/>
      <c r="BG665" s="1481"/>
      <c r="BH665" s="1481"/>
      <c r="BI665" s="1481"/>
      <c r="BJ665" s="1481"/>
      <c r="BK665" s="1481"/>
      <c r="BL665" s="1481"/>
      <c r="BM665" s="1481"/>
      <c r="BN665" s="1481"/>
      <c r="BO665" s="1481"/>
      <c r="BP665" s="1481"/>
      <c r="BQ665" s="1481"/>
      <c r="BR665" s="1481"/>
      <c r="BS665" s="1481"/>
      <c r="BT665" s="1481"/>
      <c r="BU665" s="1481"/>
      <c r="BV665" s="1023"/>
      <c r="BW665" s="1023"/>
      <c r="BX665" s="1023"/>
      <c r="BY665" s="1023"/>
      <c r="BZ665" s="1023"/>
      <c r="CA665" s="1023"/>
      <c r="CB665" s="1023"/>
      <c r="CC665" s="1023"/>
      <c r="CD665" s="1023"/>
      <c r="CE665" s="1023"/>
    </row>
    <row r="666" spans="1:83" ht="11.25" hidden="1" customHeight="1">
      <c r="A666" s="1636"/>
      <c r="B666" s="1481"/>
      <c r="C666" s="1481"/>
      <c r="D666" s="3622"/>
      <c r="E666" s="527"/>
      <c r="F666" s="527">
        <v>0</v>
      </c>
      <c r="G666" s="527"/>
      <c r="H666" s="527"/>
      <c r="I666" s="527"/>
      <c r="J666" s="527"/>
      <c r="K666" s="527"/>
      <c r="L666" s="527"/>
      <c r="M666" s="527"/>
      <c r="N666" s="527"/>
      <c r="O666" s="527"/>
      <c r="P666" s="527"/>
      <c r="Q666" s="527"/>
      <c r="R666" s="527"/>
      <c r="S666" s="528"/>
      <c r="T666" s="608"/>
      <c r="U666" s="3532"/>
      <c r="V666" s="3532"/>
      <c r="W666" s="1481"/>
      <c r="X666" s="1481"/>
      <c r="Y666" s="1481"/>
      <c r="Z666" s="1481"/>
      <c r="AA666" s="1481"/>
      <c r="AB666" s="1023"/>
      <c r="AC666" s="3617"/>
      <c r="AD666" s="521"/>
      <c r="AE666" s="1023"/>
      <c r="AF666" s="1023"/>
      <c r="AG666" s="1481"/>
      <c r="AH666" s="1481"/>
      <c r="AI666" s="1481"/>
      <c r="AJ666" s="1481"/>
      <c r="AK666" s="1481"/>
      <c r="AL666" s="1481"/>
      <c r="AM666" s="1481"/>
      <c r="AN666" s="1481"/>
      <c r="AO666" s="1481"/>
      <c r="AP666" s="1481"/>
      <c r="AQ666" s="1481"/>
      <c r="AR666" s="1481"/>
      <c r="AS666" s="1481"/>
      <c r="AT666" s="1481"/>
      <c r="AU666" s="1481"/>
      <c r="AV666" s="1481"/>
      <c r="AW666" s="1481"/>
      <c r="AX666" s="1481"/>
      <c r="AY666" s="1481"/>
      <c r="AZ666" s="1481"/>
      <c r="BA666" s="1481"/>
      <c r="BB666" s="1481"/>
      <c r="BC666" s="1481"/>
      <c r="BD666" s="1481"/>
      <c r="BE666" s="1481"/>
      <c r="BF666" s="1481"/>
      <c r="BG666" s="1481"/>
      <c r="BH666" s="1481"/>
      <c r="BI666" s="1481"/>
      <c r="BJ666" s="1481"/>
      <c r="BK666" s="1481"/>
      <c r="BL666" s="1481"/>
      <c r="BM666" s="1481"/>
      <c r="BN666" s="1481"/>
      <c r="BO666" s="1481"/>
      <c r="BP666" s="1481"/>
      <c r="BQ666" s="1481"/>
      <c r="BR666" s="1481"/>
      <c r="BS666" s="1481"/>
      <c r="BT666" s="1481"/>
      <c r="BU666" s="1481"/>
      <c r="BV666" s="1481"/>
      <c r="BW666" s="1481"/>
      <c r="BX666" s="1481"/>
      <c r="BY666" s="1481"/>
      <c r="BZ666" s="1481"/>
      <c r="CA666" s="1481"/>
      <c r="CB666" s="1481"/>
      <c r="CC666" s="1481"/>
      <c r="CD666" s="1481"/>
      <c r="CE666" s="1481"/>
    </row>
    <row r="667" spans="1:83" ht="11.25" hidden="1" customHeight="1">
      <c r="A667" s="1649"/>
      <c r="B667" s="1023"/>
      <c r="C667" s="319"/>
      <c r="D667" s="3622"/>
      <c r="E667" s="541" t="s">
        <v>18</v>
      </c>
      <c r="F667" s="1031" t="s">
        <v>18</v>
      </c>
      <c r="G667" s="1031" t="s">
        <v>880</v>
      </c>
      <c r="H667" s="543" t="s">
        <v>18</v>
      </c>
      <c r="I667" s="543"/>
      <c r="J667" s="543"/>
      <c r="K667" s="543"/>
      <c r="L667" s="543"/>
      <c r="M667" s="543"/>
      <c r="N667" s="543"/>
      <c r="O667" s="543"/>
      <c r="P667" s="543"/>
      <c r="Q667" s="543"/>
      <c r="R667" s="544"/>
      <c r="S667" s="545"/>
      <c r="T667" s="608"/>
      <c r="U667" s="3532"/>
      <c r="V667" s="3532"/>
      <c r="W667" s="1023"/>
      <c r="X667" s="1023"/>
      <c r="Y667" s="1023"/>
      <c r="Z667" s="1023"/>
      <c r="AA667" s="1481"/>
      <c r="AB667" s="1023"/>
      <c r="AC667" s="3617"/>
      <c r="AD667" s="521"/>
      <c r="AE667" s="1023"/>
      <c r="AF667" s="1023"/>
      <c r="AG667" s="1481"/>
      <c r="AH667" s="1481"/>
      <c r="AI667" s="1481"/>
      <c r="AJ667" s="1481"/>
      <c r="AK667" s="1481"/>
      <c r="AL667" s="1481"/>
      <c r="AM667" s="1481"/>
      <c r="AN667" s="1481"/>
      <c r="AO667" s="1481"/>
      <c r="AP667" s="1481"/>
      <c r="AQ667" s="1481"/>
      <c r="AR667" s="1481"/>
      <c r="AS667" s="1481"/>
      <c r="AT667" s="1481"/>
      <c r="AU667" s="1481"/>
      <c r="AV667" s="1481"/>
      <c r="AW667" s="1481"/>
      <c r="AX667" s="1481"/>
      <c r="AY667" s="1481"/>
      <c r="AZ667" s="1481"/>
      <c r="BA667" s="1481"/>
      <c r="BB667" s="1481"/>
      <c r="BC667" s="1481"/>
      <c r="BD667" s="1481"/>
      <c r="BE667" s="1481"/>
      <c r="BF667" s="1481"/>
      <c r="BG667" s="1481"/>
      <c r="BH667" s="1481"/>
      <c r="BI667" s="1481"/>
      <c r="BJ667" s="1481"/>
      <c r="BK667" s="1481"/>
      <c r="BL667" s="1481"/>
      <c r="BM667" s="1481"/>
      <c r="BN667" s="1481"/>
      <c r="BO667" s="1481"/>
      <c r="BP667" s="1481"/>
      <c r="BQ667" s="1481"/>
      <c r="BR667" s="1481"/>
      <c r="BS667" s="1481"/>
      <c r="BT667" s="1481"/>
      <c r="BU667" s="1481"/>
      <c r="BV667" s="1023"/>
      <c r="BW667" s="1023"/>
      <c r="BX667" s="1023"/>
      <c r="BY667" s="1023"/>
      <c r="BZ667" s="1023"/>
      <c r="CA667" s="1023"/>
      <c r="CB667" s="1023"/>
      <c r="CC667" s="1023"/>
      <c r="CD667" s="1023"/>
      <c r="CE667" s="1023"/>
    </row>
    <row r="668" spans="1:83" ht="5.25" hidden="1" customHeight="1">
      <c r="A668" s="1636"/>
      <c r="B668" s="1481"/>
      <c r="C668" s="1481"/>
      <c r="D668" s="3622"/>
      <c r="E668" s="909"/>
      <c r="F668" s="909"/>
      <c r="G668" s="909"/>
      <c r="H668" s="909"/>
      <c r="I668" s="909"/>
      <c r="J668" s="909"/>
      <c r="K668" s="909"/>
      <c r="L668" s="909"/>
      <c r="M668" s="909"/>
      <c r="N668" s="909"/>
      <c r="O668" s="909"/>
      <c r="P668" s="909"/>
      <c r="Q668" s="910"/>
      <c r="R668" s="911"/>
      <c r="S668" s="912"/>
      <c r="T668" s="607" t="s">
        <v>877</v>
      </c>
      <c r="U668" s="3532">
        <v>1</v>
      </c>
      <c r="V668" s="3532" t="s">
        <v>840</v>
      </c>
      <c r="W668" s="1481"/>
      <c r="X668" s="1481"/>
      <c r="Y668" s="1481"/>
      <c r="Z668" s="1481"/>
      <c r="AA668" s="1481"/>
      <c r="AB668" s="1481"/>
      <c r="AC668" s="907"/>
      <c r="AD668" s="908"/>
      <c r="AE668" s="1481"/>
      <c r="AF668" s="1481"/>
      <c r="AG668" s="1481"/>
      <c r="AH668" s="1481"/>
      <c r="AI668" s="1481"/>
      <c r="AJ668" s="1481"/>
      <c r="AK668" s="1481"/>
      <c r="AL668" s="1481"/>
      <c r="AM668" s="1481"/>
      <c r="AN668" s="1481"/>
      <c r="AO668" s="1481"/>
      <c r="AP668" s="1481"/>
      <c r="AQ668" s="1481"/>
      <c r="AR668" s="1481"/>
      <c r="AS668" s="1481"/>
      <c r="AT668" s="1481"/>
      <c r="AU668" s="1481"/>
      <c r="AV668" s="1481"/>
      <c r="AW668" s="1481"/>
      <c r="AX668" s="1481"/>
      <c r="AY668" s="1481"/>
      <c r="AZ668" s="1481"/>
      <c r="BA668" s="1481"/>
      <c r="BB668" s="1481"/>
      <c r="BC668" s="1481"/>
      <c r="BD668" s="1481"/>
      <c r="BE668" s="1481"/>
      <c r="BF668" s="1481"/>
      <c r="BG668" s="1481"/>
      <c r="BH668" s="1481"/>
      <c r="BI668" s="1481"/>
      <c r="BJ668" s="1481"/>
      <c r="BK668" s="1481"/>
      <c r="BL668" s="1481"/>
      <c r="BM668" s="1481"/>
      <c r="BN668" s="1481"/>
      <c r="BO668" s="1481"/>
      <c r="BP668" s="1481"/>
      <c r="BQ668" s="1481"/>
      <c r="BR668" s="1481"/>
      <c r="BS668" s="1481"/>
      <c r="BT668" s="1481"/>
      <c r="BU668" s="1481"/>
      <c r="BV668" s="1481"/>
      <c r="BW668" s="1481"/>
      <c r="BX668" s="1481"/>
      <c r="BY668" s="1481"/>
      <c r="BZ668" s="1481"/>
      <c r="CA668" s="1481"/>
      <c r="CB668" s="1481"/>
      <c r="CC668" s="1481"/>
      <c r="CD668" s="1481"/>
      <c r="CE668" s="1481"/>
    </row>
    <row r="669" spans="1:83" ht="5.25" hidden="1" customHeight="1">
      <c r="A669" s="1636"/>
      <c r="B669" s="1481"/>
      <c r="C669" s="1481"/>
      <c r="D669" s="3622"/>
      <c r="E669" s="527"/>
      <c r="F669" s="527"/>
      <c r="G669" s="527"/>
      <c r="H669" s="527"/>
      <c r="I669" s="527"/>
      <c r="J669" s="527"/>
      <c r="K669" s="527"/>
      <c r="L669" s="527"/>
      <c r="M669" s="527"/>
      <c r="N669" s="527"/>
      <c r="O669" s="527"/>
      <c r="P669" s="527"/>
      <c r="Q669" s="527"/>
      <c r="R669" s="527"/>
      <c r="S669" s="528"/>
      <c r="T669" s="608"/>
      <c r="U669" s="3532"/>
      <c r="V669" s="3532"/>
      <c r="W669" s="1481"/>
      <c r="X669" s="1481"/>
      <c r="Y669" s="1481"/>
      <c r="Z669" s="1481"/>
      <c r="AA669" s="1481"/>
      <c r="AB669" s="1481"/>
      <c r="AC669" s="907"/>
      <c r="AD669" s="908"/>
      <c r="AE669" s="1481"/>
      <c r="AF669" s="1481"/>
      <c r="AG669" s="1481"/>
      <c r="AH669" s="1481"/>
      <c r="AI669" s="1481"/>
      <c r="AJ669" s="1481"/>
      <c r="AK669" s="1481"/>
      <c r="AL669" s="1481"/>
      <c r="AM669" s="1481"/>
      <c r="AN669" s="1481"/>
      <c r="AO669" s="1481"/>
      <c r="AP669" s="1481"/>
      <c r="AQ669" s="1481"/>
      <c r="AR669" s="1481"/>
      <c r="AS669" s="1481"/>
      <c r="AT669" s="1481"/>
      <c r="AU669" s="1481"/>
      <c r="AV669" s="1481"/>
      <c r="AW669" s="1481"/>
      <c r="AX669" s="1481"/>
      <c r="AY669" s="1481"/>
      <c r="AZ669" s="1481"/>
      <c r="BA669" s="1481"/>
      <c r="BB669" s="1481"/>
      <c r="BC669" s="1481"/>
      <c r="BD669" s="1481"/>
      <c r="BE669" s="1481"/>
      <c r="BF669" s="1481"/>
      <c r="BG669" s="1481"/>
      <c r="BH669" s="1481"/>
      <c r="BI669" s="1481"/>
      <c r="BJ669" s="1481"/>
      <c r="BK669" s="1481"/>
      <c r="BL669" s="1481"/>
      <c r="BM669" s="1481"/>
      <c r="BN669" s="1481"/>
      <c r="BO669" s="1481"/>
      <c r="BP669" s="1481"/>
      <c r="BQ669" s="1481"/>
      <c r="BR669" s="1481"/>
      <c r="BS669" s="1481"/>
      <c r="BT669" s="1481"/>
      <c r="BU669" s="1481"/>
      <c r="BV669" s="1481"/>
      <c r="BW669" s="1481"/>
      <c r="BX669" s="1481"/>
      <c r="BY669" s="1481"/>
      <c r="BZ669" s="1481"/>
      <c r="CA669" s="1481"/>
      <c r="CB669" s="1481"/>
      <c r="CC669" s="1481"/>
      <c r="CD669" s="1481"/>
      <c r="CE669" s="1481"/>
    </row>
    <row r="670" spans="1:83" ht="5.25" hidden="1" customHeight="1">
      <c r="A670" s="1636"/>
      <c r="B670" s="1481"/>
      <c r="C670" s="1481"/>
      <c r="D670" s="3623"/>
      <c r="E670" s="913"/>
      <c r="F670" s="914"/>
      <c r="G670" s="914"/>
      <c r="H670" s="915"/>
      <c r="I670" s="915"/>
      <c r="J670" s="915"/>
      <c r="K670" s="915"/>
      <c r="L670" s="915"/>
      <c r="M670" s="915"/>
      <c r="N670" s="915"/>
      <c r="O670" s="915"/>
      <c r="P670" s="915"/>
      <c r="Q670" s="915"/>
      <c r="R670" s="818"/>
      <c r="S670" s="916"/>
      <c r="T670" s="608"/>
      <c r="U670" s="3532"/>
      <c r="V670" s="3532"/>
      <c r="W670" s="1481"/>
      <c r="X670" s="1481"/>
      <c r="Y670" s="1481"/>
      <c r="Z670" s="1481"/>
      <c r="AA670" s="1481"/>
      <c r="AB670" s="1481"/>
      <c r="AC670" s="907"/>
      <c r="AD670" s="908"/>
      <c r="AE670" s="1481"/>
      <c r="AF670" s="1481"/>
      <c r="AG670" s="1481"/>
      <c r="AH670" s="1481"/>
      <c r="AI670" s="1481"/>
      <c r="AJ670" s="1481"/>
      <c r="AK670" s="1481"/>
      <c r="AL670" s="1481"/>
      <c r="AM670" s="1481"/>
      <c r="AN670" s="1481"/>
      <c r="AO670" s="1481"/>
      <c r="AP670" s="1481"/>
      <c r="AQ670" s="1481"/>
      <c r="AR670" s="1481"/>
      <c r="AS670" s="1481"/>
      <c r="AT670" s="1481"/>
      <c r="AU670" s="1481"/>
      <c r="AV670" s="1481"/>
      <c r="AW670" s="1481"/>
      <c r="AX670" s="1481"/>
      <c r="AY670" s="1481"/>
      <c r="AZ670" s="1481"/>
      <c r="BA670" s="1481"/>
      <c r="BB670" s="1481"/>
      <c r="BC670" s="1481"/>
      <c r="BD670" s="1481"/>
      <c r="BE670" s="1481"/>
      <c r="BF670" s="1481"/>
      <c r="BG670" s="1481"/>
      <c r="BH670" s="1481"/>
      <c r="BI670" s="1481"/>
      <c r="BJ670" s="1481"/>
      <c r="BK670" s="1481"/>
      <c r="BL670" s="1481"/>
      <c r="BM670" s="1481"/>
      <c r="BN670" s="1481"/>
      <c r="BO670" s="1481"/>
      <c r="BP670" s="1481"/>
      <c r="BQ670" s="1481"/>
      <c r="BR670" s="1481"/>
      <c r="BS670" s="1481"/>
      <c r="BT670" s="1481"/>
      <c r="BU670" s="1481"/>
      <c r="BV670" s="1481"/>
      <c r="BW670" s="1481"/>
      <c r="BX670" s="1481"/>
      <c r="BY670" s="1481"/>
      <c r="BZ670" s="1481"/>
      <c r="CA670" s="1481"/>
      <c r="CB670" s="1481"/>
      <c r="CC670" s="1481"/>
      <c r="CD670" s="1481"/>
      <c r="CE670" s="1481"/>
    </row>
    <row r="671" spans="1:83" ht="15" hidden="1" customHeight="1">
      <c r="A671" s="516" t="s">
        <v>329</v>
      </c>
      <c r="B671"/>
      <c r="C671" t="s">
        <v>18</v>
      </c>
      <c r="D671" s="3621" t="s">
        <v>952</v>
      </c>
      <c r="E671" s="3618" t="s">
        <v>102</v>
      </c>
      <c r="F671" s="3619"/>
      <c r="G671" s="3620"/>
      <c r="H671" s="3614" t="str">
        <f>IF(A671="","",INDEX(DIFFERENTIATION_UNMERGE_VD,MATCH(A671,DIFFERENTIATION_ID_DIFF,0)))</f>
        <v>Производство тепловой энергии. Некомбинированная выработка</v>
      </c>
      <c r="I671" s="3614"/>
      <c r="J671" s="3614"/>
      <c r="K671" s="3614"/>
      <c r="L671" s="3614"/>
      <c r="M671" s="3614"/>
      <c r="N671" s="3614"/>
      <c r="O671" s="3614"/>
      <c r="P671" s="3614"/>
      <c r="Q671" s="3614"/>
      <c r="R671" s="3614"/>
      <c r="S671" s="609"/>
      <c r="T671" s="606"/>
      <c r="U671" s="517"/>
      <c r="V671" s="517"/>
      <c r="W671" s="518"/>
      <c r="X671" s="518"/>
      <c r="Y671" s="518"/>
      <c r="Z671" s="518"/>
      <c r="AA671" s="519"/>
      <c r="AB671" s="520"/>
      <c r="AC671" s="3617"/>
      <c r="AD671" s="521"/>
      <c r="AE671" s="522" t="s">
        <v>18</v>
      </c>
      <c r="AF671" s="522"/>
      <c r="AG671" s="523" t="s">
        <v>874</v>
      </c>
      <c r="AH671" s="524">
        <v>3</v>
      </c>
      <c r="AI671" s="517"/>
      <c r="AJ671" s="517"/>
      <c r="AK671" s="517"/>
      <c r="AL671" s="517"/>
      <c r="AM671" s="517"/>
      <c r="AN671" s="517"/>
      <c r="AO671" s="517"/>
      <c r="AP671" s="517"/>
      <c r="AQ671" s="517"/>
      <c r="AR671" s="517"/>
      <c r="AS671" s="517"/>
      <c r="AT671" s="517"/>
      <c r="AU671" s="517"/>
      <c r="AV671" s="517"/>
      <c r="AW671" s="517"/>
      <c r="AX671" s="517"/>
      <c r="AY671" s="517"/>
      <c r="AZ671" s="517"/>
      <c r="BA671" s="517"/>
      <c r="BB671" s="517"/>
      <c r="BC671" s="517"/>
      <c r="BD671" s="517"/>
      <c r="BE671" s="517"/>
      <c r="BF671" s="517"/>
      <c r="BG671" s="517"/>
      <c r="BH671" s="517"/>
      <c r="BI671" s="517"/>
      <c r="BJ671" s="517"/>
      <c r="BK671" s="517"/>
      <c r="BL671" s="517"/>
      <c r="BM671" s="517"/>
      <c r="BN671" s="517"/>
      <c r="BO671" s="517"/>
      <c r="BP671" s="517"/>
      <c r="BQ671" s="517"/>
      <c r="BR671" s="517"/>
      <c r="BS671" s="517"/>
      <c r="BT671" s="517"/>
      <c r="BU671" s="517"/>
      <c r="BV671" s="518"/>
      <c r="BW671" s="518"/>
      <c r="BX671" s="518"/>
      <c r="BY671" s="518"/>
      <c r="BZ671" s="518"/>
      <c r="CA671" s="518"/>
      <c r="CB671" s="518"/>
      <c r="CC671" s="518"/>
      <c r="CD671" s="518"/>
      <c r="CE671" s="518"/>
    </row>
    <row r="672" spans="1:83" ht="15" hidden="1" customHeight="1">
      <c r="A672" s="516"/>
      <c r="B672"/>
      <c r="C672"/>
      <c r="D672" s="3622"/>
      <c r="E672" s="3618" t="s">
        <v>829</v>
      </c>
      <c r="F672" s="3619"/>
      <c r="G672" s="3620"/>
      <c r="H672" s="3614" t="str">
        <f>IF(A671="","",INDEX(DIFFERENTIATION_UNMERGE_AREA,MATCH(A671,DIFFERENTIATION_ID_DIFF,0)))</f>
        <v>Территория 1</v>
      </c>
      <c r="I672" s="3614"/>
      <c r="J672" s="3614"/>
      <c r="K672" s="3614"/>
      <c r="L672" s="3614"/>
      <c r="M672" s="3614"/>
      <c r="N672" s="3614"/>
      <c r="O672" s="3614"/>
      <c r="P672" s="3614"/>
      <c r="Q672" s="3614"/>
      <c r="R672" s="3614"/>
      <c r="S672" s="609"/>
      <c r="T672" s="606"/>
      <c r="U672" s="517"/>
      <c r="V672" s="517"/>
      <c r="W672" s="518"/>
      <c r="X672" s="518"/>
      <c r="Y672" s="518"/>
      <c r="Z672" s="518"/>
      <c r="AA672" s="519"/>
      <c r="AB672" s="520"/>
      <c r="AC672" s="3617"/>
      <c r="AD672" s="521"/>
      <c r="AE672" s="522"/>
      <c r="AF672" s="522"/>
      <c r="AG672" s="523"/>
      <c r="AH672" s="524"/>
      <c r="AI672" s="517"/>
      <c r="AJ672" s="517"/>
      <c r="AK672" s="517"/>
      <c r="AL672" s="517"/>
      <c r="AM672" s="517"/>
      <c r="AN672" s="517"/>
      <c r="AO672" s="517"/>
      <c r="AP672" s="517"/>
      <c r="AQ672" s="517"/>
      <c r="AR672" s="517"/>
      <c r="AS672" s="517"/>
      <c r="AT672" s="517"/>
      <c r="AU672" s="517"/>
      <c r="AV672" s="517"/>
      <c r="AW672" s="517"/>
      <c r="AX672" s="517"/>
      <c r="AY672" s="517"/>
      <c r="AZ672" s="517"/>
      <c r="BA672" s="517"/>
      <c r="BB672" s="517"/>
      <c r="BC672" s="517"/>
      <c r="BD672" s="517"/>
      <c r="BE672" s="517"/>
      <c r="BF672" s="517"/>
      <c r="BG672" s="517"/>
      <c r="BH672" s="517"/>
      <c r="BI672" s="517"/>
      <c r="BJ672" s="517"/>
      <c r="BK672" s="517"/>
      <c r="BL672" s="517"/>
      <c r="BM672" s="517"/>
      <c r="BN672" s="517"/>
      <c r="BO672" s="517"/>
      <c r="BP672" s="517"/>
      <c r="BQ672" s="517"/>
      <c r="BR672" s="517"/>
      <c r="BS672" s="517"/>
      <c r="BT672" s="517"/>
      <c r="BU672" s="517"/>
      <c r="BV672" s="518"/>
      <c r="BW672" s="518"/>
      <c r="BX672" s="518"/>
      <c r="BY672" s="518"/>
      <c r="BZ672" s="518"/>
      <c r="CA672" s="518"/>
      <c r="CB672" s="518"/>
      <c r="CC672" s="518"/>
      <c r="CD672" s="518"/>
      <c r="CE672" s="518"/>
    </row>
    <row r="673" spans="1:83" ht="15" hidden="1" customHeight="1">
      <c r="A673" s="516"/>
      <c r="B673"/>
      <c r="C673"/>
      <c r="D673" s="3622"/>
      <c r="E673" s="3618" t="s">
        <v>830</v>
      </c>
      <c r="F673" s="3619"/>
      <c r="G673" s="3620"/>
      <c r="H673" s="3614" t="str">
        <f>IF(A671="","",INDEX(DIFFERENTIATION_UNMERGE_SYSTEM,MATCH(A671,DIFFERENTIATION_ID_DIFF,0)))</f>
        <v>Абрамова-Соколова, 76б</v>
      </c>
      <c r="I673" s="3614"/>
      <c r="J673" s="3614"/>
      <c r="K673" s="3614"/>
      <c r="L673" s="3614"/>
      <c r="M673" s="3614"/>
      <c r="N673" s="3614"/>
      <c r="O673" s="3614"/>
      <c r="P673" s="3614"/>
      <c r="Q673" s="3614"/>
      <c r="R673" s="3614"/>
      <c r="S673" s="609"/>
      <c r="T673" s="606"/>
      <c r="U673" s="517"/>
      <c r="V673" s="517"/>
      <c r="W673" s="518"/>
      <c r="X673" s="518"/>
      <c r="Y673" s="518"/>
      <c r="Z673" s="518"/>
      <c r="AA673" s="519"/>
      <c r="AB673" s="520"/>
      <c r="AC673" s="3617"/>
      <c r="AD673" s="521"/>
      <c r="AE673" s="522"/>
      <c r="AF673" s="522"/>
      <c r="AG673" s="523"/>
      <c r="AH673" s="524"/>
      <c r="AI673" s="517"/>
      <c r="AJ673" s="517"/>
      <c r="AK673" s="517"/>
      <c r="AL673" s="517"/>
      <c r="AM673" s="517"/>
      <c r="AN673" s="517"/>
      <c r="AO673" s="517"/>
      <c r="AP673" s="517"/>
      <c r="AQ673" s="517"/>
      <c r="AR673" s="517"/>
      <c r="AS673" s="517"/>
      <c r="AT673" s="517"/>
      <c r="AU673" s="517"/>
      <c r="AV673" s="517"/>
      <c r="AW673" s="517"/>
      <c r="AX673" s="517"/>
      <c r="AY673" s="517"/>
      <c r="AZ673" s="517"/>
      <c r="BA673" s="517"/>
      <c r="BB673" s="517"/>
      <c r="BC673" s="517"/>
      <c r="BD673" s="517"/>
      <c r="BE673" s="517"/>
      <c r="BF673" s="517"/>
      <c r="BG673" s="517"/>
      <c r="BH673" s="517"/>
      <c r="BI673" s="517"/>
      <c r="BJ673" s="517"/>
      <c r="BK673" s="517"/>
      <c r="BL673" s="517"/>
      <c r="BM673" s="517"/>
      <c r="BN673" s="517"/>
      <c r="BO673" s="517"/>
      <c r="BP673" s="517"/>
      <c r="BQ673" s="517"/>
      <c r="BR673" s="517"/>
      <c r="BS673" s="517"/>
      <c r="BT673" s="517"/>
      <c r="BU673" s="517"/>
      <c r="BV673" s="518"/>
      <c r="BW673" s="518"/>
      <c r="BX673" s="518"/>
      <c r="BY673" s="518"/>
      <c r="BZ673" s="518"/>
      <c r="CA673" s="518"/>
      <c r="CB673" s="518"/>
      <c r="CC673" s="518"/>
      <c r="CD673" s="518"/>
      <c r="CE673" s="518"/>
    </row>
    <row r="674" spans="1:83" ht="24.75" hidden="1" customHeight="1">
      <c r="A674" s="1649"/>
      <c r="B674" s="1023"/>
      <c r="C674" s="319"/>
      <c r="D674" s="3622"/>
      <c r="E674" s="3616" t="s">
        <v>875</v>
      </c>
      <c r="F674" s="3616"/>
      <c r="G674" s="3616"/>
      <c r="H674" s="3616"/>
      <c r="I674" s="3616"/>
      <c r="J674" s="3616"/>
      <c r="K674" s="3616"/>
      <c r="L674" s="3616"/>
      <c r="M674" s="3616"/>
      <c r="N674" s="3616"/>
      <c r="O674" s="3616"/>
      <c r="P674" s="3616"/>
      <c r="Q674" s="455">
        <f>SUMIF(T675:T676,"i",Q675:Q676)</f>
        <v>0</v>
      </c>
      <c r="R674" s="887"/>
      <c r="S674" s="1641" t="s">
        <v>876</v>
      </c>
      <c r="T674" s="607" t="s">
        <v>877</v>
      </c>
      <c r="U674" s="3532">
        <v>1</v>
      </c>
      <c r="V674" s="3532" t="s">
        <v>840</v>
      </c>
      <c r="W674" s="1023"/>
      <c r="X674" s="1023"/>
      <c r="Y674" s="1023"/>
      <c r="Z674" s="1023"/>
      <c r="AA674" s="1481"/>
      <c r="AB674" s="1023"/>
      <c r="AC674" s="3617"/>
      <c r="AD674" s="521"/>
      <c r="AE674" s="1023"/>
      <c r="AF674" s="1023"/>
      <c r="AG674" s="1481"/>
      <c r="AH674" s="1481"/>
      <c r="AI674" s="1481"/>
      <c r="AJ674" s="1481"/>
      <c r="AK674" s="1481"/>
      <c r="AL674" s="1481"/>
      <c r="AM674" s="1481"/>
      <c r="AN674" s="1481"/>
      <c r="AO674" s="1481"/>
      <c r="AP674" s="1481"/>
      <c r="AQ674" s="1481"/>
      <c r="AR674" s="1481"/>
      <c r="AS674" s="1481"/>
      <c r="AT674" s="1481"/>
      <c r="AU674" s="1481"/>
      <c r="AV674" s="1481"/>
      <c r="AW674" s="1481"/>
      <c r="AX674" s="1481"/>
      <c r="AY674" s="1481"/>
      <c r="AZ674" s="1481"/>
      <c r="BA674" s="1481"/>
      <c r="BB674" s="1481"/>
      <c r="BC674" s="1481"/>
      <c r="BD674" s="1481"/>
      <c r="BE674" s="1481"/>
      <c r="BF674" s="1481"/>
      <c r="BG674" s="1481"/>
      <c r="BH674" s="1481"/>
      <c r="BI674" s="1481"/>
      <c r="BJ674" s="1481"/>
      <c r="BK674" s="1481"/>
      <c r="BL674" s="1481"/>
      <c r="BM674" s="1481"/>
      <c r="BN674" s="1481"/>
      <c r="BO674" s="1481"/>
      <c r="BP674" s="1481"/>
      <c r="BQ674" s="1481"/>
      <c r="BR674" s="1481"/>
      <c r="BS674" s="1481"/>
      <c r="BT674" s="1481"/>
      <c r="BU674" s="1481"/>
      <c r="BV674" s="1023"/>
      <c r="BW674" s="1023"/>
      <c r="BX674" s="1023"/>
      <c r="BY674" s="1023"/>
      <c r="BZ674" s="1023"/>
      <c r="CA674" s="1023"/>
      <c r="CB674" s="1023"/>
      <c r="CC674" s="1023"/>
      <c r="CD674" s="1023"/>
      <c r="CE674" s="1023"/>
    </row>
    <row r="675" spans="1:83" ht="11.25" hidden="1" customHeight="1">
      <c r="A675" s="1636"/>
      <c r="B675" s="1481"/>
      <c r="C675" s="1481"/>
      <c r="D675" s="3622"/>
      <c r="E675" s="527"/>
      <c r="F675" s="527">
        <v>0</v>
      </c>
      <c r="G675" s="527"/>
      <c r="H675" s="527"/>
      <c r="I675" s="527"/>
      <c r="J675" s="527"/>
      <c r="K675" s="527"/>
      <c r="L675" s="527"/>
      <c r="M675" s="527"/>
      <c r="N675" s="527"/>
      <c r="O675" s="527"/>
      <c r="P675" s="527"/>
      <c r="Q675" s="527"/>
      <c r="R675" s="527"/>
      <c r="S675" s="528"/>
      <c r="T675" s="608"/>
      <c r="U675" s="3532"/>
      <c r="V675" s="3532"/>
      <c r="W675" s="1481"/>
      <c r="X675" s="1481"/>
      <c r="Y675" s="1481"/>
      <c r="Z675" s="1481"/>
      <c r="AA675" s="1481"/>
      <c r="AB675" s="1023"/>
      <c r="AC675" s="3617"/>
      <c r="AD675" s="521"/>
      <c r="AE675" s="1023"/>
      <c r="AF675" s="1023"/>
      <c r="AG675" s="1481"/>
      <c r="AH675" s="1481"/>
      <c r="AI675" s="1481"/>
      <c r="AJ675" s="1481"/>
      <c r="AK675" s="1481"/>
      <c r="AL675" s="1481"/>
      <c r="AM675" s="1481"/>
      <c r="AN675" s="1481"/>
      <c r="AO675" s="1481"/>
      <c r="AP675" s="1481"/>
      <c r="AQ675" s="1481"/>
      <c r="AR675" s="1481"/>
      <c r="AS675" s="1481"/>
      <c r="AT675" s="1481"/>
      <c r="AU675" s="1481"/>
      <c r="AV675" s="1481"/>
      <c r="AW675" s="1481"/>
      <c r="AX675" s="1481"/>
      <c r="AY675" s="1481"/>
      <c r="AZ675" s="1481"/>
      <c r="BA675" s="1481"/>
      <c r="BB675" s="1481"/>
      <c r="BC675" s="1481"/>
      <c r="BD675" s="1481"/>
      <c r="BE675" s="1481"/>
      <c r="BF675" s="1481"/>
      <c r="BG675" s="1481"/>
      <c r="BH675" s="1481"/>
      <c r="BI675" s="1481"/>
      <c r="BJ675" s="1481"/>
      <c r="BK675" s="1481"/>
      <c r="BL675" s="1481"/>
      <c r="BM675" s="1481"/>
      <c r="BN675" s="1481"/>
      <c r="BO675" s="1481"/>
      <c r="BP675" s="1481"/>
      <c r="BQ675" s="1481"/>
      <c r="BR675" s="1481"/>
      <c r="BS675" s="1481"/>
      <c r="BT675" s="1481"/>
      <c r="BU675" s="1481"/>
      <c r="BV675" s="1481"/>
      <c r="BW675" s="1481"/>
      <c r="BX675" s="1481"/>
      <c r="BY675" s="1481"/>
      <c r="BZ675" s="1481"/>
      <c r="CA675" s="1481"/>
      <c r="CB675" s="1481"/>
      <c r="CC675" s="1481"/>
      <c r="CD675" s="1481"/>
      <c r="CE675" s="1481"/>
    </row>
    <row r="676" spans="1:83" ht="11.25" hidden="1" customHeight="1">
      <c r="A676" s="1649"/>
      <c r="B676" s="1023"/>
      <c r="C676" s="319"/>
      <c r="D676" s="3622"/>
      <c r="E676" s="541" t="s">
        <v>18</v>
      </c>
      <c r="F676" s="1031" t="s">
        <v>18</v>
      </c>
      <c r="G676" s="1031" t="s">
        <v>880</v>
      </c>
      <c r="H676" s="543" t="s">
        <v>18</v>
      </c>
      <c r="I676" s="543"/>
      <c r="J676" s="543"/>
      <c r="K676" s="543"/>
      <c r="L676" s="543"/>
      <c r="M676" s="543"/>
      <c r="N676" s="543"/>
      <c r="O676" s="543"/>
      <c r="P676" s="543"/>
      <c r="Q676" s="543"/>
      <c r="R676" s="544"/>
      <c r="S676" s="545"/>
      <c r="T676" s="608"/>
      <c r="U676" s="3532"/>
      <c r="V676" s="3532"/>
      <c r="W676" s="1023"/>
      <c r="X676" s="1023"/>
      <c r="Y676" s="1023"/>
      <c r="Z676" s="1023"/>
      <c r="AA676" s="1481"/>
      <c r="AB676" s="1023"/>
      <c r="AC676" s="3617"/>
      <c r="AD676" s="521"/>
      <c r="AE676" s="1023"/>
      <c r="AF676" s="1023"/>
      <c r="AG676" s="1481"/>
      <c r="AH676" s="1481"/>
      <c r="AI676" s="1481"/>
      <c r="AJ676" s="1481"/>
      <c r="AK676" s="1481"/>
      <c r="AL676" s="1481"/>
      <c r="AM676" s="1481"/>
      <c r="AN676" s="1481"/>
      <c r="AO676" s="1481"/>
      <c r="AP676" s="1481"/>
      <c r="AQ676" s="1481"/>
      <c r="AR676" s="1481"/>
      <c r="AS676" s="1481"/>
      <c r="AT676" s="1481"/>
      <c r="AU676" s="1481"/>
      <c r="AV676" s="1481"/>
      <c r="AW676" s="1481"/>
      <c r="AX676" s="1481"/>
      <c r="AY676" s="1481"/>
      <c r="AZ676" s="1481"/>
      <c r="BA676" s="1481"/>
      <c r="BB676" s="1481"/>
      <c r="BC676" s="1481"/>
      <c r="BD676" s="1481"/>
      <c r="BE676" s="1481"/>
      <c r="BF676" s="1481"/>
      <c r="BG676" s="1481"/>
      <c r="BH676" s="1481"/>
      <c r="BI676" s="1481"/>
      <c r="BJ676" s="1481"/>
      <c r="BK676" s="1481"/>
      <c r="BL676" s="1481"/>
      <c r="BM676" s="1481"/>
      <c r="BN676" s="1481"/>
      <c r="BO676" s="1481"/>
      <c r="BP676" s="1481"/>
      <c r="BQ676" s="1481"/>
      <c r="BR676" s="1481"/>
      <c r="BS676" s="1481"/>
      <c r="BT676" s="1481"/>
      <c r="BU676" s="1481"/>
      <c r="BV676" s="1023"/>
      <c r="BW676" s="1023"/>
      <c r="BX676" s="1023"/>
      <c r="BY676" s="1023"/>
      <c r="BZ676" s="1023"/>
      <c r="CA676" s="1023"/>
      <c r="CB676" s="1023"/>
      <c r="CC676" s="1023"/>
      <c r="CD676" s="1023"/>
      <c r="CE676" s="1023"/>
    </row>
    <row r="677" spans="1:83" ht="5.25" hidden="1" customHeight="1">
      <c r="A677" s="1636"/>
      <c r="B677" s="1481"/>
      <c r="C677" s="1481"/>
      <c r="D677" s="3622"/>
      <c r="E677" s="909"/>
      <c r="F677" s="909"/>
      <c r="G677" s="909"/>
      <c r="H677" s="909"/>
      <c r="I677" s="909"/>
      <c r="J677" s="909"/>
      <c r="K677" s="909"/>
      <c r="L677" s="909"/>
      <c r="M677" s="909"/>
      <c r="N677" s="909"/>
      <c r="O677" s="909"/>
      <c r="P677" s="909"/>
      <c r="Q677" s="910"/>
      <c r="R677" s="911"/>
      <c r="S677" s="912"/>
      <c r="T677" s="607" t="s">
        <v>877</v>
      </c>
      <c r="U677" s="3532">
        <v>1</v>
      </c>
      <c r="V677" s="3532" t="s">
        <v>840</v>
      </c>
      <c r="W677" s="1481"/>
      <c r="X677" s="1481"/>
      <c r="Y677" s="1481"/>
      <c r="Z677" s="1481"/>
      <c r="AA677" s="1481"/>
      <c r="AB677" s="1481"/>
      <c r="AC677" s="907"/>
      <c r="AD677" s="908"/>
      <c r="AE677" s="1481"/>
      <c r="AF677" s="1481"/>
      <c r="AG677" s="1481"/>
      <c r="AH677" s="1481"/>
      <c r="AI677" s="1481"/>
      <c r="AJ677" s="1481"/>
      <c r="AK677" s="1481"/>
      <c r="AL677" s="1481"/>
      <c r="AM677" s="1481"/>
      <c r="AN677" s="1481"/>
      <c r="AO677" s="1481"/>
      <c r="AP677" s="1481"/>
      <c r="AQ677" s="1481"/>
      <c r="AR677" s="1481"/>
      <c r="AS677" s="1481"/>
      <c r="AT677" s="1481"/>
      <c r="AU677" s="1481"/>
      <c r="AV677" s="1481"/>
      <c r="AW677" s="1481"/>
      <c r="AX677" s="1481"/>
      <c r="AY677" s="1481"/>
      <c r="AZ677" s="1481"/>
      <c r="BA677" s="1481"/>
      <c r="BB677" s="1481"/>
      <c r="BC677" s="1481"/>
      <c r="BD677" s="1481"/>
      <c r="BE677" s="1481"/>
      <c r="BF677" s="1481"/>
      <c r="BG677" s="1481"/>
      <c r="BH677" s="1481"/>
      <c r="BI677" s="1481"/>
      <c r="BJ677" s="1481"/>
      <c r="BK677" s="1481"/>
      <c r="BL677" s="1481"/>
      <c r="BM677" s="1481"/>
      <c r="BN677" s="1481"/>
      <c r="BO677" s="1481"/>
      <c r="BP677" s="1481"/>
      <c r="BQ677" s="1481"/>
      <c r="BR677" s="1481"/>
      <c r="BS677" s="1481"/>
      <c r="BT677" s="1481"/>
      <c r="BU677" s="1481"/>
      <c r="BV677" s="1481"/>
      <c r="BW677" s="1481"/>
      <c r="BX677" s="1481"/>
      <c r="BY677" s="1481"/>
      <c r="BZ677" s="1481"/>
      <c r="CA677" s="1481"/>
      <c r="CB677" s="1481"/>
      <c r="CC677" s="1481"/>
      <c r="CD677" s="1481"/>
      <c r="CE677" s="1481"/>
    </row>
    <row r="678" spans="1:83" ht="5.25" hidden="1" customHeight="1">
      <c r="A678" s="1636"/>
      <c r="B678" s="1481"/>
      <c r="C678" s="1481"/>
      <c r="D678" s="3622"/>
      <c r="E678" s="527"/>
      <c r="F678" s="527"/>
      <c r="G678" s="527"/>
      <c r="H678" s="527"/>
      <c r="I678" s="527"/>
      <c r="J678" s="527"/>
      <c r="K678" s="527"/>
      <c r="L678" s="527"/>
      <c r="M678" s="527"/>
      <c r="N678" s="527"/>
      <c r="O678" s="527"/>
      <c r="P678" s="527"/>
      <c r="Q678" s="527"/>
      <c r="R678" s="527"/>
      <c r="S678" s="528"/>
      <c r="T678" s="608"/>
      <c r="U678" s="3532"/>
      <c r="V678" s="3532"/>
      <c r="W678" s="1481"/>
      <c r="X678" s="1481"/>
      <c r="Y678" s="1481"/>
      <c r="Z678" s="1481"/>
      <c r="AA678" s="1481"/>
      <c r="AB678" s="1481"/>
      <c r="AC678" s="907"/>
      <c r="AD678" s="908"/>
      <c r="AE678" s="1481"/>
      <c r="AF678" s="1481"/>
      <c r="AG678" s="1481"/>
      <c r="AH678" s="1481"/>
      <c r="AI678" s="1481"/>
      <c r="AJ678" s="1481"/>
      <c r="AK678" s="1481"/>
      <c r="AL678" s="1481"/>
      <c r="AM678" s="1481"/>
      <c r="AN678" s="1481"/>
      <c r="AO678" s="1481"/>
      <c r="AP678" s="1481"/>
      <c r="AQ678" s="1481"/>
      <c r="AR678" s="1481"/>
      <c r="AS678" s="1481"/>
      <c r="AT678" s="1481"/>
      <c r="AU678" s="1481"/>
      <c r="AV678" s="1481"/>
      <c r="AW678" s="1481"/>
      <c r="AX678" s="1481"/>
      <c r="AY678" s="1481"/>
      <c r="AZ678" s="1481"/>
      <c r="BA678" s="1481"/>
      <c r="BB678" s="1481"/>
      <c r="BC678" s="1481"/>
      <c r="BD678" s="1481"/>
      <c r="BE678" s="1481"/>
      <c r="BF678" s="1481"/>
      <c r="BG678" s="1481"/>
      <c r="BH678" s="1481"/>
      <c r="BI678" s="1481"/>
      <c r="BJ678" s="1481"/>
      <c r="BK678" s="1481"/>
      <c r="BL678" s="1481"/>
      <c r="BM678" s="1481"/>
      <c r="BN678" s="1481"/>
      <c r="BO678" s="1481"/>
      <c r="BP678" s="1481"/>
      <c r="BQ678" s="1481"/>
      <c r="BR678" s="1481"/>
      <c r="BS678" s="1481"/>
      <c r="BT678" s="1481"/>
      <c r="BU678" s="1481"/>
      <c r="BV678" s="1481"/>
      <c r="BW678" s="1481"/>
      <c r="BX678" s="1481"/>
      <c r="BY678" s="1481"/>
      <c r="BZ678" s="1481"/>
      <c r="CA678" s="1481"/>
      <c r="CB678" s="1481"/>
      <c r="CC678" s="1481"/>
      <c r="CD678" s="1481"/>
      <c r="CE678" s="1481"/>
    </row>
    <row r="679" spans="1:83" ht="5.25" hidden="1" customHeight="1">
      <c r="A679" s="1636"/>
      <c r="B679" s="1481"/>
      <c r="C679" s="1481"/>
      <c r="D679" s="3623"/>
      <c r="E679" s="913"/>
      <c r="F679" s="914"/>
      <c r="G679" s="914"/>
      <c r="H679" s="915"/>
      <c r="I679" s="915"/>
      <c r="J679" s="915"/>
      <c r="K679" s="915"/>
      <c r="L679" s="915"/>
      <c r="M679" s="915"/>
      <c r="N679" s="915"/>
      <c r="O679" s="915"/>
      <c r="P679" s="915"/>
      <c r="Q679" s="915"/>
      <c r="R679" s="818"/>
      <c r="S679" s="916"/>
      <c r="T679" s="608"/>
      <c r="U679" s="3532"/>
      <c r="V679" s="3532"/>
      <c r="W679" s="1481"/>
      <c r="X679" s="1481"/>
      <c r="Y679" s="1481"/>
      <c r="Z679" s="1481"/>
      <c r="AA679" s="1481"/>
      <c r="AB679" s="1481"/>
      <c r="AC679" s="907"/>
      <c r="AD679" s="908"/>
      <c r="AE679" s="1481"/>
      <c r="AF679" s="1481"/>
      <c r="AG679" s="1481"/>
      <c r="AH679" s="1481"/>
      <c r="AI679" s="1481"/>
      <c r="AJ679" s="1481"/>
      <c r="AK679" s="1481"/>
      <c r="AL679" s="1481"/>
      <c r="AM679" s="1481"/>
      <c r="AN679" s="1481"/>
      <c r="AO679" s="1481"/>
      <c r="AP679" s="1481"/>
      <c r="AQ679" s="1481"/>
      <c r="AR679" s="1481"/>
      <c r="AS679" s="1481"/>
      <c r="AT679" s="1481"/>
      <c r="AU679" s="1481"/>
      <c r="AV679" s="1481"/>
      <c r="AW679" s="1481"/>
      <c r="AX679" s="1481"/>
      <c r="AY679" s="1481"/>
      <c r="AZ679" s="1481"/>
      <c r="BA679" s="1481"/>
      <c r="BB679" s="1481"/>
      <c r="BC679" s="1481"/>
      <c r="BD679" s="1481"/>
      <c r="BE679" s="1481"/>
      <c r="BF679" s="1481"/>
      <c r="BG679" s="1481"/>
      <c r="BH679" s="1481"/>
      <c r="BI679" s="1481"/>
      <c r="BJ679" s="1481"/>
      <c r="BK679" s="1481"/>
      <c r="BL679" s="1481"/>
      <c r="BM679" s="1481"/>
      <c r="BN679" s="1481"/>
      <c r="BO679" s="1481"/>
      <c r="BP679" s="1481"/>
      <c r="BQ679" s="1481"/>
      <c r="BR679" s="1481"/>
      <c r="BS679" s="1481"/>
      <c r="BT679" s="1481"/>
      <c r="BU679" s="1481"/>
      <c r="BV679" s="1481"/>
      <c r="BW679" s="1481"/>
      <c r="BX679" s="1481"/>
      <c r="BY679" s="1481"/>
      <c r="BZ679" s="1481"/>
      <c r="CA679" s="1481"/>
      <c r="CB679" s="1481"/>
      <c r="CC679" s="1481"/>
      <c r="CD679" s="1481"/>
      <c r="CE679" s="1481"/>
    </row>
    <row r="680" spans="1:83" ht="15" hidden="1" customHeight="1">
      <c r="A680" s="516" t="s">
        <v>332</v>
      </c>
      <c r="B680"/>
      <c r="C680" t="s">
        <v>18</v>
      </c>
      <c r="D680" s="3621" t="s">
        <v>953</v>
      </c>
      <c r="E680" s="3618" t="s">
        <v>102</v>
      </c>
      <c r="F680" s="3619"/>
      <c r="G680" s="3620"/>
      <c r="H680" s="3614" t="str">
        <f>IF(A680="","",INDEX(DIFFERENTIATION_UNMERGE_VD,MATCH(A680,DIFFERENTIATION_ID_DIFF,0)))</f>
        <v>Производство тепловой энергии. Некомбинированная выработка</v>
      </c>
      <c r="I680" s="3614"/>
      <c r="J680" s="3614"/>
      <c r="K680" s="3614"/>
      <c r="L680" s="3614"/>
      <c r="M680" s="3614"/>
      <c r="N680" s="3614"/>
      <c r="O680" s="3614"/>
      <c r="P680" s="3614"/>
      <c r="Q680" s="3614"/>
      <c r="R680" s="3614"/>
      <c r="S680" s="609"/>
      <c r="T680" s="606"/>
      <c r="U680" s="517"/>
      <c r="V680" s="517"/>
      <c r="W680" s="518"/>
      <c r="X680" s="518"/>
      <c r="Y680" s="518"/>
      <c r="Z680" s="518"/>
      <c r="AA680" s="519"/>
      <c r="AB680" s="520"/>
      <c r="AC680" s="3617"/>
      <c r="AD680" s="521"/>
      <c r="AE680" s="522" t="s">
        <v>18</v>
      </c>
      <c r="AF680" s="522"/>
      <c r="AG680" s="523" t="s">
        <v>874</v>
      </c>
      <c r="AH680" s="524">
        <v>3</v>
      </c>
      <c r="AI680" s="517"/>
      <c r="AJ680" s="517"/>
      <c r="AK680" s="517"/>
      <c r="AL680" s="517"/>
      <c r="AM680" s="517"/>
      <c r="AN680" s="517"/>
      <c r="AO680" s="517"/>
      <c r="AP680" s="517"/>
      <c r="AQ680" s="517"/>
      <c r="AR680" s="517"/>
      <c r="AS680" s="517"/>
      <c r="AT680" s="517"/>
      <c r="AU680" s="517"/>
      <c r="AV680" s="517"/>
      <c r="AW680" s="517"/>
      <c r="AX680" s="517"/>
      <c r="AY680" s="517"/>
      <c r="AZ680" s="517"/>
      <c r="BA680" s="517"/>
      <c r="BB680" s="517"/>
      <c r="BC680" s="517"/>
      <c r="BD680" s="517"/>
      <c r="BE680" s="517"/>
      <c r="BF680" s="517"/>
      <c r="BG680" s="517"/>
      <c r="BH680" s="517"/>
      <c r="BI680" s="517"/>
      <c r="BJ680" s="517"/>
      <c r="BK680" s="517"/>
      <c r="BL680" s="517"/>
      <c r="BM680" s="517"/>
      <c r="BN680" s="517"/>
      <c r="BO680" s="517"/>
      <c r="BP680" s="517"/>
      <c r="BQ680" s="517"/>
      <c r="BR680" s="517"/>
      <c r="BS680" s="517"/>
      <c r="BT680" s="517"/>
      <c r="BU680" s="517"/>
      <c r="BV680" s="518"/>
      <c r="BW680" s="518"/>
      <c r="BX680" s="518"/>
      <c r="BY680" s="518"/>
      <c r="BZ680" s="518"/>
      <c r="CA680" s="518"/>
      <c r="CB680" s="518"/>
      <c r="CC680" s="518"/>
      <c r="CD680" s="518"/>
      <c r="CE680" s="518"/>
    </row>
    <row r="681" spans="1:83" ht="15" hidden="1" customHeight="1">
      <c r="A681" s="516"/>
      <c r="B681"/>
      <c r="C681"/>
      <c r="D681" s="3622"/>
      <c r="E681" s="3618" t="s">
        <v>829</v>
      </c>
      <c r="F681" s="3619"/>
      <c r="G681" s="3620"/>
      <c r="H681" s="3614" t="str">
        <f>IF(A680="","",INDEX(DIFFERENTIATION_UNMERGE_AREA,MATCH(A680,DIFFERENTIATION_ID_DIFF,0)))</f>
        <v>Территория 1</v>
      </c>
      <c r="I681" s="3614"/>
      <c r="J681" s="3614"/>
      <c r="K681" s="3614"/>
      <c r="L681" s="3614"/>
      <c r="M681" s="3614"/>
      <c r="N681" s="3614"/>
      <c r="O681" s="3614"/>
      <c r="P681" s="3614"/>
      <c r="Q681" s="3614"/>
      <c r="R681" s="3614"/>
      <c r="S681" s="609"/>
      <c r="T681" s="606"/>
      <c r="U681" s="517"/>
      <c r="V681" s="517"/>
      <c r="W681" s="518"/>
      <c r="X681" s="518"/>
      <c r="Y681" s="518"/>
      <c r="Z681" s="518"/>
      <c r="AA681" s="519"/>
      <c r="AB681" s="520"/>
      <c r="AC681" s="3617"/>
      <c r="AD681" s="521"/>
      <c r="AE681" s="522"/>
      <c r="AF681" s="522"/>
      <c r="AG681" s="523"/>
      <c r="AH681" s="524"/>
      <c r="AI681" s="517"/>
      <c r="AJ681" s="517"/>
      <c r="AK681" s="517"/>
      <c r="AL681" s="517"/>
      <c r="AM681" s="517"/>
      <c r="AN681" s="517"/>
      <c r="AO681" s="517"/>
      <c r="AP681" s="517"/>
      <c r="AQ681" s="517"/>
      <c r="AR681" s="517"/>
      <c r="AS681" s="517"/>
      <c r="AT681" s="517"/>
      <c r="AU681" s="517"/>
      <c r="AV681" s="517"/>
      <c r="AW681" s="517"/>
      <c r="AX681" s="517"/>
      <c r="AY681" s="517"/>
      <c r="AZ681" s="517"/>
      <c r="BA681" s="517"/>
      <c r="BB681" s="517"/>
      <c r="BC681" s="517"/>
      <c r="BD681" s="517"/>
      <c r="BE681" s="517"/>
      <c r="BF681" s="517"/>
      <c r="BG681" s="517"/>
      <c r="BH681" s="517"/>
      <c r="BI681" s="517"/>
      <c r="BJ681" s="517"/>
      <c r="BK681" s="517"/>
      <c r="BL681" s="517"/>
      <c r="BM681" s="517"/>
      <c r="BN681" s="517"/>
      <c r="BO681" s="517"/>
      <c r="BP681" s="517"/>
      <c r="BQ681" s="517"/>
      <c r="BR681" s="517"/>
      <c r="BS681" s="517"/>
      <c r="BT681" s="517"/>
      <c r="BU681" s="517"/>
      <c r="BV681" s="518"/>
      <c r="BW681" s="518"/>
      <c r="BX681" s="518"/>
      <c r="BY681" s="518"/>
      <c r="BZ681" s="518"/>
      <c r="CA681" s="518"/>
      <c r="CB681" s="518"/>
      <c r="CC681" s="518"/>
      <c r="CD681" s="518"/>
      <c r="CE681" s="518"/>
    </row>
    <row r="682" spans="1:83" ht="15" hidden="1" customHeight="1">
      <c r="A682" s="516"/>
      <c r="B682"/>
      <c r="C682"/>
      <c r="D682" s="3622"/>
      <c r="E682" s="3618" t="s">
        <v>830</v>
      </c>
      <c r="F682" s="3619"/>
      <c r="G682" s="3620"/>
      <c r="H682" s="3614" t="str">
        <f>IF(A680="","",INDEX(DIFFERENTIATION_UNMERGE_SYSTEM,MATCH(A680,DIFFERENTIATION_ID_DIFF,0)))</f>
        <v>5 августа,66а</v>
      </c>
      <c r="I682" s="3614"/>
      <c r="J682" s="3614"/>
      <c r="K682" s="3614"/>
      <c r="L682" s="3614"/>
      <c r="M682" s="3614"/>
      <c r="N682" s="3614"/>
      <c r="O682" s="3614"/>
      <c r="P682" s="3614"/>
      <c r="Q682" s="3614"/>
      <c r="R682" s="3614"/>
      <c r="S682" s="609"/>
      <c r="T682" s="606"/>
      <c r="U682" s="517"/>
      <c r="V682" s="517"/>
      <c r="W682" s="518"/>
      <c r="X682" s="518"/>
      <c r="Y682" s="518"/>
      <c r="Z682" s="518"/>
      <c r="AA682" s="519"/>
      <c r="AB682" s="520"/>
      <c r="AC682" s="3617"/>
      <c r="AD682" s="521"/>
      <c r="AE682" s="522"/>
      <c r="AF682" s="522"/>
      <c r="AG682" s="523"/>
      <c r="AH682" s="524"/>
      <c r="AI682" s="517"/>
      <c r="AJ682" s="517"/>
      <c r="AK682" s="517"/>
      <c r="AL682" s="517"/>
      <c r="AM682" s="517"/>
      <c r="AN682" s="517"/>
      <c r="AO682" s="517"/>
      <c r="AP682" s="517"/>
      <c r="AQ682" s="517"/>
      <c r="AR682" s="517"/>
      <c r="AS682" s="517"/>
      <c r="AT682" s="517"/>
      <c r="AU682" s="517"/>
      <c r="AV682" s="517"/>
      <c r="AW682" s="517"/>
      <c r="AX682" s="517"/>
      <c r="AY682" s="517"/>
      <c r="AZ682" s="517"/>
      <c r="BA682" s="517"/>
      <c r="BB682" s="517"/>
      <c r="BC682" s="517"/>
      <c r="BD682" s="517"/>
      <c r="BE682" s="517"/>
      <c r="BF682" s="517"/>
      <c r="BG682" s="517"/>
      <c r="BH682" s="517"/>
      <c r="BI682" s="517"/>
      <c r="BJ682" s="517"/>
      <c r="BK682" s="517"/>
      <c r="BL682" s="517"/>
      <c r="BM682" s="517"/>
      <c r="BN682" s="517"/>
      <c r="BO682" s="517"/>
      <c r="BP682" s="517"/>
      <c r="BQ682" s="517"/>
      <c r="BR682" s="517"/>
      <c r="BS682" s="517"/>
      <c r="BT682" s="517"/>
      <c r="BU682" s="517"/>
      <c r="BV682" s="518"/>
      <c r="BW682" s="518"/>
      <c r="BX682" s="518"/>
      <c r="BY682" s="518"/>
      <c r="BZ682" s="518"/>
      <c r="CA682" s="518"/>
      <c r="CB682" s="518"/>
      <c r="CC682" s="518"/>
      <c r="CD682" s="518"/>
      <c r="CE682" s="518"/>
    </row>
    <row r="683" spans="1:83" ht="24.75" hidden="1" customHeight="1">
      <c r="A683" s="1649"/>
      <c r="B683" s="1023"/>
      <c r="C683" s="319"/>
      <c r="D683" s="3622"/>
      <c r="E683" s="3616" t="s">
        <v>875</v>
      </c>
      <c r="F683" s="3616"/>
      <c r="G683" s="3616"/>
      <c r="H683" s="3616"/>
      <c r="I683" s="3616"/>
      <c r="J683" s="3616"/>
      <c r="K683" s="3616"/>
      <c r="L683" s="3616"/>
      <c r="M683" s="3616"/>
      <c r="N683" s="3616"/>
      <c r="O683" s="3616"/>
      <c r="P683" s="3616"/>
      <c r="Q683" s="455">
        <f>SUMIF(T684:T685,"i",Q684:Q685)</f>
        <v>0</v>
      </c>
      <c r="R683" s="887"/>
      <c r="S683" s="1641" t="s">
        <v>876</v>
      </c>
      <c r="T683" s="607" t="s">
        <v>877</v>
      </c>
      <c r="U683" s="3532">
        <v>1</v>
      </c>
      <c r="V683" s="3532" t="s">
        <v>840</v>
      </c>
      <c r="W683" s="1023"/>
      <c r="X683" s="1023"/>
      <c r="Y683" s="1023"/>
      <c r="Z683" s="1023"/>
      <c r="AA683" s="1481"/>
      <c r="AB683" s="1023"/>
      <c r="AC683" s="3617"/>
      <c r="AD683" s="521"/>
      <c r="AE683" s="1023"/>
      <c r="AF683" s="1023"/>
      <c r="AG683" s="1481"/>
      <c r="AH683" s="1481"/>
      <c r="AI683" s="1481"/>
      <c r="AJ683" s="1481"/>
      <c r="AK683" s="1481"/>
      <c r="AL683" s="1481"/>
      <c r="AM683" s="1481"/>
      <c r="AN683" s="1481"/>
      <c r="AO683" s="1481"/>
      <c r="AP683" s="1481"/>
      <c r="AQ683" s="1481"/>
      <c r="AR683" s="1481"/>
      <c r="AS683" s="1481"/>
      <c r="AT683" s="1481"/>
      <c r="AU683" s="1481"/>
      <c r="AV683" s="1481"/>
      <c r="AW683" s="1481"/>
      <c r="AX683" s="1481"/>
      <c r="AY683" s="1481"/>
      <c r="AZ683" s="1481"/>
      <c r="BA683" s="1481"/>
      <c r="BB683" s="1481"/>
      <c r="BC683" s="1481"/>
      <c r="BD683" s="1481"/>
      <c r="BE683" s="1481"/>
      <c r="BF683" s="1481"/>
      <c r="BG683" s="1481"/>
      <c r="BH683" s="1481"/>
      <c r="BI683" s="1481"/>
      <c r="BJ683" s="1481"/>
      <c r="BK683" s="1481"/>
      <c r="BL683" s="1481"/>
      <c r="BM683" s="1481"/>
      <c r="BN683" s="1481"/>
      <c r="BO683" s="1481"/>
      <c r="BP683" s="1481"/>
      <c r="BQ683" s="1481"/>
      <c r="BR683" s="1481"/>
      <c r="BS683" s="1481"/>
      <c r="BT683" s="1481"/>
      <c r="BU683" s="1481"/>
      <c r="BV683" s="1023"/>
      <c r="BW683" s="1023"/>
      <c r="BX683" s="1023"/>
      <c r="BY683" s="1023"/>
      <c r="BZ683" s="1023"/>
      <c r="CA683" s="1023"/>
      <c r="CB683" s="1023"/>
      <c r="CC683" s="1023"/>
      <c r="CD683" s="1023"/>
      <c r="CE683" s="1023"/>
    </row>
    <row r="684" spans="1:83" ht="11.25" hidden="1" customHeight="1">
      <c r="A684" s="1636"/>
      <c r="B684" s="1481"/>
      <c r="C684" s="1481"/>
      <c r="D684" s="3622"/>
      <c r="E684" s="527"/>
      <c r="F684" s="527">
        <v>0</v>
      </c>
      <c r="G684" s="527"/>
      <c r="H684" s="527"/>
      <c r="I684" s="527"/>
      <c r="J684" s="527"/>
      <c r="K684" s="527"/>
      <c r="L684" s="527"/>
      <c r="M684" s="527"/>
      <c r="N684" s="527"/>
      <c r="O684" s="527"/>
      <c r="P684" s="527"/>
      <c r="Q684" s="527"/>
      <c r="R684" s="527"/>
      <c r="S684" s="528"/>
      <c r="T684" s="608"/>
      <c r="U684" s="3532"/>
      <c r="V684" s="3532"/>
      <c r="W684" s="1481"/>
      <c r="X684" s="1481"/>
      <c r="Y684" s="1481"/>
      <c r="Z684" s="1481"/>
      <c r="AA684" s="1481"/>
      <c r="AB684" s="1023"/>
      <c r="AC684" s="3617"/>
      <c r="AD684" s="521"/>
      <c r="AE684" s="1023"/>
      <c r="AF684" s="1023"/>
      <c r="AG684" s="1481"/>
      <c r="AH684" s="1481"/>
      <c r="AI684" s="1481"/>
      <c r="AJ684" s="1481"/>
      <c r="AK684" s="1481"/>
      <c r="AL684" s="1481"/>
      <c r="AM684" s="1481"/>
      <c r="AN684" s="1481"/>
      <c r="AO684" s="1481"/>
      <c r="AP684" s="1481"/>
      <c r="AQ684" s="1481"/>
      <c r="AR684" s="1481"/>
      <c r="AS684" s="1481"/>
      <c r="AT684" s="1481"/>
      <c r="AU684" s="1481"/>
      <c r="AV684" s="1481"/>
      <c r="AW684" s="1481"/>
      <c r="AX684" s="1481"/>
      <c r="AY684" s="1481"/>
      <c r="AZ684" s="1481"/>
      <c r="BA684" s="1481"/>
      <c r="BB684" s="1481"/>
      <c r="BC684" s="1481"/>
      <c r="BD684" s="1481"/>
      <c r="BE684" s="1481"/>
      <c r="BF684" s="1481"/>
      <c r="BG684" s="1481"/>
      <c r="BH684" s="1481"/>
      <c r="BI684" s="1481"/>
      <c r="BJ684" s="1481"/>
      <c r="BK684" s="1481"/>
      <c r="BL684" s="1481"/>
      <c r="BM684" s="1481"/>
      <c r="BN684" s="1481"/>
      <c r="BO684" s="1481"/>
      <c r="BP684" s="1481"/>
      <c r="BQ684" s="1481"/>
      <c r="BR684" s="1481"/>
      <c r="BS684" s="1481"/>
      <c r="BT684" s="1481"/>
      <c r="BU684" s="1481"/>
      <c r="BV684" s="1481"/>
      <c r="BW684" s="1481"/>
      <c r="BX684" s="1481"/>
      <c r="BY684" s="1481"/>
      <c r="BZ684" s="1481"/>
      <c r="CA684" s="1481"/>
      <c r="CB684" s="1481"/>
      <c r="CC684" s="1481"/>
      <c r="CD684" s="1481"/>
      <c r="CE684" s="1481"/>
    </row>
    <row r="685" spans="1:83" ht="11.25" hidden="1" customHeight="1">
      <c r="A685" s="1649"/>
      <c r="B685" s="1023"/>
      <c r="C685" s="319"/>
      <c r="D685" s="3622"/>
      <c r="E685" s="541" t="s">
        <v>18</v>
      </c>
      <c r="F685" s="1031" t="s">
        <v>18</v>
      </c>
      <c r="G685" s="1031" t="s">
        <v>880</v>
      </c>
      <c r="H685" s="543" t="s">
        <v>18</v>
      </c>
      <c r="I685" s="543"/>
      <c r="J685" s="543"/>
      <c r="K685" s="543"/>
      <c r="L685" s="543"/>
      <c r="M685" s="543"/>
      <c r="N685" s="543"/>
      <c r="O685" s="543"/>
      <c r="P685" s="543"/>
      <c r="Q685" s="543"/>
      <c r="R685" s="544"/>
      <c r="S685" s="545"/>
      <c r="T685" s="608"/>
      <c r="U685" s="3532"/>
      <c r="V685" s="3532"/>
      <c r="W685" s="1023"/>
      <c r="X685" s="1023"/>
      <c r="Y685" s="1023"/>
      <c r="Z685" s="1023"/>
      <c r="AA685" s="1481"/>
      <c r="AB685" s="1023"/>
      <c r="AC685" s="3617"/>
      <c r="AD685" s="521"/>
      <c r="AE685" s="1023"/>
      <c r="AF685" s="1023"/>
      <c r="AG685" s="1481"/>
      <c r="AH685" s="1481"/>
      <c r="AI685" s="1481"/>
      <c r="AJ685" s="1481"/>
      <c r="AK685" s="1481"/>
      <c r="AL685" s="1481"/>
      <c r="AM685" s="1481"/>
      <c r="AN685" s="1481"/>
      <c r="AO685" s="1481"/>
      <c r="AP685" s="1481"/>
      <c r="AQ685" s="1481"/>
      <c r="AR685" s="1481"/>
      <c r="AS685" s="1481"/>
      <c r="AT685" s="1481"/>
      <c r="AU685" s="1481"/>
      <c r="AV685" s="1481"/>
      <c r="AW685" s="1481"/>
      <c r="AX685" s="1481"/>
      <c r="AY685" s="1481"/>
      <c r="AZ685" s="1481"/>
      <c r="BA685" s="1481"/>
      <c r="BB685" s="1481"/>
      <c r="BC685" s="1481"/>
      <c r="BD685" s="1481"/>
      <c r="BE685" s="1481"/>
      <c r="BF685" s="1481"/>
      <c r="BG685" s="1481"/>
      <c r="BH685" s="1481"/>
      <c r="BI685" s="1481"/>
      <c r="BJ685" s="1481"/>
      <c r="BK685" s="1481"/>
      <c r="BL685" s="1481"/>
      <c r="BM685" s="1481"/>
      <c r="BN685" s="1481"/>
      <c r="BO685" s="1481"/>
      <c r="BP685" s="1481"/>
      <c r="BQ685" s="1481"/>
      <c r="BR685" s="1481"/>
      <c r="BS685" s="1481"/>
      <c r="BT685" s="1481"/>
      <c r="BU685" s="1481"/>
      <c r="BV685" s="1023"/>
      <c r="BW685" s="1023"/>
      <c r="BX685" s="1023"/>
      <c r="BY685" s="1023"/>
      <c r="BZ685" s="1023"/>
      <c r="CA685" s="1023"/>
      <c r="CB685" s="1023"/>
      <c r="CC685" s="1023"/>
      <c r="CD685" s="1023"/>
      <c r="CE685" s="1023"/>
    </row>
    <row r="686" spans="1:83" ht="5.25" hidden="1" customHeight="1">
      <c r="A686" s="1636"/>
      <c r="B686" s="1481"/>
      <c r="C686" s="1481"/>
      <c r="D686" s="3622"/>
      <c r="E686" s="909"/>
      <c r="F686" s="909"/>
      <c r="G686" s="909"/>
      <c r="H686" s="909"/>
      <c r="I686" s="909"/>
      <c r="J686" s="909"/>
      <c r="K686" s="909"/>
      <c r="L686" s="909"/>
      <c r="M686" s="909"/>
      <c r="N686" s="909"/>
      <c r="O686" s="909"/>
      <c r="P686" s="909"/>
      <c r="Q686" s="910"/>
      <c r="R686" s="911"/>
      <c r="S686" s="912"/>
      <c r="T686" s="607" t="s">
        <v>877</v>
      </c>
      <c r="U686" s="3532">
        <v>1</v>
      </c>
      <c r="V686" s="3532" t="s">
        <v>840</v>
      </c>
      <c r="W686" s="1481"/>
      <c r="X686" s="1481"/>
      <c r="Y686" s="1481"/>
      <c r="Z686" s="1481"/>
      <c r="AA686" s="1481"/>
      <c r="AB686" s="1481"/>
      <c r="AC686" s="907"/>
      <c r="AD686" s="908"/>
      <c r="AE686" s="1481"/>
      <c r="AF686" s="1481"/>
      <c r="AG686" s="1481"/>
      <c r="AH686" s="1481"/>
      <c r="AI686" s="1481"/>
      <c r="AJ686" s="1481"/>
      <c r="AK686" s="1481"/>
      <c r="AL686" s="1481"/>
      <c r="AM686" s="1481"/>
      <c r="AN686" s="1481"/>
      <c r="AO686" s="1481"/>
      <c r="AP686" s="1481"/>
      <c r="AQ686" s="1481"/>
      <c r="AR686" s="1481"/>
      <c r="AS686" s="1481"/>
      <c r="AT686" s="1481"/>
      <c r="AU686" s="1481"/>
      <c r="AV686" s="1481"/>
      <c r="AW686" s="1481"/>
      <c r="AX686" s="1481"/>
      <c r="AY686" s="1481"/>
      <c r="AZ686" s="1481"/>
      <c r="BA686" s="1481"/>
      <c r="BB686" s="1481"/>
      <c r="BC686" s="1481"/>
      <c r="BD686" s="1481"/>
      <c r="BE686" s="1481"/>
      <c r="BF686" s="1481"/>
      <c r="BG686" s="1481"/>
      <c r="BH686" s="1481"/>
      <c r="BI686" s="1481"/>
      <c r="BJ686" s="1481"/>
      <c r="BK686" s="1481"/>
      <c r="BL686" s="1481"/>
      <c r="BM686" s="1481"/>
      <c r="BN686" s="1481"/>
      <c r="BO686" s="1481"/>
      <c r="BP686" s="1481"/>
      <c r="BQ686" s="1481"/>
      <c r="BR686" s="1481"/>
      <c r="BS686" s="1481"/>
      <c r="BT686" s="1481"/>
      <c r="BU686" s="1481"/>
      <c r="BV686" s="1481"/>
      <c r="BW686" s="1481"/>
      <c r="BX686" s="1481"/>
      <c r="BY686" s="1481"/>
      <c r="BZ686" s="1481"/>
      <c r="CA686" s="1481"/>
      <c r="CB686" s="1481"/>
      <c r="CC686" s="1481"/>
      <c r="CD686" s="1481"/>
      <c r="CE686" s="1481"/>
    </row>
    <row r="687" spans="1:83" ht="5.25" hidden="1" customHeight="1">
      <c r="A687" s="1636"/>
      <c r="B687" s="1481"/>
      <c r="C687" s="1481"/>
      <c r="D687" s="3622"/>
      <c r="E687" s="527"/>
      <c r="F687" s="527"/>
      <c r="G687" s="527"/>
      <c r="H687" s="527"/>
      <c r="I687" s="527"/>
      <c r="J687" s="527"/>
      <c r="K687" s="527"/>
      <c r="L687" s="527"/>
      <c r="M687" s="527"/>
      <c r="N687" s="527"/>
      <c r="O687" s="527"/>
      <c r="P687" s="527"/>
      <c r="Q687" s="527"/>
      <c r="R687" s="527"/>
      <c r="S687" s="528"/>
      <c r="T687" s="608"/>
      <c r="U687" s="3532"/>
      <c r="V687" s="3532"/>
      <c r="W687" s="1481"/>
      <c r="X687" s="1481"/>
      <c r="Y687" s="1481"/>
      <c r="Z687" s="1481"/>
      <c r="AA687" s="1481"/>
      <c r="AB687" s="1481"/>
      <c r="AC687" s="907"/>
      <c r="AD687" s="908"/>
      <c r="AE687" s="1481"/>
      <c r="AF687" s="1481"/>
      <c r="AG687" s="1481"/>
      <c r="AH687" s="1481"/>
      <c r="AI687" s="1481"/>
      <c r="AJ687" s="1481"/>
      <c r="AK687" s="1481"/>
      <c r="AL687" s="1481"/>
      <c r="AM687" s="1481"/>
      <c r="AN687" s="1481"/>
      <c r="AO687" s="1481"/>
      <c r="AP687" s="1481"/>
      <c r="AQ687" s="1481"/>
      <c r="AR687" s="1481"/>
      <c r="AS687" s="1481"/>
      <c r="AT687" s="1481"/>
      <c r="AU687" s="1481"/>
      <c r="AV687" s="1481"/>
      <c r="AW687" s="1481"/>
      <c r="AX687" s="1481"/>
      <c r="AY687" s="1481"/>
      <c r="AZ687" s="1481"/>
      <c r="BA687" s="1481"/>
      <c r="BB687" s="1481"/>
      <c r="BC687" s="1481"/>
      <c r="BD687" s="1481"/>
      <c r="BE687" s="1481"/>
      <c r="BF687" s="1481"/>
      <c r="BG687" s="1481"/>
      <c r="BH687" s="1481"/>
      <c r="BI687" s="1481"/>
      <c r="BJ687" s="1481"/>
      <c r="BK687" s="1481"/>
      <c r="BL687" s="1481"/>
      <c r="BM687" s="1481"/>
      <c r="BN687" s="1481"/>
      <c r="BO687" s="1481"/>
      <c r="BP687" s="1481"/>
      <c r="BQ687" s="1481"/>
      <c r="BR687" s="1481"/>
      <c r="BS687" s="1481"/>
      <c r="BT687" s="1481"/>
      <c r="BU687" s="1481"/>
      <c r="BV687" s="1481"/>
      <c r="BW687" s="1481"/>
      <c r="BX687" s="1481"/>
      <c r="BY687" s="1481"/>
      <c r="BZ687" s="1481"/>
      <c r="CA687" s="1481"/>
      <c r="CB687" s="1481"/>
      <c r="CC687" s="1481"/>
      <c r="CD687" s="1481"/>
      <c r="CE687" s="1481"/>
    </row>
    <row r="688" spans="1:83" ht="5.25" hidden="1" customHeight="1">
      <c r="A688" s="1636"/>
      <c r="B688" s="1481"/>
      <c r="C688" s="1481"/>
      <c r="D688" s="3623"/>
      <c r="E688" s="913"/>
      <c r="F688" s="914"/>
      <c r="G688" s="914"/>
      <c r="H688" s="915"/>
      <c r="I688" s="915"/>
      <c r="J688" s="915"/>
      <c r="K688" s="915"/>
      <c r="L688" s="915"/>
      <c r="M688" s="915"/>
      <c r="N688" s="915"/>
      <c r="O688" s="915"/>
      <c r="P688" s="915"/>
      <c r="Q688" s="915"/>
      <c r="R688" s="818"/>
      <c r="S688" s="916"/>
      <c r="T688" s="608"/>
      <c r="U688" s="3532"/>
      <c r="V688" s="3532"/>
      <c r="W688" s="1481"/>
      <c r="X688" s="1481"/>
      <c r="Y688" s="1481"/>
      <c r="Z688" s="1481"/>
      <c r="AA688" s="1481"/>
      <c r="AB688" s="1481"/>
      <c r="AC688" s="907"/>
      <c r="AD688" s="908"/>
      <c r="AE688" s="1481"/>
      <c r="AF688" s="1481"/>
      <c r="AG688" s="1481"/>
      <c r="AH688" s="1481"/>
      <c r="AI688" s="1481"/>
      <c r="AJ688" s="1481"/>
      <c r="AK688" s="1481"/>
      <c r="AL688" s="1481"/>
      <c r="AM688" s="1481"/>
      <c r="AN688" s="1481"/>
      <c r="AO688" s="1481"/>
      <c r="AP688" s="1481"/>
      <c r="AQ688" s="1481"/>
      <c r="AR688" s="1481"/>
      <c r="AS688" s="1481"/>
      <c r="AT688" s="1481"/>
      <c r="AU688" s="1481"/>
      <c r="AV688" s="1481"/>
      <c r="AW688" s="1481"/>
      <c r="AX688" s="1481"/>
      <c r="AY688" s="1481"/>
      <c r="AZ688" s="1481"/>
      <c r="BA688" s="1481"/>
      <c r="BB688" s="1481"/>
      <c r="BC688" s="1481"/>
      <c r="BD688" s="1481"/>
      <c r="BE688" s="1481"/>
      <c r="BF688" s="1481"/>
      <c r="BG688" s="1481"/>
      <c r="BH688" s="1481"/>
      <c r="BI688" s="1481"/>
      <c r="BJ688" s="1481"/>
      <c r="BK688" s="1481"/>
      <c r="BL688" s="1481"/>
      <c r="BM688" s="1481"/>
      <c r="BN688" s="1481"/>
      <c r="BO688" s="1481"/>
      <c r="BP688" s="1481"/>
      <c r="BQ688" s="1481"/>
      <c r="BR688" s="1481"/>
      <c r="BS688" s="1481"/>
      <c r="BT688" s="1481"/>
      <c r="BU688" s="1481"/>
      <c r="BV688" s="1481"/>
      <c r="BW688" s="1481"/>
      <c r="BX688" s="1481"/>
      <c r="BY688" s="1481"/>
      <c r="BZ688" s="1481"/>
      <c r="CA688" s="1481"/>
      <c r="CB688" s="1481"/>
      <c r="CC688" s="1481"/>
      <c r="CD688" s="1481"/>
      <c r="CE688" s="1481"/>
    </row>
    <row r="689" spans="1:83" ht="15" hidden="1" customHeight="1">
      <c r="A689" s="516" t="s">
        <v>335</v>
      </c>
      <c r="B689"/>
      <c r="C689" t="s">
        <v>18</v>
      </c>
      <c r="D689" s="3621" t="s">
        <v>954</v>
      </c>
      <c r="E689" s="3618" t="s">
        <v>102</v>
      </c>
      <c r="F689" s="3619"/>
      <c r="G689" s="3620"/>
      <c r="H689" s="3614" t="str">
        <f>IF(A689="","",INDEX(DIFFERENTIATION_UNMERGE_VD,MATCH(A689,DIFFERENTIATION_ID_DIFF,0)))</f>
        <v>Производство тепловой энергии. Некомбинированная выработка</v>
      </c>
      <c r="I689" s="3614"/>
      <c r="J689" s="3614"/>
      <c r="K689" s="3614"/>
      <c r="L689" s="3614"/>
      <c r="M689" s="3614"/>
      <c r="N689" s="3614"/>
      <c r="O689" s="3614"/>
      <c r="P689" s="3614"/>
      <c r="Q689" s="3614"/>
      <c r="R689" s="3614"/>
      <c r="S689" s="609"/>
      <c r="T689" s="606"/>
      <c r="U689" s="517"/>
      <c r="V689" s="517"/>
      <c r="W689" s="518"/>
      <c r="X689" s="518"/>
      <c r="Y689" s="518"/>
      <c r="Z689" s="518"/>
      <c r="AA689" s="519"/>
      <c r="AB689" s="520"/>
      <c r="AC689" s="3617"/>
      <c r="AD689" s="521"/>
      <c r="AE689" s="522" t="s">
        <v>18</v>
      </c>
      <c r="AF689" s="522"/>
      <c r="AG689" s="523" t="s">
        <v>874</v>
      </c>
      <c r="AH689" s="524">
        <v>3</v>
      </c>
      <c r="AI689" s="517"/>
      <c r="AJ689" s="517"/>
      <c r="AK689" s="517"/>
      <c r="AL689" s="517"/>
      <c r="AM689" s="517"/>
      <c r="AN689" s="517"/>
      <c r="AO689" s="517"/>
      <c r="AP689" s="517"/>
      <c r="AQ689" s="517"/>
      <c r="AR689" s="517"/>
      <c r="AS689" s="517"/>
      <c r="AT689" s="517"/>
      <c r="AU689" s="517"/>
      <c r="AV689" s="517"/>
      <c r="AW689" s="517"/>
      <c r="AX689" s="517"/>
      <c r="AY689" s="517"/>
      <c r="AZ689" s="517"/>
      <c r="BA689" s="517"/>
      <c r="BB689" s="517"/>
      <c r="BC689" s="517"/>
      <c r="BD689" s="517"/>
      <c r="BE689" s="517"/>
      <c r="BF689" s="517"/>
      <c r="BG689" s="517"/>
      <c r="BH689" s="517"/>
      <c r="BI689" s="517"/>
      <c r="BJ689" s="517"/>
      <c r="BK689" s="517"/>
      <c r="BL689" s="517"/>
      <c r="BM689" s="517"/>
      <c r="BN689" s="517"/>
      <c r="BO689" s="517"/>
      <c r="BP689" s="517"/>
      <c r="BQ689" s="517"/>
      <c r="BR689" s="517"/>
      <c r="BS689" s="517"/>
      <c r="BT689" s="517"/>
      <c r="BU689" s="517"/>
      <c r="BV689" s="518"/>
      <c r="BW689" s="518"/>
      <c r="BX689" s="518"/>
      <c r="BY689" s="518"/>
      <c r="BZ689" s="518"/>
      <c r="CA689" s="518"/>
      <c r="CB689" s="518"/>
      <c r="CC689" s="518"/>
      <c r="CD689" s="518"/>
      <c r="CE689" s="518"/>
    </row>
    <row r="690" spans="1:83" ht="15" hidden="1" customHeight="1">
      <c r="A690" s="516"/>
      <c r="B690"/>
      <c r="C690"/>
      <c r="D690" s="3622"/>
      <c r="E690" s="3618" t="s">
        <v>829</v>
      </c>
      <c r="F690" s="3619"/>
      <c r="G690" s="3620"/>
      <c r="H690" s="3614" t="str">
        <f>IF(A689="","",INDEX(DIFFERENTIATION_UNMERGE_AREA,MATCH(A689,DIFFERENTIATION_ID_DIFF,0)))</f>
        <v>Территория 1</v>
      </c>
      <c r="I690" s="3614"/>
      <c r="J690" s="3614"/>
      <c r="K690" s="3614"/>
      <c r="L690" s="3614"/>
      <c r="M690" s="3614"/>
      <c r="N690" s="3614"/>
      <c r="O690" s="3614"/>
      <c r="P690" s="3614"/>
      <c r="Q690" s="3614"/>
      <c r="R690" s="3614"/>
      <c r="S690" s="609"/>
      <c r="T690" s="606"/>
      <c r="U690" s="517"/>
      <c r="V690" s="517"/>
      <c r="W690" s="518"/>
      <c r="X690" s="518"/>
      <c r="Y690" s="518"/>
      <c r="Z690" s="518"/>
      <c r="AA690" s="519"/>
      <c r="AB690" s="520"/>
      <c r="AC690" s="3617"/>
      <c r="AD690" s="521"/>
      <c r="AE690" s="522"/>
      <c r="AF690" s="522"/>
      <c r="AG690" s="523"/>
      <c r="AH690" s="524"/>
      <c r="AI690" s="517"/>
      <c r="AJ690" s="517"/>
      <c r="AK690" s="517"/>
      <c r="AL690" s="517"/>
      <c r="AM690" s="517"/>
      <c r="AN690" s="517"/>
      <c r="AO690" s="517"/>
      <c r="AP690" s="517"/>
      <c r="AQ690" s="517"/>
      <c r="AR690" s="517"/>
      <c r="AS690" s="517"/>
      <c r="AT690" s="517"/>
      <c r="AU690" s="517"/>
      <c r="AV690" s="517"/>
      <c r="AW690" s="517"/>
      <c r="AX690" s="517"/>
      <c r="AY690" s="517"/>
      <c r="AZ690" s="517"/>
      <c r="BA690" s="517"/>
      <c r="BB690" s="517"/>
      <c r="BC690" s="517"/>
      <c r="BD690" s="517"/>
      <c r="BE690" s="517"/>
      <c r="BF690" s="517"/>
      <c r="BG690" s="517"/>
      <c r="BH690" s="517"/>
      <c r="BI690" s="517"/>
      <c r="BJ690" s="517"/>
      <c r="BK690" s="517"/>
      <c r="BL690" s="517"/>
      <c r="BM690" s="517"/>
      <c r="BN690" s="517"/>
      <c r="BO690" s="517"/>
      <c r="BP690" s="517"/>
      <c r="BQ690" s="517"/>
      <c r="BR690" s="517"/>
      <c r="BS690" s="517"/>
      <c r="BT690" s="517"/>
      <c r="BU690" s="517"/>
      <c r="BV690" s="518"/>
      <c r="BW690" s="518"/>
      <c r="BX690" s="518"/>
      <c r="BY690" s="518"/>
      <c r="BZ690" s="518"/>
      <c r="CA690" s="518"/>
      <c r="CB690" s="518"/>
      <c r="CC690" s="518"/>
      <c r="CD690" s="518"/>
      <c r="CE690" s="518"/>
    </row>
    <row r="691" spans="1:83" ht="15" hidden="1" customHeight="1">
      <c r="A691" s="516"/>
      <c r="B691"/>
      <c r="C691"/>
      <c r="D691" s="3622"/>
      <c r="E691" s="3618" t="s">
        <v>830</v>
      </c>
      <c r="F691" s="3619"/>
      <c r="G691" s="3620"/>
      <c r="H691" s="3614" t="str">
        <f>IF(A689="","",INDEX(DIFFERENTIATION_UNMERGE_SYSTEM,MATCH(A689,DIFFERENTIATION_ID_DIFF,0)))</f>
        <v>Грузовая, 119г</v>
      </c>
      <c r="I691" s="3614"/>
      <c r="J691" s="3614"/>
      <c r="K691" s="3614"/>
      <c r="L691" s="3614"/>
      <c r="M691" s="3614"/>
      <c r="N691" s="3614"/>
      <c r="O691" s="3614"/>
      <c r="P691" s="3614"/>
      <c r="Q691" s="3614"/>
      <c r="R691" s="3614"/>
      <c r="S691" s="609"/>
      <c r="T691" s="606"/>
      <c r="U691" s="517"/>
      <c r="V691" s="517"/>
      <c r="W691" s="518"/>
      <c r="X691" s="518"/>
      <c r="Y691" s="518"/>
      <c r="Z691" s="518"/>
      <c r="AA691" s="519"/>
      <c r="AB691" s="520"/>
      <c r="AC691" s="3617"/>
      <c r="AD691" s="521"/>
      <c r="AE691" s="522"/>
      <c r="AF691" s="522"/>
      <c r="AG691" s="523"/>
      <c r="AH691" s="524"/>
      <c r="AI691" s="517"/>
      <c r="AJ691" s="517"/>
      <c r="AK691" s="517"/>
      <c r="AL691" s="517"/>
      <c r="AM691" s="517"/>
      <c r="AN691" s="517"/>
      <c r="AO691" s="517"/>
      <c r="AP691" s="517"/>
      <c r="AQ691" s="517"/>
      <c r="AR691" s="517"/>
      <c r="AS691" s="517"/>
      <c r="AT691" s="517"/>
      <c r="AU691" s="517"/>
      <c r="AV691" s="517"/>
      <c r="AW691" s="517"/>
      <c r="AX691" s="517"/>
      <c r="AY691" s="517"/>
      <c r="AZ691" s="517"/>
      <c r="BA691" s="517"/>
      <c r="BB691" s="517"/>
      <c r="BC691" s="517"/>
      <c r="BD691" s="517"/>
      <c r="BE691" s="517"/>
      <c r="BF691" s="517"/>
      <c r="BG691" s="517"/>
      <c r="BH691" s="517"/>
      <c r="BI691" s="517"/>
      <c r="BJ691" s="517"/>
      <c r="BK691" s="517"/>
      <c r="BL691" s="517"/>
      <c r="BM691" s="517"/>
      <c r="BN691" s="517"/>
      <c r="BO691" s="517"/>
      <c r="BP691" s="517"/>
      <c r="BQ691" s="517"/>
      <c r="BR691" s="517"/>
      <c r="BS691" s="517"/>
      <c r="BT691" s="517"/>
      <c r="BU691" s="517"/>
      <c r="BV691" s="518"/>
      <c r="BW691" s="518"/>
      <c r="BX691" s="518"/>
      <c r="BY691" s="518"/>
      <c r="BZ691" s="518"/>
      <c r="CA691" s="518"/>
      <c r="CB691" s="518"/>
      <c r="CC691" s="518"/>
      <c r="CD691" s="518"/>
      <c r="CE691" s="518"/>
    </row>
    <row r="692" spans="1:83" ht="24.75" hidden="1" customHeight="1">
      <c r="A692" s="1649"/>
      <c r="B692" s="1023"/>
      <c r="C692" s="319"/>
      <c r="D692" s="3622"/>
      <c r="E692" s="3616" t="s">
        <v>875</v>
      </c>
      <c r="F692" s="3616"/>
      <c r="G692" s="3616"/>
      <c r="H692" s="3616"/>
      <c r="I692" s="3616"/>
      <c r="J692" s="3616"/>
      <c r="K692" s="3616"/>
      <c r="L692" s="3616"/>
      <c r="M692" s="3616"/>
      <c r="N692" s="3616"/>
      <c r="O692" s="3616"/>
      <c r="P692" s="3616"/>
      <c r="Q692" s="455">
        <f>SUMIF(T693:T694,"i",Q693:Q694)</f>
        <v>0</v>
      </c>
      <c r="R692" s="887"/>
      <c r="S692" s="1641" t="s">
        <v>876</v>
      </c>
      <c r="T692" s="607" t="s">
        <v>877</v>
      </c>
      <c r="U692" s="3532">
        <v>1</v>
      </c>
      <c r="V692" s="3532" t="s">
        <v>840</v>
      </c>
      <c r="W692" s="1023"/>
      <c r="X692" s="1023"/>
      <c r="Y692" s="1023"/>
      <c r="Z692" s="1023"/>
      <c r="AA692" s="1481"/>
      <c r="AB692" s="1023"/>
      <c r="AC692" s="3617"/>
      <c r="AD692" s="521"/>
      <c r="AE692" s="1023"/>
      <c r="AF692" s="1023"/>
      <c r="AG692" s="1481"/>
      <c r="AH692" s="1481"/>
      <c r="AI692" s="1481"/>
      <c r="AJ692" s="1481"/>
      <c r="AK692" s="1481"/>
      <c r="AL692" s="1481"/>
      <c r="AM692" s="1481"/>
      <c r="AN692" s="1481"/>
      <c r="AO692" s="1481"/>
      <c r="AP692" s="1481"/>
      <c r="AQ692" s="1481"/>
      <c r="AR692" s="1481"/>
      <c r="AS692" s="1481"/>
      <c r="AT692" s="1481"/>
      <c r="AU692" s="1481"/>
      <c r="AV692" s="1481"/>
      <c r="AW692" s="1481"/>
      <c r="AX692" s="1481"/>
      <c r="AY692" s="1481"/>
      <c r="AZ692" s="1481"/>
      <c r="BA692" s="1481"/>
      <c r="BB692" s="1481"/>
      <c r="BC692" s="1481"/>
      <c r="BD692" s="1481"/>
      <c r="BE692" s="1481"/>
      <c r="BF692" s="1481"/>
      <c r="BG692" s="1481"/>
      <c r="BH692" s="1481"/>
      <c r="BI692" s="1481"/>
      <c r="BJ692" s="1481"/>
      <c r="BK692" s="1481"/>
      <c r="BL692" s="1481"/>
      <c r="BM692" s="1481"/>
      <c r="BN692" s="1481"/>
      <c r="BO692" s="1481"/>
      <c r="BP692" s="1481"/>
      <c r="BQ692" s="1481"/>
      <c r="BR692" s="1481"/>
      <c r="BS692" s="1481"/>
      <c r="BT692" s="1481"/>
      <c r="BU692" s="1481"/>
      <c r="BV692" s="1023"/>
      <c r="BW692" s="1023"/>
      <c r="BX692" s="1023"/>
      <c r="BY692" s="1023"/>
      <c r="BZ692" s="1023"/>
      <c r="CA692" s="1023"/>
      <c r="CB692" s="1023"/>
      <c r="CC692" s="1023"/>
      <c r="CD692" s="1023"/>
      <c r="CE692" s="1023"/>
    </row>
    <row r="693" spans="1:83" ht="11.25" hidden="1" customHeight="1">
      <c r="A693" s="1636"/>
      <c r="B693" s="1481"/>
      <c r="C693" s="1481"/>
      <c r="D693" s="3622"/>
      <c r="E693" s="527"/>
      <c r="F693" s="527">
        <v>0</v>
      </c>
      <c r="G693" s="527"/>
      <c r="H693" s="527"/>
      <c r="I693" s="527"/>
      <c r="J693" s="527"/>
      <c r="K693" s="527"/>
      <c r="L693" s="527"/>
      <c r="M693" s="527"/>
      <c r="N693" s="527"/>
      <c r="O693" s="527"/>
      <c r="P693" s="527"/>
      <c r="Q693" s="527"/>
      <c r="R693" s="527"/>
      <c r="S693" s="528"/>
      <c r="T693" s="608"/>
      <c r="U693" s="3532"/>
      <c r="V693" s="3532"/>
      <c r="W693" s="1481"/>
      <c r="X693" s="1481"/>
      <c r="Y693" s="1481"/>
      <c r="Z693" s="1481"/>
      <c r="AA693" s="1481"/>
      <c r="AB693" s="1023"/>
      <c r="AC693" s="3617"/>
      <c r="AD693" s="521"/>
      <c r="AE693" s="1023"/>
      <c r="AF693" s="1023"/>
      <c r="AG693" s="1481"/>
      <c r="AH693" s="1481"/>
      <c r="AI693" s="1481"/>
      <c r="AJ693" s="1481"/>
      <c r="AK693" s="1481"/>
      <c r="AL693" s="1481"/>
      <c r="AM693" s="1481"/>
      <c r="AN693" s="1481"/>
      <c r="AO693" s="1481"/>
      <c r="AP693" s="1481"/>
      <c r="AQ693" s="1481"/>
      <c r="AR693" s="1481"/>
      <c r="AS693" s="1481"/>
      <c r="AT693" s="1481"/>
      <c r="AU693" s="1481"/>
      <c r="AV693" s="1481"/>
      <c r="AW693" s="1481"/>
      <c r="AX693" s="1481"/>
      <c r="AY693" s="1481"/>
      <c r="AZ693" s="1481"/>
      <c r="BA693" s="1481"/>
      <c r="BB693" s="1481"/>
      <c r="BC693" s="1481"/>
      <c r="BD693" s="1481"/>
      <c r="BE693" s="1481"/>
      <c r="BF693" s="1481"/>
      <c r="BG693" s="1481"/>
      <c r="BH693" s="1481"/>
      <c r="BI693" s="1481"/>
      <c r="BJ693" s="1481"/>
      <c r="BK693" s="1481"/>
      <c r="BL693" s="1481"/>
      <c r="BM693" s="1481"/>
      <c r="BN693" s="1481"/>
      <c r="BO693" s="1481"/>
      <c r="BP693" s="1481"/>
      <c r="BQ693" s="1481"/>
      <c r="BR693" s="1481"/>
      <c r="BS693" s="1481"/>
      <c r="BT693" s="1481"/>
      <c r="BU693" s="1481"/>
      <c r="BV693" s="1481"/>
      <c r="BW693" s="1481"/>
      <c r="BX693" s="1481"/>
      <c r="BY693" s="1481"/>
      <c r="BZ693" s="1481"/>
      <c r="CA693" s="1481"/>
      <c r="CB693" s="1481"/>
      <c r="CC693" s="1481"/>
      <c r="CD693" s="1481"/>
      <c r="CE693" s="1481"/>
    </row>
    <row r="694" spans="1:83" ht="11.25" hidden="1" customHeight="1">
      <c r="A694" s="1649"/>
      <c r="B694" s="1023"/>
      <c r="C694" s="319"/>
      <c r="D694" s="3622"/>
      <c r="E694" s="541" t="s">
        <v>18</v>
      </c>
      <c r="F694" s="1031" t="s">
        <v>18</v>
      </c>
      <c r="G694" s="1031" t="s">
        <v>880</v>
      </c>
      <c r="H694" s="543" t="s">
        <v>18</v>
      </c>
      <c r="I694" s="543"/>
      <c r="J694" s="543"/>
      <c r="K694" s="543"/>
      <c r="L694" s="543"/>
      <c r="M694" s="543"/>
      <c r="N694" s="543"/>
      <c r="O694" s="543"/>
      <c r="P694" s="543"/>
      <c r="Q694" s="543"/>
      <c r="R694" s="544"/>
      <c r="S694" s="545"/>
      <c r="T694" s="608"/>
      <c r="U694" s="3532"/>
      <c r="V694" s="3532"/>
      <c r="W694" s="1023"/>
      <c r="X694" s="1023"/>
      <c r="Y694" s="1023"/>
      <c r="Z694" s="1023"/>
      <c r="AA694" s="1481"/>
      <c r="AB694" s="1023"/>
      <c r="AC694" s="3617"/>
      <c r="AD694" s="521"/>
      <c r="AE694" s="1023"/>
      <c r="AF694" s="1023"/>
      <c r="AG694" s="1481"/>
      <c r="AH694" s="1481"/>
      <c r="AI694" s="1481"/>
      <c r="AJ694" s="1481"/>
      <c r="AK694" s="1481"/>
      <c r="AL694" s="1481"/>
      <c r="AM694" s="1481"/>
      <c r="AN694" s="1481"/>
      <c r="AO694" s="1481"/>
      <c r="AP694" s="1481"/>
      <c r="AQ694" s="1481"/>
      <c r="AR694" s="1481"/>
      <c r="AS694" s="1481"/>
      <c r="AT694" s="1481"/>
      <c r="AU694" s="1481"/>
      <c r="AV694" s="1481"/>
      <c r="AW694" s="1481"/>
      <c r="AX694" s="1481"/>
      <c r="AY694" s="1481"/>
      <c r="AZ694" s="1481"/>
      <c r="BA694" s="1481"/>
      <c r="BB694" s="1481"/>
      <c r="BC694" s="1481"/>
      <c r="BD694" s="1481"/>
      <c r="BE694" s="1481"/>
      <c r="BF694" s="1481"/>
      <c r="BG694" s="1481"/>
      <c r="BH694" s="1481"/>
      <c r="BI694" s="1481"/>
      <c r="BJ694" s="1481"/>
      <c r="BK694" s="1481"/>
      <c r="BL694" s="1481"/>
      <c r="BM694" s="1481"/>
      <c r="BN694" s="1481"/>
      <c r="BO694" s="1481"/>
      <c r="BP694" s="1481"/>
      <c r="BQ694" s="1481"/>
      <c r="BR694" s="1481"/>
      <c r="BS694" s="1481"/>
      <c r="BT694" s="1481"/>
      <c r="BU694" s="1481"/>
      <c r="BV694" s="1023"/>
      <c r="BW694" s="1023"/>
      <c r="BX694" s="1023"/>
      <c r="BY694" s="1023"/>
      <c r="BZ694" s="1023"/>
      <c r="CA694" s="1023"/>
      <c r="CB694" s="1023"/>
      <c r="CC694" s="1023"/>
      <c r="CD694" s="1023"/>
      <c r="CE694" s="1023"/>
    </row>
    <row r="695" spans="1:83" ht="5.25" hidden="1" customHeight="1">
      <c r="A695" s="1636"/>
      <c r="B695" s="1481"/>
      <c r="C695" s="1481"/>
      <c r="D695" s="3622"/>
      <c r="E695" s="909"/>
      <c r="F695" s="909"/>
      <c r="G695" s="909"/>
      <c r="H695" s="909"/>
      <c r="I695" s="909"/>
      <c r="J695" s="909"/>
      <c r="K695" s="909"/>
      <c r="L695" s="909"/>
      <c r="M695" s="909"/>
      <c r="N695" s="909"/>
      <c r="O695" s="909"/>
      <c r="P695" s="909"/>
      <c r="Q695" s="910"/>
      <c r="R695" s="911"/>
      <c r="S695" s="912"/>
      <c r="T695" s="607" t="s">
        <v>877</v>
      </c>
      <c r="U695" s="3532">
        <v>1</v>
      </c>
      <c r="V695" s="3532" t="s">
        <v>840</v>
      </c>
      <c r="W695" s="1481"/>
      <c r="X695" s="1481"/>
      <c r="Y695" s="1481"/>
      <c r="Z695" s="1481"/>
      <c r="AA695" s="1481"/>
      <c r="AB695" s="1481"/>
      <c r="AC695" s="907"/>
      <c r="AD695" s="908"/>
      <c r="AE695" s="1481"/>
      <c r="AF695" s="1481"/>
      <c r="AG695" s="1481"/>
      <c r="AH695" s="1481"/>
      <c r="AI695" s="1481"/>
      <c r="AJ695" s="1481"/>
      <c r="AK695" s="1481"/>
      <c r="AL695" s="1481"/>
      <c r="AM695" s="1481"/>
      <c r="AN695" s="1481"/>
      <c r="AO695" s="1481"/>
      <c r="AP695" s="1481"/>
      <c r="AQ695" s="1481"/>
      <c r="AR695" s="1481"/>
      <c r="AS695" s="1481"/>
      <c r="AT695" s="1481"/>
      <c r="AU695" s="1481"/>
      <c r="AV695" s="1481"/>
      <c r="AW695" s="1481"/>
      <c r="AX695" s="1481"/>
      <c r="AY695" s="1481"/>
      <c r="AZ695" s="1481"/>
      <c r="BA695" s="1481"/>
      <c r="BB695" s="1481"/>
      <c r="BC695" s="1481"/>
      <c r="BD695" s="1481"/>
      <c r="BE695" s="1481"/>
      <c r="BF695" s="1481"/>
      <c r="BG695" s="1481"/>
      <c r="BH695" s="1481"/>
      <c r="BI695" s="1481"/>
      <c r="BJ695" s="1481"/>
      <c r="BK695" s="1481"/>
      <c r="BL695" s="1481"/>
      <c r="BM695" s="1481"/>
      <c r="BN695" s="1481"/>
      <c r="BO695" s="1481"/>
      <c r="BP695" s="1481"/>
      <c r="BQ695" s="1481"/>
      <c r="BR695" s="1481"/>
      <c r="BS695" s="1481"/>
      <c r="BT695" s="1481"/>
      <c r="BU695" s="1481"/>
      <c r="BV695" s="1481"/>
      <c r="BW695" s="1481"/>
      <c r="BX695" s="1481"/>
      <c r="BY695" s="1481"/>
      <c r="BZ695" s="1481"/>
      <c r="CA695" s="1481"/>
      <c r="CB695" s="1481"/>
      <c r="CC695" s="1481"/>
      <c r="CD695" s="1481"/>
      <c r="CE695" s="1481"/>
    </row>
    <row r="696" spans="1:83" ht="5.25" hidden="1" customHeight="1">
      <c r="A696" s="1636"/>
      <c r="B696" s="1481"/>
      <c r="C696" s="1481"/>
      <c r="D696" s="3622"/>
      <c r="E696" s="527"/>
      <c r="F696" s="527"/>
      <c r="G696" s="527"/>
      <c r="H696" s="527"/>
      <c r="I696" s="527"/>
      <c r="J696" s="527"/>
      <c r="K696" s="527"/>
      <c r="L696" s="527"/>
      <c r="M696" s="527"/>
      <c r="N696" s="527"/>
      <c r="O696" s="527"/>
      <c r="P696" s="527"/>
      <c r="Q696" s="527"/>
      <c r="R696" s="527"/>
      <c r="S696" s="528"/>
      <c r="T696" s="608"/>
      <c r="U696" s="3532"/>
      <c r="V696" s="3532"/>
      <c r="W696" s="1481"/>
      <c r="X696" s="1481"/>
      <c r="Y696" s="1481"/>
      <c r="Z696" s="1481"/>
      <c r="AA696" s="1481"/>
      <c r="AB696" s="1481"/>
      <c r="AC696" s="907"/>
      <c r="AD696" s="908"/>
      <c r="AE696" s="1481"/>
      <c r="AF696" s="1481"/>
      <c r="AG696" s="1481"/>
      <c r="AH696" s="1481"/>
      <c r="AI696" s="1481"/>
      <c r="AJ696" s="1481"/>
      <c r="AK696" s="1481"/>
      <c r="AL696" s="1481"/>
      <c r="AM696" s="1481"/>
      <c r="AN696" s="1481"/>
      <c r="AO696" s="1481"/>
      <c r="AP696" s="1481"/>
      <c r="AQ696" s="1481"/>
      <c r="AR696" s="1481"/>
      <c r="AS696" s="1481"/>
      <c r="AT696" s="1481"/>
      <c r="AU696" s="1481"/>
      <c r="AV696" s="1481"/>
      <c r="AW696" s="1481"/>
      <c r="AX696" s="1481"/>
      <c r="AY696" s="1481"/>
      <c r="AZ696" s="1481"/>
      <c r="BA696" s="1481"/>
      <c r="BB696" s="1481"/>
      <c r="BC696" s="1481"/>
      <c r="BD696" s="1481"/>
      <c r="BE696" s="1481"/>
      <c r="BF696" s="1481"/>
      <c r="BG696" s="1481"/>
      <c r="BH696" s="1481"/>
      <c r="BI696" s="1481"/>
      <c r="BJ696" s="1481"/>
      <c r="BK696" s="1481"/>
      <c r="BL696" s="1481"/>
      <c r="BM696" s="1481"/>
      <c r="BN696" s="1481"/>
      <c r="BO696" s="1481"/>
      <c r="BP696" s="1481"/>
      <c r="BQ696" s="1481"/>
      <c r="BR696" s="1481"/>
      <c r="BS696" s="1481"/>
      <c r="BT696" s="1481"/>
      <c r="BU696" s="1481"/>
      <c r="BV696" s="1481"/>
      <c r="BW696" s="1481"/>
      <c r="BX696" s="1481"/>
      <c r="BY696" s="1481"/>
      <c r="BZ696" s="1481"/>
      <c r="CA696" s="1481"/>
      <c r="CB696" s="1481"/>
      <c r="CC696" s="1481"/>
      <c r="CD696" s="1481"/>
      <c r="CE696" s="1481"/>
    </row>
    <row r="697" spans="1:83" ht="5.25" hidden="1" customHeight="1">
      <c r="A697" s="1636"/>
      <c r="B697" s="1481"/>
      <c r="C697" s="1481"/>
      <c r="D697" s="3623"/>
      <c r="E697" s="913"/>
      <c r="F697" s="914"/>
      <c r="G697" s="914"/>
      <c r="H697" s="915"/>
      <c r="I697" s="915"/>
      <c r="J697" s="915"/>
      <c r="K697" s="915"/>
      <c r="L697" s="915"/>
      <c r="M697" s="915"/>
      <c r="N697" s="915"/>
      <c r="O697" s="915"/>
      <c r="P697" s="915"/>
      <c r="Q697" s="915"/>
      <c r="R697" s="818"/>
      <c r="S697" s="916"/>
      <c r="T697" s="608"/>
      <c r="U697" s="3532"/>
      <c r="V697" s="3532"/>
      <c r="W697" s="1481"/>
      <c r="X697" s="1481"/>
      <c r="Y697" s="1481"/>
      <c r="Z697" s="1481"/>
      <c r="AA697" s="1481"/>
      <c r="AB697" s="1481"/>
      <c r="AC697" s="907"/>
      <c r="AD697" s="908"/>
      <c r="AE697" s="1481"/>
      <c r="AF697" s="1481"/>
      <c r="AG697" s="1481"/>
      <c r="AH697" s="1481"/>
      <c r="AI697" s="1481"/>
      <c r="AJ697" s="1481"/>
      <c r="AK697" s="1481"/>
      <c r="AL697" s="1481"/>
      <c r="AM697" s="1481"/>
      <c r="AN697" s="1481"/>
      <c r="AO697" s="1481"/>
      <c r="AP697" s="1481"/>
      <c r="AQ697" s="1481"/>
      <c r="AR697" s="1481"/>
      <c r="AS697" s="1481"/>
      <c r="AT697" s="1481"/>
      <c r="AU697" s="1481"/>
      <c r="AV697" s="1481"/>
      <c r="AW697" s="1481"/>
      <c r="AX697" s="1481"/>
      <c r="AY697" s="1481"/>
      <c r="AZ697" s="1481"/>
      <c r="BA697" s="1481"/>
      <c r="BB697" s="1481"/>
      <c r="BC697" s="1481"/>
      <c r="BD697" s="1481"/>
      <c r="BE697" s="1481"/>
      <c r="BF697" s="1481"/>
      <c r="BG697" s="1481"/>
      <c r="BH697" s="1481"/>
      <c r="BI697" s="1481"/>
      <c r="BJ697" s="1481"/>
      <c r="BK697" s="1481"/>
      <c r="BL697" s="1481"/>
      <c r="BM697" s="1481"/>
      <c r="BN697" s="1481"/>
      <c r="BO697" s="1481"/>
      <c r="BP697" s="1481"/>
      <c r="BQ697" s="1481"/>
      <c r="BR697" s="1481"/>
      <c r="BS697" s="1481"/>
      <c r="BT697" s="1481"/>
      <c r="BU697" s="1481"/>
      <c r="BV697" s="1481"/>
      <c r="BW697" s="1481"/>
      <c r="BX697" s="1481"/>
      <c r="BY697" s="1481"/>
      <c r="BZ697" s="1481"/>
      <c r="CA697" s="1481"/>
      <c r="CB697" s="1481"/>
      <c r="CC697" s="1481"/>
      <c r="CD697" s="1481"/>
      <c r="CE697" s="1481"/>
    </row>
    <row r="698" spans="1:83" ht="15" hidden="1" customHeight="1">
      <c r="A698" s="516" t="s">
        <v>338</v>
      </c>
      <c r="B698"/>
      <c r="C698" t="s">
        <v>18</v>
      </c>
      <c r="D698" s="3621" t="s">
        <v>955</v>
      </c>
      <c r="E698" s="3618" t="s">
        <v>102</v>
      </c>
      <c r="F698" s="3619"/>
      <c r="G698" s="3620"/>
      <c r="H698" s="3614" t="str">
        <f>IF(A698="","",INDEX(DIFFERENTIATION_UNMERGE_VD,MATCH(A698,DIFFERENTIATION_ID_DIFF,0)))</f>
        <v>Производство тепловой энергии. Некомбинированная выработка</v>
      </c>
      <c r="I698" s="3614"/>
      <c r="J698" s="3614"/>
      <c r="K698" s="3614"/>
      <c r="L698" s="3614"/>
      <c r="M698" s="3614"/>
      <c r="N698" s="3614"/>
      <c r="O698" s="3614"/>
      <c r="P698" s="3614"/>
      <c r="Q698" s="3614"/>
      <c r="R698" s="3614"/>
      <c r="S698" s="609"/>
      <c r="T698" s="606"/>
      <c r="U698" s="517"/>
      <c r="V698" s="517"/>
      <c r="W698" s="518"/>
      <c r="X698" s="518"/>
      <c r="Y698" s="518"/>
      <c r="Z698" s="518"/>
      <c r="AA698" s="519"/>
      <c r="AB698" s="520"/>
      <c r="AC698" s="3617"/>
      <c r="AD698" s="521"/>
      <c r="AE698" s="522" t="s">
        <v>18</v>
      </c>
      <c r="AF698" s="522"/>
      <c r="AG698" s="523" t="s">
        <v>874</v>
      </c>
      <c r="AH698" s="524">
        <v>3</v>
      </c>
      <c r="AI698" s="517"/>
      <c r="AJ698" s="517"/>
      <c r="AK698" s="517"/>
      <c r="AL698" s="517"/>
      <c r="AM698" s="517"/>
      <c r="AN698" s="517"/>
      <c r="AO698" s="517"/>
      <c r="AP698" s="517"/>
      <c r="AQ698" s="517"/>
      <c r="AR698" s="517"/>
      <c r="AS698" s="517"/>
      <c r="AT698" s="517"/>
      <c r="AU698" s="517"/>
      <c r="AV698" s="517"/>
      <c r="AW698" s="517"/>
      <c r="AX698" s="517"/>
      <c r="AY698" s="517"/>
      <c r="AZ698" s="517"/>
      <c r="BA698" s="517"/>
      <c r="BB698" s="517"/>
      <c r="BC698" s="517"/>
      <c r="BD698" s="517"/>
      <c r="BE698" s="517"/>
      <c r="BF698" s="517"/>
      <c r="BG698" s="517"/>
      <c r="BH698" s="517"/>
      <c r="BI698" s="517"/>
      <c r="BJ698" s="517"/>
      <c r="BK698" s="517"/>
      <c r="BL698" s="517"/>
      <c r="BM698" s="517"/>
      <c r="BN698" s="517"/>
      <c r="BO698" s="517"/>
      <c r="BP698" s="517"/>
      <c r="BQ698" s="517"/>
      <c r="BR698" s="517"/>
      <c r="BS698" s="517"/>
      <c r="BT698" s="517"/>
      <c r="BU698" s="517"/>
      <c r="BV698" s="518"/>
      <c r="BW698" s="518"/>
      <c r="BX698" s="518"/>
      <c r="BY698" s="518"/>
      <c r="BZ698" s="518"/>
      <c r="CA698" s="518"/>
      <c r="CB698" s="518"/>
      <c r="CC698" s="518"/>
      <c r="CD698" s="518"/>
      <c r="CE698" s="518"/>
    </row>
    <row r="699" spans="1:83" ht="15" hidden="1" customHeight="1">
      <c r="A699" s="516"/>
      <c r="B699"/>
      <c r="C699"/>
      <c r="D699" s="3622"/>
      <c r="E699" s="3618" t="s">
        <v>829</v>
      </c>
      <c r="F699" s="3619"/>
      <c r="G699" s="3620"/>
      <c r="H699" s="3614" t="str">
        <f>IF(A698="","",INDEX(DIFFERENTIATION_UNMERGE_AREA,MATCH(A698,DIFFERENTIATION_ID_DIFF,0)))</f>
        <v>Территория 1</v>
      </c>
      <c r="I699" s="3614"/>
      <c r="J699" s="3614"/>
      <c r="K699" s="3614"/>
      <c r="L699" s="3614"/>
      <c r="M699" s="3614"/>
      <c r="N699" s="3614"/>
      <c r="O699" s="3614"/>
      <c r="P699" s="3614"/>
      <c r="Q699" s="3614"/>
      <c r="R699" s="3614"/>
      <c r="S699" s="609"/>
      <c r="T699" s="606"/>
      <c r="U699" s="517"/>
      <c r="V699" s="517"/>
      <c r="W699" s="518"/>
      <c r="X699" s="518"/>
      <c r="Y699" s="518"/>
      <c r="Z699" s="518"/>
      <c r="AA699" s="519"/>
      <c r="AB699" s="520"/>
      <c r="AC699" s="3617"/>
      <c r="AD699" s="521"/>
      <c r="AE699" s="522"/>
      <c r="AF699" s="522"/>
      <c r="AG699" s="523"/>
      <c r="AH699" s="524"/>
      <c r="AI699" s="517"/>
      <c r="AJ699" s="517"/>
      <c r="AK699" s="517"/>
      <c r="AL699" s="517"/>
      <c r="AM699" s="517"/>
      <c r="AN699" s="517"/>
      <c r="AO699" s="517"/>
      <c r="AP699" s="517"/>
      <c r="AQ699" s="517"/>
      <c r="AR699" s="517"/>
      <c r="AS699" s="517"/>
      <c r="AT699" s="517"/>
      <c r="AU699" s="517"/>
      <c r="AV699" s="517"/>
      <c r="AW699" s="517"/>
      <c r="AX699" s="517"/>
      <c r="AY699" s="517"/>
      <c r="AZ699" s="517"/>
      <c r="BA699" s="517"/>
      <c r="BB699" s="517"/>
      <c r="BC699" s="517"/>
      <c r="BD699" s="517"/>
      <c r="BE699" s="517"/>
      <c r="BF699" s="517"/>
      <c r="BG699" s="517"/>
      <c r="BH699" s="517"/>
      <c r="BI699" s="517"/>
      <c r="BJ699" s="517"/>
      <c r="BK699" s="517"/>
      <c r="BL699" s="517"/>
      <c r="BM699" s="517"/>
      <c r="BN699" s="517"/>
      <c r="BO699" s="517"/>
      <c r="BP699" s="517"/>
      <c r="BQ699" s="517"/>
      <c r="BR699" s="517"/>
      <c r="BS699" s="517"/>
      <c r="BT699" s="517"/>
      <c r="BU699" s="517"/>
      <c r="BV699" s="518"/>
      <c r="BW699" s="518"/>
      <c r="BX699" s="518"/>
      <c r="BY699" s="518"/>
      <c r="BZ699" s="518"/>
      <c r="CA699" s="518"/>
      <c r="CB699" s="518"/>
      <c r="CC699" s="518"/>
      <c r="CD699" s="518"/>
      <c r="CE699" s="518"/>
    </row>
    <row r="700" spans="1:83" ht="15" hidden="1" customHeight="1">
      <c r="A700" s="516"/>
      <c r="B700"/>
      <c r="C700"/>
      <c r="D700" s="3622"/>
      <c r="E700" s="3618" t="s">
        <v>830</v>
      </c>
      <c r="F700" s="3619"/>
      <c r="G700" s="3620"/>
      <c r="H700" s="3614" t="str">
        <f>IF(A698="","",INDEX(DIFFERENTIATION_UNMERGE_SYSTEM,MATCH(A698,DIFFERENTIATION_ID_DIFF,0)))</f>
        <v>Деповская, 6а</v>
      </c>
      <c r="I700" s="3614"/>
      <c r="J700" s="3614"/>
      <c r="K700" s="3614"/>
      <c r="L700" s="3614"/>
      <c r="M700" s="3614"/>
      <c r="N700" s="3614"/>
      <c r="O700" s="3614"/>
      <c r="P700" s="3614"/>
      <c r="Q700" s="3614"/>
      <c r="R700" s="3614"/>
      <c r="S700" s="609"/>
      <c r="T700" s="606"/>
      <c r="U700" s="517"/>
      <c r="V700" s="517"/>
      <c r="W700" s="518"/>
      <c r="X700" s="518"/>
      <c r="Y700" s="518"/>
      <c r="Z700" s="518"/>
      <c r="AA700" s="519"/>
      <c r="AB700" s="520"/>
      <c r="AC700" s="3617"/>
      <c r="AD700" s="521"/>
      <c r="AE700" s="522"/>
      <c r="AF700" s="522"/>
      <c r="AG700" s="523"/>
      <c r="AH700" s="524"/>
      <c r="AI700" s="517"/>
      <c r="AJ700" s="517"/>
      <c r="AK700" s="517"/>
      <c r="AL700" s="517"/>
      <c r="AM700" s="517"/>
      <c r="AN700" s="517"/>
      <c r="AO700" s="517"/>
      <c r="AP700" s="517"/>
      <c r="AQ700" s="517"/>
      <c r="AR700" s="517"/>
      <c r="AS700" s="517"/>
      <c r="AT700" s="517"/>
      <c r="AU700" s="517"/>
      <c r="AV700" s="517"/>
      <c r="AW700" s="517"/>
      <c r="AX700" s="517"/>
      <c r="AY700" s="517"/>
      <c r="AZ700" s="517"/>
      <c r="BA700" s="517"/>
      <c r="BB700" s="517"/>
      <c r="BC700" s="517"/>
      <c r="BD700" s="517"/>
      <c r="BE700" s="517"/>
      <c r="BF700" s="517"/>
      <c r="BG700" s="517"/>
      <c r="BH700" s="517"/>
      <c r="BI700" s="517"/>
      <c r="BJ700" s="517"/>
      <c r="BK700" s="517"/>
      <c r="BL700" s="517"/>
      <c r="BM700" s="517"/>
      <c r="BN700" s="517"/>
      <c r="BO700" s="517"/>
      <c r="BP700" s="517"/>
      <c r="BQ700" s="517"/>
      <c r="BR700" s="517"/>
      <c r="BS700" s="517"/>
      <c r="BT700" s="517"/>
      <c r="BU700" s="517"/>
      <c r="BV700" s="518"/>
      <c r="BW700" s="518"/>
      <c r="BX700" s="518"/>
      <c r="BY700" s="518"/>
      <c r="BZ700" s="518"/>
      <c r="CA700" s="518"/>
      <c r="CB700" s="518"/>
      <c r="CC700" s="518"/>
      <c r="CD700" s="518"/>
      <c r="CE700" s="518"/>
    </row>
    <row r="701" spans="1:83" ht="24.75" hidden="1" customHeight="1">
      <c r="A701" s="1649"/>
      <c r="B701" s="1023"/>
      <c r="C701" s="319"/>
      <c r="D701" s="3622"/>
      <c r="E701" s="3616" t="s">
        <v>875</v>
      </c>
      <c r="F701" s="3616"/>
      <c r="G701" s="3616"/>
      <c r="H701" s="3616"/>
      <c r="I701" s="3616"/>
      <c r="J701" s="3616"/>
      <c r="K701" s="3616"/>
      <c r="L701" s="3616"/>
      <c r="M701" s="3616"/>
      <c r="N701" s="3616"/>
      <c r="O701" s="3616"/>
      <c r="P701" s="3616"/>
      <c r="Q701" s="455">
        <f>SUMIF(T702:T703,"i",Q702:Q703)</f>
        <v>0</v>
      </c>
      <c r="R701" s="887"/>
      <c r="S701" s="1641" t="s">
        <v>876</v>
      </c>
      <c r="T701" s="607" t="s">
        <v>877</v>
      </c>
      <c r="U701" s="3532">
        <v>1</v>
      </c>
      <c r="V701" s="3532" t="s">
        <v>840</v>
      </c>
      <c r="W701" s="1023"/>
      <c r="X701" s="1023"/>
      <c r="Y701" s="1023"/>
      <c r="Z701" s="1023"/>
      <c r="AA701" s="1481"/>
      <c r="AB701" s="1023"/>
      <c r="AC701" s="3617"/>
      <c r="AD701" s="521"/>
      <c r="AE701" s="1023"/>
      <c r="AF701" s="1023"/>
      <c r="AG701" s="1481"/>
      <c r="AH701" s="1481"/>
      <c r="AI701" s="1481"/>
      <c r="AJ701" s="1481"/>
      <c r="AK701" s="1481"/>
      <c r="AL701" s="1481"/>
      <c r="AM701" s="1481"/>
      <c r="AN701" s="1481"/>
      <c r="AO701" s="1481"/>
      <c r="AP701" s="1481"/>
      <c r="AQ701" s="1481"/>
      <c r="AR701" s="1481"/>
      <c r="AS701" s="1481"/>
      <c r="AT701" s="1481"/>
      <c r="AU701" s="1481"/>
      <c r="AV701" s="1481"/>
      <c r="AW701" s="1481"/>
      <c r="AX701" s="1481"/>
      <c r="AY701" s="1481"/>
      <c r="AZ701" s="1481"/>
      <c r="BA701" s="1481"/>
      <c r="BB701" s="1481"/>
      <c r="BC701" s="1481"/>
      <c r="BD701" s="1481"/>
      <c r="BE701" s="1481"/>
      <c r="BF701" s="1481"/>
      <c r="BG701" s="1481"/>
      <c r="BH701" s="1481"/>
      <c r="BI701" s="1481"/>
      <c r="BJ701" s="1481"/>
      <c r="BK701" s="1481"/>
      <c r="BL701" s="1481"/>
      <c r="BM701" s="1481"/>
      <c r="BN701" s="1481"/>
      <c r="BO701" s="1481"/>
      <c r="BP701" s="1481"/>
      <c r="BQ701" s="1481"/>
      <c r="BR701" s="1481"/>
      <c r="BS701" s="1481"/>
      <c r="BT701" s="1481"/>
      <c r="BU701" s="1481"/>
      <c r="BV701" s="1023"/>
      <c r="BW701" s="1023"/>
      <c r="BX701" s="1023"/>
      <c r="BY701" s="1023"/>
      <c r="BZ701" s="1023"/>
      <c r="CA701" s="1023"/>
      <c r="CB701" s="1023"/>
      <c r="CC701" s="1023"/>
      <c r="CD701" s="1023"/>
      <c r="CE701" s="1023"/>
    </row>
    <row r="702" spans="1:83" ht="11.25" hidden="1" customHeight="1">
      <c r="A702" s="1636"/>
      <c r="B702" s="1481"/>
      <c r="C702" s="1481"/>
      <c r="D702" s="3622"/>
      <c r="E702" s="527"/>
      <c r="F702" s="527">
        <v>0</v>
      </c>
      <c r="G702" s="527"/>
      <c r="H702" s="527"/>
      <c r="I702" s="527"/>
      <c r="J702" s="527"/>
      <c r="K702" s="527"/>
      <c r="L702" s="527"/>
      <c r="M702" s="527"/>
      <c r="N702" s="527"/>
      <c r="O702" s="527"/>
      <c r="P702" s="527"/>
      <c r="Q702" s="527"/>
      <c r="R702" s="527"/>
      <c r="S702" s="528"/>
      <c r="T702" s="608"/>
      <c r="U702" s="3532"/>
      <c r="V702" s="3532"/>
      <c r="W702" s="1481"/>
      <c r="X702" s="1481"/>
      <c r="Y702" s="1481"/>
      <c r="Z702" s="1481"/>
      <c r="AA702" s="1481"/>
      <c r="AB702" s="1023"/>
      <c r="AC702" s="3617"/>
      <c r="AD702" s="521"/>
      <c r="AE702" s="1023"/>
      <c r="AF702" s="1023"/>
      <c r="AG702" s="1481"/>
      <c r="AH702" s="1481"/>
      <c r="AI702" s="1481"/>
      <c r="AJ702" s="1481"/>
      <c r="AK702" s="1481"/>
      <c r="AL702" s="1481"/>
      <c r="AM702" s="1481"/>
      <c r="AN702" s="1481"/>
      <c r="AO702" s="1481"/>
      <c r="AP702" s="1481"/>
      <c r="AQ702" s="1481"/>
      <c r="AR702" s="1481"/>
      <c r="AS702" s="1481"/>
      <c r="AT702" s="1481"/>
      <c r="AU702" s="1481"/>
      <c r="AV702" s="1481"/>
      <c r="AW702" s="1481"/>
      <c r="AX702" s="1481"/>
      <c r="AY702" s="1481"/>
      <c r="AZ702" s="1481"/>
      <c r="BA702" s="1481"/>
      <c r="BB702" s="1481"/>
      <c r="BC702" s="1481"/>
      <c r="BD702" s="1481"/>
      <c r="BE702" s="1481"/>
      <c r="BF702" s="1481"/>
      <c r="BG702" s="1481"/>
      <c r="BH702" s="1481"/>
      <c r="BI702" s="1481"/>
      <c r="BJ702" s="1481"/>
      <c r="BK702" s="1481"/>
      <c r="BL702" s="1481"/>
      <c r="BM702" s="1481"/>
      <c r="BN702" s="1481"/>
      <c r="BO702" s="1481"/>
      <c r="BP702" s="1481"/>
      <c r="BQ702" s="1481"/>
      <c r="BR702" s="1481"/>
      <c r="BS702" s="1481"/>
      <c r="BT702" s="1481"/>
      <c r="BU702" s="1481"/>
      <c r="BV702" s="1481"/>
      <c r="BW702" s="1481"/>
      <c r="BX702" s="1481"/>
      <c r="BY702" s="1481"/>
      <c r="BZ702" s="1481"/>
      <c r="CA702" s="1481"/>
      <c r="CB702" s="1481"/>
      <c r="CC702" s="1481"/>
      <c r="CD702" s="1481"/>
      <c r="CE702" s="1481"/>
    </row>
    <row r="703" spans="1:83" ht="11.25" hidden="1" customHeight="1">
      <c r="A703" s="1649"/>
      <c r="B703" s="1023"/>
      <c r="C703" s="319"/>
      <c r="D703" s="3622"/>
      <c r="E703" s="541" t="s">
        <v>18</v>
      </c>
      <c r="F703" s="1031" t="s">
        <v>18</v>
      </c>
      <c r="G703" s="1031" t="s">
        <v>880</v>
      </c>
      <c r="H703" s="543" t="s">
        <v>18</v>
      </c>
      <c r="I703" s="543"/>
      <c r="J703" s="543"/>
      <c r="K703" s="543"/>
      <c r="L703" s="543"/>
      <c r="M703" s="543"/>
      <c r="N703" s="543"/>
      <c r="O703" s="543"/>
      <c r="P703" s="543"/>
      <c r="Q703" s="543"/>
      <c r="R703" s="544"/>
      <c r="S703" s="545"/>
      <c r="T703" s="608"/>
      <c r="U703" s="3532"/>
      <c r="V703" s="3532"/>
      <c r="W703" s="1023"/>
      <c r="X703" s="1023"/>
      <c r="Y703" s="1023"/>
      <c r="Z703" s="1023"/>
      <c r="AA703" s="1481"/>
      <c r="AB703" s="1023"/>
      <c r="AC703" s="3617"/>
      <c r="AD703" s="521"/>
      <c r="AE703" s="1023"/>
      <c r="AF703" s="1023"/>
      <c r="AG703" s="1481"/>
      <c r="AH703" s="1481"/>
      <c r="AI703" s="1481"/>
      <c r="AJ703" s="1481"/>
      <c r="AK703" s="1481"/>
      <c r="AL703" s="1481"/>
      <c r="AM703" s="1481"/>
      <c r="AN703" s="1481"/>
      <c r="AO703" s="1481"/>
      <c r="AP703" s="1481"/>
      <c r="AQ703" s="1481"/>
      <c r="AR703" s="1481"/>
      <c r="AS703" s="1481"/>
      <c r="AT703" s="1481"/>
      <c r="AU703" s="1481"/>
      <c r="AV703" s="1481"/>
      <c r="AW703" s="1481"/>
      <c r="AX703" s="1481"/>
      <c r="AY703" s="1481"/>
      <c r="AZ703" s="1481"/>
      <c r="BA703" s="1481"/>
      <c r="BB703" s="1481"/>
      <c r="BC703" s="1481"/>
      <c r="BD703" s="1481"/>
      <c r="BE703" s="1481"/>
      <c r="BF703" s="1481"/>
      <c r="BG703" s="1481"/>
      <c r="BH703" s="1481"/>
      <c r="BI703" s="1481"/>
      <c r="BJ703" s="1481"/>
      <c r="BK703" s="1481"/>
      <c r="BL703" s="1481"/>
      <c r="BM703" s="1481"/>
      <c r="BN703" s="1481"/>
      <c r="BO703" s="1481"/>
      <c r="BP703" s="1481"/>
      <c r="BQ703" s="1481"/>
      <c r="BR703" s="1481"/>
      <c r="BS703" s="1481"/>
      <c r="BT703" s="1481"/>
      <c r="BU703" s="1481"/>
      <c r="BV703" s="1023"/>
      <c r="BW703" s="1023"/>
      <c r="BX703" s="1023"/>
      <c r="BY703" s="1023"/>
      <c r="BZ703" s="1023"/>
      <c r="CA703" s="1023"/>
      <c r="CB703" s="1023"/>
      <c r="CC703" s="1023"/>
      <c r="CD703" s="1023"/>
      <c r="CE703" s="1023"/>
    </row>
    <row r="704" spans="1:83" ht="5.25" hidden="1" customHeight="1">
      <c r="A704" s="1636"/>
      <c r="B704" s="1481"/>
      <c r="C704" s="1481"/>
      <c r="D704" s="3622"/>
      <c r="E704" s="909"/>
      <c r="F704" s="909"/>
      <c r="G704" s="909"/>
      <c r="H704" s="909"/>
      <c r="I704" s="909"/>
      <c r="J704" s="909"/>
      <c r="K704" s="909"/>
      <c r="L704" s="909"/>
      <c r="M704" s="909"/>
      <c r="N704" s="909"/>
      <c r="O704" s="909"/>
      <c r="P704" s="909"/>
      <c r="Q704" s="910"/>
      <c r="R704" s="911"/>
      <c r="S704" s="912"/>
      <c r="T704" s="607" t="s">
        <v>877</v>
      </c>
      <c r="U704" s="3532">
        <v>1</v>
      </c>
      <c r="V704" s="3532" t="s">
        <v>840</v>
      </c>
      <c r="W704" s="1481"/>
      <c r="X704" s="1481"/>
      <c r="Y704" s="1481"/>
      <c r="Z704" s="1481"/>
      <c r="AA704" s="1481"/>
      <c r="AB704" s="1481"/>
      <c r="AC704" s="907"/>
      <c r="AD704" s="908"/>
      <c r="AE704" s="1481"/>
      <c r="AF704" s="1481"/>
      <c r="AG704" s="1481"/>
      <c r="AH704" s="1481"/>
      <c r="AI704" s="1481"/>
      <c r="AJ704" s="1481"/>
      <c r="AK704" s="1481"/>
      <c r="AL704" s="1481"/>
      <c r="AM704" s="1481"/>
      <c r="AN704" s="1481"/>
      <c r="AO704" s="1481"/>
      <c r="AP704" s="1481"/>
      <c r="AQ704" s="1481"/>
      <c r="AR704" s="1481"/>
      <c r="AS704" s="1481"/>
      <c r="AT704" s="1481"/>
      <c r="AU704" s="1481"/>
      <c r="AV704" s="1481"/>
      <c r="AW704" s="1481"/>
      <c r="AX704" s="1481"/>
      <c r="AY704" s="1481"/>
      <c r="AZ704" s="1481"/>
      <c r="BA704" s="1481"/>
      <c r="BB704" s="1481"/>
      <c r="BC704" s="1481"/>
      <c r="BD704" s="1481"/>
      <c r="BE704" s="1481"/>
      <c r="BF704" s="1481"/>
      <c r="BG704" s="1481"/>
      <c r="BH704" s="1481"/>
      <c r="BI704" s="1481"/>
      <c r="BJ704" s="1481"/>
      <c r="BK704" s="1481"/>
      <c r="BL704" s="1481"/>
      <c r="BM704" s="1481"/>
      <c r="BN704" s="1481"/>
      <c r="BO704" s="1481"/>
      <c r="BP704" s="1481"/>
      <c r="BQ704" s="1481"/>
      <c r="BR704" s="1481"/>
      <c r="BS704" s="1481"/>
      <c r="BT704" s="1481"/>
      <c r="BU704" s="1481"/>
      <c r="BV704" s="1481"/>
      <c r="BW704" s="1481"/>
      <c r="BX704" s="1481"/>
      <c r="BY704" s="1481"/>
      <c r="BZ704" s="1481"/>
      <c r="CA704" s="1481"/>
      <c r="CB704" s="1481"/>
      <c r="CC704" s="1481"/>
      <c r="CD704" s="1481"/>
      <c r="CE704" s="1481"/>
    </row>
    <row r="705" spans="1:83" ht="5.25" hidden="1" customHeight="1">
      <c r="A705" s="1636"/>
      <c r="B705" s="1481"/>
      <c r="C705" s="1481"/>
      <c r="D705" s="3622"/>
      <c r="E705" s="527"/>
      <c r="F705" s="527"/>
      <c r="G705" s="527"/>
      <c r="H705" s="527"/>
      <c r="I705" s="527"/>
      <c r="J705" s="527"/>
      <c r="K705" s="527"/>
      <c r="L705" s="527"/>
      <c r="M705" s="527"/>
      <c r="N705" s="527"/>
      <c r="O705" s="527"/>
      <c r="P705" s="527"/>
      <c r="Q705" s="527"/>
      <c r="R705" s="527"/>
      <c r="S705" s="528"/>
      <c r="T705" s="608"/>
      <c r="U705" s="3532"/>
      <c r="V705" s="3532"/>
      <c r="W705" s="1481"/>
      <c r="X705" s="1481"/>
      <c r="Y705" s="1481"/>
      <c r="Z705" s="1481"/>
      <c r="AA705" s="1481"/>
      <c r="AB705" s="1481"/>
      <c r="AC705" s="907"/>
      <c r="AD705" s="908"/>
      <c r="AE705" s="1481"/>
      <c r="AF705" s="1481"/>
      <c r="AG705" s="1481"/>
      <c r="AH705" s="1481"/>
      <c r="AI705" s="1481"/>
      <c r="AJ705" s="1481"/>
      <c r="AK705" s="1481"/>
      <c r="AL705" s="1481"/>
      <c r="AM705" s="1481"/>
      <c r="AN705" s="1481"/>
      <c r="AO705" s="1481"/>
      <c r="AP705" s="1481"/>
      <c r="AQ705" s="1481"/>
      <c r="AR705" s="1481"/>
      <c r="AS705" s="1481"/>
      <c r="AT705" s="1481"/>
      <c r="AU705" s="1481"/>
      <c r="AV705" s="1481"/>
      <c r="AW705" s="1481"/>
      <c r="AX705" s="1481"/>
      <c r="AY705" s="1481"/>
      <c r="AZ705" s="1481"/>
      <c r="BA705" s="1481"/>
      <c r="BB705" s="1481"/>
      <c r="BC705" s="1481"/>
      <c r="BD705" s="1481"/>
      <c r="BE705" s="1481"/>
      <c r="BF705" s="1481"/>
      <c r="BG705" s="1481"/>
      <c r="BH705" s="1481"/>
      <c r="BI705" s="1481"/>
      <c r="BJ705" s="1481"/>
      <c r="BK705" s="1481"/>
      <c r="BL705" s="1481"/>
      <c r="BM705" s="1481"/>
      <c r="BN705" s="1481"/>
      <c r="BO705" s="1481"/>
      <c r="BP705" s="1481"/>
      <c r="BQ705" s="1481"/>
      <c r="BR705" s="1481"/>
      <c r="BS705" s="1481"/>
      <c r="BT705" s="1481"/>
      <c r="BU705" s="1481"/>
      <c r="BV705" s="1481"/>
      <c r="BW705" s="1481"/>
      <c r="BX705" s="1481"/>
      <c r="BY705" s="1481"/>
      <c r="BZ705" s="1481"/>
      <c r="CA705" s="1481"/>
      <c r="CB705" s="1481"/>
      <c r="CC705" s="1481"/>
      <c r="CD705" s="1481"/>
      <c r="CE705" s="1481"/>
    </row>
    <row r="706" spans="1:83" ht="5.25" hidden="1" customHeight="1">
      <c r="A706" s="1636"/>
      <c r="B706" s="1481"/>
      <c r="C706" s="1481"/>
      <c r="D706" s="3623"/>
      <c r="E706" s="913"/>
      <c r="F706" s="914"/>
      <c r="G706" s="914"/>
      <c r="H706" s="915"/>
      <c r="I706" s="915"/>
      <c r="J706" s="915"/>
      <c r="K706" s="915"/>
      <c r="L706" s="915"/>
      <c r="M706" s="915"/>
      <c r="N706" s="915"/>
      <c r="O706" s="915"/>
      <c r="P706" s="915"/>
      <c r="Q706" s="915"/>
      <c r="R706" s="818"/>
      <c r="S706" s="916"/>
      <c r="T706" s="608"/>
      <c r="U706" s="3532"/>
      <c r="V706" s="3532"/>
      <c r="W706" s="1481"/>
      <c r="X706" s="1481"/>
      <c r="Y706" s="1481"/>
      <c r="Z706" s="1481"/>
      <c r="AA706" s="1481"/>
      <c r="AB706" s="1481"/>
      <c r="AC706" s="907"/>
      <c r="AD706" s="908"/>
      <c r="AE706" s="1481"/>
      <c r="AF706" s="1481"/>
      <c r="AG706" s="1481"/>
      <c r="AH706" s="1481"/>
      <c r="AI706" s="1481"/>
      <c r="AJ706" s="1481"/>
      <c r="AK706" s="1481"/>
      <c r="AL706" s="1481"/>
      <c r="AM706" s="1481"/>
      <c r="AN706" s="1481"/>
      <c r="AO706" s="1481"/>
      <c r="AP706" s="1481"/>
      <c r="AQ706" s="1481"/>
      <c r="AR706" s="1481"/>
      <c r="AS706" s="1481"/>
      <c r="AT706" s="1481"/>
      <c r="AU706" s="1481"/>
      <c r="AV706" s="1481"/>
      <c r="AW706" s="1481"/>
      <c r="AX706" s="1481"/>
      <c r="AY706" s="1481"/>
      <c r="AZ706" s="1481"/>
      <c r="BA706" s="1481"/>
      <c r="BB706" s="1481"/>
      <c r="BC706" s="1481"/>
      <c r="BD706" s="1481"/>
      <c r="BE706" s="1481"/>
      <c r="BF706" s="1481"/>
      <c r="BG706" s="1481"/>
      <c r="BH706" s="1481"/>
      <c r="BI706" s="1481"/>
      <c r="BJ706" s="1481"/>
      <c r="BK706" s="1481"/>
      <c r="BL706" s="1481"/>
      <c r="BM706" s="1481"/>
      <c r="BN706" s="1481"/>
      <c r="BO706" s="1481"/>
      <c r="BP706" s="1481"/>
      <c r="BQ706" s="1481"/>
      <c r="BR706" s="1481"/>
      <c r="BS706" s="1481"/>
      <c r="BT706" s="1481"/>
      <c r="BU706" s="1481"/>
      <c r="BV706" s="1481"/>
      <c r="BW706" s="1481"/>
      <c r="BX706" s="1481"/>
      <c r="BY706" s="1481"/>
      <c r="BZ706" s="1481"/>
      <c r="CA706" s="1481"/>
      <c r="CB706" s="1481"/>
      <c r="CC706" s="1481"/>
      <c r="CD706" s="1481"/>
      <c r="CE706" s="1481"/>
    </row>
    <row r="707" spans="1:83" ht="15" hidden="1" customHeight="1">
      <c r="A707" s="516" t="s">
        <v>341</v>
      </c>
      <c r="B707"/>
      <c r="C707" t="s">
        <v>18</v>
      </c>
      <c r="D707" s="3621" t="s">
        <v>956</v>
      </c>
      <c r="E707" s="3618" t="s">
        <v>102</v>
      </c>
      <c r="F707" s="3619"/>
      <c r="G707" s="3620"/>
      <c r="H707" s="3614" t="str">
        <f>IF(A707="","",INDEX(DIFFERENTIATION_UNMERGE_VD,MATCH(A707,DIFFERENTIATION_ID_DIFF,0)))</f>
        <v>Производство тепловой энергии. Некомбинированная выработка</v>
      </c>
      <c r="I707" s="3614"/>
      <c r="J707" s="3614"/>
      <c r="K707" s="3614"/>
      <c r="L707" s="3614"/>
      <c r="M707" s="3614"/>
      <c r="N707" s="3614"/>
      <c r="O707" s="3614"/>
      <c r="P707" s="3614"/>
      <c r="Q707" s="3614"/>
      <c r="R707" s="3614"/>
      <c r="S707" s="609"/>
      <c r="T707" s="606"/>
      <c r="U707" s="517"/>
      <c r="V707" s="517"/>
      <c r="W707" s="518"/>
      <c r="X707" s="518"/>
      <c r="Y707" s="518"/>
      <c r="Z707" s="518"/>
      <c r="AA707" s="519"/>
      <c r="AB707" s="520"/>
      <c r="AC707" s="3617"/>
      <c r="AD707" s="521"/>
      <c r="AE707" s="522" t="s">
        <v>18</v>
      </c>
      <c r="AF707" s="522"/>
      <c r="AG707" s="523" t="s">
        <v>874</v>
      </c>
      <c r="AH707" s="524">
        <v>3</v>
      </c>
      <c r="AI707" s="517"/>
      <c r="AJ707" s="517"/>
      <c r="AK707" s="517"/>
      <c r="AL707" s="517"/>
      <c r="AM707" s="517"/>
      <c r="AN707" s="517"/>
      <c r="AO707" s="517"/>
      <c r="AP707" s="517"/>
      <c r="AQ707" s="517"/>
      <c r="AR707" s="517"/>
      <c r="AS707" s="517"/>
      <c r="AT707" s="517"/>
      <c r="AU707" s="517"/>
      <c r="AV707" s="517"/>
      <c r="AW707" s="517"/>
      <c r="AX707" s="517"/>
      <c r="AY707" s="517"/>
      <c r="AZ707" s="517"/>
      <c r="BA707" s="517"/>
      <c r="BB707" s="517"/>
      <c r="BC707" s="517"/>
      <c r="BD707" s="517"/>
      <c r="BE707" s="517"/>
      <c r="BF707" s="517"/>
      <c r="BG707" s="517"/>
      <c r="BH707" s="517"/>
      <c r="BI707" s="517"/>
      <c r="BJ707" s="517"/>
      <c r="BK707" s="517"/>
      <c r="BL707" s="517"/>
      <c r="BM707" s="517"/>
      <c r="BN707" s="517"/>
      <c r="BO707" s="517"/>
      <c r="BP707" s="517"/>
      <c r="BQ707" s="517"/>
      <c r="BR707" s="517"/>
      <c r="BS707" s="517"/>
      <c r="BT707" s="517"/>
      <c r="BU707" s="517"/>
      <c r="BV707" s="518"/>
      <c r="BW707" s="518"/>
      <c r="BX707" s="518"/>
      <c r="BY707" s="518"/>
      <c r="BZ707" s="518"/>
      <c r="CA707" s="518"/>
      <c r="CB707" s="518"/>
      <c r="CC707" s="518"/>
      <c r="CD707" s="518"/>
      <c r="CE707" s="518"/>
    </row>
    <row r="708" spans="1:83" ht="15" hidden="1" customHeight="1">
      <c r="A708" s="516"/>
      <c r="B708"/>
      <c r="C708"/>
      <c r="D708" s="3622"/>
      <c r="E708" s="3618" t="s">
        <v>829</v>
      </c>
      <c r="F708" s="3619"/>
      <c r="G708" s="3620"/>
      <c r="H708" s="3614" t="str">
        <f>IF(A707="","",INDEX(DIFFERENTIATION_UNMERGE_AREA,MATCH(A707,DIFFERENTIATION_ID_DIFF,0)))</f>
        <v>Территория 1</v>
      </c>
      <c r="I708" s="3614"/>
      <c r="J708" s="3614"/>
      <c r="K708" s="3614"/>
      <c r="L708" s="3614"/>
      <c r="M708" s="3614"/>
      <c r="N708" s="3614"/>
      <c r="O708" s="3614"/>
      <c r="P708" s="3614"/>
      <c r="Q708" s="3614"/>
      <c r="R708" s="3614"/>
      <c r="S708" s="609"/>
      <c r="T708" s="606"/>
      <c r="U708" s="517"/>
      <c r="V708" s="517"/>
      <c r="W708" s="518"/>
      <c r="X708" s="518"/>
      <c r="Y708" s="518"/>
      <c r="Z708" s="518"/>
      <c r="AA708" s="519"/>
      <c r="AB708" s="520"/>
      <c r="AC708" s="3617"/>
      <c r="AD708" s="521"/>
      <c r="AE708" s="522"/>
      <c r="AF708" s="522"/>
      <c r="AG708" s="523"/>
      <c r="AH708" s="524"/>
      <c r="AI708" s="517"/>
      <c r="AJ708" s="517"/>
      <c r="AK708" s="517"/>
      <c r="AL708" s="517"/>
      <c r="AM708" s="517"/>
      <c r="AN708" s="517"/>
      <c r="AO708" s="517"/>
      <c r="AP708" s="517"/>
      <c r="AQ708" s="517"/>
      <c r="AR708" s="517"/>
      <c r="AS708" s="517"/>
      <c r="AT708" s="517"/>
      <c r="AU708" s="517"/>
      <c r="AV708" s="517"/>
      <c r="AW708" s="517"/>
      <c r="AX708" s="517"/>
      <c r="AY708" s="517"/>
      <c r="AZ708" s="517"/>
      <c r="BA708" s="517"/>
      <c r="BB708" s="517"/>
      <c r="BC708" s="517"/>
      <c r="BD708" s="517"/>
      <c r="BE708" s="517"/>
      <c r="BF708" s="517"/>
      <c r="BG708" s="517"/>
      <c r="BH708" s="517"/>
      <c r="BI708" s="517"/>
      <c r="BJ708" s="517"/>
      <c r="BK708" s="517"/>
      <c r="BL708" s="517"/>
      <c r="BM708" s="517"/>
      <c r="BN708" s="517"/>
      <c r="BO708" s="517"/>
      <c r="BP708" s="517"/>
      <c r="BQ708" s="517"/>
      <c r="BR708" s="517"/>
      <c r="BS708" s="517"/>
      <c r="BT708" s="517"/>
      <c r="BU708" s="517"/>
      <c r="BV708" s="518"/>
      <c r="BW708" s="518"/>
      <c r="BX708" s="518"/>
      <c r="BY708" s="518"/>
      <c r="BZ708" s="518"/>
      <c r="CA708" s="518"/>
      <c r="CB708" s="518"/>
      <c r="CC708" s="518"/>
      <c r="CD708" s="518"/>
      <c r="CE708" s="518"/>
    </row>
    <row r="709" spans="1:83" ht="15" hidden="1" customHeight="1">
      <c r="A709" s="516"/>
      <c r="B709"/>
      <c r="C709"/>
      <c r="D709" s="3622"/>
      <c r="E709" s="3618" t="s">
        <v>830</v>
      </c>
      <c r="F709" s="3619"/>
      <c r="G709" s="3620"/>
      <c r="H709" s="3614" t="str">
        <f>IF(A707="","",INDEX(DIFFERENTIATION_UNMERGE_SYSTEM,MATCH(A707,DIFFERENTIATION_ID_DIFF,0)))</f>
        <v>3-я Курская, 3а</v>
      </c>
      <c r="I709" s="3614"/>
      <c r="J709" s="3614"/>
      <c r="K709" s="3614"/>
      <c r="L709" s="3614"/>
      <c r="M709" s="3614"/>
      <c r="N709" s="3614"/>
      <c r="O709" s="3614"/>
      <c r="P709" s="3614"/>
      <c r="Q709" s="3614"/>
      <c r="R709" s="3614"/>
      <c r="S709" s="609"/>
      <c r="T709" s="606"/>
      <c r="U709" s="517"/>
      <c r="V709" s="517"/>
      <c r="W709" s="518"/>
      <c r="X709" s="518"/>
      <c r="Y709" s="518"/>
      <c r="Z709" s="518"/>
      <c r="AA709" s="519"/>
      <c r="AB709" s="520"/>
      <c r="AC709" s="3617"/>
      <c r="AD709" s="521"/>
      <c r="AE709" s="522"/>
      <c r="AF709" s="522"/>
      <c r="AG709" s="523"/>
      <c r="AH709" s="524"/>
      <c r="AI709" s="517"/>
      <c r="AJ709" s="517"/>
      <c r="AK709" s="517"/>
      <c r="AL709" s="517"/>
      <c r="AM709" s="517"/>
      <c r="AN709" s="517"/>
      <c r="AO709" s="517"/>
      <c r="AP709" s="517"/>
      <c r="AQ709" s="517"/>
      <c r="AR709" s="517"/>
      <c r="AS709" s="517"/>
      <c r="AT709" s="517"/>
      <c r="AU709" s="517"/>
      <c r="AV709" s="517"/>
      <c r="AW709" s="517"/>
      <c r="AX709" s="517"/>
      <c r="AY709" s="517"/>
      <c r="AZ709" s="517"/>
      <c r="BA709" s="517"/>
      <c r="BB709" s="517"/>
      <c r="BC709" s="517"/>
      <c r="BD709" s="517"/>
      <c r="BE709" s="517"/>
      <c r="BF709" s="517"/>
      <c r="BG709" s="517"/>
      <c r="BH709" s="517"/>
      <c r="BI709" s="517"/>
      <c r="BJ709" s="517"/>
      <c r="BK709" s="517"/>
      <c r="BL709" s="517"/>
      <c r="BM709" s="517"/>
      <c r="BN709" s="517"/>
      <c r="BO709" s="517"/>
      <c r="BP709" s="517"/>
      <c r="BQ709" s="517"/>
      <c r="BR709" s="517"/>
      <c r="BS709" s="517"/>
      <c r="BT709" s="517"/>
      <c r="BU709" s="517"/>
      <c r="BV709" s="518"/>
      <c r="BW709" s="518"/>
      <c r="BX709" s="518"/>
      <c r="BY709" s="518"/>
      <c r="BZ709" s="518"/>
      <c r="CA709" s="518"/>
      <c r="CB709" s="518"/>
      <c r="CC709" s="518"/>
      <c r="CD709" s="518"/>
      <c r="CE709" s="518"/>
    </row>
    <row r="710" spans="1:83" ht="24.75" hidden="1" customHeight="1">
      <c r="A710" s="1649"/>
      <c r="B710" s="1023"/>
      <c r="C710" s="319"/>
      <c r="D710" s="3622"/>
      <c r="E710" s="3616" t="s">
        <v>875</v>
      </c>
      <c r="F710" s="3616"/>
      <c r="G710" s="3616"/>
      <c r="H710" s="3616"/>
      <c r="I710" s="3616"/>
      <c r="J710" s="3616"/>
      <c r="K710" s="3616"/>
      <c r="L710" s="3616"/>
      <c r="M710" s="3616"/>
      <c r="N710" s="3616"/>
      <c r="O710" s="3616"/>
      <c r="P710" s="3616"/>
      <c r="Q710" s="455">
        <f>SUMIF(T711:T712,"i",Q711:Q712)</f>
        <v>0</v>
      </c>
      <c r="R710" s="887"/>
      <c r="S710" s="1641" t="s">
        <v>876</v>
      </c>
      <c r="T710" s="607" t="s">
        <v>877</v>
      </c>
      <c r="U710" s="3532">
        <v>1</v>
      </c>
      <c r="V710" s="3532" t="s">
        <v>840</v>
      </c>
      <c r="W710" s="1023"/>
      <c r="X710" s="1023"/>
      <c r="Y710" s="1023"/>
      <c r="Z710" s="1023"/>
      <c r="AA710" s="1481"/>
      <c r="AB710" s="1023"/>
      <c r="AC710" s="3617"/>
      <c r="AD710" s="521"/>
      <c r="AE710" s="1023"/>
      <c r="AF710" s="1023"/>
      <c r="AG710" s="1481"/>
      <c r="AH710" s="1481"/>
      <c r="AI710" s="1481"/>
      <c r="AJ710" s="1481"/>
      <c r="AK710" s="1481"/>
      <c r="AL710" s="1481"/>
      <c r="AM710" s="1481"/>
      <c r="AN710" s="1481"/>
      <c r="AO710" s="1481"/>
      <c r="AP710" s="1481"/>
      <c r="AQ710" s="1481"/>
      <c r="AR710" s="1481"/>
      <c r="AS710" s="1481"/>
      <c r="AT710" s="1481"/>
      <c r="AU710" s="1481"/>
      <c r="AV710" s="1481"/>
      <c r="AW710" s="1481"/>
      <c r="AX710" s="1481"/>
      <c r="AY710" s="1481"/>
      <c r="AZ710" s="1481"/>
      <c r="BA710" s="1481"/>
      <c r="BB710" s="1481"/>
      <c r="BC710" s="1481"/>
      <c r="BD710" s="1481"/>
      <c r="BE710" s="1481"/>
      <c r="BF710" s="1481"/>
      <c r="BG710" s="1481"/>
      <c r="BH710" s="1481"/>
      <c r="BI710" s="1481"/>
      <c r="BJ710" s="1481"/>
      <c r="BK710" s="1481"/>
      <c r="BL710" s="1481"/>
      <c r="BM710" s="1481"/>
      <c r="BN710" s="1481"/>
      <c r="BO710" s="1481"/>
      <c r="BP710" s="1481"/>
      <c r="BQ710" s="1481"/>
      <c r="BR710" s="1481"/>
      <c r="BS710" s="1481"/>
      <c r="BT710" s="1481"/>
      <c r="BU710" s="1481"/>
      <c r="BV710" s="1023"/>
      <c r="BW710" s="1023"/>
      <c r="BX710" s="1023"/>
      <c r="BY710" s="1023"/>
      <c r="BZ710" s="1023"/>
      <c r="CA710" s="1023"/>
      <c r="CB710" s="1023"/>
      <c r="CC710" s="1023"/>
      <c r="CD710" s="1023"/>
      <c r="CE710" s="1023"/>
    </row>
    <row r="711" spans="1:83" ht="11.25" hidden="1" customHeight="1">
      <c r="A711" s="1636"/>
      <c r="B711" s="1481"/>
      <c r="C711" s="1481"/>
      <c r="D711" s="3622"/>
      <c r="E711" s="527"/>
      <c r="F711" s="527">
        <v>0</v>
      </c>
      <c r="G711" s="527"/>
      <c r="H711" s="527"/>
      <c r="I711" s="527"/>
      <c r="J711" s="527"/>
      <c r="K711" s="527"/>
      <c r="L711" s="527"/>
      <c r="M711" s="527"/>
      <c r="N711" s="527"/>
      <c r="O711" s="527"/>
      <c r="P711" s="527"/>
      <c r="Q711" s="527"/>
      <c r="R711" s="527"/>
      <c r="S711" s="528"/>
      <c r="T711" s="608"/>
      <c r="U711" s="3532"/>
      <c r="V711" s="3532"/>
      <c r="W711" s="1481"/>
      <c r="X711" s="1481"/>
      <c r="Y711" s="1481"/>
      <c r="Z711" s="1481"/>
      <c r="AA711" s="1481"/>
      <c r="AB711" s="1023"/>
      <c r="AC711" s="3617"/>
      <c r="AD711" s="521"/>
      <c r="AE711" s="1023"/>
      <c r="AF711" s="1023"/>
      <c r="AG711" s="1481"/>
      <c r="AH711" s="1481"/>
      <c r="AI711" s="1481"/>
      <c r="AJ711" s="1481"/>
      <c r="AK711" s="1481"/>
      <c r="AL711" s="1481"/>
      <c r="AM711" s="1481"/>
      <c r="AN711" s="1481"/>
      <c r="AO711" s="1481"/>
      <c r="AP711" s="1481"/>
      <c r="AQ711" s="1481"/>
      <c r="AR711" s="1481"/>
      <c r="AS711" s="1481"/>
      <c r="AT711" s="1481"/>
      <c r="AU711" s="1481"/>
      <c r="AV711" s="1481"/>
      <c r="AW711" s="1481"/>
      <c r="AX711" s="1481"/>
      <c r="AY711" s="1481"/>
      <c r="AZ711" s="1481"/>
      <c r="BA711" s="1481"/>
      <c r="BB711" s="1481"/>
      <c r="BC711" s="1481"/>
      <c r="BD711" s="1481"/>
      <c r="BE711" s="1481"/>
      <c r="BF711" s="1481"/>
      <c r="BG711" s="1481"/>
      <c r="BH711" s="1481"/>
      <c r="BI711" s="1481"/>
      <c r="BJ711" s="1481"/>
      <c r="BK711" s="1481"/>
      <c r="BL711" s="1481"/>
      <c r="BM711" s="1481"/>
      <c r="BN711" s="1481"/>
      <c r="BO711" s="1481"/>
      <c r="BP711" s="1481"/>
      <c r="BQ711" s="1481"/>
      <c r="BR711" s="1481"/>
      <c r="BS711" s="1481"/>
      <c r="BT711" s="1481"/>
      <c r="BU711" s="1481"/>
      <c r="BV711" s="1481"/>
      <c r="BW711" s="1481"/>
      <c r="BX711" s="1481"/>
      <c r="BY711" s="1481"/>
      <c r="BZ711" s="1481"/>
      <c r="CA711" s="1481"/>
      <c r="CB711" s="1481"/>
      <c r="CC711" s="1481"/>
      <c r="CD711" s="1481"/>
      <c r="CE711" s="1481"/>
    </row>
    <row r="712" spans="1:83" ht="11.25" hidden="1" customHeight="1">
      <c r="A712" s="1649"/>
      <c r="B712" s="1023"/>
      <c r="C712" s="319"/>
      <c r="D712" s="3622"/>
      <c r="E712" s="541" t="s">
        <v>18</v>
      </c>
      <c r="F712" s="1031" t="s">
        <v>18</v>
      </c>
      <c r="G712" s="1031" t="s">
        <v>880</v>
      </c>
      <c r="H712" s="543" t="s">
        <v>18</v>
      </c>
      <c r="I712" s="543"/>
      <c r="J712" s="543"/>
      <c r="K712" s="543"/>
      <c r="L712" s="543"/>
      <c r="M712" s="543"/>
      <c r="N712" s="543"/>
      <c r="O712" s="543"/>
      <c r="P712" s="543"/>
      <c r="Q712" s="543"/>
      <c r="R712" s="544"/>
      <c r="S712" s="545"/>
      <c r="T712" s="608"/>
      <c r="U712" s="3532"/>
      <c r="V712" s="3532"/>
      <c r="W712" s="1023"/>
      <c r="X712" s="1023"/>
      <c r="Y712" s="1023"/>
      <c r="Z712" s="1023"/>
      <c r="AA712" s="1481"/>
      <c r="AB712" s="1023"/>
      <c r="AC712" s="3617"/>
      <c r="AD712" s="521"/>
      <c r="AE712" s="1023"/>
      <c r="AF712" s="1023"/>
      <c r="AG712" s="1481"/>
      <c r="AH712" s="1481"/>
      <c r="AI712" s="1481"/>
      <c r="AJ712" s="1481"/>
      <c r="AK712" s="1481"/>
      <c r="AL712" s="1481"/>
      <c r="AM712" s="1481"/>
      <c r="AN712" s="1481"/>
      <c r="AO712" s="1481"/>
      <c r="AP712" s="1481"/>
      <c r="AQ712" s="1481"/>
      <c r="AR712" s="1481"/>
      <c r="AS712" s="1481"/>
      <c r="AT712" s="1481"/>
      <c r="AU712" s="1481"/>
      <c r="AV712" s="1481"/>
      <c r="AW712" s="1481"/>
      <c r="AX712" s="1481"/>
      <c r="AY712" s="1481"/>
      <c r="AZ712" s="1481"/>
      <c r="BA712" s="1481"/>
      <c r="BB712" s="1481"/>
      <c r="BC712" s="1481"/>
      <c r="BD712" s="1481"/>
      <c r="BE712" s="1481"/>
      <c r="BF712" s="1481"/>
      <c r="BG712" s="1481"/>
      <c r="BH712" s="1481"/>
      <c r="BI712" s="1481"/>
      <c r="BJ712" s="1481"/>
      <c r="BK712" s="1481"/>
      <c r="BL712" s="1481"/>
      <c r="BM712" s="1481"/>
      <c r="BN712" s="1481"/>
      <c r="BO712" s="1481"/>
      <c r="BP712" s="1481"/>
      <c r="BQ712" s="1481"/>
      <c r="BR712" s="1481"/>
      <c r="BS712" s="1481"/>
      <c r="BT712" s="1481"/>
      <c r="BU712" s="1481"/>
      <c r="BV712" s="1023"/>
      <c r="BW712" s="1023"/>
      <c r="BX712" s="1023"/>
      <c r="BY712" s="1023"/>
      <c r="BZ712" s="1023"/>
      <c r="CA712" s="1023"/>
      <c r="CB712" s="1023"/>
      <c r="CC712" s="1023"/>
      <c r="CD712" s="1023"/>
      <c r="CE712" s="1023"/>
    </row>
    <row r="713" spans="1:83" ht="5.25" hidden="1" customHeight="1">
      <c r="A713" s="1636"/>
      <c r="B713" s="1481"/>
      <c r="C713" s="1481"/>
      <c r="D713" s="3622"/>
      <c r="E713" s="909"/>
      <c r="F713" s="909"/>
      <c r="G713" s="909"/>
      <c r="H713" s="909"/>
      <c r="I713" s="909"/>
      <c r="J713" s="909"/>
      <c r="K713" s="909"/>
      <c r="L713" s="909"/>
      <c r="M713" s="909"/>
      <c r="N713" s="909"/>
      <c r="O713" s="909"/>
      <c r="P713" s="909"/>
      <c r="Q713" s="910"/>
      <c r="R713" s="911"/>
      <c r="S713" s="912"/>
      <c r="T713" s="607" t="s">
        <v>877</v>
      </c>
      <c r="U713" s="3532">
        <v>1</v>
      </c>
      <c r="V713" s="3532" t="s">
        <v>840</v>
      </c>
      <c r="W713" s="1481"/>
      <c r="X713" s="1481"/>
      <c r="Y713" s="1481"/>
      <c r="Z713" s="1481"/>
      <c r="AA713" s="1481"/>
      <c r="AB713" s="1481"/>
      <c r="AC713" s="907"/>
      <c r="AD713" s="908"/>
      <c r="AE713" s="1481"/>
      <c r="AF713" s="1481"/>
      <c r="AG713" s="1481"/>
      <c r="AH713" s="1481"/>
      <c r="AI713" s="1481"/>
      <c r="AJ713" s="1481"/>
      <c r="AK713" s="1481"/>
      <c r="AL713" s="1481"/>
      <c r="AM713" s="1481"/>
      <c r="AN713" s="1481"/>
      <c r="AO713" s="1481"/>
      <c r="AP713" s="1481"/>
      <c r="AQ713" s="1481"/>
      <c r="AR713" s="1481"/>
      <c r="AS713" s="1481"/>
      <c r="AT713" s="1481"/>
      <c r="AU713" s="1481"/>
      <c r="AV713" s="1481"/>
      <c r="AW713" s="1481"/>
      <c r="AX713" s="1481"/>
      <c r="AY713" s="1481"/>
      <c r="AZ713" s="1481"/>
      <c r="BA713" s="1481"/>
      <c r="BB713" s="1481"/>
      <c r="BC713" s="1481"/>
      <c r="BD713" s="1481"/>
      <c r="BE713" s="1481"/>
      <c r="BF713" s="1481"/>
      <c r="BG713" s="1481"/>
      <c r="BH713" s="1481"/>
      <c r="BI713" s="1481"/>
      <c r="BJ713" s="1481"/>
      <c r="BK713" s="1481"/>
      <c r="BL713" s="1481"/>
      <c r="BM713" s="1481"/>
      <c r="BN713" s="1481"/>
      <c r="BO713" s="1481"/>
      <c r="BP713" s="1481"/>
      <c r="BQ713" s="1481"/>
      <c r="BR713" s="1481"/>
      <c r="BS713" s="1481"/>
      <c r="BT713" s="1481"/>
      <c r="BU713" s="1481"/>
      <c r="BV713" s="1481"/>
      <c r="BW713" s="1481"/>
      <c r="BX713" s="1481"/>
      <c r="BY713" s="1481"/>
      <c r="BZ713" s="1481"/>
      <c r="CA713" s="1481"/>
      <c r="CB713" s="1481"/>
      <c r="CC713" s="1481"/>
      <c r="CD713" s="1481"/>
      <c r="CE713" s="1481"/>
    </row>
    <row r="714" spans="1:83" ht="5.25" hidden="1" customHeight="1">
      <c r="A714" s="1636"/>
      <c r="B714" s="1481"/>
      <c r="C714" s="1481"/>
      <c r="D714" s="3622"/>
      <c r="E714" s="527"/>
      <c r="F714" s="527"/>
      <c r="G714" s="527"/>
      <c r="H714" s="527"/>
      <c r="I714" s="527"/>
      <c r="J714" s="527"/>
      <c r="K714" s="527"/>
      <c r="L714" s="527"/>
      <c r="M714" s="527"/>
      <c r="N714" s="527"/>
      <c r="O714" s="527"/>
      <c r="P714" s="527"/>
      <c r="Q714" s="527"/>
      <c r="R714" s="527"/>
      <c r="S714" s="528"/>
      <c r="T714" s="608"/>
      <c r="U714" s="3532"/>
      <c r="V714" s="3532"/>
      <c r="W714" s="1481"/>
      <c r="X714" s="1481"/>
      <c r="Y714" s="1481"/>
      <c r="Z714" s="1481"/>
      <c r="AA714" s="1481"/>
      <c r="AB714" s="1481"/>
      <c r="AC714" s="907"/>
      <c r="AD714" s="908"/>
      <c r="AE714" s="1481"/>
      <c r="AF714" s="1481"/>
      <c r="AG714" s="1481"/>
      <c r="AH714" s="1481"/>
      <c r="AI714" s="1481"/>
      <c r="AJ714" s="1481"/>
      <c r="AK714" s="1481"/>
      <c r="AL714" s="1481"/>
      <c r="AM714" s="1481"/>
      <c r="AN714" s="1481"/>
      <c r="AO714" s="1481"/>
      <c r="AP714" s="1481"/>
      <c r="AQ714" s="1481"/>
      <c r="AR714" s="1481"/>
      <c r="AS714" s="1481"/>
      <c r="AT714" s="1481"/>
      <c r="AU714" s="1481"/>
      <c r="AV714" s="1481"/>
      <c r="AW714" s="1481"/>
      <c r="AX714" s="1481"/>
      <c r="AY714" s="1481"/>
      <c r="AZ714" s="1481"/>
      <c r="BA714" s="1481"/>
      <c r="BB714" s="1481"/>
      <c r="BC714" s="1481"/>
      <c r="BD714" s="1481"/>
      <c r="BE714" s="1481"/>
      <c r="BF714" s="1481"/>
      <c r="BG714" s="1481"/>
      <c r="BH714" s="1481"/>
      <c r="BI714" s="1481"/>
      <c r="BJ714" s="1481"/>
      <c r="BK714" s="1481"/>
      <c r="BL714" s="1481"/>
      <c r="BM714" s="1481"/>
      <c r="BN714" s="1481"/>
      <c r="BO714" s="1481"/>
      <c r="BP714" s="1481"/>
      <c r="BQ714" s="1481"/>
      <c r="BR714" s="1481"/>
      <c r="BS714" s="1481"/>
      <c r="BT714" s="1481"/>
      <c r="BU714" s="1481"/>
      <c r="BV714" s="1481"/>
      <c r="BW714" s="1481"/>
      <c r="BX714" s="1481"/>
      <c r="BY714" s="1481"/>
      <c r="BZ714" s="1481"/>
      <c r="CA714" s="1481"/>
      <c r="CB714" s="1481"/>
      <c r="CC714" s="1481"/>
      <c r="CD714" s="1481"/>
      <c r="CE714" s="1481"/>
    </row>
    <row r="715" spans="1:83" ht="5.25" hidden="1" customHeight="1">
      <c r="A715" s="1636"/>
      <c r="B715" s="1481"/>
      <c r="C715" s="1481"/>
      <c r="D715" s="3623"/>
      <c r="E715" s="913"/>
      <c r="F715" s="914"/>
      <c r="G715" s="914"/>
      <c r="H715" s="915"/>
      <c r="I715" s="915"/>
      <c r="J715" s="915"/>
      <c r="K715" s="915"/>
      <c r="L715" s="915"/>
      <c r="M715" s="915"/>
      <c r="N715" s="915"/>
      <c r="O715" s="915"/>
      <c r="P715" s="915"/>
      <c r="Q715" s="915"/>
      <c r="R715" s="818"/>
      <c r="S715" s="916"/>
      <c r="T715" s="608"/>
      <c r="U715" s="3532"/>
      <c r="V715" s="3532"/>
      <c r="W715" s="1481"/>
      <c r="X715" s="1481"/>
      <c r="Y715" s="1481"/>
      <c r="Z715" s="1481"/>
      <c r="AA715" s="1481"/>
      <c r="AB715" s="1481"/>
      <c r="AC715" s="907"/>
      <c r="AD715" s="908"/>
      <c r="AE715" s="1481"/>
      <c r="AF715" s="1481"/>
      <c r="AG715" s="1481"/>
      <c r="AH715" s="1481"/>
      <c r="AI715" s="1481"/>
      <c r="AJ715" s="1481"/>
      <c r="AK715" s="1481"/>
      <c r="AL715" s="1481"/>
      <c r="AM715" s="1481"/>
      <c r="AN715" s="1481"/>
      <c r="AO715" s="1481"/>
      <c r="AP715" s="1481"/>
      <c r="AQ715" s="1481"/>
      <c r="AR715" s="1481"/>
      <c r="AS715" s="1481"/>
      <c r="AT715" s="1481"/>
      <c r="AU715" s="1481"/>
      <c r="AV715" s="1481"/>
      <c r="AW715" s="1481"/>
      <c r="AX715" s="1481"/>
      <c r="AY715" s="1481"/>
      <c r="AZ715" s="1481"/>
      <c r="BA715" s="1481"/>
      <c r="BB715" s="1481"/>
      <c r="BC715" s="1481"/>
      <c r="BD715" s="1481"/>
      <c r="BE715" s="1481"/>
      <c r="BF715" s="1481"/>
      <c r="BG715" s="1481"/>
      <c r="BH715" s="1481"/>
      <c r="BI715" s="1481"/>
      <c r="BJ715" s="1481"/>
      <c r="BK715" s="1481"/>
      <c r="BL715" s="1481"/>
      <c r="BM715" s="1481"/>
      <c r="BN715" s="1481"/>
      <c r="BO715" s="1481"/>
      <c r="BP715" s="1481"/>
      <c r="BQ715" s="1481"/>
      <c r="BR715" s="1481"/>
      <c r="BS715" s="1481"/>
      <c r="BT715" s="1481"/>
      <c r="BU715" s="1481"/>
      <c r="BV715" s="1481"/>
      <c r="BW715" s="1481"/>
      <c r="BX715" s="1481"/>
      <c r="BY715" s="1481"/>
      <c r="BZ715" s="1481"/>
      <c r="CA715" s="1481"/>
      <c r="CB715" s="1481"/>
      <c r="CC715" s="1481"/>
      <c r="CD715" s="1481"/>
      <c r="CE715" s="1481"/>
    </row>
    <row r="716" spans="1:83" ht="15" hidden="1" customHeight="1">
      <c r="A716" s="516" t="s">
        <v>344</v>
      </c>
      <c r="B716"/>
      <c r="C716" t="s">
        <v>18</v>
      </c>
      <c r="D716" s="3621" t="s">
        <v>957</v>
      </c>
      <c r="E716" s="3618" t="s">
        <v>102</v>
      </c>
      <c r="F716" s="3619"/>
      <c r="G716" s="3620"/>
      <c r="H716" s="3614" t="str">
        <f>IF(A716="","",INDEX(DIFFERENTIATION_UNMERGE_VD,MATCH(A716,DIFFERENTIATION_ID_DIFF,0)))</f>
        <v>Производство тепловой энергии. Некомбинированная выработка</v>
      </c>
      <c r="I716" s="3614"/>
      <c r="J716" s="3614"/>
      <c r="K716" s="3614"/>
      <c r="L716" s="3614"/>
      <c r="M716" s="3614"/>
      <c r="N716" s="3614"/>
      <c r="O716" s="3614"/>
      <c r="P716" s="3614"/>
      <c r="Q716" s="3614"/>
      <c r="R716" s="3614"/>
      <c r="S716" s="609"/>
      <c r="T716" s="606"/>
      <c r="U716" s="517"/>
      <c r="V716" s="517"/>
      <c r="W716" s="518"/>
      <c r="X716" s="518"/>
      <c r="Y716" s="518"/>
      <c r="Z716" s="518"/>
      <c r="AA716" s="519"/>
      <c r="AB716" s="520"/>
      <c r="AC716" s="3617"/>
      <c r="AD716" s="521"/>
      <c r="AE716" s="522" t="s">
        <v>18</v>
      </c>
      <c r="AF716" s="522"/>
      <c r="AG716" s="523" t="s">
        <v>874</v>
      </c>
      <c r="AH716" s="524">
        <v>3</v>
      </c>
      <c r="AI716" s="517"/>
      <c r="AJ716" s="517"/>
      <c r="AK716" s="517"/>
      <c r="AL716" s="517"/>
      <c r="AM716" s="517"/>
      <c r="AN716" s="517"/>
      <c r="AO716" s="517"/>
      <c r="AP716" s="517"/>
      <c r="AQ716" s="517"/>
      <c r="AR716" s="517"/>
      <c r="AS716" s="517"/>
      <c r="AT716" s="517"/>
      <c r="AU716" s="517"/>
      <c r="AV716" s="517"/>
      <c r="AW716" s="517"/>
      <c r="AX716" s="517"/>
      <c r="AY716" s="517"/>
      <c r="AZ716" s="517"/>
      <c r="BA716" s="517"/>
      <c r="BB716" s="517"/>
      <c r="BC716" s="517"/>
      <c r="BD716" s="517"/>
      <c r="BE716" s="517"/>
      <c r="BF716" s="517"/>
      <c r="BG716" s="517"/>
      <c r="BH716" s="517"/>
      <c r="BI716" s="517"/>
      <c r="BJ716" s="517"/>
      <c r="BK716" s="517"/>
      <c r="BL716" s="517"/>
      <c r="BM716" s="517"/>
      <c r="BN716" s="517"/>
      <c r="BO716" s="517"/>
      <c r="BP716" s="517"/>
      <c r="BQ716" s="517"/>
      <c r="BR716" s="517"/>
      <c r="BS716" s="517"/>
      <c r="BT716" s="517"/>
      <c r="BU716" s="517"/>
      <c r="BV716" s="518"/>
      <c r="BW716" s="518"/>
      <c r="BX716" s="518"/>
      <c r="BY716" s="518"/>
      <c r="BZ716" s="518"/>
      <c r="CA716" s="518"/>
      <c r="CB716" s="518"/>
      <c r="CC716" s="518"/>
      <c r="CD716" s="518"/>
      <c r="CE716" s="518"/>
    </row>
    <row r="717" spans="1:83" ht="15" hidden="1" customHeight="1">
      <c r="A717" s="516"/>
      <c r="B717"/>
      <c r="C717"/>
      <c r="D717" s="3622"/>
      <c r="E717" s="3618" t="s">
        <v>829</v>
      </c>
      <c r="F717" s="3619"/>
      <c r="G717" s="3620"/>
      <c r="H717" s="3614" t="str">
        <f>IF(A716="","",INDEX(DIFFERENTIATION_UNMERGE_AREA,MATCH(A716,DIFFERENTIATION_ID_DIFF,0)))</f>
        <v>Территория 1</v>
      </c>
      <c r="I717" s="3614"/>
      <c r="J717" s="3614"/>
      <c r="K717" s="3614"/>
      <c r="L717" s="3614"/>
      <c r="M717" s="3614"/>
      <c r="N717" s="3614"/>
      <c r="O717" s="3614"/>
      <c r="P717" s="3614"/>
      <c r="Q717" s="3614"/>
      <c r="R717" s="3614"/>
      <c r="S717" s="609"/>
      <c r="T717" s="606"/>
      <c r="U717" s="517"/>
      <c r="V717" s="517"/>
      <c r="W717" s="518"/>
      <c r="X717" s="518"/>
      <c r="Y717" s="518"/>
      <c r="Z717" s="518"/>
      <c r="AA717" s="519"/>
      <c r="AB717" s="520"/>
      <c r="AC717" s="3617"/>
      <c r="AD717" s="521"/>
      <c r="AE717" s="522"/>
      <c r="AF717" s="522"/>
      <c r="AG717" s="523"/>
      <c r="AH717" s="524"/>
      <c r="AI717" s="517"/>
      <c r="AJ717" s="517"/>
      <c r="AK717" s="517"/>
      <c r="AL717" s="517"/>
      <c r="AM717" s="517"/>
      <c r="AN717" s="517"/>
      <c r="AO717" s="517"/>
      <c r="AP717" s="517"/>
      <c r="AQ717" s="517"/>
      <c r="AR717" s="517"/>
      <c r="AS717" s="517"/>
      <c r="AT717" s="517"/>
      <c r="AU717" s="517"/>
      <c r="AV717" s="517"/>
      <c r="AW717" s="517"/>
      <c r="AX717" s="517"/>
      <c r="AY717" s="517"/>
      <c r="AZ717" s="517"/>
      <c r="BA717" s="517"/>
      <c r="BB717" s="517"/>
      <c r="BC717" s="517"/>
      <c r="BD717" s="517"/>
      <c r="BE717" s="517"/>
      <c r="BF717" s="517"/>
      <c r="BG717" s="517"/>
      <c r="BH717" s="517"/>
      <c r="BI717" s="517"/>
      <c r="BJ717" s="517"/>
      <c r="BK717" s="517"/>
      <c r="BL717" s="517"/>
      <c r="BM717" s="517"/>
      <c r="BN717" s="517"/>
      <c r="BO717" s="517"/>
      <c r="BP717" s="517"/>
      <c r="BQ717" s="517"/>
      <c r="BR717" s="517"/>
      <c r="BS717" s="517"/>
      <c r="BT717" s="517"/>
      <c r="BU717" s="517"/>
      <c r="BV717" s="518"/>
      <c r="BW717" s="518"/>
      <c r="BX717" s="518"/>
      <c r="BY717" s="518"/>
      <c r="BZ717" s="518"/>
      <c r="CA717" s="518"/>
      <c r="CB717" s="518"/>
      <c r="CC717" s="518"/>
      <c r="CD717" s="518"/>
      <c r="CE717" s="518"/>
    </row>
    <row r="718" spans="1:83" ht="15" hidden="1" customHeight="1">
      <c r="A718" s="516"/>
      <c r="B718"/>
      <c r="C718"/>
      <c r="D718" s="3622"/>
      <c r="E718" s="3618" t="s">
        <v>830</v>
      </c>
      <c r="F718" s="3619"/>
      <c r="G718" s="3620"/>
      <c r="H718" s="3614" t="str">
        <f>IF(A716="","",INDEX(DIFFERENTIATION_UNMERGE_SYSTEM,MATCH(A716,DIFFERENTIATION_ID_DIFF,0)))</f>
        <v>Ливенская, 48г</v>
      </c>
      <c r="I718" s="3614"/>
      <c r="J718" s="3614"/>
      <c r="K718" s="3614"/>
      <c r="L718" s="3614"/>
      <c r="M718" s="3614"/>
      <c r="N718" s="3614"/>
      <c r="O718" s="3614"/>
      <c r="P718" s="3614"/>
      <c r="Q718" s="3614"/>
      <c r="R718" s="3614"/>
      <c r="S718" s="609"/>
      <c r="T718" s="606"/>
      <c r="U718" s="517"/>
      <c r="V718" s="517"/>
      <c r="W718" s="518"/>
      <c r="X718" s="518"/>
      <c r="Y718" s="518"/>
      <c r="Z718" s="518"/>
      <c r="AA718" s="519"/>
      <c r="AB718" s="520"/>
      <c r="AC718" s="3617"/>
      <c r="AD718" s="521"/>
      <c r="AE718" s="522"/>
      <c r="AF718" s="522"/>
      <c r="AG718" s="523"/>
      <c r="AH718" s="524"/>
      <c r="AI718" s="517"/>
      <c r="AJ718" s="517"/>
      <c r="AK718" s="517"/>
      <c r="AL718" s="517"/>
      <c r="AM718" s="517"/>
      <c r="AN718" s="517"/>
      <c r="AO718" s="517"/>
      <c r="AP718" s="517"/>
      <c r="AQ718" s="517"/>
      <c r="AR718" s="517"/>
      <c r="AS718" s="517"/>
      <c r="AT718" s="517"/>
      <c r="AU718" s="517"/>
      <c r="AV718" s="517"/>
      <c r="AW718" s="517"/>
      <c r="AX718" s="517"/>
      <c r="AY718" s="517"/>
      <c r="AZ718" s="517"/>
      <c r="BA718" s="517"/>
      <c r="BB718" s="517"/>
      <c r="BC718" s="517"/>
      <c r="BD718" s="517"/>
      <c r="BE718" s="517"/>
      <c r="BF718" s="517"/>
      <c r="BG718" s="517"/>
      <c r="BH718" s="517"/>
      <c r="BI718" s="517"/>
      <c r="BJ718" s="517"/>
      <c r="BK718" s="517"/>
      <c r="BL718" s="517"/>
      <c r="BM718" s="517"/>
      <c r="BN718" s="517"/>
      <c r="BO718" s="517"/>
      <c r="BP718" s="517"/>
      <c r="BQ718" s="517"/>
      <c r="BR718" s="517"/>
      <c r="BS718" s="517"/>
      <c r="BT718" s="517"/>
      <c r="BU718" s="517"/>
      <c r="BV718" s="518"/>
      <c r="BW718" s="518"/>
      <c r="BX718" s="518"/>
      <c r="BY718" s="518"/>
      <c r="BZ718" s="518"/>
      <c r="CA718" s="518"/>
      <c r="CB718" s="518"/>
      <c r="CC718" s="518"/>
      <c r="CD718" s="518"/>
      <c r="CE718" s="518"/>
    </row>
    <row r="719" spans="1:83" ht="24.75" hidden="1" customHeight="1">
      <c r="A719" s="1649"/>
      <c r="B719" s="1023"/>
      <c r="C719" s="319"/>
      <c r="D719" s="3622"/>
      <c r="E719" s="3616" t="s">
        <v>875</v>
      </c>
      <c r="F719" s="3616"/>
      <c r="G719" s="3616"/>
      <c r="H719" s="3616"/>
      <c r="I719" s="3616"/>
      <c r="J719" s="3616"/>
      <c r="K719" s="3616"/>
      <c r="L719" s="3616"/>
      <c r="M719" s="3616"/>
      <c r="N719" s="3616"/>
      <c r="O719" s="3616"/>
      <c r="P719" s="3616"/>
      <c r="Q719" s="455">
        <f>SUMIF(T720:T721,"i",Q720:Q721)</f>
        <v>0</v>
      </c>
      <c r="R719" s="887"/>
      <c r="S719" s="1641" t="s">
        <v>876</v>
      </c>
      <c r="T719" s="607" t="s">
        <v>877</v>
      </c>
      <c r="U719" s="3532">
        <v>1</v>
      </c>
      <c r="V719" s="3532" t="s">
        <v>840</v>
      </c>
      <c r="W719" s="1023"/>
      <c r="X719" s="1023"/>
      <c r="Y719" s="1023"/>
      <c r="Z719" s="1023"/>
      <c r="AA719" s="1481"/>
      <c r="AB719" s="1023"/>
      <c r="AC719" s="3617"/>
      <c r="AD719" s="521"/>
      <c r="AE719" s="1023"/>
      <c r="AF719" s="1023"/>
      <c r="AG719" s="1481"/>
      <c r="AH719" s="1481"/>
      <c r="AI719" s="1481"/>
      <c r="AJ719" s="1481"/>
      <c r="AK719" s="1481"/>
      <c r="AL719" s="1481"/>
      <c r="AM719" s="1481"/>
      <c r="AN719" s="1481"/>
      <c r="AO719" s="1481"/>
      <c r="AP719" s="1481"/>
      <c r="AQ719" s="1481"/>
      <c r="AR719" s="1481"/>
      <c r="AS719" s="1481"/>
      <c r="AT719" s="1481"/>
      <c r="AU719" s="1481"/>
      <c r="AV719" s="1481"/>
      <c r="AW719" s="1481"/>
      <c r="AX719" s="1481"/>
      <c r="AY719" s="1481"/>
      <c r="AZ719" s="1481"/>
      <c r="BA719" s="1481"/>
      <c r="BB719" s="1481"/>
      <c r="BC719" s="1481"/>
      <c r="BD719" s="1481"/>
      <c r="BE719" s="1481"/>
      <c r="BF719" s="1481"/>
      <c r="BG719" s="1481"/>
      <c r="BH719" s="1481"/>
      <c r="BI719" s="1481"/>
      <c r="BJ719" s="1481"/>
      <c r="BK719" s="1481"/>
      <c r="BL719" s="1481"/>
      <c r="BM719" s="1481"/>
      <c r="BN719" s="1481"/>
      <c r="BO719" s="1481"/>
      <c r="BP719" s="1481"/>
      <c r="BQ719" s="1481"/>
      <c r="BR719" s="1481"/>
      <c r="BS719" s="1481"/>
      <c r="BT719" s="1481"/>
      <c r="BU719" s="1481"/>
      <c r="BV719" s="1023"/>
      <c r="BW719" s="1023"/>
      <c r="BX719" s="1023"/>
      <c r="BY719" s="1023"/>
      <c r="BZ719" s="1023"/>
      <c r="CA719" s="1023"/>
      <c r="CB719" s="1023"/>
      <c r="CC719" s="1023"/>
      <c r="CD719" s="1023"/>
      <c r="CE719" s="1023"/>
    </row>
    <row r="720" spans="1:83" ht="11.25" hidden="1" customHeight="1">
      <c r="A720" s="1636"/>
      <c r="B720" s="1481"/>
      <c r="C720" s="1481"/>
      <c r="D720" s="3622"/>
      <c r="E720" s="527"/>
      <c r="F720" s="527">
        <v>0</v>
      </c>
      <c r="G720" s="527"/>
      <c r="H720" s="527"/>
      <c r="I720" s="527"/>
      <c r="J720" s="527"/>
      <c r="K720" s="527"/>
      <c r="L720" s="527"/>
      <c r="M720" s="527"/>
      <c r="N720" s="527"/>
      <c r="O720" s="527"/>
      <c r="P720" s="527"/>
      <c r="Q720" s="527"/>
      <c r="R720" s="527"/>
      <c r="S720" s="528"/>
      <c r="T720" s="608"/>
      <c r="U720" s="3532"/>
      <c r="V720" s="3532"/>
      <c r="W720" s="1481"/>
      <c r="X720" s="1481"/>
      <c r="Y720" s="1481"/>
      <c r="Z720" s="1481"/>
      <c r="AA720" s="1481"/>
      <c r="AB720" s="1023"/>
      <c r="AC720" s="3617"/>
      <c r="AD720" s="521"/>
      <c r="AE720" s="1023"/>
      <c r="AF720" s="1023"/>
      <c r="AG720" s="1481"/>
      <c r="AH720" s="1481"/>
      <c r="AI720" s="1481"/>
      <c r="AJ720" s="1481"/>
      <c r="AK720" s="1481"/>
      <c r="AL720" s="1481"/>
      <c r="AM720" s="1481"/>
      <c r="AN720" s="1481"/>
      <c r="AO720" s="1481"/>
      <c r="AP720" s="1481"/>
      <c r="AQ720" s="1481"/>
      <c r="AR720" s="1481"/>
      <c r="AS720" s="1481"/>
      <c r="AT720" s="1481"/>
      <c r="AU720" s="1481"/>
      <c r="AV720" s="1481"/>
      <c r="AW720" s="1481"/>
      <c r="AX720" s="1481"/>
      <c r="AY720" s="1481"/>
      <c r="AZ720" s="1481"/>
      <c r="BA720" s="1481"/>
      <c r="BB720" s="1481"/>
      <c r="BC720" s="1481"/>
      <c r="BD720" s="1481"/>
      <c r="BE720" s="1481"/>
      <c r="BF720" s="1481"/>
      <c r="BG720" s="1481"/>
      <c r="BH720" s="1481"/>
      <c r="BI720" s="1481"/>
      <c r="BJ720" s="1481"/>
      <c r="BK720" s="1481"/>
      <c r="BL720" s="1481"/>
      <c r="BM720" s="1481"/>
      <c r="BN720" s="1481"/>
      <c r="BO720" s="1481"/>
      <c r="BP720" s="1481"/>
      <c r="BQ720" s="1481"/>
      <c r="BR720" s="1481"/>
      <c r="BS720" s="1481"/>
      <c r="BT720" s="1481"/>
      <c r="BU720" s="1481"/>
      <c r="BV720" s="1481"/>
      <c r="BW720" s="1481"/>
      <c r="BX720" s="1481"/>
      <c r="BY720" s="1481"/>
      <c r="BZ720" s="1481"/>
      <c r="CA720" s="1481"/>
      <c r="CB720" s="1481"/>
      <c r="CC720" s="1481"/>
      <c r="CD720" s="1481"/>
      <c r="CE720" s="1481"/>
    </row>
    <row r="721" spans="1:83" ht="11.25" hidden="1" customHeight="1">
      <c r="A721" s="1649"/>
      <c r="B721" s="1023"/>
      <c r="C721" s="319"/>
      <c r="D721" s="3622"/>
      <c r="E721" s="541" t="s">
        <v>18</v>
      </c>
      <c r="F721" s="1031" t="s">
        <v>18</v>
      </c>
      <c r="G721" s="1031" t="s">
        <v>880</v>
      </c>
      <c r="H721" s="543" t="s">
        <v>18</v>
      </c>
      <c r="I721" s="543"/>
      <c r="J721" s="543"/>
      <c r="K721" s="543"/>
      <c r="L721" s="543"/>
      <c r="M721" s="543"/>
      <c r="N721" s="543"/>
      <c r="O721" s="543"/>
      <c r="P721" s="543"/>
      <c r="Q721" s="543"/>
      <c r="R721" s="544"/>
      <c r="S721" s="545"/>
      <c r="T721" s="608"/>
      <c r="U721" s="3532"/>
      <c r="V721" s="3532"/>
      <c r="W721" s="1023"/>
      <c r="X721" s="1023"/>
      <c r="Y721" s="1023"/>
      <c r="Z721" s="1023"/>
      <c r="AA721" s="1481"/>
      <c r="AB721" s="1023"/>
      <c r="AC721" s="3617"/>
      <c r="AD721" s="521"/>
      <c r="AE721" s="1023"/>
      <c r="AF721" s="1023"/>
      <c r="AG721" s="1481"/>
      <c r="AH721" s="1481"/>
      <c r="AI721" s="1481"/>
      <c r="AJ721" s="1481"/>
      <c r="AK721" s="1481"/>
      <c r="AL721" s="1481"/>
      <c r="AM721" s="1481"/>
      <c r="AN721" s="1481"/>
      <c r="AO721" s="1481"/>
      <c r="AP721" s="1481"/>
      <c r="AQ721" s="1481"/>
      <c r="AR721" s="1481"/>
      <c r="AS721" s="1481"/>
      <c r="AT721" s="1481"/>
      <c r="AU721" s="1481"/>
      <c r="AV721" s="1481"/>
      <c r="AW721" s="1481"/>
      <c r="AX721" s="1481"/>
      <c r="AY721" s="1481"/>
      <c r="AZ721" s="1481"/>
      <c r="BA721" s="1481"/>
      <c r="BB721" s="1481"/>
      <c r="BC721" s="1481"/>
      <c r="BD721" s="1481"/>
      <c r="BE721" s="1481"/>
      <c r="BF721" s="1481"/>
      <c r="BG721" s="1481"/>
      <c r="BH721" s="1481"/>
      <c r="BI721" s="1481"/>
      <c r="BJ721" s="1481"/>
      <c r="BK721" s="1481"/>
      <c r="BL721" s="1481"/>
      <c r="BM721" s="1481"/>
      <c r="BN721" s="1481"/>
      <c r="BO721" s="1481"/>
      <c r="BP721" s="1481"/>
      <c r="BQ721" s="1481"/>
      <c r="BR721" s="1481"/>
      <c r="BS721" s="1481"/>
      <c r="BT721" s="1481"/>
      <c r="BU721" s="1481"/>
      <c r="BV721" s="1023"/>
      <c r="BW721" s="1023"/>
      <c r="BX721" s="1023"/>
      <c r="BY721" s="1023"/>
      <c r="BZ721" s="1023"/>
      <c r="CA721" s="1023"/>
      <c r="CB721" s="1023"/>
      <c r="CC721" s="1023"/>
      <c r="CD721" s="1023"/>
      <c r="CE721" s="1023"/>
    </row>
    <row r="722" spans="1:83" ht="5.25" hidden="1" customHeight="1">
      <c r="A722" s="1636"/>
      <c r="B722" s="1481"/>
      <c r="C722" s="1481"/>
      <c r="D722" s="3622"/>
      <c r="E722" s="909"/>
      <c r="F722" s="909"/>
      <c r="G722" s="909"/>
      <c r="H722" s="909"/>
      <c r="I722" s="909"/>
      <c r="J722" s="909"/>
      <c r="K722" s="909"/>
      <c r="L722" s="909"/>
      <c r="M722" s="909"/>
      <c r="N722" s="909"/>
      <c r="O722" s="909"/>
      <c r="P722" s="909"/>
      <c r="Q722" s="910"/>
      <c r="R722" s="911"/>
      <c r="S722" s="912"/>
      <c r="T722" s="607" t="s">
        <v>877</v>
      </c>
      <c r="U722" s="3532">
        <v>1</v>
      </c>
      <c r="V722" s="3532" t="s">
        <v>840</v>
      </c>
      <c r="W722" s="1481"/>
      <c r="X722" s="1481"/>
      <c r="Y722" s="1481"/>
      <c r="Z722" s="1481"/>
      <c r="AA722" s="1481"/>
      <c r="AB722" s="1481"/>
      <c r="AC722" s="907"/>
      <c r="AD722" s="908"/>
      <c r="AE722" s="1481"/>
      <c r="AF722" s="1481"/>
      <c r="AG722" s="1481"/>
      <c r="AH722" s="1481"/>
      <c r="AI722" s="1481"/>
      <c r="AJ722" s="1481"/>
      <c r="AK722" s="1481"/>
      <c r="AL722" s="1481"/>
      <c r="AM722" s="1481"/>
      <c r="AN722" s="1481"/>
      <c r="AO722" s="1481"/>
      <c r="AP722" s="1481"/>
      <c r="AQ722" s="1481"/>
      <c r="AR722" s="1481"/>
      <c r="AS722" s="1481"/>
      <c r="AT722" s="1481"/>
      <c r="AU722" s="1481"/>
      <c r="AV722" s="1481"/>
      <c r="AW722" s="1481"/>
      <c r="AX722" s="1481"/>
      <c r="AY722" s="1481"/>
      <c r="AZ722" s="1481"/>
      <c r="BA722" s="1481"/>
      <c r="BB722" s="1481"/>
      <c r="BC722" s="1481"/>
      <c r="BD722" s="1481"/>
      <c r="BE722" s="1481"/>
      <c r="BF722" s="1481"/>
      <c r="BG722" s="1481"/>
      <c r="BH722" s="1481"/>
      <c r="BI722" s="1481"/>
      <c r="BJ722" s="1481"/>
      <c r="BK722" s="1481"/>
      <c r="BL722" s="1481"/>
      <c r="BM722" s="1481"/>
      <c r="BN722" s="1481"/>
      <c r="BO722" s="1481"/>
      <c r="BP722" s="1481"/>
      <c r="BQ722" s="1481"/>
      <c r="BR722" s="1481"/>
      <c r="BS722" s="1481"/>
      <c r="BT722" s="1481"/>
      <c r="BU722" s="1481"/>
      <c r="BV722" s="1481"/>
      <c r="BW722" s="1481"/>
      <c r="BX722" s="1481"/>
      <c r="BY722" s="1481"/>
      <c r="BZ722" s="1481"/>
      <c r="CA722" s="1481"/>
      <c r="CB722" s="1481"/>
      <c r="CC722" s="1481"/>
      <c r="CD722" s="1481"/>
      <c r="CE722" s="1481"/>
    </row>
    <row r="723" spans="1:83" ht="5.25" hidden="1" customHeight="1">
      <c r="A723" s="1636"/>
      <c r="B723" s="1481"/>
      <c r="C723" s="1481"/>
      <c r="D723" s="3622"/>
      <c r="E723" s="527"/>
      <c r="F723" s="527"/>
      <c r="G723" s="527"/>
      <c r="H723" s="527"/>
      <c r="I723" s="527"/>
      <c r="J723" s="527"/>
      <c r="K723" s="527"/>
      <c r="L723" s="527"/>
      <c r="M723" s="527"/>
      <c r="N723" s="527"/>
      <c r="O723" s="527"/>
      <c r="P723" s="527"/>
      <c r="Q723" s="527"/>
      <c r="R723" s="527"/>
      <c r="S723" s="528"/>
      <c r="T723" s="608"/>
      <c r="U723" s="3532"/>
      <c r="V723" s="3532"/>
      <c r="W723" s="1481"/>
      <c r="X723" s="1481"/>
      <c r="Y723" s="1481"/>
      <c r="Z723" s="1481"/>
      <c r="AA723" s="1481"/>
      <c r="AB723" s="1481"/>
      <c r="AC723" s="907"/>
      <c r="AD723" s="908"/>
      <c r="AE723" s="1481"/>
      <c r="AF723" s="1481"/>
      <c r="AG723" s="1481"/>
      <c r="AH723" s="1481"/>
      <c r="AI723" s="1481"/>
      <c r="AJ723" s="1481"/>
      <c r="AK723" s="1481"/>
      <c r="AL723" s="1481"/>
      <c r="AM723" s="1481"/>
      <c r="AN723" s="1481"/>
      <c r="AO723" s="1481"/>
      <c r="AP723" s="1481"/>
      <c r="AQ723" s="1481"/>
      <c r="AR723" s="1481"/>
      <c r="AS723" s="1481"/>
      <c r="AT723" s="1481"/>
      <c r="AU723" s="1481"/>
      <c r="AV723" s="1481"/>
      <c r="AW723" s="1481"/>
      <c r="AX723" s="1481"/>
      <c r="AY723" s="1481"/>
      <c r="AZ723" s="1481"/>
      <c r="BA723" s="1481"/>
      <c r="BB723" s="1481"/>
      <c r="BC723" s="1481"/>
      <c r="BD723" s="1481"/>
      <c r="BE723" s="1481"/>
      <c r="BF723" s="1481"/>
      <c r="BG723" s="1481"/>
      <c r="BH723" s="1481"/>
      <c r="BI723" s="1481"/>
      <c r="BJ723" s="1481"/>
      <c r="BK723" s="1481"/>
      <c r="BL723" s="1481"/>
      <c r="BM723" s="1481"/>
      <c r="BN723" s="1481"/>
      <c r="BO723" s="1481"/>
      <c r="BP723" s="1481"/>
      <c r="BQ723" s="1481"/>
      <c r="BR723" s="1481"/>
      <c r="BS723" s="1481"/>
      <c r="BT723" s="1481"/>
      <c r="BU723" s="1481"/>
      <c r="BV723" s="1481"/>
      <c r="BW723" s="1481"/>
      <c r="BX723" s="1481"/>
      <c r="BY723" s="1481"/>
      <c r="BZ723" s="1481"/>
      <c r="CA723" s="1481"/>
      <c r="CB723" s="1481"/>
      <c r="CC723" s="1481"/>
      <c r="CD723" s="1481"/>
      <c r="CE723" s="1481"/>
    </row>
    <row r="724" spans="1:83" ht="5.25" hidden="1" customHeight="1">
      <c r="A724" s="1636"/>
      <c r="B724" s="1481"/>
      <c r="C724" s="1481"/>
      <c r="D724" s="3623"/>
      <c r="E724" s="913"/>
      <c r="F724" s="914"/>
      <c r="G724" s="914"/>
      <c r="H724" s="915"/>
      <c r="I724" s="915"/>
      <c r="J724" s="915"/>
      <c r="K724" s="915"/>
      <c r="L724" s="915"/>
      <c r="M724" s="915"/>
      <c r="N724" s="915"/>
      <c r="O724" s="915"/>
      <c r="P724" s="915"/>
      <c r="Q724" s="915"/>
      <c r="R724" s="818"/>
      <c r="S724" s="916"/>
      <c r="T724" s="608"/>
      <c r="U724" s="3532"/>
      <c r="V724" s="3532"/>
      <c r="W724" s="1481"/>
      <c r="X724" s="1481"/>
      <c r="Y724" s="1481"/>
      <c r="Z724" s="1481"/>
      <c r="AA724" s="1481"/>
      <c r="AB724" s="1481"/>
      <c r="AC724" s="907"/>
      <c r="AD724" s="908"/>
      <c r="AE724" s="1481"/>
      <c r="AF724" s="1481"/>
      <c r="AG724" s="1481"/>
      <c r="AH724" s="1481"/>
      <c r="AI724" s="1481"/>
      <c r="AJ724" s="1481"/>
      <c r="AK724" s="1481"/>
      <c r="AL724" s="1481"/>
      <c r="AM724" s="1481"/>
      <c r="AN724" s="1481"/>
      <c r="AO724" s="1481"/>
      <c r="AP724" s="1481"/>
      <c r="AQ724" s="1481"/>
      <c r="AR724" s="1481"/>
      <c r="AS724" s="1481"/>
      <c r="AT724" s="1481"/>
      <c r="AU724" s="1481"/>
      <c r="AV724" s="1481"/>
      <c r="AW724" s="1481"/>
      <c r="AX724" s="1481"/>
      <c r="AY724" s="1481"/>
      <c r="AZ724" s="1481"/>
      <c r="BA724" s="1481"/>
      <c r="BB724" s="1481"/>
      <c r="BC724" s="1481"/>
      <c r="BD724" s="1481"/>
      <c r="BE724" s="1481"/>
      <c r="BF724" s="1481"/>
      <c r="BG724" s="1481"/>
      <c r="BH724" s="1481"/>
      <c r="BI724" s="1481"/>
      <c r="BJ724" s="1481"/>
      <c r="BK724" s="1481"/>
      <c r="BL724" s="1481"/>
      <c r="BM724" s="1481"/>
      <c r="BN724" s="1481"/>
      <c r="BO724" s="1481"/>
      <c r="BP724" s="1481"/>
      <c r="BQ724" s="1481"/>
      <c r="BR724" s="1481"/>
      <c r="BS724" s="1481"/>
      <c r="BT724" s="1481"/>
      <c r="BU724" s="1481"/>
      <c r="BV724" s="1481"/>
      <c r="BW724" s="1481"/>
      <c r="BX724" s="1481"/>
      <c r="BY724" s="1481"/>
      <c r="BZ724" s="1481"/>
      <c r="CA724" s="1481"/>
      <c r="CB724" s="1481"/>
      <c r="CC724" s="1481"/>
      <c r="CD724" s="1481"/>
      <c r="CE724" s="1481"/>
    </row>
    <row r="725" spans="1:83" ht="15" hidden="1" customHeight="1">
      <c r="A725" s="516" t="s">
        <v>347</v>
      </c>
      <c r="B725"/>
      <c r="C725" t="s">
        <v>18</v>
      </c>
      <c r="D725" s="3621" t="s">
        <v>958</v>
      </c>
      <c r="E725" s="3618" t="s">
        <v>102</v>
      </c>
      <c r="F725" s="3619"/>
      <c r="G725" s="3620"/>
      <c r="H725" s="3614" t="str">
        <f>IF(A725="","",INDEX(DIFFERENTIATION_UNMERGE_VD,MATCH(A725,DIFFERENTIATION_ID_DIFF,0)))</f>
        <v>Производство тепловой энергии. Некомбинированная выработка</v>
      </c>
      <c r="I725" s="3614"/>
      <c r="J725" s="3614"/>
      <c r="K725" s="3614"/>
      <c r="L725" s="3614"/>
      <c r="M725" s="3614"/>
      <c r="N725" s="3614"/>
      <c r="O725" s="3614"/>
      <c r="P725" s="3614"/>
      <c r="Q725" s="3614"/>
      <c r="R725" s="3614"/>
      <c r="S725" s="609"/>
      <c r="T725" s="606"/>
      <c r="U725" s="517"/>
      <c r="V725" s="517"/>
      <c r="W725" s="518"/>
      <c r="X725" s="518"/>
      <c r="Y725" s="518"/>
      <c r="Z725" s="518"/>
      <c r="AA725" s="519"/>
      <c r="AB725" s="520"/>
      <c r="AC725" s="3617"/>
      <c r="AD725" s="521"/>
      <c r="AE725" s="522" t="s">
        <v>18</v>
      </c>
      <c r="AF725" s="522"/>
      <c r="AG725" s="523" t="s">
        <v>874</v>
      </c>
      <c r="AH725" s="524">
        <v>3</v>
      </c>
      <c r="AI725" s="517"/>
      <c r="AJ725" s="517"/>
      <c r="AK725" s="517"/>
      <c r="AL725" s="517"/>
      <c r="AM725" s="517"/>
      <c r="AN725" s="517"/>
      <c r="AO725" s="517"/>
      <c r="AP725" s="517"/>
      <c r="AQ725" s="517"/>
      <c r="AR725" s="517"/>
      <c r="AS725" s="517"/>
      <c r="AT725" s="517"/>
      <c r="AU725" s="517"/>
      <c r="AV725" s="517"/>
      <c r="AW725" s="517"/>
      <c r="AX725" s="517"/>
      <c r="AY725" s="517"/>
      <c r="AZ725" s="517"/>
      <c r="BA725" s="517"/>
      <c r="BB725" s="517"/>
      <c r="BC725" s="517"/>
      <c r="BD725" s="517"/>
      <c r="BE725" s="517"/>
      <c r="BF725" s="517"/>
      <c r="BG725" s="517"/>
      <c r="BH725" s="517"/>
      <c r="BI725" s="517"/>
      <c r="BJ725" s="517"/>
      <c r="BK725" s="517"/>
      <c r="BL725" s="517"/>
      <c r="BM725" s="517"/>
      <c r="BN725" s="517"/>
      <c r="BO725" s="517"/>
      <c r="BP725" s="517"/>
      <c r="BQ725" s="517"/>
      <c r="BR725" s="517"/>
      <c r="BS725" s="517"/>
      <c r="BT725" s="517"/>
      <c r="BU725" s="517"/>
      <c r="BV725" s="518"/>
      <c r="BW725" s="518"/>
      <c r="BX725" s="518"/>
      <c r="BY725" s="518"/>
      <c r="BZ725" s="518"/>
      <c r="CA725" s="518"/>
      <c r="CB725" s="518"/>
      <c r="CC725" s="518"/>
      <c r="CD725" s="518"/>
      <c r="CE725" s="518"/>
    </row>
    <row r="726" spans="1:83" ht="15" hidden="1" customHeight="1">
      <c r="A726" s="516"/>
      <c r="B726"/>
      <c r="C726"/>
      <c r="D726" s="3622"/>
      <c r="E726" s="3618" t="s">
        <v>829</v>
      </c>
      <c r="F726" s="3619"/>
      <c r="G726" s="3620"/>
      <c r="H726" s="3614" t="str">
        <f>IF(A725="","",INDEX(DIFFERENTIATION_UNMERGE_AREA,MATCH(A725,DIFFERENTIATION_ID_DIFF,0)))</f>
        <v>Территория 1</v>
      </c>
      <c r="I726" s="3614"/>
      <c r="J726" s="3614"/>
      <c r="K726" s="3614"/>
      <c r="L726" s="3614"/>
      <c r="M726" s="3614"/>
      <c r="N726" s="3614"/>
      <c r="O726" s="3614"/>
      <c r="P726" s="3614"/>
      <c r="Q726" s="3614"/>
      <c r="R726" s="3614"/>
      <c r="S726" s="609"/>
      <c r="T726" s="606"/>
      <c r="U726" s="517"/>
      <c r="V726" s="517"/>
      <c r="W726" s="518"/>
      <c r="X726" s="518"/>
      <c r="Y726" s="518"/>
      <c r="Z726" s="518"/>
      <c r="AA726" s="519"/>
      <c r="AB726" s="520"/>
      <c r="AC726" s="3617"/>
      <c r="AD726" s="521"/>
      <c r="AE726" s="522"/>
      <c r="AF726" s="522"/>
      <c r="AG726" s="523"/>
      <c r="AH726" s="524"/>
      <c r="AI726" s="517"/>
      <c r="AJ726" s="517"/>
      <c r="AK726" s="517"/>
      <c r="AL726" s="517"/>
      <c r="AM726" s="517"/>
      <c r="AN726" s="517"/>
      <c r="AO726" s="517"/>
      <c r="AP726" s="517"/>
      <c r="AQ726" s="517"/>
      <c r="AR726" s="517"/>
      <c r="AS726" s="517"/>
      <c r="AT726" s="517"/>
      <c r="AU726" s="517"/>
      <c r="AV726" s="517"/>
      <c r="AW726" s="517"/>
      <c r="AX726" s="517"/>
      <c r="AY726" s="517"/>
      <c r="AZ726" s="517"/>
      <c r="BA726" s="517"/>
      <c r="BB726" s="517"/>
      <c r="BC726" s="517"/>
      <c r="BD726" s="517"/>
      <c r="BE726" s="517"/>
      <c r="BF726" s="517"/>
      <c r="BG726" s="517"/>
      <c r="BH726" s="517"/>
      <c r="BI726" s="517"/>
      <c r="BJ726" s="517"/>
      <c r="BK726" s="517"/>
      <c r="BL726" s="517"/>
      <c r="BM726" s="517"/>
      <c r="BN726" s="517"/>
      <c r="BO726" s="517"/>
      <c r="BP726" s="517"/>
      <c r="BQ726" s="517"/>
      <c r="BR726" s="517"/>
      <c r="BS726" s="517"/>
      <c r="BT726" s="517"/>
      <c r="BU726" s="517"/>
      <c r="BV726" s="518"/>
      <c r="BW726" s="518"/>
      <c r="BX726" s="518"/>
      <c r="BY726" s="518"/>
      <c r="BZ726" s="518"/>
      <c r="CA726" s="518"/>
      <c r="CB726" s="518"/>
      <c r="CC726" s="518"/>
      <c r="CD726" s="518"/>
      <c r="CE726" s="518"/>
    </row>
    <row r="727" spans="1:83" ht="15" hidden="1" customHeight="1">
      <c r="A727" s="516"/>
      <c r="B727"/>
      <c r="C727"/>
      <c r="D727" s="3622"/>
      <c r="E727" s="3618" t="s">
        <v>830</v>
      </c>
      <c r="F727" s="3619"/>
      <c r="G727" s="3620"/>
      <c r="H727" s="3614" t="str">
        <f>IF(A725="","",INDEX(DIFFERENTIATION_UNMERGE_SYSTEM,MATCH(A725,DIFFERENTIATION_ID_DIFF,0)))</f>
        <v>Лесная, 9а</v>
      </c>
      <c r="I727" s="3614"/>
      <c r="J727" s="3614"/>
      <c r="K727" s="3614"/>
      <c r="L727" s="3614"/>
      <c r="M727" s="3614"/>
      <c r="N727" s="3614"/>
      <c r="O727" s="3614"/>
      <c r="P727" s="3614"/>
      <c r="Q727" s="3614"/>
      <c r="R727" s="3614"/>
      <c r="S727" s="609"/>
      <c r="T727" s="606"/>
      <c r="U727" s="517"/>
      <c r="V727" s="517"/>
      <c r="W727" s="518"/>
      <c r="X727" s="518"/>
      <c r="Y727" s="518"/>
      <c r="Z727" s="518"/>
      <c r="AA727" s="519"/>
      <c r="AB727" s="520"/>
      <c r="AC727" s="3617"/>
      <c r="AD727" s="521"/>
      <c r="AE727" s="522"/>
      <c r="AF727" s="522"/>
      <c r="AG727" s="523"/>
      <c r="AH727" s="524"/>
      <c r="AI727" s="517"/>
      <c r="AJ727" s="517"/>
      <c r="AK727" s="517"/>
      <c r="AL727" s="517"/>
      <c r="AM727" s="517"/>
      <c r="AN727" s="517"/>
      <c r="AO727" s="517"/>
      <c r="AP727" s="517"/>
      <c r="AQ727" s="517"/>
      <c r="AR727" s="517"/>
      <c r="AS727" s="517"/>
      <c r="AT727" s="517"/>
      <c r="AU727" s="517"/>
      <c r="AV727" s="517"/>
      <c r="AW727" s="517"/>
      <c r="AX727" s="517"/>
      <c r="AY727" s="517"/>
      <c r="AZ727" s="517"/>
      <c r="BA727" s="517"/>
      <c r="BB727" s="517"/>
      <c r="BC727" s="517"/>
      <c r="BD727" s="517"/>
      <c r="BE727" s="517"/>
      <c r="BF727" s="517"/>
      <c r="BG727" s="517"/>
      <c r="BH727" s="517"/>
      <c r="BI727" s="517"/>
      <c r="BJ727" s="517"/>
      <c r="BK727" s="517"/>
      <c r="BL727" s="517"/>
      <c r="BM727" s="517"/>
      <c r="BN727" s="517"/>
      <c r="BO727" s="517"/>
      <c r="BP727" s="517"/>
      <c r="BQ727" s="517"/>
      <c r="BR727" s="517"/>
      <c r="BS727" s="517"/>
      <c r="BT727" s="517"/>
      <c r="BU727" s="517"/>
      <c r="BV727" s="518"/>
      <c r="BW727" s="518"/>
      <c r="BX727" s="518"/>
      <c r="BY727" s="518"/>
      <c r="BZ727" s="518"/>
      <c r="CA727" s="518"/>
      <c r="CB727" s="518"/>
      <c r="CC727" s="518"/>
      <c r="CD727" s="518"/>
      <c r="CE727" s="518"/>
    </row>
    <row r="728" spans="1:83" ht="24.75" hidden="1" customHeight="1">
      <c r="A728" s="1649"/>
      <c r="B728" s="1023"/>
      <c r="C728" s="319"/>
      <c r="D728" s="3622"/>
      <c r="E728" s="3616" t="s">
        <v>875</v>
      </c>
      <c r="F728" s="3616"/>
      <c r="G728" s="3616"/>
      <c r="H728" s="3616"/>
      <c r="I728" s="3616"/>
      <c r="J728" s="3616"/>
      <c r="K728" s="3616"/>
      <c r="L728" s="3616"/>
      <c r="M728" s="3616"/>
      <c r="N728" s="3616"/>
      <c r="O728" s="3616"/>
      <c r="P728" s="3616"/>
      <c r="Q728" s="455">
        <f>SUMIF(T729:T730,"i",Q729:Q730)</f>
        <v>0</v>
      </c>
      <c r="R728" s="887"/>
      <c r="S728" s="1641" t="s">
        <v>876</v>
      </c>
      <c r="T728" s="607" t="s">
        <v>877</v>
      </c>
      <c r="U728" s="3532">
        <v>1</v>
      </c>
      <c r="V728" s="3532" t="s">
        <v>840</v>
      </c>
      <c r="W728" s="1023"/>
      <c r="X728" s="1023"/>
      <c r="Y728" s="1023"/>
      <c r="Z728" s="1023"/>
      <c r="AA728" s="1481"/>
      <c r="AB728" s="1023"/>
      <c r="AC728" s="3617"/>
      <c r="AD728" s="521"/>
      <c r="AE728" s="1023"/>
      <c r="AF728" s="1023"/>
      <c r="AG728" s="1481"/>
      <c r="AH728" s="1481"/>
      <c r="AI728" s="1481"/>
      <c r="AJ728" s="1481"/>
      <c r="AK728" s="1481"/>
      <c r="AL728" s="1481"/>
      <c r="AM728" s="1481"/>
      <c r="AN728" s="1481"/>
      <c r="AO728" s="1481"/>
      <c r="AP728" s="1481"/>
      <c r="AQ728" s="1481"/>
      <c r="AR728" s="1481"/>
      <c r="AS728" s="1481"/>
      <c r="AT728" s="1481"/>
      <c r="AU728" s="1481"/>
      <c r="AV728" s="1481"/>
      <c r="AW728" s="1481"/>
      <c r="AX728" s="1481"/>
      <c r="AY728" s="1481"/>
      <c r="AZ728" s="1481"/>
      <c r="BA728" s="1481"/>
      <c r="BB728" s="1481"/>
      <c r="BC728" s="1481"/>
      <c r="BD728" s="1481"/>
      <c r="BE728" s="1481"/>
      <c r="BF728" s="1481"/>
      <c r="BG728" s="1481"/>
      <c r="BH728" s="1481"/>
      <c r="BI728" s="1481"/>
      <c r="BJ728" s="1481"/>
      <c r="BK728" s="1481"/>
      <c r="BL728" s="1481"/>
      <c r="BM728" s="1481"/>
      <c r="BN728" s="1481"/>
      <c r="BO728" s="1481"/>
      <c r="BP728" s="1481"/>
      <c r="BQ728" s="1481"/>
      <c r="BR728" s="1481"/>
      <c r="BS728" s="1481"/>
      <c r="BT728" s="1481"/>
      <c r="BU728" s="1481"/>
      <c r="BV728" s="1023"/>
      <c r="BW728" s="1023"/>
      <c r="BX728" s="1023"/>
      <c r="BY728" s="1023"/>
      <c r="BZ728" s="1023"/>
      <c r="CA728" s="1023"/>
      <c r="CB728" s="1023"/>
      <c r="CC728" s="1023"/>
      <c r="CD728" s="1023"/>
      <c r="CE728" s="1023"/>
    </row>
    <row r="729" spans="1:83" ht="11.25" hidden="1" customHeight="1">
      <c r="A729" s="1636"/>
      <c r="B729" s="1481"/>
      <c r="C729" s="1481"/>
      <c r="D729" s="3622"/>
      <c r="E729" s="527"/>
      <c r="F729" s="527">
        <v>0</v>
      </c>
      <c r="G729" s="527"/>
      <c r="H729" s="527"/>
      <c r="I729" s="527"/>
      <c r="J729" s="527"/>
      <c r="K729" s="527"/>
      <c r="L729" s="527"/>
      <c r="M729" s="527"/>
      <c r="N729" s="527"/>
      <c r="O729" s="527"/>
      <c r="P729" s="527"/>
      <c r="Q729" s="527"/>
      <c r="R729" s="527"/>
      <c r="S729" s="528"/>
      <c r="T729" s="608"/>
      <c r="U729" s="3532"/>
      <c r="V729" s="3532"/>
      <c r="W729" s="1481"/>
      <c r="X729" s="1481"/>
      <c r="Y729" s="1481"/>
      <c r="Z729" s="1481"/>
      <c r="AA729" s="1481"/>
      <c r="AB729" s="1023"/>
      <c r="AC729" s="3617"/>
      <c r="AD729" s="521"/>
      <c r="AE729" s="1023"/>
      <c r="AF729" s="1023"/>
      <c r="AG729" s="1481"/>
      <c r="AH729" s="1481"/>
      <c r="AI729" s="1481"/>
      <c r="AJ729" s="1481"/>
      <c r="AK729" s="1481"/>
      <c r="AL729" s="1481"/>
      <c r="AM729" s="1481"/>
      <c r="AN729" s="1481"/>
      <c r="AO729" s="1481"/>
      <c r="AP729" s="1481"/>
      <c r="AQ729" s="1481"/>
      <c r="AR729" s="1481"/>
      <c r="AS729" s="1481"/>
      <c r="AT729" s="1481"/>
      <c r="AU729" s="1481"/>
      <c r="AV729" s="1481"/>
      <c r="AW729" s="1481"/>
      <c r="AX729" s="1481"/>
      <c r="AY729" s="1481"/>
      <c r="AZ729" s="1481"/>
      <c r="BA729" s="1481"/>
      <c r="BB729" s="1481"/>
      <c r="BC729" s="1481"/>
      <c r="BD729" s="1481"/>
      <c r="BE729" s="1481"/>
      <c r="BF729" s="1481"/>
      <c r="BG729" s="1481"/>
      <c r="BH729" s="1481"/>
      <c r="BI729" s="1481"/>
      <c r="BJ729" s="1481"/>
      <c r="BK729" s="1481"/>
      <c r="BL729" s="1481"/>
      <c r="BM729" s="1481"/>
      <c r="BN729" s="1481"/>
      <c r="BO729" s="1481"/>
      <c r="BP729" s="1481"/>
      <c r="BQ729" s="1481"/>
      <c r="BR729" s="1481"/>
      <c r="BS729" s="1481"/>
      <c r="BT729" s="1481"/>
      <c r="BU729" s="1481"/>
      <c r="BV729" s="1481"/>
      <c r="BW729" s="1481"/>
      <c r="BX729" s="1481"/>
      <c r="BY729" s="1481"/>
      <c r="BZ729" s="1481"/>
      <c r="CA729" s="1481"/>
      <c r="CB729" s="1481"/>
      <c r="CC729" s="1481"/>
      <c r="CD729" s="1481"/>
      <c r="CE729" s="1481"/>
    </row>
    <row r="730" spans="1:83" ht="11.25" hidden="1" customHeight="1">
      <c r="A730" s="1649"/>
      <c r="B730" s="1023"/>
      <c r="C730" s="319"/>
      <c r="D730" s="3622"/>
      <c r="E730" s="541" t="s">
        <v>18</v>
      </c>
      <c r="F730" s="1031" t="s">
        <v>18</v>
      </c>
      <c r="G730" s="1031" t="s">
        <v>880</v>
      </c>
      <c r="H730" s="543" t="s">
        <v>18</v>
      </c>
      <c r="I730" s="543"/>
      <c r="J730" s="543"/>
      <c r="K730" s="543"/>
      <c r="L730" s="543"/>
      <c r="M730" s="543"/>
      <c r="N730" s="543"/>
      <c r="O730" s="543"/>
      <c r="P730" s="543"/>
      <c r="Q730" s="543"/>
      <c r="R730" s="544"/>
      <c r="S730" s="545"/>
      <c r="T730" s="608"/>
      <c r="U730" s="3532"/>
      <c r="V730" s="3532"/>
      <c r="W730" s="1023"/>
      <c r="X730" s="1023"/>
      <c r="Y730" s="1023"/>
      <c r="Z730" s="1023"/>
      <c r="AA730" s="1481"/>
      <c r="AB730" s="1023"/>
      <c r="AC730" s="3617"/>
      <c r="AD730" s="521"/>
      <c r="AE730" s="1023"/>
      <c r="AF730" s="1023"/>
      <c r="AG730" s="1481"/>
      <c r="AH730" s="1481"/>
      <c r="AI730" s="1481"/>
      <c r="AJ730" s="1481"/>
      <c r="AK730" s="1481"/>
      <c r="AL730" s="1481"/>
      <c r="AM730" s="1481"/>
      <c r="AN730" s="1481"/>
      <c r="AO730" s="1481"/>
      <c r="AP730" s="1481"/>
      <c r="AQ730" s="1481"/>
      <c r="AR730" s="1481"/>
      <c r="AS730" s="1481"/>
      <c r="AT730" s="1481"/>
      <c r="AU730" s="1481"/>
      <c r="AV730" s="1481"/>
      <c r="AW730" s="1481"/>
      <c r="AX730" s="1481"/>
      <c r="AY730" s="1481"/>
      <c r="AZ730" s="1481"/>
      <c r="BA730" s="1481"/>
      <c r="BB730" s="1481"/>
      <c r="BC730" s="1481"/>
      <c r="BD730" s="1481"/>
      <c r="BE730" s="1481"/>
      <c r="BF730" s="1481"/>
      <c r="BG730" s="1481"/>
      <c r="BH730" s="1481"/>
      <c r="BI730" s="1481"/>
      <c r="BJ730" s="1481"/>
      <c r="BK730" s="1481"/>
      <c r="BL730" s="1481"/>
      <c r="BM730" s="1481"/>
      <c r="BN730" s="1481"/>
      <c r="BO730" s="1481"/>
      <c r="BP730" s="1481"/>
      <c r="BQ730" s="1481"/>
      <c r="BR730" s="1481"/>
      <c r="BS730" s="1481"/>
      <c r="BT730" s="1481"/>
      <c r="BU730" s="1481"/>
      <c r="BV730" s="1023"/>
      <c r="BW730" s="1023"/>
      <c r="BX730" s="1023"/>
      <c r="BY730" s="1023"/>
      <c r="BZ730" s="1023"/>
      <c r="CA730" s="1023"/>
      <c r="CB730" s="1023"/>
      <c r="CC730" s="1023"/>
      <c r="CD730" s="1023"/>
      <c r="CE730" s="1023"/>
    </row>
    <row r="731" spans="1:83" ht="5.25" hidden="1" customHeight="1">
      <c r="A731" s="1636"/>
      <c r="B731" s="1481"/>
      <c r="C731" s="1481"/>
      <c r="D731" s="3622"/>
      <c r="E731" s="909"/>
      <c r="F731" s="909"/>
      <c r="G731" s="909"/>
      <c r="H731" s="909"/>
      <c r="I731" s="909"/>
      <c r="J731" s="909"/>
      <c r="K731" s="909"/>
      <c r="L731" s="909"/>
      <c r="M731" s="909"/>
      <c r="N731" s="909"/>
      <c r="O731" s="909"/>
      <c r="P731" s="909"/>
      <c r="Q731" s="910"/>
      <c r="R731" s="911"/>
      <c r="S731" s="912"/>
      <c r="T731" s="607" t="s">
        <v>877</v>
      </c>
      <c r="U731" s="3532">
        <v>1</v>
      </c>
      <c r="V731" s="3532" t="s">
        <v>840</v>
      </c>
      <c r="W731" s="1481"/>
      <c r="X731" s="1481"/>
      <c r="Y731" s="1481"/>
      <c r="Z731" s="1481"/>
      <c r="AA731" s="1481"/>
      <c r="AB731" s="1481"/>
      <c r="AC731" s="907"/>
      <c r="AD731" s="908"/>
      <c r="AE731" s="1481"/>
      <c r="AF731" s="1481"/>
      <c r="AG731" s="1481"/>
      <c r="AH731" s="1481"/>
      <c r="AI731" s="1481"/>
      <c r="AJ731" s="1481"/>
      <c r="AK731" s="1481"/>
      <c r="AL731" s="1481"/>
      <c r="AM731" s="1481"/>
      <c r="AN731" s="1481"/>
      <c r="AO731" s="1481"/>
      <c r="AP731" s="1481"/>
      <c r="AQ731" s="1481"/>
      <c r="AR731" s="1481"/>
      <c r="AS731" s="1481"/>
      <c r="AT731" s="1481"/>
      <c r="AU731" s="1481"/>
      <c r="AV731" s="1481"/>
      <c r="AW731" s="1481"/>
      <c r="AX731" s="1481"/>
      <c r="AY731" s="1481"/>
      <c r="AZ731" s="1481"/>
      <c r="BA731" s="1481"/>
      <c r="BB731" s="1481"/>
      <c r="BC731" s="1481"/>
      <c r="BD731" s="1481"/>
      <c r="BE731" s="1481"/>
      <c r="BF731" s="1481"/>
      <c r="BG731" s="1481"/>
      <c r="BH731" s="1481"/>
      <c r="BI731" s="1481"/>
      <c r="BJ731" s="1481"/>
      <c r="BK731" s="1481"/>
      <c r="BL731" s="1481"/>
      <c r="BM731" s="1481"/>
      <c r="BN731" s="1481"/>
      <c r="BO731" s="1481"/>
      <c r="BP731" s="1481"/>
      <c r="BQ731" s="1481"/>
      <c r="BR731" s="1481"/>
      <c r="BS731" s="1481"/>
      <c r="BT731" s="1481"/>
      <c r="BU731" s="1481"/>
      <c r="BV731" s="1481"/>
      <c r="BW731" s="1481"/>
      <c r="BX731" s="1481"/>
      <c r="BY731" s="1481"/>
      <c r="BZ731" s="1481"/>
      <c r="CA731" s="1481"/>
      <c r="CB731" s="1481"/>
      <c r="CC731" s="1481"/>
      <c r="CD731" s="1481"/>
      <c r="CE731" s="1481"/>
    </row>
    <row r="732" spans="1:83" ht="5.25" hidden="1" customHeight="1">
      <c r="A732" s="1636"/>
      <c r="B732" s="1481"/>
      <c r="C732" s="1481"/>
      <c r="D732" s="3622"/>
      <c r="E732" s="527"/>
      <c r="F732" s="527"/>
      <c r="G732" s="527"/>
      <c r="H732" s="527"/>
      <c r="I732" s="527"/>
      <c r="J732" s="527"/>
      <c r="K732" s="527"/>
      <c r="L732" s="527"/>
      <c r="M732" s="527"/>
      <c r="N732" s="527"/>
      <c r="O732" s="527"/>
      <c r="P732" s="527"/>
      <c r="Q732" s="527"/>
      <c r="R732" s="527"/>
      <c r="S732" s="528"/>
      <c r="T732" s="608"/>
      <c r="U732" s="3532"/>
      <c r="V732" s="3532"/>
      <c r="W732" s="1481"/>
      <c r="X732" s="1481"/>
      <c r="Y732" s="1481"/>
      <c r="Z732" s="1481"/>
      <c r="AA732" s="1481"/>
      <c r="AB732" s="1481"/>
      <c r="AC732" s="907"/>
      <c r="AD732" s="908"/>
      <c r="AE732" s="1481"/>
      <c r="AF732" s="1481"/>
      <c r="AG732" s="1481"/>
      <c r="AH732" s="1481"/>
      <c r="AI732" s="1481"/>
      <c r="AJ732" s="1481"/>
      <c r="AK732" s="1481"/>
      <c r="AL732" s="1481"/>
      <c r="AM732" s="1481"/>
      <c r="AN732" s="1481"/>
      <c r="AO732" s="1481"/>
      <c r="AP732" s="1481"/>
      <c r="AQ732" s="1481"/>
      <c r="AR732" s="1481"/>
      <c r="AS732" s="1481"/>
      <c r="AT732" s="1481"/>
      <c r="AU732" s="1481"/>
      <c r="AV732" s="1481"/>
      <c r="AW732" s="1481"/>
      <c r="AX732" s="1481"/>
      <c r="AY732" s="1481"/>
      <c r="AZ732" s="1481"/>
      <c r="BA732" s="1481"/>
      <c r="BB732" s="1481"/>
      <c r="BC732" s="1481"/>
      <c r="BD732" s="1481"/>
      <c r="BE732" s="1481"/>
      <c r="BF732" s="1481"/>
      <c r="BG732" s="1481"/>
      <c r="BH732" s="1481"/>
      <c r="BI732" s="1481"/>
      <c r="BJ732" s="1481"/>
      <c r="BK732" s="1481"/>
      <c r="BL732" s="1481"/>
      <c r="BM732" s="1481"/>
      <c r="BN732" s="1481"/>
      <c r="BO732" s="1481"/>
      <c r="BP732" s="1481"/>
      <c r="BQ732" s="1481"/>
      <c r="BR732" s="1481"/>
      <c r="BS732" s="1481"/>
      <c r="BT732" s="1481"/>
      <c r="BU732" s="1481"/>
      <c r="BV732" s="1481"/>
      <c r="BW732" s="1481"/>
      <c r="BX732" s="1481"/>
      <c r="BY732" s="1481"/>
      <c r="BZ732" s="1481"/>
      <c r="CA732" s="1481"/>
      <c r="CB732" s="1481"/>
      <c r="CC732" s="1481"/>
      <c r="CD732" s="1481"/>
      <c r="CE732" s="1481"/>
    </row>
    <row r="733" spans="1:83" ht="5.25" hidden="1" customHeight="1">
      <c r="A733" s="1636"/>
      <c r="B733" s="1481"/>
      <c r="C733" s="1481"/>
      <c r="D733" s="3623"/>
      <c r="E733" s="913"/>
      <c r="F733" s="914"/>
      <c r="G733" s="914"/>
      <c r="H733" s="915"/>
      <c r="I733" s="915"/>
      <c r="J733" s="915"/>
      <c r="K733" s="915"/>
      <c r="L733" s="915"/>
      <c r="M733" s="915"/>
      <c r="N733" s="915"/>
      <c r="O733" s="915"/>
      <c r="P733" s="915"/>
      <c r="Q733" s="915"/>
      <c r="R733" s="818"/>
      <c r="S733" s="916"/>
      <c r="T733" s="608"/>
      <c r="U733" s="3532"/>
      <c r="V733" s="3532"/>
      <c r="W733" s="1481"/>
      <c r="X733" s="1481"/>
      <c r="Y733" s="1481"/>
      <c r="Z733" s="1481"/>
      <c r="AA733" s="1481"/>
      <c r="AB733" s="1481"/>
      <c r="AC733" s="907"/>
      <c r="AD733" s="908"/>
      <c r="AE733" s="1481"/>
      <c r="AF733" s="1481"/>
      <c r="AG733" s="1481"/>
      <c r="AH733" s="1481"/>
      <c r="AI733" s="1481"/>
      <c r="AJ733" s="1481"/>
      <c r="AK733" s="1481"/>
      <c r="AL733" s="1481"/>
      <c r="AM733" s="1481"/>
      <c r="AN733" s="1481"/>
      <c r="AO733" s="1481"/>
      <c r="AP733" s="1481"/>
      <c r="AQ733" s="1481"/>
      <c r="AR733" s="1481"/>
      <c r="AS733" s="1481"/>
      <c r="AT733" s="1481"/>
      <c r="AU733" s="1481"/>
      <c r="AV733" s="1481"/>
      <c r="AW733" s="1481"/>
      <c r="AX733" s="1481"/>
      <c r="AY733" s="1481"/>
      <c r="AZ733" s="1481"/>
      <c r="BA733" s="1481"/>
      <c r="BB733" s="1481"/>
      <c r="BC733" s="1481"/>
      <c r="BD733" s="1481"/>
      <c r="BE733" s="1481"/>
      <c r="BF733" s="1481"/>
      <c r="BG733" s="1481"/>
      <c r="BH733" s="1481"/>
      <c r="BI733" s="1481"/>
      <c r="BJ733" s="1481"/>
      <c r="BK733" s="1481"/>
      <c r="BL733" s="1481"/>
      <c r="BM733" s="1481"/>
      <c r="BN733" s="1481"/>
      <c r="BO733" s="1481"/>
      <c r="BP733" s="1481"/>
      <c r="BQ733" s="1481"/>
      <c r="BR733" s="1481"/>
      <c r="BS733" s="1481"/>
      <c r="BT733" s="1481"/>
      <c r="BU733" s="1481"/>
      <c r="BV733" s="1481"/>
      <c r="BW733" s="1481"/>
      <c r="BX733" s="1481"/>
      <c r="BY733" s="1481"/>
      <c r="BZ733" s="1481"/>
      <c r="CA733" s="1481"/>
      <c r="CB733" s="1481"/>
      <c r="CC733" s="1481"/>
      <c r="CD733" s="1481"/>
      <c r="CE733" s="1481"/>
    </row>
    <row r="734" spans="1:83" ht="15" hidden="1" customHeight="1">
      <c r="A734" s="516" t="s">
        <v>350</v>
      </c>
      <c r="B734"/>
      <c r="C734" t="s">
        <v>18</v>
      </c>
      <c r="D734" s="3621" t="s">
        <v>959</v>
      </c>
      <c r="E734" s="3618" t="s">
        <v>102</v>
      </c>
      <c r="F734" s="3619"/>
      <c r="G734" s="3620"/>
      <c r="H734" s="3614" t="str">
        <f>IF(A734="","",INDEX(DIFFERENTIATION_UNMERGE_VD,MATCH(A734,DIFFERENTIATION_ID_DIFF,0)))</f>
        <v>Производство тепловой энергии. Некомбинированная выработка</v>
      </c>
      <c r="I734" s="3614"/>
      <c r="J734" s="3614"/>
      <c r="K734" s="3614"/>
      <c r="L734" s="3614"/>
      <c r="M734" s="3614"/>
      <c r="N734" s="3614"/>
      <c r="O734" s="3614"/>
      <c r="P734" s="3614"/>
      <c r="Q734" s="3614"/>
      <c r="R734" s="3614"/>
      <c r="S734" s="609"/>
      <c r="T734" s="606"/>
      <c r="U734" s="517"/>
      <c r="V734" s="517"/>
      <c r="W734" s="518"/>
      <c r="X734" s="518"/>
      <c r="Y734" s="518"/>
      <c r="Z734" s="518"/>
      <c r="AA734" s="519"/>
      <c r="AB734" s="520"/>
      <c r="AC734" s="3617"/>
      <c r="AD734" s="521"/>
      <c r="AE734" s="522" t="s">
        <v>18</v>
      </c>
      <c r="AF734" s="522"/>
      <c r="AG734" s="523" t="s">
        <v>874</v>
      </c>
      <c r="AH734" s="524">
        <v>3</v>
      </c>
      <c r="AI734" s="517"/>
      <c r="AJ734" s="517"/>
      <c r="AK734" s="517"/>
      <c r="AL734" s="517"/>
      <c r="AM734" s="517"/>
      <c r="AN734" s="517"/>
      <c r="AO734" s="517"/>
      <c r="AP734" s="517"/>
      <c r="AQ734" s="517"/>
      <c r="AR734" s="517"/>
      <c r="AS734" s="517"/>
      <c r="AT734" s="517"/>
      <c r="AU734" s="517"/>
      <c r="AV734" s="517"/>
      <c r="AW734" s="517"/>
      <c r="AX734" s="517"/>
      <c r="AY734" s="517"/>
      <c r="AZ734" s="517"/>
      <c r="BA734" s="517"/>
      <c r="BB734" s="517"/>
      <c r="BC734" s="517"/>
      <c r="BD734" s="517"/>
      <c r="BE734" s="517"/>
      <c r="BF734" s="517"/>
      <c r="BG734" s="517"/>
      <c r="BH734" s="517"/>
      <c r="BI734" s="517"/>
      <c r="BJ734" s="517"/>
      <c r="BK734" s="517"/>
      <c r="BL734" s="517"/>
      <c r="BM734" s="517"/>
      <c r="BN734" s="517"/>
      <c r="BO734" s="517"/>
      <c r="BP734" s="517"/>
      <c r="BQ734" s="517"/>
      <c r="BR734" s="517"/>
      <c r="BS734" s="517"/>
      <c r="BT734" s="517"/>
      <c r="BU734" s="517"/>
      <c r="BV734" s="518"/>
      <c r="BW734" s="518"/>
      <c r="BX734" s="518"/>
      <c r="BY734" s="518"/>
      <c r="BZ734" s="518"/>
      <c r="CA734" s="518"/>
      <c r="CB734" s="518"/>
      <c r="CC734" s="518"/>
      <c r="CD734" s="518"/>
      <c r="CE734" s="518"/>
    </row>
    <row r="735" spans="1:83" ht="15" hidden="1" customHeight="1">
      <c r="A735" s="516"/>
      <c r="B735"/>
      <c r="C735"/>
      <c r="D735" s="3622"/>
      <c r="E735" s="3618" t="s">
        <v>829</v>
      </c>
      <c r="F735" s="3619"/>
      <c r="G735" s="3620"/>
      <c r="H735" s="3614" t="str">
        <f>IF(A734="","",INDEX(DIFFERENTIATION_UNMERGE_AREA,MATCH(A734,DIFFERENTIATION_ID_DIFF,0)))</f>
        <v>Территория 1</v>
      </c>
      <c r="I735" s="3614"/>
      <c r="J735" s="3614"/>
      <c r="K735" s="3614"/>
      <c r="L735" s="3614"/>
      <c r="M735" s="3614"/>
      <c r="N735" s="3614"/>
      <c r="O735" s="3614"/>
      <c r="P735" s="3614"/>
      <c r="Q735" s="3614"/>
      <c r="R735" s="3614"/>
      <c r="S735" s="609"/>
      <c r="T735" s="606"/>
      <c r="U735" s="517"/>
      <c r="V735" s="517"/>
      <c r="W735" s="518"/>
      <c r="X735" s="518"/>
      <c r="Y735" s="518"/>
      <c r="Z735" s="518"/>
      <c r="AA735" s="519"/>
      <c r="AB735" s="520"/>
      <c r="AC735" s="3617"/>
      <c r="AD735" s="521"/>
      <c r="AE735" s="522"/>
      <c r="AF735" s="522"/>
      <c r="AG735" s="523"/>
      <c r="AH735" s="524"/>
      <c r="AI735" s="517"/>
      <c r="AJ735" s="517"/>
      <c r="AK735" s="517"/>
      <c r="AL735" s="517"/>
      <c r="AM735" s="517"/>
      <c r="AN735" s="517"/>
      <c r="AO735" s="517"/>
      <c r="AP735" s="517"/>
      <c r="AQ735" s="517"/>
      <c r="AR735" s="517"/>
      <c r="AS735" s="517"/>
      <c r="AT735" s="517"/>
      <c r="AU735" s="517"/>
      <c r="AV735" s="517"/>
      <c r="AW735" s="517"/>
      <c r="AX735" s="517"/>
      <c r="AY735" s="517"/>
      <c r="AZ735" s="517"/>
      <c r="BA735" s="517"/>
      <c r="BB735" s="517"/>
      <c r="BC735" s="517"/>
      <c r="BD735" s="517"/>
      <c r="BE735" s="517"/>
      <c r="BF735" s="517"/>
      <c r="BG735" s="517"/>
      <c r="BH735" s="517"/>
      <c r="BI735" s="517"/>
      <c r="BJ735" s="517"/>
      <c r="BK735" s="517"/>
      <c r="BL735" s="517"/>
      <c r="BM735" s="517"/>
      <c r="BN735" s="517"/>
      <c r="BO735" s="517"/>
      <c r="BP735" s="517"/>
      <c r="BQ735" s="517"/>
      <c r="BR735" s="517"/>
      <c r="BS735" s="517"/>
      <c r="BT735" s="517"/>
      <c r="BU735" s="517"/>
      <c r="BV735" s="518"/>
      <c r="BW735" s="518"/>
      <c r="BX735" s="518"/>
      <c r="BY735" s="518"/>
      <c r="BZ735" s="518"/>
      <c r="CA735" s="518"/>
      <c r="CB735" s="518"/>
      <c r="CC735" s="518"/>
      <c r="CD735" s="518"/>
      <c r="CE735" s="518"/>
    </row>
    <row r="736" spans="1:83" ht="15" hidden="1" customHeight="1">
      <c r="A736" s="516"/>
      <c r="B736"/>
      <c r="C736"/>
      <c r="D736" s="3622"/>
      <c r="E736" s="3618" t="s">
        <v>830</v>
      </c>
      <c r="F736" s="3619"/>
      <c r="G736" s="3620"/>
      <c r="H736" s="3614" t="str">
        <f>IF(A734="","",INDEX(DIFFERENTIATION_UNMERGE_SYSTEM,MATCH(A734,DIFFERENTIATION_ID_DIFF,0)))</f>
        <v>Московская, 27а</v>
      </c>
      <c r="I736" s="3614"/>
      <c r="J736" s="3614"/>
      <c r="K736" s="3614"/>
      <c r="L736" s="3614"/>
      <c r="M736" s="3614"/>
      <c r="N736" s="3614"/>
      <c r="O736" s="3614"/>
      <c r="P736" s="3614"/>
      <c r="Q736" s="3614"/>
      <c r="R736" s="3614"/>
      <c r="S736" s="609"/>
      <c r="T736" s="606"/>
      <c r="U736" s="517"/>
      <c r="V736" s="517"/>
      <c r="W736" s="518"/>
      <c r="X736" s="518"/>
      <c r="Y736" s="518"/>
      <c r="Z736" s="518"/>
      <c r="AA736" s="519"/>
      <c r="AB736" s="520"/>
      <c r="AC736" s="3617"/>
      <c r="AD736" s="521"/>
      <c r="AE736" s="522"/>
      <c r="AF736" s="522"/>
      <c r="AG736" s="523"/>
      <c r="AH736" s="524"/>
      <c r="AI736" s="517"/>
      <c r="AJ736" s="517"/>
      <c r="AK736" s="517"/>
      <c r="AL736" s="517"/>
      <c r="AM736" s="517"/>
      <c r="AN736" s="517"/>
      <c r="AO736" s="517"/>
      <c r="AP736" s="517"/>
      <c r="AQ736" s="517"/>
      <c r="AR736" s="517"/>
      <c r="AS736" s="517"/>
      <c r="AT736" s="517"/>
      <c r="AU736" s="517"/>
      <c r="AV736" s="517"/>
      <c r="AW736" s="517"/>
      <c r="AX736" s="517"/>
      <c r="AY736" s="517"/>
      <c r="AZ736" s="517"/>
      <c r="BA736" s="517"/>
      <c r="BB736" s="517"/>
      <c r="BC736" s="517"/>
      <c r="BD736" s="517"/>
      <c r="BE736" s="517"/>
      <c r="BF736" s="517"/>
      <c r="BG736" s="517"/>
      <c r="BH736" s="517"/>
      <c r="BI736" s="517"/>
      <c r="BJ736" s="517"/>
      <c r="BK736" s="517"/>
      <c r="BL736" s="517"/>
      <c r="BM736" s="517"/>
      <c r="BN736" s="517"/>
      <c r="BO736" s="517"/>
      <c r="BP736" s="517"/>
      <c r="BQ736" s="517"/>
      <c r="BR736" s="517"/>
      <c r="BS736" s="517"/>
      <c r="BT736" s="517"/>
      <c r="BU736" s="517"/>
      <c r="BV736" s="518"/>
      <c r="BW736" s="518"/>
      <c r="BX736" s="518"/>
      <c r="BY736" s="518"/>
      <c r="BZ736" s="518"/>
      <c r="CA736" s="518"/>
      <c r="CB736" s="518"/>
      <c r="CC736" s="518"/>
      <c r="CD736" s="518"/>
      <c r="CE736" s="518"/>
    </row>
    <row r="737" spans="1:83" ht="24.75" hidden="1" customHeight="1">
      <c r="A737" s="1649"/>
      <c r="B737" s="1023"/>
      <c r="C737" s="319"/>
      <c r="D737" s="3622"/>
      <c r="E737" s="3616" t="s">
        <v>875</v>
      </c>
      <c r="F737" s="3616"/>
      <c r="G737" s="3616"/>
      <c r="H737" s="3616"/>
      <c r="I737" s="3616"/>
      <c r="J737" s="3616"/>
      <c r="K737" s="3616"/>
      <c r="L737" s="3616"/>
      <c r="M737" s="3616"/>
      <c r="N737" s="3616"/>
      <c r="O737" s="3616"/>
      <c r="P737" s="3616"/>
      <c r="Q737" s="455">
        <f>SUMIF(T738:T739,"i",Q738:Q739)</f>
        <v>0</v>
      </c>
      <c r="R737" s="887"/>
      <c r="S737" s="1641" t="s">
        <v>876</v>
      </c>
      <c r="T737" s="607" t="s">
        <v>877</v>
      </c>
      <c r="U737" s="3532">
        <v>1</v>
      </c>
      <c r="V737" s="3532" t="s">
        <v>840</v>
      </c>
      <c r="W737" s="1023"/>
      <c r="X737" s="1023"/>
      <c r="Y737" s="1023"/>
      <c r="Z737" s="1023"/>
      <c r="AA737" s="1481"/>
      <c r="AB737" s="1023"/>
      <c r="AC737" s="3617"/>
      <c r="AD737" s="521"/>
      <c r="AE737" s="1023"/>
      <c r="AF737" s="1023"/>
      <c r="AG737" s="1481"/>
      <c r="AH737" s="1481"/>
      <c r="AI737" s="1481"/>
      <c r="AJ737" s="1481"/>
      <c r="AK737" s="1481"/>
      <c r="AL737" s="1481"/>
      <c r="AM737" s="1481"/>
      <c r="AN737" s="1481"/>
      <c r="AO737" s="1481"/>
      <c r="AP737" s="1481"/>
      <c r="AQ737" s="1481"/>
      <c r="AR737" s="1481"/>
      <c r="AS737" s="1481"/>
      <c r="AT737" s="1481"/>
      <c r="AU737" s="1481"/>
      <c r="AV737" s="1481"/>
      <c r="AW737" s="1481"/>
      <c r="AX737" s="1481"/>
      <c r="AY737" s="1481"/>
      <c r="AZ737" s="1481"/>
      <c r="BA737" s="1481"/>
      <c r="BB737" s="1481"/>
      <c r="BC737" s="1481"/>
      <c r="BD737" s="1481"/>
      <c r="BE737" s="1481"/>
      <c r="BF737" s="1481"/>
      <c r="BG737" s="1481"/>
      <c r="BH737" s="1481"/>
      <c r="BI737" s="1481"/>
      <c r="BJ737" s="1481"/>
      <c r="BK737" s="1481"/>
      <c r="BL737" s="1481"/>
      <c r="BM737" s="1481"/>
      <c r="BN737" s="1481"/>
      <c r="BO737" s="1481"/>
      <c r="BP737" s="1481"/>
      <c r="BQ737" s="1481"/>
      <c r="BR737" s="1481"/>
      <c r="BS737" s="1481"/>
      <c r="BT737" s="1481"/>
      <c r="BU737" s="1481"/>
      <c r="BV737" s="1023"/>
      <c r="BW737" s="1023"/>
      <c r="BX737" s="1023"/>
      <c r="BY737" s="1023"/>
      <c r="BZ737" s="1023"/>
      <c r="CA737" s="1023"/>
      <c r="CB737" s="1023"/>
      <c r="CC737" s="1023"/>
      <c r="CD737" s="1023"/>
      <c r="CE737" s="1023"/>
    </row>
    <row r="738" spans="1:83" ht="11.25" hidden="1" customHeight="1">
      <c r="A738" s="1636"/>
      <c r="B738" s="1481"/>
      <c r="C738" s="1481"/>
      <c r="D738" s="3622"/>
      <c r="E738" s="527"/>
      <c r="F738" s="527">
        <v>0</v>
      </c>
      <c r="G738" s="527"/>
      <c r="H738" s="527"/>
      <c r="I738" s="527"/>
      <c r="J738" s="527"/>
      <c r="K738" s="527"/>
      <c r="L738" s="527"/>
      <c r="M738" s="527"/>
      <c r="N738" s="527"/>
      <c r="O738" s="527"/>
      <c r="P738" s="527"/>
      <c r="Q738" s="527"/>
      <c r="R738" s="527"/>
      <c r="S738" s="528"/>
      <c r="T738" s="608"/>
      <c r="U738" s="3532"/>
      <c r="V738" s="3532"/>
      <c r="W738" s="1481"/>
      <c r="X738" s="1481"/>
      <c r="Y738" s="1481"/>
      <c r="Z738" s="1481"/>
      <c r="AA738" s="1481"/>
      <c r="AB738" s="1023"/>
      <c r="AC738" s="3617"/>
      <c r="AD738" s="521"/>
      <c r="AE738" s="1023"/>
      <c r="AF738" s="1023"/>
      <c r="AG738" s="1481"/>
      <c r="AH738" s="1481"/>
      <c r="AI738" s="1481"/>
      <c r="AJ738" s="1481"/>
      <c r="AK738" s="1481"/>
      <c r="AL738" s="1481"/>
      <c r="AM738" s="1481"/>
      <c r="AN738" s="1481"/>
      <c r="AO738" s="1481"/>
      <c r="AP738" s="1481"/>
      <c r="AQ738" s="1481"/>
      <c r="AR738" s="1481"/>
      <c r="AS738" s="1481"/>
      <c r="AT738" s="1481"/>
      <c r="AU738" s="1481"/>
      <c r="AV738" s="1481"/>
      <c r="AW738" s="1481"/>
      <c r="AX738" s="1481"/>
      <c r="AY738" s="1481"/>
      <c r="AZ738" s="1481"/>
      <c r="BA738" s="1481"/>
      <c r="BB738" s="1481"/>
      <c r="BC738" s="1481"/>
      <c r="BD738" s="1481"/>
      <c r="BE738" s="1481"/>
      <c r="BF738" s="1481"/>
      <c r="BG738" s="1481"/>
      <c r="BH738" s="1481"/>
      <c r="BI738" s="1481"/>
      <c r="BJ738" s="1481"/>
      <c r="BK738" s="1481"/>
      <c r="BL738" s="1481"/>
      <c r="BM738" s="1481"/>
      <c r="BN738" s="1481"/>
      <c r="BO738" s="1481"/>
      <c r="BP738" s="1481"/>
      <c r="BQ738" s="1481"/>
      <c r="BR738" s="1481"/>
      <c r="BS738" s="1481"/>
      <c r="BT738" s="1481"/>
      <c r="BU738" s="1481"/>
      <c r="BV738" s="1481"/>
      <c r="BW738" s="1481"/>
      <c r="BX738" s="1481"/>
      <c r="BY738" s="1481"/>
      <c r="BZ738" s="1481"/>
      <c r="CA738" s="1481"/>
      <c r="CB738" s="1481"/>
      <c r="CC738" s="1481"/>
      <c r="CD738" s="1481"/>
      <c r="CE738" s="1481"/>
    </row>
    <row r="739" spans="1:83" ht="11.25" hidden="1" customHeight="1">
      <c r="A739" s="1649"/>
      <c r="B739" s="1023"/>
      <c r="C739" s="319"/>
      <c r="D739" s="3622"/>
      <c r="E739" s="541" t="s">
        <v>18</v>
      </c>
      <c r="F739" s="1031" t="s">
        <v>18</v>
      </c>
      <c r="G739" s="1031" t="s">
        <v>880</v>
      </c>
      <c r="H739" s="543" t="s">
        <v>18</v>
      </c>
      <c r="I739" s="543"/>
      <c r="J739" s="543"/>
      <c r="K739" s="543"/>
      <c r="L739" s="543"/>
      <c r="M739" s="543"/>
      <c r="N739" s="543"/>
      <c r="O739" s="543"/>
      <c r="P739" s="543"/>
      <c r="Q739" s="543"/>
      <c r="R739" s="544"/>
      <c r="S739" s="545"/>
      <c r="T739" s="608"/>
      <c r="U739" s="3532"/>
      <c r="V739" s="3532"/>
      <c r="W739" s="1023"/>
      <c r="X739" s="1023"/>
      <c r="Y739" s="1023"/>
      <c r="Z739" s="1023"/>
      <c r="AA739" s="1481"/>
      <c r="AB739" s="1023"/>
      <c r="AC739" s="3617"/>
      <c r="AD739" s="521"/>
      <c r="AE739" s="1023"/>
      <c r="AF739" s="1023"/>
      <c r="AG739" s="1481"/>
      <c r="AH739" s="1481"/>
      <c r="AI739" s="1481"/>
      <c r="AJ739" s="1481"/>
      <c r="AK739" s="1481"/>
      <c r="AL739" s="1481"/>
      <c r="AM739" s="1481"/>
      <c r="AN739" s="1481"/>
      <c r="AO739" s="1481"/>
      <c r="AP739" s="1481"/>
      <c r="AQ739" s="1481"/>
      <c r="AR739" s="1481"/>
      <c r="AS739" s="1481"/>
      <c r="AT739" s="1481"/>
      <c r="AU739" s="1481"/>
      <c r="AV739" s="1481"/>
      <c r="AW739" s="1481"/>
      <c r="AX739" s="1481"/>
      <c r="AY739" s="1481"/>
      <c r="AZ739" s="1481"/>
      <c r="BA739" s="1481"/>
      <c r="BB739" s="1481"/>
      <c r="BC739" s="1481"/>
      <c r="BD739" s="1481"/>
      <c r="BE739" s="1481"/>
      <c r="BF739" s="1481"/>
      <c r="BG739" s="1481"/>
      <c r="BH739" s="1481"/>
      <c r="BI739" s="1481"/>
      <c r="BJ739" s="1481"/>
      <c r="BK739" s="1481"/>
      <c r="BL739" s="1481"/>
      <c r="BM739" s="1481"/>
      <c r="BN739" s="1481"/>
      <c r="BO739" s="1481"/>
      <c r="BP739" s="1481"/>
      <c r="BQ739" s="1481"/>
      <c r="BR739" s="1481"/>
      <c r="BS739" s="1481"/>
      <c r="BT739" s="1481"/>
      <c r="BU739" s="1481"/>
      <c r="BV739" s="1023"/>
      <c r="BW739" s="1023"/>
      <c r="BX739" s="1023"/>
      <c r="BY739" s="1023"/>
      <c r="BZ739" s="1023"/>
      <c r="CA739" s="1023"/>
      <c r="CB739" s="1023"/>
      <c r="CC739" s="1023"/>
      <c r="CD739" s="1023"/>
      <c r="CE739" s="1023"/>
    </row>
    <row r="740" spans="1:83" ht="5.25" hidden="1" customHeight="1">
      <c r="A740" s="1636"/>
      <c r="B740" s="1481"/>
      <c r="C740" s="1481"/>
      <c r="D740" s="3622"/>
      <c r="E740" s="909"/>
      <c r="F740" s="909"/>
      <c r="G740" s="909"/>
      <c r="H740" s="909"/>
      <c r="I740" s="909"/>
      <c r="J740" s="909"/>
      <c r="K740" s="909"/>
      <c r="L740" s="909"/>
      <c r="M740" s="909"/>
      <c r="N740" s="909"/>
      <c r="O740" s="909"/>
      <c r="P740" s="909"/>
      <c r="Q740" s="910"/>
      <c r="R740" s="911"/>
      <c r="S740" s="912"/>
      <c r="T740" s="607" t="s">
        <v>877</v>
      </c>
      <c r="U740" s="3532">
        <v>1</v>
      </c>
      <c r="V740" s="3532" t="s">
        <v>840</v>
      </c>
      <c r="W740" s="1481"/>
      <c r="X740" s="1481"/>
      <c r="Y740" s="1481"/>
      <c r="Z740" s="1481"/>
      <c r="AA740" s="1481"/>
      <c r="AB740" s="1481"/>
      <c r="AC740" s="907"/>
      <c r="AD740" s="908"/>
      <c r="AE740" s="1481"/>
      <c r="AF740" s="1481"/>
      <c r="AG740" s="1481"/>
      <c r="AH740" s="1481"/>
      <c r="AI740" s="1481"/>
      <c r="AJ740" s="1481"/>
      <c r="AK740" s="1481"/>
      <c r="AL740" s="1481"/>
      <c r="AM740" s="1481"/>
      <c r="AN740" s="1481"/>
      <c r="AO740" s="1481"/>
      <c r="AP740" s="1481"/>
      <c r="AQ740" s="1481"/>
      <c r="AR740" s="1481"/>
      <c r="AS740" s="1481"/>
      <c r="AT740" s="1481"/>
      <c r="AU740" s="1481"/>
      <c r="AV740" s="1481"/>
      <c r="AW740" s="1481"/>
      <c r="AX740" s="1481"/>
      <c r="AY740" s="1481"/>
      <c r="AZ740" s="1481"/>
      <c r="BA740" s="1481"/>
      <c r="BB740" s="1481"/>
      <c r="BC740" s="1481"/>
      <c r="BD740" s="1481"/>
      <c r="BE740" s="1481"/>
      <c r="BF740" s="1481"/>
      <c r="BG740" s="1481"/>
      <c r="BH740" s="1481"/>
      <c r="BI740" s="1481"/>
      <c r="BJ740" s="1481"/>
      <c r="BK740" s="1481"/>
      <c r="BL740" s="1481"/>
      <c r="BM740" s="1481"/>
      <c r="BN740" s="1481"/>
      <c r="BO740" s="1481"/>
      <c r="BP740" s="1481"/>
      <c r="BQ740" s="1481"/>
      <c r="BR740" s="1481"/>
      <c r="BS740" s="1481"/>
      <c r="BT740" s="1481"/>
      <c r="BU740" s="1481"/>
      <c r="BV740" s="1481"/>
      <c r="BW740" s="1481"/>
      <c r="BX740" s="1481"/>
      <c r="BY740" s="1481"/>
      <c r="BZ740" s="1481"/>
      <c r="CA740" s="1481"/>
      <c r="CB740" s="1481"/>
      <c r="CC740" s="1481"/>
      <c r="CD740" s="1481"/>
      <c r="CE740" s="1481"/>
    </row>
    <row r="741" spans="1:83" ht="5.25" hidden="1" customHeight="1">
      <c r="A741" s="1636"/>
      <c r="B741" s="1481"/>
      <c r="C741" s="1481"/>
      <c r="D741" s="3622"/>
      <c r="E741" s="527"/>
      <c r="F741" s="527"/>
      <c r="G741" s="527"/>
      <c r="H741" s="527"/>
      <c r="I741" s="527"/>
      <c r="J741" s="527"/>
      <c r="K741" s="527"/>
      <c r="L741" s="527"/>
      <c r="M741" s="527"/>
      <c r="N741" s="527"/>
      <c r="O741" s="527"/>
      <c r="P741" s="527"/>
      <c r="Q741" s="527"/>
      <c r="R741" s="527"/>
      <c r="S741" s="528"/>
      <c r="T741" s="608"/>
      <c r="U741" s="3532"/>
      <c r="V741" s="3532"/>
      <c r="W741" s="1481"/>
      <c r="X741" s="1481"/>
      <c r="Y741" s="1481"/>
      <c r="Z741" s="1481"/>
      <c r="AA741" s="1481"/>
      <c r="AB741" s="1481"/>
      <c r="AC741" s="907"/>
      <c r="AD741" s="908"/>
      <c r="AE741" s="1481"/>
      <c r="AF741" s="1481"/>
      <c r="AG741" s="1481"/>
      <c r="AH741" s="1481"/>
      <c r="AI741" s="1481"/>
      <c r="AJ741" s="1481"/>
      <c r="AK741" s="1481"/>
      <c r="AL741" s="1481"/>
      <c r="AM741" s="1481"/>
      <c r="AN741" s="1481"/>
      <c r="AO741" s="1481"/>
      <c r="AP741" s="1481"/>
      <c r="AQ741" s="1481"/>
      <c r="AR741" s="1481"/>
      <c r="AS741" s="1481"/>
      <c r="AT741" s="1481"/>
      <c r="AU741" s="1481"/>
      <c r="AV741" s="1481"/>
      <c r="AW741" s="1481"/>
      <c r="AX741" s="1481"/>
      <c r="AY741" s="1481"/>
      <c r="AZ741" s="1481"/>
      <c r="BA741" s="1481"/>
      <c r="BB741" s="1481"/>
      <c r="BC741" s="1481"/>
      <c r="BD741" s="1481"/>
      <c r="BE741" s="1481"/>
      <c r="BF741" s="1481"/>
      <c r="BG741" s="1481"/>
      <c r="BH741" s="1481"/>
      <c r="BI741" s="1481"/>
      <c r="BJ741" s="1481"/>
      <c r="BK741" s="1481"/>
      <c r="BL741" s="1481"/>
      <c r="BM741" s="1481"/>
      <c r="BN741" s="1481"/>
      <c r="BO741" s="1481"/>
      <c r="BP741" s="1481"/>
      <c r="BQ741" s="1481"/>
      <c r="BR741" s="1481"/>
      <c r="BS741" s="1481"/>
      <c r="BT741" s="1481"/>
      <c r="BU741" s="1481"/>
      <c r="BV741" s="1481"/>
      <c r="BW741" s="1481"/>
      <c r="BX741" s="1481"/>
      <c r="BY741" s="1481"/>
      <c r="BZ741" s="1481"/>
      <c r="CA741" s="1481"/>
      <c r="CB741" s="1481"/>
      <c r="CC741" s="1481"/>
      <c r="CD741" s="1481"/>
      <c r="CE741" s="1481"/>
    </row>
    <row r="742" spans="1:83" ht="5.25" hidden="1" customHeight="1">
      <c r="A742" s="1636"/>
      <c r="B742" s="1481"/>
      <c r="C742" s="1481"/>
      <c r="D742" s="3623"/>
      <c r="E742" s="913"/>
      <c r="F742" s="914"/>
      <c r="G742" s="914"/>
      <c r="H742" s="915"/>
      <c r="I742" s="915"/>
      <c r="J742" s="915"/>
      <c r="K742" s="915"/>
      <c r="L742" s="915"/>
      <c r="M742" s="915"/>
      <c r="N742" s="915"/>
      <c r="O742" s="915"/>
      <c r="P742" s="915"/>
      <c r="Q742" s="915"/>
      <c r="R742" s="818"/>
      <c r="S742" s="916"/>
      <c r="T742" s="608"/>
      <c r="U742" s="3532"/>
      <c r="V742" s="3532"/>
      <c r="W742" s="1481"/>
      <c r="X742" s="1481"/>
      <c r="Y742" s="1481"/>
      <c r="Z742" s="1481"/>
      <c r="AA742" s="1481"/>
      <c r="AB742" s="1481"/>
      <c r="AC742" s="907"/>
      <c r="AD742" s="908"/>
      <c r="AE742" s="1481"/>
      <c r="AF742" s="1481"/>
      <c r="AG742" s="1481"/>
      <c r="AH742" s="1481"/>
      <c r="AI742" s="1481"/>
      <c r="AJ742" s="1481"/>
      <c r="AK742" s="1481"/>
      <c r="AL742" s="1481"/>
      <c r="AM742" s="1481"/>
      <c r="AN742" s="1481"/>
      <c r="AO742" s="1481"/>
      <c r="AP742" s="1481"/>
      <c r="AQ742" s="1481"/>
      <c r="AR742" s="1481"/>
      <c r="AS742" s="1481"/>
      <c r="AT742" s="1481"/>
      <c r="AU742" s="1481"/>
      <c r="AV742" s="1481"/>
      <c r="AW742" s="1481"/>
      <c r="AX742" s="1481"/>
      <c r="AY742" s="1481"/>
      <c r="AZ742" s="1481"/>
      <c r="BA742" s="1481"/>
      <c r="BB742" s="1481"/>
      <c r="BC742" s="1481"/>
      <c r="BD742" s="1481"/>
      <c r="BE742" s="1481"/>
      <c r="BF742" s="1481"/>
      <c r="BG742" s="1481"/>
      <c r="BH742" s="1481"/>
      <c r="BI742" s="1481"/>
      <c r="BJ742" s="1481"/>
      <c r="BK742" s="1481"/>
      <c r="BL742" s="1481"/>
      <c r="BM742" s="1481"/>
      <c r="BN742" s="1481"/>
      <c r="BO742" s="1481"/>
      <c r="BP742" s="1481"/>
      <c r="BQ742" s="1481"/>
      <c r="BR742" s="1481"/>
      <c r="BS742" s="1481"/>
      <c r="BT742" s="1481"/>
      <c r="BU742" s="1481"/>
      <c r="BV742" s="1481"/>
      <c r="BW742" s="1481"/>
      <c r="BX742" s="1481"/>
      <c r="BY742" s="1481"/>
      <c r="BZ742" s="1481"/>
      <c r="CA742" s="1481"/>
      <c r="CB742" s="1481"/>
      <c r="CC742" s="1481"/>
      <c r="CD742" s="1481"/>
      <c r="CE742" s="1481"/>
    </row>
    <row r="743" spans="1:83" ht="15" hidden="1" customHeight="1">
      <c r="A743" s="516" t="s">
        <v>353</v>
      </c>
      <c r="B743"/>
      <c r="C743" t="s">
        <v>18</v>
      </c>
      <c r="D743" s="3621" t="s">
        <v>960</v>
      </c>
      <c r="E743" s="3618" t="s">
        <v>102</v>
      </c>
      <c r="F743" s="3619"/>
      <c r="G743" s="3620"/>
      <c r="H743" s="3614" t="str">
        <f>IF(A743="","",INDEX(DIFFERENTIATION_UNMERGE_VD,MATCH(A743,DIFFERENTIATION_ID_DIFF,0)))</f>
        <v>Производство тепловой энергии. Некомбинированная выработка</v>
      </c>
      <c r="I743" s="3614"/>
      <c r="J743" s="3614"/>
      <c r="K743" s="3614"/>
      <c r="L743" s="3614"/>
      <c r="M743" s="3614"/>
      <c r="N743" s="3614"/>
      <c r="O743" s="3614"/>
      <c r="P743" s="3614"/>
      <c r="Q743" s="3614"/>
      <c r="R743" s="3614"/>
      <c r="S743" s="609"/>
      <c r="T743" s="606"/>
      <c r="U743" s="517"/>
      <c r="V743" s="517"/>
      <c r="W743" s="518"/>
      <c r="X743" s="518"/>
      <c r="Y743" s="518"/>
      <c r="Z743" s="518"/>
      <c r="AA743" s="519"/>
      <c r="AB743" s="520"/>
      <c r="AC743" s="3617"/>
      <c r="AD743" s="521"/>
      <c r="AE743" s="522" t="s">
        <v>18</v>
      </c>
      <c r="AF743" s="522"/>
      <c r="AG743" s="523" t="s">
        <v>874</v>
      </c>
      <c r="AH743" s="524">
        <v>3</v>
      </c>
      <c r="AI743" s="517"/>
      <c r="AJ743" s="517"/>
      <c r="AK743" s="517"/>
      <c r="AL743" s="517"/>
      <c r="AM743" s="517"/>
      <c r="AN743" s="517"/>
      <c r="AO743" s="517"/>
      <c r="AP743" s="517"/>
      <c r="AQ743" s="517"/>
      <c r="AR743" s="517"/>
      <c r="AS743" s="517"/>
      <c r="AT743" s="517"/>
      <c r="AU743" s="517"/>
      <c r="AV743" s="517"/>
      <c r="AW743" s="517"/>
      <c r="AX743" s="517"/>
      <c r="AY743" s="517"/>
      <c r="AZ743" s="517"/>
      <c r="BA743" s="517"/>
      <c r="BB743" s="517"/>
      <c r="BC743" s="517"/>
      <c r="BD743" s="517"/>
      <c r="BE743" s="517"/>
      <c r="BF743" s="517"/>
      <c r="BG743" s="517"/>
      <c r="BH743" s="517"/>
      <c r="BI743" s="517"/>
      <c r="BJ743" s="517"/>
      <c r="BK743" s="517"/>
      <c r="BL743" s="517"/>
      <c r="BM743" s="517"/>
      <c r="BN743" s="517"/>
      <c r="BO743" s="517"/>
      <c r="BP743" s="517"/>
      <c r="BQ743" s="517"/>
      <c r="BR743" s="517"/>
      <c r="BS743" s="517"/>
      <c r="BT743" s="517"/>
      <c r="BU743" s="517"/>
      <c r="BV743" s="518"/>
      <c r="BW743" s="518"/>
      <c r="BX743" s="518"/>
      <c r="BY743" s="518"/>
      <c r="BZ743" s="518"/>
      <c r="CA743" s="518"/>
      <c r="CB743" s="518"/>
      <c r="CC743" s="518"/>
      <c r="CD743" s="518"/>
      <c r="CE743" s="518"/>
    </row>
    <row r="744" spans="1:83" ht="15" hidden="1" customHeight="1">
      <c r="A744" s="516"/>
      <c r="B744"/>
      <c r="C744"/>
      <c r="D744" s="3622"/>
      <c r="E744" s="3618" t="s">
        <v>829</v>
      </c>
      <c r="F744" s="3619"/>
      <c r="G744" s="3620"/>
      <c r="H744" s="3614" t="str">
        <f>IF(A743="","",INDEX(DIFFERENTIATION_UNMERGE_AREA,MATCH(A743,DIFFERENTIATION_ID_DIFF,0)))</f>
        <v>Территория 1</v>
      </c>
      <c r="I744" s="3614"/>
      <c r="J744" s="3614"/>
      <c r="K744" s="3614"/>
      <c r="L744" s="3614"/>
      <c r="M744" s="3614"/>
      <c r="N744" s="3614"/>
      <c r="O744" s="3614"/>
      <c r="P744" s="3614"/>
      <c r="Q744" s="3614"/>
      <c r="R744" s="3614"/>
      <c r="S744" s="609"/>
      <c r="T744" s="606"/>
      <c r="U744" s="517"/>
      <c r="V744" s="517"/>
      <c r="W744" s="518"/>
      <c r="X744" s="518"/>
      <c r="Y744" s="518"/>
      <c r="Z744" s="518"/>
      <c r="AA744" s="519"/>
      <c r="AB744" s="520"/>
      <c r="AC744" s="3617"/>
      <c r="AD744" s="521"/>
      <c r="AE744" s="522"/>
      <c r="AF744" s="522"/>
      <c r="AG744" s="523"/>
      <c r="AH744" s="524"/>
      <c r="AI744" s="517"/>
      <c r="AJ744" s="517"/>
      <c r="AK744" s="517"/>
      <c r="AL744" s="517"/>
      <c r="AM744" s="517"/>
      <c r="AN744" s="517"/>
      <c r="AO744" s="517"/>
      <c r="AP744" s="517"/>
      <c r="AQ744" s="517"/>
      <c r="AR744" s="517"/>
      <c r="AS744" s="517"/>
      <c r="AT744" s="517"/>
      <c r="AU744" s="517"/>
      <c r="AV744" s="517"/>
      <c r="AW744" s="517"/>
      <c r="AX744" s="517"/>
      <c r="AY744" s="517"/>
      <c r="AZ744" s="517"/>
      <c r="BA744" s="517"/>
      <c r="BB744" s="517"/>
      <c r="BC744" s="517"/>
      <c r="BD744" s="517"/>
      <c r="BE744" s="517"/>
      <c r="BF744" s="517"/>
      <c r="BG744" s="517"/>
      <c r="BH744" s="517"/>
      <c r="BI744" s="517"/>
      <c r="BJ744" s="517"/>
      <c r="BK744" s="517"/>
      <c r="BL744" s="517"/>
      <c r="BM744" s="517"/>
      <c r="BN744" s="517"/>
      <c r="BO744" s="517"/>
      <c r="BP744" s="517"/>
      <c r="BQ744" s="517"/>
      <c r="BR744" s="517"/>
      <c r="BS744" s="517"/>
      <c r="BT744" s="517"/>
      <c r="BU744" s="517"/>
      <c r="BV744" s="518"/>
      <c r="BW744" s="518"/>
      <c r="BX744" s="518"/>
      <c r="BY744" s="518"/>
      <c r="BZ744" s="518"/>
      <c r="CA744" s="518"/>
      <c r="CB744" s="518"/>
      <c r="CC744" s="518"/>
      <c r="CD744" s="518"/>
      <c r="CE744" s="518"/>
    </row>
    <row r="745" spans="1:83" ht="15" hidden="1" customHeight="1">
      <c r="A745" s="516"/>
      <c r="B745"/>
      <c r="C745"/>
      <c r="D745" s="3622"/>
      <c r="E745" s="3618" t="s">
        <v>830</v>
      </c>
      <c r="F745" s="3619"/>
      <c r="G745" s="3620"/>
      <c r="H745" s="3614" t="str">
        <f>IF(A743="","",INDEX(DIFFERENTIATION_UNMERGE_SYSTEM,MATCH(A743,DIFFERENTIATION_ID_DIFF,0)))</f>
        <v>Новосильская, 7а пом.1</v>
      </c>
      <c r="I745" s="3614"/>
      <c r="J745" s="3614"/>
      <c r="K745" s="3614"/>
      <c r="L745" s="3614"/>
      <c r="M745" s="3614"/>
      <c r="N745" s="3614"/>
      <c r="O745" s="3614"/>
      <c r="P745" s="3614"/>
      <c r="Q745" s="3614"/>
      <c r="R745" s="3614"/>
      <c r="S745" s="609"/>
      <c r="T745" s="606"/>
      <c r="U745" s="517"/>
      <c r="V745" s="517"/>
      <c r="W745" s="518"/>
      <c r="X745" s="518"/>
      <c r="Y745" s="518"/>
      <c r="Z745" s="518"/>
      <c r="AA745" s="519"/>
      <c r="AB745" s="520"/>
      <c r="AC745" s="3617"/>
      <c r="AD745" s="521"/>
      <c r="AE745" s="522"/>
      <c r="AF745" s="522"/>
      <c r="AG745" s="523"/>
      <c r="AH745" s="524"/>
      <c r="AI745" s="517"/>
      <c r="AJ745" s="517"/>
      <c r="AK745" s="517"/>
      <c r="AL745" s="517"/>
      <c r="AM745" s="517"/>
      <c r="AN745" s="517"/>
      <c r="AO745" s="517"/>
      <c r="AP745" s="517"/>
      <c r="AQ745" s="517"/>
      <c r="AR745" s="517"/>
      <c r="AS745" s="517"/>
      <c r="AT745" s="517"/>
      <c r="AU745" s="517"/>
      <c r="AV745" s="517"/>
      <c r="AW745" s="517"/>
      <c r="AX745" s="517"/>
      <c r="AY745" s="517"/>
      <c r="AZ745" s="517"/>
      <c r="BA745" s="517"/>
      <c r="BB745" s="517"/>
      <c r="BC745" s="517"/>
      <c r="BD745" s="517"/>
      <c r="BE745" s="517"/>
      <c r="BF745" s="517"/>
      <c r="BG745" s="517"/>
      <c r="BH745" s="517"/>
      <c r="BI745" s="517"/>
      <c r="BJ745" s="517"/>
      <c r="BK745" s="517"/>
      <c r="BL745" s="517"/>
      <c r="BM745" s="517"/>
      <c r="BN745" s="517"/>
      <c r="BO745" s="517"/>
      <c r="BP745" s="517"/>
      <c r="BQ745" s="517"/>
      <c r="BR745" s="517"/>
      <c r="BS745" s="517"/>
      <c r="BT745" s="517"/>
      <c r="BU745" s="517"/>
      <c r="BV745" s="518"/>
      <c r="BW745" s="518"/>
      <c r="BX745" s="518"/>
      <c r="BY745" s="518"/>
      <c r="BZ745" s="518"/>
      <c r="CA745" s="518"/>
      <c r="CB745" s="518"/>
      <c r="CC745" s="518"/>
      <c r="CD745" s="518"/>
      <c r="CE745" s="518"/>
    </row>
    <row r="746" spans="1:83" ht="24.75" hidden="1" customHeight="1">
      <c r="A746" s="1649"/>
      <c r="B746" s="1023"/>
      <c r="C746" s="319"/>
      <c r="D746" s="3622"/>
      <c r="E746" s="3616" t="s">
        <v>875</v>
      </c>
      <c r="F746" s="3616"/>
      <c r="G746" s="3616"/>
      <c r="H746" s="3616"/>
      <c r="I746" s="3616"/>
      <c r="J746" s="3616"/>
      <c r="K746" s="3616"/>
      <c r="L746" s="3616"/>
      <c r="M746" s="3616"/>
      <c r="N746" s="3616"/>
      <c r="O746" s="3616"/>
      <c r="P746" s="3616"/>
      <c r="Q746" s="455">
        <f>SUMIF(T747:T748,"i",Q747:Q748)</f>
        <v>0</v>
      </c>
      <c r="R746" s="887"/>
      <c r="S746" s="1641" t="s">
        <v>876</v>
      </c>
      <c r="T746" s="607" t="s">
        <v>877</v>
      </c>
      <c r="U746" s="3532">
        <v>1</v>
      </c>
      <c r="V746" s="3532" t="s">
        <v>840</v>
      </c>
      <c r="W746" s="1023"/>
      <c r="X746" s="1023"/>
      <c r="Y746" s="1023"/>
      <c r="Z746" s="1023"/>
      <c r="AA746" s="1481"/>
      <c r="AB746" s="1023"/>
      <c r="AC746" s="3617"/>
      <c r="AD746" s="521"/>
      <c r="AE746" s="1023"/>
      <c r="AF746" s="1023"/>
      <c r="AG746" s="1481"/>
      <c r="AH746" s="1481"/>
      <c r="AI746" s="1481"/>
      <c r="AJ746" s="1481"/>
      <c r="AK746" s="1481"/>
      <c r="AL746" s="1481"/>
      <c r="AM746" s="1481"/>
      <c r="AN746" s="1481"/>
      <c r="AO746" s="1481"/>
      <c r="AP746" s="1481"/>
      <c r="AQ746" s="1481"/>
      <c r="AR746" s="1481"/>
      <c r="AS746" s="1481"/>
      <c r="AT746" s="1481"/>
      <c r="AU746" s="1481"/>
      <c r="AV746" s="1481"/>
      <c r="AW746" s="1481"/>
      <c r="AX746" s="1481"/>
      <c r="AY746" s="1481"/>
      <c r="AZ746" s="1481"/>
      <c r="BA746" s="1481"/>
      <c r="BB746" s="1481"/>
      <c r="BC746" s="1481"/>
      <c r="BD746" s="1481"/>
      <c r="BE746" s="1481"/>
      <c r="BF746" s="1481"/>
      <c r="BG746" s="1481"/>
      <c r="BH746" s="1481"/>
      <c r="BI746" s="1481"/>
      <c r="BJ746" s="1481"/>
      <c r="BK746" s="1481"/>
      <c r="BL746" s="1481"/>
      <c r="BM746" s="1481"/>
      <c r="BN746" s="1481"/>
      <c r="BO746" s="1481"/>
      <c r="BP746" s="1481"/>
      <c r="BQ746" s="1481"/>
      <c r="BR746" s="1481"/>
      <c r="BS746" s="1481"/>
      <c r="BT746" s="1481"/>
      <c r="BU746" s="1481"/>
      <c r="BV746" s="1023"/>
      <c r="BW746" s="1023"/>
      <c r="BX746" s="1023"/>
      <c r="BY746" s="1023"/>
      <c r="BZ746" s="1023"/>
      <c r="CA746" s="1023"/>
      <c r="CB746" s="1023"/>
      <c r="CC746" s="1023"/>
      <c r="CD746" s="1023"/>
      <c r="CE746" s="1023"/>
    </row>
    <row r="747" spans="1:83" ht="11.25" hidden="1" customHeight="1">
      <c r="A747" s="1636"/>
      <c r="B747" s="1481"/>
      <c r="C747" s="1481"/>
      <c r="D747" s="3622"/>
      <c r="E747" s="527"/>
      <c r="F747" s="527">
        <v>0</v>
      </c>
      <c r="G747" s="527"/>
      <c r="H747" s="527"/>
      <c r="I747" s="527"/>
      <c r="J747" s="527"/>
      <c r="K747" s="527"/>
      <c r="L747" s="527"/>
      <c r="M747" s="527"/>
      <c r="N747" s="527"/>
      <c r="O747" s="527"/>
      <c r="P747" s="527"/>
      <c r="Q747" s="527"/>
      <c r="R747" s="527"/>
      <c r="S747" s="528"/>
      <c r="T747" s="608"/>
      <c r="U747" s="3532"/>
      <c r="V747" s="3532"/>
      <c r="W747" s="1481"/>
      <c r="X747" s="1481"/>
      <c r="Y747" s="1481"/>
      <c r="Z747" s="1481"/>
      <c r="AA747" s="1481"/>
      <c r="AB747" s="1023"/>
      <c r="AC747" s="3617"/>
      <c r="AD747" s="521"/>
      <c r="AE747" s="1023"/>
      <c r="AF747" s="1023"/>
      <c r="AG747" s="1481"/>
      <c r="AH747" s="1481"/>
      <c r="AI747" s="1481"/>
      <c r="AJ747" s="1481"/>
      <c r="AK747" s="1481"/>
      <c r="AL747" s="1481"/>
      <c r="AM747" s="1481"/>
      <c r="AN747" s="1481"/>
      <c r="AO747" s="1481"/>
      <c r="AP747" s="1481"/>
      <c r="AQ747" s="1481"/>
      <c r="AR747" s="1481"/>
      <c r="AS747" s="1481"/>
      <c r="AT747" s="1481"/>
      <c r="AU747" s="1481"/>
      <c r="AV747" s="1481"/>
      <c r="AW747" s="1481"/>
      <c r="AX747" s="1481"/>
      <c r="AY747" s="1481"/>
      <c r="AZ747" s="1481"/>
      <c r="BA747" s="1481"/>
      <c r="BB747" s="1481"/>
      <c r="BC747" s="1481"/>
      <c r="BD747" s="1481"/>
      <c r="BE747" s="1481"/>
      <c r="BF747" s="1481"/>
      <c r="BG747" s="1481"/>
      <c r="BH747" s="1481"/>
      <c r="BI747" s="1481"/>
      <c r="BJ747" s="1481"/>
      <c r="BK747" s="1481"/>
      <c r="BL747" s="1481"/>
      <c r="BM747" s="1481"/>
      <c r="BN747" s="1481"/>
      <c r="BO747" s="1481"/>
      <c r="BP747" s="1481"/>
      <c r="BQ747" s="1481"/>
      <c r="BR747" s="1481"/>
      <c r="BS747" s="1481"/>
      <c r="BT747" s="1481"/>
      <c r="BU747" s="1481"/>
      <c r="BV747" s="1481"/>
      <c r="BW747" s="1481"/>
      <c r="BX747" s="1481"/>
      <c r="BY747" s="1481"/>
      <c r="BZ747" s="1481"/>
      <c r="CA747" s="1481"/>
      <c r="CB747" s="1481"/>
      <c r="CC747" s="1481"/>
      <c r="CD747" s="1481"/>
      <c r="CE747" s="1481"/>
    </row>
    <row r="748" spans="1:83" ht="11.25" hidden="1" customHeight="1">
      <c r="A748" s="1649"/>
      <c r="B748" s="1023"/>
      <c r="C748" s="319"/>
      <c r="D748" s="3622"/>
      <c r="E748" s="541" t="s">
        <v>18</v>
      </c>
      <c r="F748" s="1031" t="s">
        <v>18</v>
      </c>
      <c r="G748" s="1031" t="s">
        <v>880</v>
      </c>
      <c r="H748" s="543" t="s">
        <v>18</v>
      </c>
      <c r="I748" s="543"/>
      <c r="J748" s="543"/>
      <c r="K748" s="543"/>
      <c r="L748" s="543"/>
      <c r="M748" s="543"/>
      <c r="N748" s="543"/>
      <c r="O748" s="543"/>
      <c r="P748" s="543"/>
      <c r="Q748" s="543"/>
      <c r="R748" s="544"/>
      <c r="S748" s="545"/>
      <c r="T748" s="608"/>
      <c r="U748" s="3532"/>
      <c r="V748" s="3532"/>
      <c r="W748" s="1023"/>
      <c r="X748" s="1023"/>
      <c r="Y748" s="1023"/>
      <c r="Z748" s="1023"/>
      <c r="AA748" s="1481"/>
      <c r="AB748" s="1023"/>
      <c r="AC748" s="3617"/>
      <c r="AD748" s="521"/>
      <c r="AE748" s="1023"/>
      <c r="AF748" s="1023"/>
      <c r="AG748" s="1481"/>
      <c r="AH748" s="1481"/>
      <c r="AI748" s="1481"/>
      <c r="AJ748" s="1481"/>
      <c r="AK748" s="1481"/>
      <c r="AL748" s="1481"/>
      <c r="AM748" s="1481"/>
      <c r="AN748" s="1481"/>
      <c r="AO748" s="1481"/>
      <c r="AP748" s="1481"/>
      <c r="AQ748" s="1481"/>
      <c r="AR748" s="1481"/>
      <c r="AS748" s="1481"/>
      <c r="AT748" s="1481"/>
      <c r="AU748" s="1481"/>
      <c r="AV748" s="1481"/>
      <c r="AW748" s="1481"/>
      <c r="AX748" s="1481"/>
      <c r="AY748" s="1481"/>
      <c r="AZ748" s="1481"/>
      <c r="BA748" s="1481"/>
      <c r="BB748" s="1481"/>
      <c r="BC748" s="1481"/>
      <c r="BD748" s="1481"/>
      <c r="BE748" s="1481"/>
      <c r="BF748" s="1481"/>
      <c r="BG748" s="1481"/>
      <c r="BH748" s="1481"/>
      <c r="BI748" s="1481"/>
      <c r="BJ748" s="1481"/>
      <c r="BK748" s="1481"/>
      <c r="BL748" s="1481"/>
      <c r="BM748" s="1481"/>
      <c r="BN748" s="1481"/>
      <c r="BO748" s="1481"/>
      <c r="BP748" s="1481"/>
      <c r="BQ748" s="1481"/>
      <c r="BR748" s="1481"/>
      <c r="BS748" s="1481"/>
      <c r="BT748" s="1481"/>
      <c r="BU748" s="1481"/>
      <c r="BV748" s="1023"/>
      <c r="BW748" s="1023"/>
      <c r="BX748" s="1023"/>
      <c r="BY748" s="1023"/>
      <c r="BZ748" s="1023"/>
      <c r="CA748" s="1023"/>
      <c r="CB748" s="1023"/>
      <c r="CC748" s="1023"/>
      <c r="CD748" s="1023"/>
      <c r="CE748" s="1023"/>
    </row>
    <row r="749" spans="1:83" ht="5.25" hidden="1" customHeight="1">
      <c r="A749" s="1636"/>
      <c r="B749" s="1481"/>
      <c r="C749" s="1481"/>
      <c r="D749" s="3622"/>
      <c r="E749" s="909"/>
      <c r="F749" s="909"/>
      <c r="G749" s="909"/>
      <c r="H749" s="909"/>
      <c r="I749" s="909"/>
      <c r="J749" s="909"/>
      <c r="K749" s="909"/>
      <c r="L749" s="909"/>
      <c r="M749" s="909"/>
      <c r="N749" s="909"/>
      <c r="O749" s="909"/>
      <c r="P749" s="909"/>
      <c r="Q749" s="910"/>
      <c r="R749" s="911"/>
      <c r="S749" s="912"/>
      <c r="T749" s="607" t="s">
        <v>877</v>
      </c>
      <c r="U749" s="3532">
        <v>1</v>
      </c>
      <c r="V749" s="3532" t="s">
        <v>840</v>
      </c>
      <c r="W749" s="1481"/>
      <c r="X749" s="1481"/>
      <c r="Y749" s="1481"/>
      <c r="Z749" s="1481"/>
      <c r="AA749" s="1481"/>
      <c r="AB749" s="1481"/>
      <c r="AC749" s="907"/>
      <c r="AD749" s="908"/>
      <c r="AE749" s="1481"/>
      <c r="AF749" s="1481"/>
      <c r="AG749" s="1481"/>
      <c r="AH749" s="1481"/>
      <c r="AI749" s="1481"/>
      <c r="AJ749" s="1481"/>
      <c r="AK749" s="1481"/>
      <c r="AL749" s="1481"/>
      <c r="AM749" s="1481"/>
      <c r="AN749" s="1481"/>
      <c r="AO749" s="1481"/>
      <c r="AP749" s="1481"/>
      <c r="AQ749" s="1481"/>
      <c r="AR749" s="1481"/>
      <c r="AS749" s="1481"/>
      <c r="AT749" s="1481"/>
      <c r="AU749" s="1481"/>
      <c r="AV749" s="1481"/>
      <c r="AW749" s="1481"/>
      <c r="AX749" s="1481"/>
      <c r="AY749" s="1481"/>
      <c r="AZ749" s="1481"/>
      <c r="BA749" s="1481"/>
      <c r="BB749" s="1481"/>
      <c r="BC749" s="1481"/>
      <c r="BD749" s="1481"/>
      <c r="BE749" s="1481"/>
      <c r="BF749" s="1481"/>
      <c r="BG749" s="1481"/>
      <c r="BH749" s="1481"/>
      <c r="BI749" s="1481"/>
      <c r="BJ749" s="1481"/>
      <c r="BK749" s="1481"/>
      <c r="BL749" s="1481"/>
      <c r="BM749" s="1481"/>
      <c r="BN749" s="1481"/>
      <c r="BO749" s="1481"/>
      <c r="BP749" s="1481"/>
      <c r="BQ749" s="1481"/>
      <c r="BR749" s="1481"/>
      <c r="BS749" s="1481"/>
      <c r="BT749" s="1481"/>
      <c r="BU749" s="1481"/>
      <c r="BV749" s="1481"/>
      <c r="BW749" s="1481"/>
      <c r="BX749" s="1481"/>
      <c r="BY749" s="1481"/>
      <c r="BZ749" s="1481"/>
      <c r="CA749" s="1481"/>
      <c r="CB749" s="1481"/>
      <c r="CC749" s="1481"/>
      <c r="CD749" s="1481"/>
      <c r="CE749" s="1481"/>
    </row>
    <row r="750" spans="1:83" ht="5.25" hidden="1" customHeight="1">
      <c r="A750" s="1636"/>
      <c r="B750" s="1481"/>
      <c r="C750" s="1481"/>
      <c r="D750" s="3622"/>
      <c r="E750" s="527"/>
      <c r="F750" s="527"/>
      <c r="G750" s="527"/>
      <c r="H750" s="527"/>
      <c r="I750" s="527"/>
      <c r="J750" s="527"/>
      <c r="K750" s="527"/>
      <c r="L750" s="527"/>
      <c r="M750" s="527"/>
      <c r="N750" s="527"/>
      <c r="O750" s="527"/>
      <c r="P750" s="527"/>
      <c r="Q750" s="527"/>
      <c r="R750" s="527"/>
      <c r="S750" s="528"/>
      <c r="T750" s="608"/>
      <c r="U750" s="3532"/>
      <c r="V750" s="3532"/>
      <c r="W750" s="1481"/>
      <c r="X750" s="1481"/>
      <c r="Y750" s="1481"/>
      <c r="Z750" s="1481"/>
      <c r="AA750" s="1481"/>
      <c r="AB750" s="1481"/>
      <c r="AC750" s="907"/>
      <c r="AD750" s="908"/>
      <c r="AE750" s="1481"/>
      <c r="AF750" s="1481"/>
      <c r="AG750" s="1481"/>
      <c r="AH750" s="1481"/>
      <c r="AI750" s="1481"/>
      <c r="AJ750" s="1481"/>
      <c r="AK750" s="1481"/>
      <c r="AL750" s="1481"/>
      <c r="AM750" s="1481"/>
      <c r="AN750" s="1481"/>
      <c r="AO750" s="1481"/>
      <c r="AP750" s="1481"/>
      <c r="AQ750" s="1481"/>
      <c r="AR750" s="1481"/>
      <c r="AS750" s="1481"/>
      <c r="AT750" s="1481"/>
      <c r="AU750" s="1481"/>
      <c r="AV750" s="1481"/>
      <c r="AW750" s="1481"/>
      <c r="AX750" s="1481"/>
      <c r="AY750" s="1481"/>
      <c r="AZ750" s="1481"/>
      <c r="BA750" s="1481"/>
      <c r="BB750" s="1481"/>
      <c r="BC750" s="1481"/>
      <c r="BD750" s="1481"/>
      <c r="BE750" s="1481"/>
      <c r="BF750" s="1481"/>
      <c r="BG750" s="1481"/>
      <c r="BH750" s="1481"/>
      <c r="BI750" s="1481"/>
      <c r="BJ750" s="1481"/>
      <c r="BK750" s="1481"/>
      <c r="BL750" s="1481"/>
      <c r="BM750" s="1481"/>
      <c r="BN750" s="1481"/>
      <c r="BO750" s="1481"/>
      <c r="BP750" s="1481"/>
      <c r="BQ750" s="1481"/>
      <c r="BR750" s="1481"/>
      <c r="BS750" s="1481"/>
      <c r="BT750" s="1481"/>
      <c r="BU750" s="1481"/>
      <c r="BV750" s="1481"/>
      <c r="BW750" s="1481"/>
      <c r="BX750" s="1481"/>
      <c r="BY750" s="1481"/>
      <c r="BZ750" s="1481"/>
      <c r="CA750" s="1481"/>
      <c r="CB750" s="1481"/>
      <c r="CC750" s="1481"/>
      <c r="CD750" s="1481"/>
      <c r="CE750" s="1481"/>
    </row>
    <row r="751" spans="1:83" ht="5.25" hidden="1" customHeight="1">
      <c r="A751" s="1636"/>
      <c r="B751" s="1481"/>
      <c r="C751" s="1481"/>
      <c r="D751" s="3623"/>
      <c r="E751" s="913"/>
      <c r="F751" s="914"/>
      <c r="G751" s="914"/>
      <c r="H751" s="915"/>
      <c r="I751" s="915"/>
      <c r="J751" s="915"/>
      <c r="K751" s="915"/>
      <c r="L751" s="915"/>
      <c r="M751" s="915"/>
      <c r="N751" s="915"/>
      <c r="O751" s="915"/>
      <c r="P751" s="915"/>
      <c r="Q751" s="915"/>
      <c r="R751" s="818"/>
      <c r="S751" s="916"/>
      <c r="T751" s="608"/>
      <c r="U751" s="3532"/>
      <c r="V751" s="3532"/>
      <c r="W751" s="1481"/>
      <c r="X751" s="1481"/>
      <c r="Y751" s="1481"/>
      <c r="Z751" s="1481"/>
      <c r="AA751" s="1481"/>
      <c r="AB751" s="1481"/>
      <c r="AC751" s="907"/>
      <c r="AD751" s="908"/>
      <c r="AE751" s="1481"/>
      <c r="AF751" s="1481"/>
      <c r="AG751" s="1481"/>
      <c r="AH751" s="1481"/>
      <c r="AI751" s="1481"/>
      <c r="AJ751" s="1481"/>
      <c r="AK751" s="1481"/>
      <c r="AL751" s="1481"/>
      <c r="AM751" s="1481"/>
      <c r="AN751" s="1481"/>
      <c r="AO751" s="1481"/>
      <c r="AP751" s="1481"/>
      <c r="AQ751" s="1481"/>
      <c r="AR751" s="1481"/>
      <c r="AS751" s="1481"/>
      <c r="AT751" s="1481"/>
      <c r="AU751" s="1481"/>
      <c r="AV751" s="1481"/>
      <c r="AW751" s="1481"/>
      <c r="AX751" s="1481"/>
      <c r="AY751" s="1481"/>
      <c r="AZ751" s="1481"/>
      <c r="BA751" s="1481"/>
      <c r="BB751" s="1481"/>
      <c r="BC751" s="1481"/>
      <c r="BD751" s="1481"/>
      <c r="BE751" s="1481"/>
      <c r="BF751" s="1481"/>
      <c r="BG751" s="1481"/>
      <c r="BH751" s="1481"/>
      <c r="BI751" s="1481"/>
      <c r="BJ751" s="1481"/>
      <c r="BK751" s="1481"/>
      <c r="BL751" s="1481"/>
      <c r="BM751" s="1481"/>
      <c r="BN751" s="1481"/>
      <c r="BO751" s="1481"/>
      <c r="BP751" s="1481"/>
      <c r="BQ751" s="1481"/>
      <c r="BR751" s="1481"/>
      <c r="BS751" s="1481"/>
      <c r="BT751" s="1481"/>
      <c r="BU751" s="1481"/>
      <c r="BV751" s="1481"/>
      <c r="BW751" s="1481"/>
      <c r="BX751" s="1481"/>
      <c r="BY751" s="1481"/>
      <c r="BZ751" s="1481"/>
      <c r="CA751" s="1481"/>
      <c r="CB751" s="1481"/>
      <c r="CC751" s="1481"/>
      <c r="CD751" s="1481"/>
      <c r="CE751" s="1481"/>
    </row>
    <row r="752" spans="1:83" ht="15" hidden="1" customHeight="1">
      <c r="A752" s="516" t="s">
        <v>356</v>
      </c>
      <c r="B752"/>
      <c r="C752" t="s">
        <v>18</v>
      </c>
      <c r="D752" s="3621" t="s">
        <v>961</v>
      </c>
      <c r="E752" s="3618" t="s">
        <v>102</v>
      </c>
      <c r="F752" s="3619"/>
      <c r="G752" s="3620"/>
      <c r="H752" s="3614" t="str">
        <f>IF(A752="","",INDEX(DIFFERENTIATION_UNMERGE_VD,MATCH(A752,DIFFERENTIATION_ID_DIFF,0)))</f>
        <v>Производство тепловой энергии. Некомбинированная выработка</v>
      </c>
      <c r="I752" s="3614"/>
      <c r="J752" s="3614"/>
      <c r="K752" s="3614"/>
      <c r="L752" s="3614"/>
      <c r="M752" s="3614"/>
      <c r="N752" s="3614"/>
      <c r="O752" s="3614"/>
      <c r="P752" s="3614"/>
      <c r="Q752" s="3614"/>
      <c r="R752" s="3614"/>
      <c r="S752" s="609"/>
      <c r="T752" s="606"/>
      <c r="U752" s="517"/>
      <c r="V752" s="517"/>
      <c r="W752" s="518"/>
      <c r="X752" s="518"/>
      <c r="Y752" s="518"/>
      <c r="Z752" s="518"/>
      <c r="AA752" s="519"/>
      <c r="AB752" s="520"/>
      <c r="AC752" s="3617"/>
      <c r="AD752" s="521"/>
      <c r="AE752" s="522" t="s">
        <v>18</v>
      </c>
      <c r="AF752" s="522"/>
      <c r="AG752" s="523" t="s">
        <v>874</v>
      </c>
      <c r="AH752" s="524">
        <v>3</v>
      </c>
      <c r="AI752" s="517"/>
      <c r="AJ752" s="517"/>
      <c r="AK752" s="517"/>
      <c r="AL752" s="517"/>
      <c r="AM752" s="517"/>
      <c r="AN752" s="517"/>
      <c r="AO752" s="517"/>
      <c r="AP752" s="517"/>
      <c r="AQ752" s="517"/>
      <c r="AR752" s="517"/>
      <c r="AS752" s="517"/>
      <c r="AT752" s="517"/>
      <c r="AU752" s="517"/>
      <c r="AV752" s="517"/>
      <c r="AW752" s="517"/>
      <c r="AX752" s="517"/>
      <c r="AY752" s="517"/>
      <c r="AZ752" s="517"/>
      <c r="BA752" s="517"/>
      <c r="BB752" s="517"/>
      <c r="BC752" s="517"/>
      <c r="BD752" s="517"/>
      <c r="BE752" s="517"/>
      <c r="BF752" s="517"/>
      <c r="BG752" s="517"/>
      <c r="BH752" s="517"/>
      <c r="BI752" s="517"/>
      <c r="BJ752" s="517"/>
      <c r="BK752" s="517"/>
      <c r="BL752" s="517"/>
      <c r="BM752" s="517"/>
      <c r="BN752" s="517"/>
      <c r="BO752" s="517"/>
      <c r="BP752" s="517"/>
      <c r="BQ752" s="517"/>
      <c r="BR752" s="517"/>
      <c r="BS752" s="517"/>
      <c r="BT752" s="517"/>
      <c r="BU752" s="517"/>
      <c r="BV752" s="518"/>
      <c r="BW752" s="518"/>
      <c r="BX752" s="518"/>
      <c r="BY752" s="518"/>
      <c r="BZ752" s="518"/>
      <c r="CA752" s="518"/>
      <c r="CB752" s="518"/>
      <c r="CC752" s="518"/>
      <c r="CD752" s="518"/>
      <c r="CE752" s="518"/>
    </row>
    <row r="753" spans="1:83" ht="15" hidden="1" customHeight="1">
      <c r="A753" s="516"/>
      <c r="B753"/>
      <c r="C753"/>
      <c r="D753" s="3622"/>
      <c r="E753" s="3618" t="s">
        <v>829</v>
      </c>
      <c r="F753" s="3619"/>
      <c r="G753" s="3620"/>
      <c r="H753" s="3614" t="str">
        <f>IF(A752="","",INDEX(DIFFERENTIATION_UNMERGE_AREA,MATCH(A752,DIFFERENTIATION_ID_DIFF,0)))</f>
        <v>Территория 1</v>
      </c>
      <c r="I753" s="3614"/>
      <c r="J753" s="3614"/>
      <c r="K753" s="3614"/>
      <c r="L753" s="3614"/>
      <c r="M753" s="3614"/>
      <c r="N753" s="3614"/>
      <c r="O753" s="3614"/>
      <c r="P753" s="3614"/>
      <c r="Q753" s="3614"/>
      <c r="R753" s="3614"/>
      <c r="S753" s="609"/>
      <c r="T753" s="606"/>
      <c r="U753" s="517"/>
      <c r="V753" s="517"/>
      <c r="W753" s="518"/>
      <c r="X753" s="518"/>
      <c r="Y753" s="518"/>
      <c r="Z753" s="518"/>
      <c r="AA753" s="519"/>
      <c r="AB753" s="520"/>
      <c r="AC753" s="3617"/>
      <c r="AD753" s="521"/>
      <c r="AE753" s="522"/>
      <c r="AF753" s="522"/>
      <c r="AG753" s="523"/>
      <c r="AH753" s="524"/>
      <c r="AI753" s="517"/>
      <c r="AJ753" s="517"/>
      <c r="AK753" s="517"/>
      <c r="AL753" s="517"/>
      <c r="AM753" s="517"/>
      <c r="AN753" s="517"/>
      <c r="AO753" s="517"/>
      <c r="AP753" s="517"/>
      <c r="AQ753" s="517"/>
      <c r="AR753" s="517"/>
      <c r="AS753" s="517"/>
      <c r="AT753" s="517"/>
      <c r="AU753" s="517"/>
      <c r="AV753" s="517"/>
      <c r="AW753" s="517"/>
      <c r="AX753" s="517"/>
      <c r="AY753" s="517"/>
      <c r="AZ753" s="517"/>
      <c r="BA753" s="517"/>
      <c r="BB753" s="517"/>
      <c r="BC753" s="517"/>
      <c r="BD753" s="517"/>
      <c r="BE753" s="517"/>
      <c r="BF753" s="517"/>
      <c r="BG753" s="517"/>
      <c r="BH753" s="517"/>
      <c r="BI753" s="517"/>
      <c r="BJ753" s="517"/>
      <c r="BK753" s="517"/>
      <c r="BL753" s="517"/>
      <c r="BM753" s="517"/>
      <c r="BN753" s="517"/>
      <c r="BO753" s="517"/>
      <c r="BP753" s="517"/>
      <c r="BQ753" s="517"/>
      <c r="BR753" s="517"/>
      <c r="BS753" s="517"/>
      <c r="BT753" s="517"/>
      <c r="BU753" s="517"/>
      <c r="BV753" s="518"/>
      <c r="BW753" s="518"/>
      <c r="BX753" s="518"/>
      <c r="BY753" s="518"/>
      <c r="BZ753" s="518"/>
      <c r="CA753" s="518"/>
      <c r="CB753" s="518"/>
      <c r="CC753" s="518"/>
      <c r="CD753" s="518"/>
      <c r="CE753" s="518"/>
    </row>
    <row r="754" spans="1:83" ht="15" hidden="1" customHeight="1">
      <c r="A754" s="516"/>
      <c r="B754"/>
      <c r="C754"/>
      <c r="D754" s="3622"/>
      <c r="E754" s="3618" t="s">
        <v>830</v>
      </c>
      <c r="F754" s="3619"/>
      <c r="G754" s="3620"/>
      <c r="H754" s="3614" t="str">
        <f>IF(A752="","",INDEX(DIFFERENTIATION_UNMERGE_SYSTEM,MATCH(A752,DIFFERENTIATION_ID_DIFF,0)))</f>
        <v>Новосильская, 7а пом.2</v>
      </c>
      <c r="I754" s="3614"/>
      <c r="J754" s="3614"/>
      <c r="K754" s="3614"/>
      <c r="L754" s="3614"/>
      <c r="M754" s="3614"/>
      <c r="N754" s="3614"/>
      <c r="O754" s="3614"/>
      <c r="P754" s="3614"/>
      <c r="Q754" s="3614"/>
      <c r="R754" s="3614"/>
      <c r="S754" s="609"/>
      <c r="T754" s="606"/>
      <c r="U754" s="517"/>
      <c r="V754" s="517"/>
      <c r="W754" s="518"/>
      <c r="X754" s="518"/>
      <c r="Y754" s="518"/>
      <c r="Z754" s="518"/>
      <c r="AA754" s="519"/>
      <c r="AB754" s="520"/>
      <c r="AC754" s="3617"/>
      <c r="AD754" s="521"/>
      <c r="AE754" s="522"/>
      <c r="AF754" s="522"/>
      <c r="AG754" s="523"/>
      <c r="AH754" s="524"/>
      <c r="AI754" s="517"/>
      <c r="AJ754" s="517"/>
      <c r="AK754" s="517"/>
      <c r="AL754" s="517"/>
      <c r="AM754" s="517"/>
      <c r="AN754" s="517"/>
      <c r="AO754" s="517"/>
      <c r="AP754" s="517"/>
      <c r="AQ754" s="517"/>
      <c r="AR754" s="517"/>
      <c r="AS754" s="517"/>
      <c r="AT754" s="517"/>
      <c r="AU754" s="517"/>
      <c r="AV754" s="517"/>
      <c r="AW754" s="517"/>
      <c r="AX754" s="517"/>
      <c r="AY754" s="517"/>
      <c r="AZ754" s="517"/>
      <c r="BA754" s="517"/>
      <c r="BB754" s="517"/>
      <c r="BC754" s="517"/>
      <c r="BD754" s="517"/>
      <c r="BE754" s="517"/>
      <c r="BF754" s="517"/>
      <c r="BG754" s="517"/>
      <c r="BH754" s="517"/>
      <c r="BI754" s="517"/>
      <c r="BJ754" s="517"/>
      <c r="BK754" s="517"/>
      <c r="BL754" s="517"/>
      <c r="BM754" s="517"/>
      <c r="BN754" s="517"/>
      <c r="BO754" s="517"/>
      <c r="BP754" s="517"/>
      <c r="BQ754" s="517"/>
      <c r="BR754" s="517"/>
      <c r="BS754" s="517"/>
      <c r="BT754" s="517"/>
      <c r="BU754" s="517"/>
      <c r="BV754" s="518"/>
      <c r="BW754" s="518"/>
      <c r="BX754" s="518"/>
      <c r="BY754" s="518"/>
      <c r="BZ754" s="518"/>
      <c r="CA754" s="518"/>
      <c r="CB754" s="518"/>
      <c r="CC754" s="518"/>
      <c r="CD754" s="518"/>
      <c r="CE754" s="518"/>
    </row>
    <row r="755" spans="1:83" ht="24.75" hidden="1" customHeight="1">
      <c r="A755" s="1649"/>
      <c r="B755" s="1023"/>
      <c r="C755" s="319"/>
      <c r="D755" s="3622"/>
      <c r="E755" s="3616" t="s">
        <v>875</v>
      </c>
      <c r="F755" s="3616"/>
      <c r="G755" s="3616"/>
      <c r="H755" s="3616"/>
      <c r="I755" s="3616"/>
      <c r="J755" s="3616"/>
      <c r="K755" s="3616"/>
      <c r="L755" s="3616"/>
      <c r="M755" s="3616"/>
      <c r="N755" s="3616"/>
      <c r="O755" s="3616"/>
      <c r="P755" s="3616"/>
      <c r="Q755" s="455">
        <f>SUMIF(T756:T757,"i",Q756:Q757)</f>
        <v>0</v>
      </c>
      <c r="R755" s="887"/>
      <c r="S755" s="1641" t="s">
        <v>876</v>
      </c>
      <c r="T755" s="607" t="s">
        <v>877</v>
      </c>
      <c r="U755" s="3532">
        <v>1</v>
      </c>
      <c r="V755" s="3532" t="s">
        <v>840</v>
      </c>
      <c r="W755" s="1023"/>
      <c r="X755" s="1023"/>
      <c r="Y755" s="1023"/>
      <c r="Z755" s="1023"/>
      <c r="AA755" s="1481"/>
      <c r="AB755" s="1023"/>
      <c r="AC755" s="3617"/>
      <c r="AD755" s="521"/>
      <c r="AE755" s="1023"/>
      <c r="AF755" s="1023"/>
      <c r="AG755" s="1481"/>
      <c r="AH755" s="1481"/>
      <c r="AI755" s="1481"/>
      <c r="AJ755" s="1481"/>
      <c r="AK755" s="1481"/>
      <c r="AL755" s="1481"/>
      <c r="AM755" s="1481"/>
      <c r="AN755" s="1481"/>
      <c r="AO755" s="1481"/>
      <c r="AP755" s="1481"/>
      <c r="AQ755" s="1481"/>
      <c r="AR755" s="1481"/>
      <c r="AS755" s="1481"/>
      <c r="AT755" s="1481"/>
      <c r="AU755" s="1481"/>
      <c r="AV755" s="1481"/>
      <c r="AW755" s="1481"/>
      <c r="AX755" s="1481"/>
      <c r="AY755" s="1481"/>
      <c r="AZ755" s="1481"/>
      <c r="BA755" s="1481"/>
      <c r="BB755" s="1481"/>
      <c r="BC755" s="1481"/>
      <c r="BD755" s="1481"/>
      <c r="BE755" s="1481"/>
      <c r="BF755" s="1481"/>
      <c r="BG755" s="1481"/>
      <c r="BH755" s="1481"/>
      <c r="BI755" s="1481"/>
      <c r="BJ755" s="1481"/>
      <c r="BK755" s="1481"/>
      <c r="BL755" s="1481"/>
      <c r="BM755" s="1481"/>
      <c r="BN755" s="1481"/>
      <c r="BO755" s="1481"/>
      <c r="BP755" s="1481"/>
      <c r="BQ755" s="1481"/>
      <c r="BR755" s="1481"/>
      <c r="BS755" s="1481"/>
      <c r="BT755" s="1481"/>
      <c r="BU755" s="1481"/>
      <c r="BV755" s="1023"/>
      <c r="BW755" s="1023"/>
      <c r="BX755" s="1023"/>
      <c r="BY755" s="1023"/>
      <c r="BZ755" s="1023"/>
      <c r="CA755" s="1023"/>
      <c r="CB755" s="1023"/>
      <c r="CC755" s="1023"/>
      <c r="CD755" s="1023"/>
      <c r="CE755" s="1023"/>
    </row>
    <row r="756" spans="1:83" ht="11.25" hidden="1" customHeight="1">
      <c r="A756" s="1636"/>
      <c r="B756" s="1481"/>
      <c r="C756" s="1481"/>
      <c r="D756" s="3622"/>
      <c r="E756" s="527"/>
      <c r="F756" s="527">
        <v>0</v>
      </c>
      <c r="G756" s="527"/>
      <c r="H756" s="527"/>
      <c r="I756" s="527"/>
      <c r="J756" s="527"/>
      <c r="K756" s="527"/>
      <c r="L756" s="527"/>
      <c r="M756" s="527"/>
      <c r="N756" s="527"/>
      <c r="O756" s="527"/>
      <c r="P756" s="527"/>
      <c r="Q756" s="527"/>
      <c r="R756" s="527"/>
      <c r="S756" s="528"/>
      <c r="T756" s="608"/>
      <c r="U756" s="3532"/>
      <c r="V756" s="3532"/>
      <c r="W756" s="1481"/>
      <c r="X756" s="1481"/>
      <c r="Y756" s="1481"/>
      <c r="Z756" s="1481"/>
      <c r="AA756" s="1481"/>
      <c r="AB756" s="1023"/>
      <c r="AC756" s="3617"/>
      <c r="AD756" s="521"/>
      <c r="AE756" s="1023"/>
      <c r="AF756" s="1023"/>
      <c r="AG756" s="1481"/>
      <c r="AH756" s="1481"/>
      <c r="AI756" s="1481"/>
      <c r="AJ756" s="1481"/>
      <c r="AK756" s="1481"/>
      <c r="AL756" s="1481"/>
      <c r="AM756" s="1481"/>
      <c r="AN756" s="1481"/>
      <c r="AO756" s="1481"/>
      <c r="AP756" s="1481"/>
      <c r="AQ756" s="1481"/>
      <c r="AR756" s="1481"/>
      <c r="AS756" s="1481"/>
      <c r="AT756" s="1481"/>
      <c r="AU756" s="1481"/>
      <c r="AV756" s="1481"/>
      <c r="AW756" s="1481"/>
      <c r="AX756" s="1481"/>
      <c r="AY756" s="1481"/>
      <c r="AZ756" s="1481"/>
      <c r="BA756" s="1481"/>
      <c r="BB756" s="1481"/>
      <c r="BC756" s="1481"/>
      <c r="BD756" s="1481"/>
      <c r="BE756" s="1481"/>
      <c r="BF756" s="1481"/>
      <c r="BG756" s="1481"/>
      <c r="BH756" s="1481"/>
      <c r="BI756" s="1481"/>
      <c r="BJ756" s="1481"/>
      <c r="BK756" s="1481"/>
      <c r="BL756" s="1481"/>
      <c r="BM756" s="1481"/>
      <c r="BN756" s="1481"/>
      <c r="BO756" s="1481"/>
      <c r="BP756" s="1481"/>
      <c r="BQ756" s="1481"/>
      <c r="BR756" s="1481"/>
      <c r="BS756" s="1481"/>
      <c r="BT756" s="1481"/>
      <c r="BU756" s="1481"/>
      <c r="BV756" s="1481"/>
      <c r="BW756" s="1481"/>
      <c r="BX756" s="1481"/>
      <c r="BY756" s="1481"/>
      <c r="BZ756" s="1481"/>
      <c r="CA756" s="1481"/>
      <c r="CB756" s="1481"/>
      <c r="CC756" s="1481"/>
      <c r="CD756" s="1481"/>
      <c r="CE756" s="1481"/>
    </row>
    <row r="757" spans="1:83" ht="11.25" hidden="1" customHeight="1">
      <c r="A757" s="1649"/>
      <c r="B757" s="1023"/>
      <c r="C757" s="319"/>
      <c r="D757" s="3622"/>
      <c r="E757" s="541" t="s">
        <v>18</v>
      </c>
      <c r="F757" s="1031" t="s">
        <v>18</v>
      </c>
      <c r="G757" s="1031" t="s">
        <v>880</v>
      </c>
      <c r="H757" s="543" t="s">
        <v>18</v>
      </c>
      <c r="I757" s="543"/>
      <c r="J757" s="543"/>
      <c r="K757" s="543"/>
      <c r="L757" s="543"/>
      <c r="M757" s="543"/>
      <c r="N757" s="543"/>
      <c r="O757" s="543"/>
      <c r="P757" s="543"/>
      <c r="Q757" s="543"/>
      <c r="R757" s="544"/>
      <c r="S757" s="545"/>
      <c r="T757" s="608"/>
      <c r="U757" s="3532"/>
      <c r="V757" s="3532"/>
      <c r="W757" s="1023"/>
      <c r="X757" s="1023"/>
      <c r="Y757" s="1023"/>
      <c r="Z757" s="1023"/>
      <c r="AA757" s="1481"/>
      <c r="AB757" s="1023"/>
      <c r="AC757" s="3617"/>
      <c r="AD757" s="521"/>
      <c r="AE757" s="1023"/>
      <c r="AF757" s="1023"/>
      <c r="AG757" s="1481"/>
      <c r="AH757" s="1481"/>
      <c r="AI757" s="1481"/>
      <c r="AJ757" s="1481"/>
      <c r="AK757" s="1481"/>
      <c r="AL757" s="1481"/>
      <c r="AM757" s="1481"/>
      <c r="AN757" s="1481"/>
      <c r="AO757" s="1481"/>
      <c r="AP757" s="1481"/>
      <c r="AQ757" s="1481"/>
      <c r="AR757" s="1481"/>
      <c r="AS757" s="1481"/>
      <c r="AT757" s="1481"/>
      <c r="AU757" s="1481"/>
      <c r="AV757" s="1481"/>
      <c r="AW757" s="1481"/>
      <c r="AX757" s="1481"/>
      <c r="AY757" s="1481"/>
      <c r="AZ757" s="1481"/>
      <c r="BA757" s="1481"/>
      <c r="BB757" s="1481"/>
      <c r="BC757" s="1481"/>
      <c r="BD757" s="1481"/>
      <c r="BE757" s="1481"/>
      <c r="BF757" s="1481"/>
      <c r="BG757" s="1481"/>
      <c r="BH757" s="1481"/>
      <c r="BI757" s="1481"/>
      <c r="BJ757" s="1481"/>
      <c r="BK757" s="1481"/>
      <c r="BL757" s="1481"/>
      <c r="BM757" s="1481"/>
      <c r="BN757" s="1481"/>
      <c r="BO757" s="1481"/>
      <c r="BP757" s="1481"/>
      <c r="BQ757" s="1481"/>
      <c r="BR757" s="1481"/>
      <c r="BS757" s="1481"/>
      <c r="BT757" s="1481"/>
      <c r="BU757" s="1481"/>
      <c r="BV757" s="1023"/>
      <c r="BW757" s="1023"/>
      <c r="BX757" s="1023"/>
      <c r="BY757" s="1023"/>
      <c r="BZ757" s="1023"/>
      <c r="CA757" s="1023"/>
      <c r="CB757" s="1023"/>
      <c r="CC757" s="1023"/>
      <c r="CD757" s="1023"/>
      <c r="CE757" s="1023"/>
    </row>
    <row r="758" spans="1:83" ht="5.25" hidden="1" customHeight="1">
      <c r="A758" s="1636"/>
      <c r="B758" s="1481"/>
      <c r="C758" s="1481"/>
      <c r="D758" s="3622"/>
      <c r="E758" s="909"/>
      <c r="F758" s="909"/>
      <c r="G758" s="909"/>
      <c r="H758" s="909"/>
      <c r="I758" s="909"/>
      <c r="J758" s="909"/>
      <c r="K758" s="909"/>
      <c r="L758" s="909"/>
      <c r="M758" s="909"/>
      <c r="N758" s="909"/>
      <c r="O758" s="909"/>
      <c r="P758" s="909"/>
      <c r="Q758" s="910"/>
      <c r="R758" s="911"/>
      <c r="S758" s="912"/>
      <c r="T758" s="607" t="s">
        <v>877</v>
      </c>
      <c r="U758" s="3532">
        <v>1</v>
      </c>
      <c r="V758" s="3532" t="s">
        <v>840</v>
      </c>
      <c r="W758" s="1481"/>
      <c r="X758" s="1481"/>
      <c r="Y758" s="1481"/>
      <c r="Z758" s="1481"/>
      <c r="AA758" s="1481"/>
      <c r="AB758" s="1481"/>
      <c r="AC758" s="907"/>
      <c r="AD758" s="908"/>
      <c r="AE758" s="1481"/>
      <c r="AF758" s="1481"/>
      <c r="AG758" s="1481"/>
      <c r="AH758" s="1481"/>
      <c r="AI758" s="1481"/>
      <c r="AJ758" s="1481"/>
      <c r="AK758" s="1481"/>
      <c r="AL758" s="1481"/>
      <c r="AM758" s="1481"/>
      <c r="AN758" s="1481"/>
      <c r="AO758" s="1481"/>
      <c r="AP758" s="1481"/>
      <c r="AQ758" s="1481"/>
      <c r="AR758" s="1481"/>
      <c r="AS758" s="1481"/>
      <c r="AT758" s="1481"/>
      <c r="AU758" s="1481"/>
      <c r="AV758" s="1481"/>
      <c r="AW758" s="1481"/>
      <c r="AX758" s="1481"/>
      <c r="AY758" s="1481"/>
      <c r="AZ758" s="1481"/>
      <c r="BA758" s="1481"/>
      <c r="BB758" s="1481"/>
      <c r="BC758" s="1481"/>
      <c r="BD758" s="1481"/>
      <c r="BE758" s="1481"/>
      <c r="BF758" s="1481"/>
      <c r="BG758" s="1481"/>
      <c r="BH758" s="1481"/>
      <c r="BI758" s="1481"/>
      <c r="BJ758" s="1481"/>
      <c r="BK758" s="1481"/>
      <c r="BL758" s="1481"/>
      <c r="BM758" s="1481"/>
      <c r="BN758" s="1481"/>
      <c r="BO758" s="1481"/>
      <c r="BP758" s="1481"/>
      <c r="BQ758" s="1481"/>
      <c r="BR758" s="1481"/>
      <c r="BS758" s="1481"/>
      <c r="BT758" s="1481"/>
      <c r="BU758" s="1481"/>
      <c r="BV758" s="1481"/>
      <c r="BW758" s="1481"/>
      <c r="BX758" s="1481"/>
      <c r="BY758" s="1481"/>
      <c r="BZ758" s="1481"/>
      <c r="CA758" s="1481"/>
      <c r="CB758" s="1481"/>
      <c r="CC758" s="1481"/>
      <c r="CD758" s="1481"/>
      <c r="CE758" s="1481"/>
    </row>
    <row r="759" spans="1:83" ht="5.25" hidden="1" customHeight="1">
      <c r="A759" s="1636"/>
      <c r="B759" s="1481"/>
      <c r="C759" s="1481"/>
      <c r="D759" s="3622"/>
      <c r="E759" s="527"/>
      <c r="F759" s="527"/>
      <c r="G759" s="527"/>
      <c r="H759" s="527"/>
      <c r="I759" s="527"/>
      <c r="J759" s="527"/>
      <c r="K759" s="527"/>
      <c r="L759" s="527"/>
      <c r="M759" s="527"/>
      <c r="N759" s="527"/>
      <c r="O759" s="527"/>
      <c r="P759" s="527"/>
      <c r="Q759" s="527"/>
      <c r="R759" s="527"/>
      <c r="S759" s="528"/>
      <c r="T759" s="608"/>
      <c r="U759" s="3532"/>
      <c r="V759" s="3532"/>
      <c r="W759" s="1481"/>
      <c r="X759" s="1481"/>
      <c r="Y759" s="1481"/>
      <c r="Z759" s="1481"/>
      <c r="AA759" s="1481"/>
      <c r="AB759" s="1481"/>
      <c r="AC759" s="907"/>
      <c r="AD759" s="908"/>
      <c r="AE759" s="1481"/>
      <c r="AF759" s="1481"/>
      <c r="AG759" s="1481"/>
      <c r="AH759" s="1481"/>
      <c r="AI759" s="1481"/>
      <c r="AJ759" s="1481"/>
      <c r="AK759" s="1481"/>
      <c r="AL759" s="1481"/>
      <c r="AM759" s="1481"/>
      <c r="AN759" s="1481"/>
      <c r="AO759" s="1481"/>
      <c r="AP759" s="1481"/>
      <c r="AQ759" s="1481"/>
      <c r="AR759" s="1481"/>
      <c r="AS759" s="1481"/>
      <c r="AT759" s="1481"/>
      <c r="AU759" s="1481"/>
      <c r="AV759" s="1481"/>
      <c r="AW759" s="1481"/>
      <c r="AX759" s="1481"/>
      <c r="AY759" s="1481"/>
      <c r="AZ759" s="1481"/>
      <c r="BA759" s="1481"/>
      <c r="BB759" s="1481"/>
      <c r="BC759" s="1481"/>
      <c r="BD759" s="1481"/>
      <c r="BE759" s="1481"/>
      <c r="BF759" s="1481"/>
      <c r="BG759" s="1481"/>
      <c r="BH759" s="1481"/>
      <c r="BI759" s="1481"/>
      <c r="BJ759" s="1481"/>
      <c r="BK759" s="1481"/>
      <c r="BL759" s="1481"/>
      <c r="BM759" s="1481"/>
      <c r="BN759" s="1481"/>
      <c r="BO759" s="1481"/>
      <c r="BP759" s="1481"/>
      <c r="BQ759" s="1481"/>
      <c r="BR759" s="1481"/>
      <c r="BS759" s="1481"/>
      <c r="BT759" s="1481"/>
      <c r="BU759" s="1481"/>
      <c r="BV759" s="1481"/>
      <c r="BW759" s="1481"/>
      <c r="BX759" s="1481"/>
      <c r="BY759" s="1481"/>
      <c r="BZ759" s="1481"/>
      <c r="CA759" s="1481"/>
      <c r="CB759" s="1481"/>
      <c r="CC759" s="1481"/>
      <c r="CD759" s="1481"/>
      <c r="CE759" s="1481"/>
    </row>
    <row r="760" spans="1:83" ht="5.25" hidden="1" customHeight="1">
      <c r="A760" s="1636"/>
      <c r="B760" s="1481"/>
      <c r="C760" s="1481"/>
      <c r="D760" s="3623"/>
      <c r="E760" s="913"/>
      <c r="F760" s="914"/>
      <c r="G760" s="914"/>
      <c r="H760" s="915"/>
      <c r="I760" s="915"/>
      <c r="J760" s="915"/>
      <c r="K760" s="915"/>
      <c r="L760" s="915"/>
      <c r="M760" s="915"/>
      <c r="N760" s="915"/>
      <c r="O760" s="915"/>
      <c r="P760" s="915"/>
      <c r="Q760" s="915"/>
      <c r="R760" s="818"/>
      <c r="S760" s="916"/>
      <c r="T760" s="608"/>
      <c r="U760" s="3532"/>
      <c r="V760" s="3532"/>
      <c r="W760" s="1481"/>
      <c r="X760" s="1481"/>
      <c r="Y760" s="1481"/>
      <c r="Z760" s="1481"/>
      <c r="AA760" s="1481"/>
      <c r="AB760" s="1481"/>
      <c r="AC760" s="907"/>
      <c r="AD760" s="908"/>
      <c r="AE760" s="1481"/>
      <c r="AF760" s="1481"/>
      <c r="AG760" s="1481"/>
      <c r="AH760" s="1481"/>
      <c r="AI760" s="1481"/>
      <c r="AJ760" s="1481"/>
      <c r="AK760" s="1481"/>
      <c r="AL760" s="1481"/>
      <c r="AM760" s="1481"/>
      <c r="AN760" s="1481"/>
      <c r="AO760" s="1481"/>
      <c r="AP760" s="1481"/>
      <c r="AQ760" s="1481"/>
      <c r="AR760" s="1481"/>
      <c r="AS760" s="1481"/>
      <c r="AT760" s="1481"/>
      <c r="AU760" s="1481"/>
      <c r="AV760" s="1481"/>
      <c r="AW760" s="1481"/>
      <c r="AX760" s="1481"/>
      <c r="AY760" s="1481"/>
      <c r="AZ760" s="1481"/>
      <c r="BA760" s="1481"/>
      <c r="BB760" s="1481"/>
      <c r="BC760" s="1481"/>
      <c r="BD760" s="1481"/>
      <c r="BE760" s="1481"/>
      <c r="BF760" s="1481"/>
      <c r="BG760" s="1481"/>
      <c r="BH760" s="1481"/>
      <c r="BI760" s="1481"/>
      <c r="BJ760" s="1481"/>
      <c r="BK760" s="1481"/>
      <c r="BL760" s="1481"/>
      <c r="BM760" s="1481"/>
      <c r="BN760" s="1481"/>
      <c r="BO760" s="1481"/>
      <c r="BP760" s="1481"/>
      <c r="BQ760" s="1481"/>
      <c r="BR760" s="1481"/>
      <c r="BS760" s="1481"/>
      <c r="BT760" s="1481"/>
      <c r="BU760" s="1481"/>
      <c r="BV760" s="1481"/>
      <c r="BW760" s="1481"/>
      <c r="BX760" s="1481"/>
      <c r="BY760" s="1481"/>
      <c r="BZ760" s="1481"/>
      <c r="CA760" s="1481"/>
      <c r="CB760" s="1481"/>
      <c r="CC760" s="1481"/>
      <c r="CD760" s="1481"/>
      <c r="CE760" s="1481"/>
    </row>
    <row r="761" spans="1:83" ht="15" hidden="1" customHeight="1">
      <c r="A761" s="516" t="s">
        <v>359</v>
      </c>
      <c r="B761"/>
      <c r="C761" t="s">
        <v>18</v>
      </c>
      <c r="D761" s="3621" t="s">
        <v>962</v>
      </c>
      <c r="E761" s="3618" t="s">
        <v>102</v>
      </c>
      <c r="F761" s="3619"/>
      <c r="G761" s="3620"/>
      <c r="H761" s="3614" t="str">
        <f>IF(A761="","",INDEX(DIFFERENTIATION_UNMERGE_VD,MATCH(A761,DIFFERENTIATION_ID_DIFF,0)))</f>
        <v>Производство тепловой энергии. Некомбинированная выработка</v>
      </c>
      <c r="I761" s="3614"/>
      <c r="J761" s="3614"/>
      <c r="K761" s="3614"/>
      <c r="L761" s="3614"/>
      <c r="M761" s="3614"/>
      <c r="N761" s="3614"/>
      <c r="O761" s="3614"/>
      <c r="P761" s="3614"/>
      <c r="Q761" s="3614"/>
      <c r="R761" s="3614"/>
      <c r="S761" s="609"/>
      <c r="T761" s="606"/>
      <c r="U761" s="517"/>
      <c r="V761" s="517"/>
      <c r="W761" s="518"/>
      <c r="X761" s="518"/>
      <c r="Y761" s="518"/>
      <c r="Z761" s="518"/>
      <c r="AA761" s="519"/>
      <c r="AB761" s="520"/>
      <c r="AC761" s="3617"/>
      <c r="AD761" s="521"/>
      <c r="AE761" s="522" t="s">
        <v>18</v>
      </c>
      <c r="AF761" s="522"/>
      <c r="AG761" s="523" t="s">
        <v>874</v>
      </c>
      <c r="AH761" s="524">
        <v>3</v>
      </c>
      <c r="AI761" s="517"/>
      <c r="AJ761" s="517"/>
      <c r="AK761" s="517"/>
      <c r="AL761" s="517"/>
      <c r="AM761" s="517"/>
      <c r="AN761" s="517"/>
      <c r="AO761" s="517"/>
      <c r="AP761" s="517"/>
      <c r="AQ761" s="517"/>
      <c r="AR761" s="517"/>
      <c r="AS761" s="517"/>
      <c r="AT761" s="517"/>
      <c r="AU761" s="517"/>
      <c r="AV761" s="517"/>
      <c r="AW761" s="517"/>
      <c r="AX761" s="517"/>
      <c r="AY761" s="517"/>
      <c r="AZ761" s="517"/>
      <c r="BA761" s="517"/>
      <c r="BB761" s="517"/>
      <c r="BC761" s="517"/>
      <c r="BD761" s="517"/>
      <c r="BE761" s="517"/>
      <c r="BF761" s="517"/>
      <c r="BG761" s="517"/>
      <c r="BH761" s="517"/>
      <c r="BI761" s="517"/>
      <c r="BJ761" s="517"/>
      <c r="BK761" s="517"/>
      <c r="BL761" s="517"/>
      <c r="BM761" s="517"/>
      <c r="BN761" s="517"/>
      <c r="BO761" s="517"/>
      <c r="BP761" s="517"/>
      <c r="BQ761" s="517"/>
      <c r="BR761" s="517"/>
      <c r="BS761" s="517"/>
      <c r="BT761" s="517"/>
      <c r="BU761" s="517"/>
      <c r="BV761" s="518"/>
      <c r="BW761" s="518"/>
      <c r="BX761" s="518"/>
      <c r="BY761" s="518"/>
      <c r="BZ761" s="518"/>
      <c r="CA761" s="518"/>
      <c r="CB761" s="518"/>
      <c r="CC761" s="518"/>
      <c r="CD761" s="518"/>
      <c r="CE761" s="518"/>
    </row>
    <row r="762" spans="1:83" ht="15" hidden="1" customHeight="1">
      <c r="A762" s="516"/>
      <c r="B762"/>
      <c r="C762"/>
      <c r="D762" s="3622"/>
      <c r="E762" s="3618" t="s">
        <v>829</v>
      </c>
      <c r="F762" s="3619"/>
      <c r="G762" s="3620"/>
      <c r="H762" s="3614" t="str">
        <f>IF(A761="","",INDEX(DIFFERENTIATION_UNMERGE_AREA,MATCH(A761,DIFFERENTIATION_ID_DIFF,0)))</f>
        <v>Территория 1</v>
      </c>
      <c r="I762" s="3614"/>
      <c r="J762" s="3614"/>
      <c r="K762" s="3614"/>
      <c r="L762" s="3614"/>
      <c r="M762" s="3614"/>
      <c r="N762" s="3614"/>
      <c r="O762" s="3614"/>
      <c r="P762" s="3614"/>
      <c r="Q762" s="3614"/>
      <c r="R762" s="3614"/>
      <c r="S762" s="609"/>
      <c r="T762" s="606"/>
      <c r="U762" s="517"/>
      <c r="V762" s="517"/>
      <c r="W762" s="518"/>
      <c r="X762" s="518"/>
      <c r="Y762" s="518"/>
      <c r="Z762" s="518"/>
      <c r="AA762" s="519"/>
      <c r="AB762" s="520"/>
      <c r="AC762" s="3617"/>
      <c r="AD762" s="521"/>
      <c r="AE762" s="522"/>
      <c r="AF762" s="522"/>
      <c r="AG762" s="523"/>
      <c r="AH762" s="524"/>
      <c r="AI762" s="517"/>
      <c r="AJ762" s="517"/>
      <c r="AK762" s="517"/>
      <c r="AL762" s="517"/>
      <c r="AM762" s="517"/>
      <c r="AN762" s="517"/>
      <c r="AO762" s="517"/>
      <c r="AP762" s="517"/>
      <c r="AQ762" s="517"/>
      <c r="AR762" s="517"/>
      <c r="AS762" s="517"/>
      <c r="AT762" s="517"/>
      <c r="AU762" s="517"/>
      <c r="AV762" s="517"/>
      <c r="AW762" s="517"/>
      <c r="AX762" s="517"/>
      <c r="AY762" s="517"/>
      <c r="AZ762" s="517"/>
      <c r="BA762" s="517"/>
      <c r="BB762" s="517"/>
      <c r="BC762" s="517"/>
      <c r="BD762" s="517"/>
      <c r="BE762" s="517"/>
      <c r="BF762" s="517"/>
      <c r="BG762" s="517"/>
      <c r="BH762" s="517"/>
      <c r="BI762" s="517"/>
      <c r="BJ762" s="517"/>
      <c r="BK762" s="517"/>
      <c r="BL762" s="517"/>
      <c r="BM762" s="517"/>
      <c r="BN762" s="517"/>
      <c r="BO762" s="517"/>
      <c r="BP762" s="517"/>
      <c r="BQ762" s="517"/>
      <c r="BR762" s="517"/>
      <c r="BS762" s="517"/>
      <c r="BT762" s="517"/>
      <c r="BU762" s="517"/>
      <c r="BV762" s="518"/>
      <c r="BW762" s="518"/>
      <c r="BX762" s="518"/>
      <c r="BY762" s="518"/>
      <c r="BZ762" s="518"/>
      <c r="CA762" s="518"/>
      <c r="CB762" s="518"/>
      <c r="CC762" s="518"/>
      <c r="CD762" s="518"/>
      <c r="CE762" s="518"/>
    </row>
    <row r="763" spans="1:83" ht="15" hidden="1" customHeight="1">
      <c r="A763" s="516"/>
      <c r="B763"/>
      <c r="C763"/>
      <c r="D763" s="3622"/>
      <c r="E763" s="3618" t="s">
        <v>830</v>
      </c>
      <c r="F763" s="3619"/>
      <c r="G763" s="3620"/>
      <c r="H763" s="3614" t="str">
        <f>IF(A761="","",INDEX(DIFFERENTIATION_UNMERGE_SYSTEM,MATCH(A761,DIFFERENTIATION_ID_DIFF,0)))</f>
        <v>Паровозная,64б</v>
      </c>
      <c r="I763" s="3614"/>
      <c r="J763" s="3614"/>
      <c r="K763" s="3614"/>
      <c r="L763" s="3614"/>
      <c r="M763" s="3614"/>
      <c r="N763" s="3614"/>
      <c r="O763" s="3614"/>
      <c r="P763" s="3614"/>
      <c r="Q763" s="3614"/>
      <c r="R763" s="3614"/>
      <c r="S763" s="609"/>
      <c r="T763" s="606"/>
      <c r="U763" s="517"/>
      <c r="V763" s="517"/>
      <c r="W763" s="518"/>
      <c r="X763" s="518"/>
      <c r="Y763" s="518"/>
      <c r="Z763" s="518"/>
      <c r="AA763" s="519"/>
      <c r="AB763" s="520"/>
      <c r="AC763" s="3617"/>
      <c r="AD763" s="521"/>
      <c r="AE763" s="522"/>
      <c r="AF763" s="522"/>
      <c r="AG763" s="523"/>
      <c r="AH763" s="524"/>
      <c r="AI763" s="517"/>
      <c r="AJ763" s="517"/>
      <c r="AK763" s="517"/>
      <c r="AL763" s="517"/>
      <c r="AM763" s="517"/>
      <c r="AN763" s="517"/>
      <c r="AO763" s="517"/>
      <c r="AP763" s="517"/>
      <c r="AQ763" s="517"/>
      <c r="AR763" s="517"/>
      <c r="AS763" s="517"/>
      <c r="AT763" s="517"/>
      <c r="AU763" s="517"/>
      <c r="AV763" s="517"/>
      <c r="AW763" s="517"/>
      <c r="AX763" s="517"/>
      <c r="AY763" s="517"/>
      <c r="AZ763" s="517"/>
      <c r="BA763" s="517"/>
      <c r="BB763" s="517"/>
      <c r="BC763" s="517"/>
      <c r="BD763" s="517"/>
      <c r="BE763" s="517"/>
      <c r="BF763" s="517"/>
      <c r="BG763" s="517"/>
      <c r="BH763" s="517"/>
      <c r="BI763" s="517"/>
      <c r="BJ763" s="517"/>
      <c r="BK763" s="517"/>
      <c r="BL763" s="517"/>
      <c r="BM763" s="517"/>
      <c r="BN763" s="517"/>
      <c r="BO763" s="517"/>
      <c r="BP763" s="517"/>
      <c r="BQ763" s="517"/>
      <c r="BR763" s="517"/>
      <c r="BS763" s="517"/>
      <c r="BT763" s="517"/>
      <c r="BU763" s="517"/>
      <c r="BV763" s="518"/>
      <c r="BW763" s="518"/>
      <c r="BX763" s="518"/>
      <c r="BY763" s="518"/>
      <c r="BZ763" s="518"/>
      <c r="CA763" s="518"/>
      <c r="CB763" s="518"/>
      <c r="CC763" s="518"/>
      <c r="CD763" s="518"/>
      <c r="CE763" s="518"/>
    </row>
    <row r="764" spans="1:83" ht="24.75" hidden="1" customHeight="1">
      <c r="A764" s="1649"/>
      <c r="B764" s="1023"/>
      <c r="C764" s="319"/>
      <c r="D764" s="3622"/>
      <c r="E764" s="3616" t="s">
        <v>875</v>
      </c>
      <c r="F764" s="3616"/>
      <c r="G764" s="3616"/>
      <c r="H764" s="3616"/>
      <c r="I764" s="3616"/>
      <c r="J764" s="3616"/>
      <c r="K764" s="3616"/>
      <c r="L764" s="3616"/>
      <c r="M764" s="3616"/>
      <c r="N764" s="3616"/>
      <c r="O764" s="3616"/>
      <c r="P764" s="3616"/>
      <c r="Q764" s="455">
        <f>SUMIF(T765:T766,"i",Q765:Q766)</f>
        <v>0</v>
      </c>
      <c r="R764" s="887"/>
      <c r="S764" s="1641" t="s">
        <v>876</v>
      </c>
      <c r="T764" s="607" t="s">
        <v>877</v>
      </c>
      <c r="U764" s="3532">
        <v>1</v>
      </c>
      <c r="V764" s="3532" t="s">
        <v>840</v>
      </c>
      <c r="W764" s="1023"/>
      <c r="X764" s="1023"/>
      <c r="Y764" s="1023"/>
      <c r="Z764" s="1023"/>
      <c r="AA764" s="1481"/>
      <c r="AB764" s="1023"/>
      <c r="AC764" s="3617"/>
      <c r="AD764" s="521"/>
      <c r="AE764" s="1023"/>
      <c r="AF764" s="1023"/>
      <c r="AG764" s="1481"/>
      <c r="AH764" s="1481"/>
      <c r="AI764" s="1481"/>
      <c r="AJ764" s="1481"/>
      <c r="AK764" s="1481"/>
      <c r="AL764" s="1481"/>
      <c r="AM764" s="1481"/>
      <c r="AN764" s="1481"/>
      <c r="AO764" s="1481"/>
      <c r="AP764" s="1481"/>
      <c r="AQ764" s="1481"/>
      <c r="AR764" s="1481"/>
      <c r="AS764" s="1481"/>
      <c r="AT764" s="1481"/>
      <c r="AU764" s="1481"/>
      <c r="AV764" s="1481"/>
      <c r="AW764" s="1481"/>
      <c r="AX764" s="1481"/>
      <c r="AY764" s="1481"/>
      <c r="AZ764" s="1481"/>
      <c r="BA764" s="1481"/>
      <c r="BB764" s="1481"/>
      <c r="BC764" s="1481"/>
      <c r="BD764" s="1481"/>
      <c r="BE764" s="1481"/>
      <c r="BF764" s="1481"/>
      <c r="BG764" s="1481"/>
      <c r="BH764" s="1481"/>
      <c r="BI764" s="1481"/>
      <c r="BJ764" s="1481"/>
      <c r="BK764" s="1481"/>
      <c r="BL764" s="1481"/>
      <c r="BM764" s="1481"/>
      <c r="BN764" s="1481"/>
      <c r="BO764" s="1481"/>
      <c r="BP764" s="1481"/>
      <c r="BQ764" s="1481"/>
      <c r="BR764" s="1481"/>
      <c r="BS764" s="1481"/>
      <c r="BT764" s="1481"/>
      <c r="BU764" s="1481"/>
      <c r="BV764" s="1023"/>
      <c r="BW764" s="1023"/>
      <c r="BX764" s="1023"/>
      <c r="BY764" s="1023"/>
      <c r="BZ764" s="1023"/>
      <c r="CA764" s="1023"/>
      <c r="CB764" s="1023"/>
      <c r="CC764" s="1023"/>
      <c r="CD764" s="1023"/>
      <c r="CE764" s="1023"/>
    </row>
    <row r="765" spans="1:83" ht="11.25" hidden="1" customHeight="1">
      <c r="A765" s="1636"/>
      <c r="B765" s="1481"/>
      <c r="C765" s="1481"/>
      <c r="D765" s="3622"/>
      <c r="E765" s="527"/>
      <c r="F765" s="527">
        <v>0</v>
      </c>
      <c r="G765" s="527"/>
      <c r="H765" s="527"/>
      <c r="I765" s="527"/>
      <c r="J765" s="527"/>
      <c r="K765" s="527"/>
      <c r="L765" s="527"/>
      <c r="M765" s="527"/>
      <c r="N765" s="527"/>
      <c r="O765" s="527"/>
      <c r="P765" s="527"/>
      <c r="Q765" s="527"/>
      <c r="R765" s="527"/>
      <c r="S765" s="528"/>
      <c r="T765" s="608"/>
      <c r="U765" s="3532"/>
      <c r="V765" s="3532"/>
      <c r="W765" s="1481"/>
      <c r="X765" s="1481"/>
      <c r="Y765" s="1481"/>
      <c r="Z765" s="1481"/>
      <c r="AA765" s="1481"/>
      <c r="AB765" s="1023"/>
      <c r="AC765" s="3617"/>
      <c r="AD765" s="521"/>
      <c r="AE765" s="1023"/>
      <c r="AF765" s="1023"/>
      <c r="AG765" s="1481"/>
      <c r="AH765" s="1481"/>
      <c r="AI765" s="1481"/>
      <c r="AJ765" s="1481"/>
      <c r="AK765" s="1481"/>
      <c r="AL765" s="1481"/>
      <c r="AM765" s="1481"/>
      <c r="AN765" s="1481"/>
      <c r="AO765" s="1481"/>
      <c r="AP765" s="1481"/>
      <c r="AQ765" s="1481"/>
      <c r="AR765" s="1481"/>
      <c r="AS765" s="1481"/>
      <c r="AT765" s="1481"/>
      <c r="AU765" s="1481"/>
      <c r="AV765" s="1481"/>
      <c r="AW765" s="1481"/>
      <c r="AX765" s="1481"/>
      <c r="AY765" s="1481"/>
      <c r="AZ765" s="1481"/>
      <c r="BA765" s="1481"/>
      <c r="BB765" s="1481"/>
      <c r="BC765" s="1481"/>
      <c r="BD765" s="1481"/>
      <c r="BE765" s="1481"/>
      <c r="BF765" s="1481"/>
      <c r="BG765" s="1481"/>
      <c r="BH765" s="1481"/>
      <c r="BI765" s="1481"/>
      <c r="BJ765" s="1481"/>
      <c r="BK765" s="1481"/>
      <c r="BL765" s="1481"/>
      <c r="BM765" s="1481"/>
      <c r="BN765" s="1481"/>
      <c r="BO765" s="1481"/>
      <c r="BP765" s="1481"/>
      <c r="BQ765" s="1481"/>
      <c r="BR765" s="1481"/>
      <c r="BS765" s="1481"/>
      <c r="BT765" s="1481"/>
      <c r="BU765" s="1481"/>
      <c r="BV765" s="1481"/>
      <c r="BW765" s="1481"/>
      <c r="BX765" s="1481"/>
      <c r="BY765" s="1481"/>
      <c r="BZ765" s="1481"/>
      <c r="CA765" s="1481"/>
      <c r="CB765" s="1481"/>
      <c r="CC765" s="1481"/>
      <c r="CD765" s="1481"/>
      <c r="CE765" s="1481"/>
    </row>
    <row r="766" spans="1:83" ht="11.25" hidden="1" customHeight="1">
      <c r="A766" s="1649"/>
      <c r="B766" s="1023"/>
      <c r="C766" s="319"/>
      <c r="D766" s="3622"/>
      <c r="E766" s="541" t="s">
        <v>18</v>
      </c>
      <c r="F766" s="1031" t="s">
        <v>18</v>
      </c>
      <c r="G766" s="1031" t="s">
        <v>880</v>
      </c>
      <c r="H766" s="543" t="s">
        <v>18</v>
      </c>
      <c r="I766" s="543"/>
      <c r="J766" s="543"/>
      <c r="K766" s="543"/>
      <c r="L766" s="543"/>
      <c r="M766" s="543"/>
      <c r="N766" s="543"/>
      <c r="O766" s="543"/>
      <c r="P766" s="543"/>
      <c r="Q766" s="543"/>
      <c r="R766" s="544"/>
      <c r="S766" s="545"/>
      <c r="T766" s="608"/>
      <c r="U766" s="3532"/>
      <c r="V766" s="3532"/>
      <c r="W766" s="1023"/>
      <c r="X766" s="1023"/>
      <c r="Y766" s="1023"/>
      <c r="Z766" s="1023"/>
      <c r="AA766" s="1481"/>
      <c r="AB766" s="1023"/>
      <c r="AC766" s="3617"/>
      <c r="AD766" s="521"/>
      <c r="AE766" s="1023"/>
      <c r="AF766" s="1023"/>
      <c r="AG766" s="1481"/>
      <c r="AH766" s="1481"/>
      <c r="AI766" s="1481"/>
      <c r="AJ766" s="1481"/>
      <c r="AK766" s="1481"/>
      <c r="AL766" s="1481"/>
      <c r="AM766" s="1481"/>
      <c r="AN766" s="1481"/>
      <c r="AO766" s="1481"/>
      <c r="AP766" s="1481"/>
      <c r="AQ766" s="1481"/>
      <c r="AR766" s="1481"/>
      <c r="AS766" s="1481"/>
      <c r="AT766" s="1481"/>
      <c r="AU766" s="1481"/>
      <c r="AV766" s="1481"/>
      <c r="AW766" s="1481"/>
      <c r="AX766" s="1481"/>
      <c r="AY766" s="1481"/>
      <c r="AZ766" s="1481"/>
      <c r="BA766" s="1481"/>
      <c r="BB766" s="1481"/>
      <c r="BC766" s="1481"/>
      <c r="BD766" s="1481"/>
      <c r="BE766" s="1481"/>
      <c r="BF766" s="1481"/>
      <c r="BG766" s="1481"/>
      <c r="BH766" s="1481"/>
      <c r="BI766" s="1481"/>
      <c r="BJ766" s="1481"/>
      <c r="BK766" s="1481"/>
      <c r="BL766" s="1481"/>
      <c r="BM766" s="1481"/>
      <c r="BN766" s="1481"/>
      <c r="BO766" s="1481"/>
      <c r="BP766" s="1481"/>
      <c r="BQ766" s="1481"/>
      <c r="BR766" s="1481"/>
      <c r="BS766" s="1481"/>
      <c r="BT766" s="1481"/>
      <c r="BU766" s="1481"/>
      <c r="BV766" s="1023"/>
      <c r="BW766" s="1023"/>
      <c r="BX766" s="1023"/>
      <c r="BY766" s="1023"/>
      <c r="BZ766" s="1023"/>
      <c r="CA766" s="1023"/>
      <c r="CB766" s="1023"/>
      <c r="CC766" s="1023"/>
      <c r="CD766" s="1023"/>
      <c r="CE766" s="1023"/>
    </row>
    <row r="767" spans="1:83" ht="5.25" hidden="1" customHeight="1">
      <c r="A767" s="1636"/>
      <c r="B767" s="1481"/>
      <c r="C767" s="1481"/>
      <c r="D767" s="3622"/>
      <c r="E767" s="909"/>
      <c r="F767" s="909"/>
      <c r="G767" s="909"/>
      <c r="H767" s="909"/>
      <c r="I767" s="909"/>
      <c r="J767" s="909"/>
      <c r="K767" s="909"/>
      <c r="L767" s="909"/>
      <c r="M767" s="909"/>
      <c r="N767" s="909"/>
      <c r="O767" s="909"/>
      <c r="P767" s="909"/>
      <c r="Q767" s="910"/>
      <c r="R767" s="911"/>
      <c r="S767" s="912"/>
      <c r="T767" s="607" t="s">
        <v>877</v>
      </c>
      <c r="U767" s="3532">
        <v>1</v>
      </c>
      <c r="V767" s="3532" t="s">
        <v>840</v>
      </c>
      <c r="W767" s="1481"/>
      <c r="X767" s="1481"/>
      <c r="Y767" s="1481"/>
      <c r="Z767" s="1481"/>
      <c r="AA767" s="1481"/>
      <c r="AB767" s="1481"/>
      <c r="AC767" s="907"/>
      <c r="AD767" s="908"/>
      <c r="AE767" s="1481"/>
      <c r="AF767" s="1481"/>
      <c r="AG767" s="1481"/>
      <c r="AH767" s="1481"/>
      <c r="AI767" s="1481"/>
      <c r="AJ767" s="1481"/>
      <c r="AK767" s="1481"/>
      <c r="AL767" s="1481"/>
      <c r="AM767" s="1481"/>
      <c r="AN767" s="1481"/>
      <c r="AO767" s="1481"/>
      <c r="AP767" s="1481"/>
      <c r="AQ767" s="1481"/>
      <c r="AR767" s="1481"/>
      <c r="AS767" s="1481"/>
      <c r="AT767" s="1481"/>
      <c r="AU767" s="1481"/>
      <c r="AV767" s="1481"/>
      <c r="AW767" s="1481"/>
      <c r="AX767" s="1481"/>
      <c r="AY767" s="1481"/>
      <c r="AZ767" s="1481"/>
      <c r="BA767" s="1481"/>
      <c r="BB767" s="1481"/>
      <c r="BC767" s="1481"/>
      <c r="BD767" s="1481"/>
      <c r="BE767" s="1481"/>
      <c r="BF767" s="1481"/>
      <c r="BG767" s="1481"/>
      <c r="BH767" s="1481"/>
      <c r="BI767" s="1481"/>
      <c r="BJ767" s="1481"/>
      <c r="BK767" s="1481"/>
      <c r="BL767" s="1481"/>
      <c r="BM767" s="1481"/>
      <c r="BN767" s="1481"/>
      <c r="BO767" s="1481"/>
      <c r="BP767" s="1481"/>
      <c r="BQ767" s="1481"/>
      <c r="BR767" s="1481"/>
      <c r="BS767" s="1481"/>
      <c r="BT767" s="1481"/>
      <c r="BU767" s="1481"/>
      <c r="BV767" s="1481"/>
      <c r="BW767" s="1481"/>
      <c r="BX767" s="1481"/>
      <c r="BY767" s="1481"/>
      <c r="BZ767" s="1481"/>
      <c r="CA767" s="1481"/>
      <c r="CB767" s="1481"/>
      <c r="CC767" s="1481"/>
      <c r="CD767" s="1481"/>
      <c r="CE767" s="1481"/>
    </row>
    <row r="768" spans="1:83" ht="5.25" hidden="1" customHeight="1">
      <c r="A768" s="1636"/>
      <c r="B768" s="1481"/>
      <c r="C768" s="1481"/>
      <c r="D768" s="3622"/>
      <c r="E768" s="527"/>
      <c r="F768" s="527"/>
      <c r="G768" s="527"/>
      <c r="H768" s="527"/>
      <c r="I768" s="527"/>
      <c r="J768" s="527"/>
      <c r="K768" s="527"/>
      <c r="L768" s="527"/>
      <c r="M768" s="527"/>
      <c r="N768" s="527"/>
      <c r="O768" s="527"/>
      <c r="P768" s="527"/>
      <c r="Q768" s="527"/>
      <c r="R768" s="527"/>
      <c r="S768" s="528"/>
      <c r="T768" s="608"/>
      <c r="U768" s="3532"/>
      <c r="V768" s="3532"/>
      <c r="W768" s="1481"/>
      <c r="X768" s="1481"/>
      <c r="Y768" s="1481"/>
      <c r="Z768" s="1481"/>
      <c r="AA768" s="1481"/>
      <c r="AB768" s="1481"/>
      <c r="AC768" s="907"/>
      <c r="AD768" s="908"/>
      <c r="AE768" s="1481"/>
      <c r="AF768" s="1481"/>
      <c r="AG768" s="1481"/>
      <c r="AH768" s="1481"/>
      <c r="AI768" s="1481"/>
      <c r="AJ768" s="1481"/>
      <c r="AK768" s="1481"/>
      <c r="AL768" s="1481"/>
      <c r="AM768" s="1481"/>
      <c r="AN768" s="1481"/>
      <c r="AO768" s="1481"/>
      <c r="AP768" s="1481"/>
      <c r="AQ768" s="1481"/>
      <c r="AR768" s="1481"/>
      <c r="AS768" s="1481"/>
      <c r="AT768" s="1481"/>
      <c r="AU768" s="1481"/>
      <c r="AV768" s="1481"/>
      <c r="AW768" s="1481"/>
      <c r="AX768" s="1481"/>
      <c r="AY768" s="1481"/>
      <c r="AZ768" s="1481"/>
      <c r="BA768" s="1481"/>
      <c r="BB768" s="1481"/>
      <c r="BC768" s="1481"/>
      <c r="BD768" s="1481"/>
      <c r="BE768" s="1481"/>
      <c r="BF768" s="1481"/>
      <c r="BG768" s="1481"/>
      <c r="BH768" s="1481"/>
      <c r="BI768" s="1481"/>
      <c r="BJ768" s="1481"/>
      <c r="BK768" s="1481"/>
      <c r="BL768" s="1481"/>
      <c r="BM768" s="1481"/>
      <c r="BN768" s="1481"/>
      <c r="BO768" s="1481"/>
      <c r="BP768" s="1481"/>
      <c r="BQ768" s="1481"/>
      <c r="BR768" s="1481"/>
      <c r="BS768" s="1481"/>
      <c r="BT768" s="1481"/>
      <c r="BU768" s="1481"/>
      <c r="BV768" s="1481"/>
      <c r="BW768" s="1481"/>
      <c r="BX768" s="1481"/>
      <c r="BY768" s="1481"/>
      <c r="BZ768" s="1481"/>
      <c r="CA768" s="1481"/>
      <c r="CB768" s="1481"/>
      <c r="CC768" s="1481"/>
      <c r="CD768" s="1481"/>
      <c r="CE768" s="1481"/>
    </row>
    <row r="769" spans="1:83" ht="5.25" hidden="1" customHeight="1">
      <c r="A769" s="1636"/>
      <c r="B769" s="1481"/>
      <c r="C769" s="1481"/>
      <c r="D769" s="3623"/>
      <c r="E769" s="913"/>
      <c r="F769" s="914"/>
      <c r="G769" s="914"/>
      <c r="H769" s="915"/>
      <c r="I769" s="915"/>
      <c r="J769" s="915"/>
      <c r="K769" s="915"/>
      <c r="L769" s="915"/>
      <c r="M769" s="915"/>
      <c r="N769" s="915"/>
      <c r="O769" s="915"/>
      <c r="P769" s="915"/>
      <c r="Q769" s="915"/>
      <c r="R769" s="818"/>
      <c r="S769" s="916"/>
      <c r="T769" s="608"/>
      <c r="U769" s="3532"/>
      <c r="V769" s="3532"/>
      <c r="W769" s="1481"/>
      <c r="X769" s="1481"/>
      <c r="Y769" s="1481"/>
      <c r="Z769" s="1481"/>
      <c r="AA769" s="1481"/>
      <c r="AB769" s="1481"/>
      <c r="AC769" s="907"/>
      <c r="AD769" s="908"/>
      <c r="AE769" s="1481"/>
      <c r="AF769" s="1481"/>
      <c r="AG769" s="1481"/>
      <c r="AH769" s="1481"/>
      <c r="AI769" s="1481"/>
      <c r="AJ769" s="1481"/>
      <c r="AK769" s="1481"/>
      <c r="AL769" s="1481"/>
      <c r="AM769" s="1481"/>
      <c r="AN769" s="1481"/>
      <c r="AO769" s="1481"/>
      <c r="AP769" s="1481"/>
      <c r="AQ769" s="1481"/>
      <c r="AR769" s="1481"/>
      <c r="AS769" s="1481"/>
      <c r="AT769" s="1481"/>
      <c r="AU769" s="1481"/>
      <c r="AV769" s="1481"/>
      <c r="AW769" s="1481"/>
      <c r="AX769" s="1481"/>
      <c r="AY769" s="1481"/>
      <c r="AZ769" s="1481"/>
      <c r="BA769" s="1481"/>
      <c r="BB769" s="1481"/>
      <c r="BC769" s="1481"/>
      <c r="BD769" s="1481"/>
      <c r="BE769" s="1481"/>
      <c r="BF769" s="1481"/>
      <c r="BG769" s="1481"/>
      <c r="BH769" s="1481"/>
      <c r="BI769" s="1481"/>
      <c r="BJ769" s="1481"/>
      <c r="BK769" s="1481"/>
      <c r="BL769" s="1481"/>
      <c r="BM769" s="1481"/>
      <c r="BN769" s="1481"/>
      <c r="BO769" s="1481"/>
      <c r="BP769" s="1481"/>
      <c r="BQ769" s="1481"/>
      <c r="BR769" s="1481"/>
      <c r="BS769" s="1481"/>
      <c r="BT769" s="1481"/>
      <c r="BU769" s="1481"/>
      <c r="BV769" s="1481"/>
      <c r="BW769" s="1481"/>
      <c r="BX769" s="1481"/>
      <c r="BY769" s="1481"/>
      <c r="BZ769" s="1481"/>
      <c r="CA769" s="1481"/>
      <c r="CB769" s="1481"/>
      <c r="CC769" s="1481"/>
      <c r="CD769" s="1481"/>
      <c r="CE769" s="1481"/>
    </row>
    <row r="770" spans="1:83" ht="15" hidden="1" customHeight="1">
      <c r="A770" s="516" t="s">
        <v>362</v>
      </c>
      <c r="B770"/>
      <c r="C770" t="s">
        <v>18</v>
      </c>
      <c r="D770" s="3621" t="s">
        <v>963</v>
      </c>
      <c r="E770" s="3618" t="s">
        <v>102</v>
      </c>
      <c r="F770" s="3619"/>
      <c r="G770" s="3620"/>
      <c r="H770" s="3614" t="str">
        <f>IF(A770="","",INDEX(DIFFERENTIATION_UNMERGE_VD,MATCH(A770,DIFFERENTIATION_ID_DIFF,0)))</f>
        <v>Производство тепловой энергии. Некомбинированная выработка</v>
      </c>
      <c r="I770" s="3614"/>
      <c r="J770" s="3614"/>
      <c r="K770" s="3614"/>
      <c r="L770" s="3614"/>
      <c r="M770" s="3614"/>
      <c r="N770" s="3614"/>
      <c r="O770" s="3614"/>
      <c r="P770" s="3614"/>
      <c r="Q770" s="3614"/>
      <c r="R770" s="3614"/>
      <c r="S770" s="609"/>
      <c r="T770" s="606"/>
      <c r="U770" s="517"/>
      <c r="V770" s="517"/>
      <c r="W770" s="518"/>
      <c r="X770" s="518"/>
      <c r="Y770" s="518"/>
      <c r="Z770" s="518"/>
      <c r="AA770" s="519"/>
      <c r="AB770" s="520"/>
      <c r="AC770" s="3617"/>
      <c r="AD770" s="521"/>
      <c r="AE770" s="522" t="s">
        <v>18</v>
      </c>
      <c r="AF770" s="522"/>
      <c r="AG770" s="523" t="s">
        <v>874</v>
      </c>
      <c r="AH770" s="524">
        <v>3</v>
      </c>
      <c r="AI770" s="517"/>
      <c r="AJ770" s="517"/>
      <c r="AK770" s="517"/>
      <c r="AL770" s="517"/>
      <c r="AM770" s="517"/>
      <c r="AN770" s="517"/>
      <c r="AO770" s="517"/>
      <c r="AP770" s="517"/>
      <c r="AQ770" s="517"/>
      <c r="AR770" s="517"/>
      <c r="AS770" s="517"/>
      <c r="AT770" s="517"/>
      <c r="AU770" s="517"/>
      <c r="AV770" s="517"/>
      <c r="AW770" s="517"/>
      <c r="AX770" s="517"/>
      <c r="AY770" s="517"/>
      <c r="AZ770" s="517"/>
      <c r="BA770" s="517"/>
      <c r="BB770" s="517"/>
      <c r="BC770" s="517"/>
      <c r="BD770" s="517"/>
      <c r="BE770" s="517"/>
      <c r="BF770" s="517"/>
      <c r="BG770" s="517"/>
      <c r="BH770" s="517"/>
      <c r="BI770" s="517"/>
      <c r="BJ770" s="517"/>
      <c r="BK770" s="517"/>
      <c r="BL770" s="517"/>
      <c r="BM770" s="517"/>
      <c r="BN770" s="517"/>
      <c r="BO770" s="517"/>
      <c r="BP770" s="517"/>
      <c r="BQ770" s="517"/>
      <c r="BR770" s="517"/>
      <c r="BS770" s="517"/>
      <c r="BT770" s="517"/>
      <c r="BU770" s="517"/>
      <c r="BV770" s="518"/>
      <c r="BW770" s="518"/>
      <c r="BX770" s="518"/>
      <c r="BY770" s="518"/>
      <c r="BZ770" s="518"/>
      <c r="CA770" s="518"/>
      <c r="CB770" s="518"/>
      <c r="CC770" s="518"/>
      <c r="CD770" s="518"/>
      <c r="CE770" s="518"/>
    </row>
    <row r="771" spans="1:83" ht="15" hidden="1" customHeight="1">
      <c r="A771" s="516"/>
      <c r="B771"/>
      <c r="C771"/>
      <c r="D771" s="3622"/>
      <c r="E771" s="3618" t="s">
        <v>829</v>
      </c>
      <c r="F771" s="3619"/>
      <c r="G771" s="3620"/>
      <c r="H771" s="3614" t="str">
        <f>IF(A770="","",INDEX(DIFFERENTIATION_UNMERGE_AREA,MATCH(A770,DIFFERENTIATION_ID_DIFF,0)))</f>
        <v>Территория 1</v>
      </c>
      <c r="I771" s="3614"/>
      <c r="J771" s="3614"/>
      <c r="K771" s="3614"/>
      <c r="L771" s="3614"/>
      <c r="M771" s="3614"/>
      <c r="N771" s="3614"/>
      <c r="O771" s="3614"/>
      <c r="P771" s="3614"/>
      <c r="Q771" s="3614"/>
      <c r="R771" s="3614"/>
      <c r="S771" s="609"/>
      <c r="T771" s="606"/>
      <c r="U771" s="517"/>
      <c r="V771" s="517"/>
      <c r="W771" s="518"/>
      <c r="X771" s="518"/>
      <c r="Y771" s="518"/>
      <c r="Z771" s="518"/>
      <c r="AA771" s="519"/>
      <c r="AB771" s="520"/>
      <c r="AC771" s="3617"/>
      <c r="AD771" s="521"/>
      <c r="AE771" s="522"/>
      <c r="AF771" s="522"/>
      <c r="AG771" s="523"/>
      <c r="AH771" s="524"/>
      <c r="AI771" s="517"/>
      <c r="AJ771" s="517"/>
      <c r="AK771" s="517"/>
      <c r="AL771" s="517"/>
      <c r="AM771" s="517"/>
      <c r="AN771" s="517"/>
      <c r="AO771" s="517"/>
      <c r="AP771" s="517"/>
      <c r="AQ771" s="517"/>
      <c r="AR771" s="517"/>
      <c r="AS771" s="517"/>
      <c r="AT771" s="517"/>
      <c r="AU771" s="517"/>
      <c r="AV771" s="517"/>
      <c r="AW771" s="517"/>
      <c r="AX771" s="517"/>
      <c r="AY771" s="517"/>
      <c r="AZ771" s="517"/>
      <c r="BA771" s="517"/>
      <c r="BB771" s="517"/>
      <c r="BC771" s="517"/>
      <c r="BD771" s="517"/>
      <c r="BE771" s="517"/>
      <c r="BF771" s="517"/>
      <c r="BG771" s="517"/>
      <c r="BH771" s="517"/>
      <c r="BI771" s="517"/>
      <c r="BJ771" s="517"/>
      <c r="BK771" s="517"/>
      <c r="BL771" s="517"/>
      <c r="BM771" s="517"/>
      <c r="BN771" s="517"/>
      <c r="BO771" s="517"/>
      <c r="BP771" s="517"/>
      <c r="BQ771" s="517"/>
      <c r="BR771" s="517"/>
      <c r="BS771" s="517"/>
      <c r="BT771" s="517"/>
      <c r="BU771" s="517"/>
      <c r="BV771" s="518"/>
      <c r="BW771" s="518"/>
      <c r="BX771" s="518"/>
      <c r="BY771" s="518"/>
      <c r="BZ771" s="518"/>
      <c r="CA771" s="518"/>
      <c r="CB771" s="518"/>
      <c r="CC771" s="518"/>
      <c r="CD771" s="518"/>
      <c r="CE771" s="518"/>
    </row>
    <row r="772" spans="1:83" ht="15" hidden="1" customHeight="1">
      <c r="A772" s="516"/>
      <c r="B772"/>
      <c r="C772"/>
      <c r="D772" s="3622"/>
      <c r="E772" s="3618" t="s">
        <v>830</v>
      </c>
      <c r="F772" s="3619"/>
      <c r="G772" s="3620"/>
      <c r="H772" s="3614" t="str">
        <f>IF(A770="","",INDEX(DIFFERENTIATION_UNMERGE_SYSTEM,MATCH(A770,DIFFERENTIATION_ID_DIFF,0)))</f>
        <v>Пушкина, 68а</v>
      </c>
      <c r="I772" s="3614"/>
      <c r="J772" s="3614"/>
      <c r="K772" s="3614"/>
      <c r="L772" s="3614"/>
      <c r="M772" s="3614"/>
      <c r="N772" s="3614"/>
      <c r="O772" s="3614"/>
      <c r="P772" s="3614"/>
      <c r="Q772" s="3614"/>
      <c r="R772" s="3614"/>
      <c r="S772" s="609"/>
      <c r="T772" s="606"/>
      <c r="U772" s="517"/>
      <c r="V772" s="517"/>
      <c r="W772" s="518"/>
      <c r="X772" s="518"/>
      <c r="Y772" s="518"/>
      <c r="Z772" s="518"/>
      <c r="AA772" s="519"/>
      <c r="AB772" s="520"/>
      <c r="AC772" s="3617"/>
      <c r="AD772" s="521"/>
      <c r="AE772" s="522"/>
      <c r="AF772" s="522"/>
      <c r="AG772" s="523"/>
      <c r="AH772" s="524"/>
      <c r="AI772" s="517"/>
      <c r="AJ772" s="517"/>
      <c r="AK772" s="517"/>
      <c r="AL772" s="517"/>
      <c r="AM772" s="517"/>
      <c r="AN772" s="517"/>
      <c r="AO772" s="517"/>
      <c r="AP772" s="517"/>
      <c r="AQ772" s="517"/>
      <c r="AR772" s="517"/>
      <c r="AS772" s="517"/>
      <c r="AT772" s="517"/>
      <c r="AU772" s="517"/>
      <c r="AV772" s="517"/>
      <c r="AW772" s="517"/>
      <c r="AX772" s="517"/>
      <c r="AY772" s="517"/>
      <c r="AZ772" s="517"/>
      <c r="BA772" s="517"/>
      <c r="BB772" s="517"/>
      <c r="BC772" s="517"/>
      <c r="BD772" s="517"/>
      <c r="BE772" s="517"/>
      <c r="BF772" s="517"/>
      <c r="BG772" s="517"/>
      <c r="BH772" s="517"/>
      <c r="BI772" s="517"/>
      <c r="BJ772" s="517"/>
      <c r="BK772" s="517"/>
      <c r="BL772" s="517"/>
      <c r="BM772" s="517"/>
      <c r="BN772" s="517"/>
      <c r="BO772" s="517"/>
      <c r="BP772" s="517"/>
      <c r="BQ772" s="517"/>
      <c r="BR772" s="517"/>
      <c r="BS772" s="517"/>
      <c r="BT772" s="517"/>
      <c r="BU772" s="517"/>
      <c r="BV772" s="518"/>
      <c r="BW772" s="518"/>
      <c r="BX772" s="518"/>
      <c r="BY772" s="518"/>
      <c r="BZ772" s="518"/>
      <c r="CA772" s="518"/>
      <c r="CB772" s="518"/>
      <c r="CC772" s="518"/>
      <c r="CD772" s="518"/>
      <c r="CE772" s="518"/>
    </row>
    <row r="773" spans="1:83" ht="24.75" hidden="1" customHeight="1">
      <c r="A773" s="1649"/>
      <c r="B773" s="1023"/>
      <c r="C773" s="319"/>
      <c r="D773" s="3622"/>
      <c r="E773" s="3616" t="s">
        <v>875</v>
      </c>
      <c r="F773" s="3616"/>
      <c r="G773" s="3616"/>
      <c r="H773" s="3616"/>
      <c r="I773" s="3616"/>
      <c r="J773" s="3616"/>
      <c r="K773" s="3616"/>
      <c r="L773" s="3616"/>
      <c r="M773" s="3616"/>
      <c r="N773" s="3616"/>
      <c r="O773" s="3616"/>
      <c r="P773" s="3616"/>
      <c r="Q773" s="455">
        <f>SUMIF(T774:T775,"i",Q774:Q775)</f>
        <v>0</v>
      </c>
      <c r="R773" s="887"/>
      <c r="S773" s="1641" t="s">
        <v>876</v>
      </c>
      <c r="T773" s="607" t="s">
        <v>877</v>
      </c>
      <c r="U773" s="3532">
        <v>1</v>
      </c>
      <c r="V773" s="3532" t="s">
        <v>840</v>
      </c>
      <c r="W773" s="1023"/>
      <c r="X773" s="1023"/>
      <c r="Y773" s="1023"/>
      <c r="Z773" s="1023"/>
      <c r="AA773" s="1481"/>
      <c r="AB773" s="1023"/>
      <c r="AC773" s="3617"/>
      <c r="AD773" s="521"/>
      <c r="AE773" s="1023"/>
      <c r="AF773" s="1023"/>
      <c r="AG773" s="1481"/>
      <c r="AH773" s="1481"/>
      <c r="AI773" s="1481"/>
      <c r="AJ773" s="1481"/>
      <c r="AK773" s="1481"/>
      <c r="AL773" s="1481"/>
      <c r="AM773" s="1481"/>
      <c r="AN773" s="1481"/>
      <c r="AO773" s="1481"/>
      <c r="AP773" s="1481"/>
      <c r="AQ773" s="1481"/>
      <c r="AR773" s="1481"/>
      <c r="AS773" s="1481"/>
      <c r="AT773" s="1481"/>
      <c r="AU773" s="1481"/>
      <c r="AV773" s="1481"/>
      <c r="AW773" s="1481"/>
      <c r="AX773" s="1481"/>
      <c r="AY773" s="1481"/>
      <c r="AZ773" s="1481"/>
      <c r="BA773" s="1481"/>
      <c r="BB773" s="1481"/>
      <c r="BC773" s="1481"/>
      <c r="BD773" s="1481"/>
      <c r="BE773" s="1481"/>
      <c r="BF773" s="1481"/>
      <c r="BG773" s="1481"/>
      <c r="BH773" s="1481"/>
      <c r="BI773" s="1481"/>
      <c r="BJ773" s="1481"/>
      <c r="BK773" s="1481"/>
      <c r="BL773" s="1481"/>
      <c r="BM773" s="1481"/>
      <c r="BN773" s="1481"/>
      <c r="BO773" s="1481"/>
      <c r="BP773" s="1481"/>
      <c r="BQ773" s="1481"/>
      <c r="BR773" s="1481"/>
      <c r="BS773" s="1481"/>
      <c r="BT773" s="1481"/>
      <c r="BU773" s="1481"/>
      <c r="BV773" s="1023"/>
      <c r="BW773" s="1023"/>
      <c r="BX773" s="1023"/>
      <c r="BY773" s="1023"/>
      <c r="BZ773" s="1023"/>
      <c r="CA773" s="1023"/>
      <c r="CB773" s="1023"/>
      <c r="CC773" s="1023"/>
      <c r="CD773" s="1023"/>
      <c r="CE773" s="1023"/>
    </row>
    <row r="774" spans="1:83" ht="11.25" hidden="1" customHeight="1">
      <c r="A774" s="1636"/>
      <c r="B774" s="1481"/>
      <c r="C774" s="1481"/>
      <c r="D774" s="3622"/>
      <c r="E774" s="527"/>
      <c r="F774" s="527">
        <v>0</v>
      </c>
      <c r="G774" s="527"/>
      <c r="H774" s="527"/>
      <c r="I774" s="527"/>
      <c r="J774" s="527"/>
      <c r="K774" s="527"/>
      <c r="L774" s="527"/>
      <c r="M774" s="527"/>
      <c r="N774" s="527"/>
      <c r="O774" s="527"/>
      <c r="P774" s="527"/>
      <c r="Q774" s="527"/>
      <c r="R774" s="527"/>
      <c r="S774" s="528"/>
      <c r="T774" s="608"/>
      <c r="U774" s="3532"/>
      <c r="V774" s="3532"/>
      <c r="W774" s="1481"/>
      <c r="X774" s="1481"/>
      <c r="Y774" s="1481"/>
      <c r="Z774" s="1481"/>
      <c r="AA774" s="1481"/>
      <c r="AB774" s="1023"/>
      <c r="AC774" s="3617"/>
      <c r="AD774" s="521"/>
      <c r="AE774" s="1023"/>
      <c r="AF774" s="1023"/>
      <c r="AG774" s="1481"/>
      <c r="AH774" s="1481"/>
      <c r="AI774" s="1481"/>
      <c r="AJ774" s="1481"/>
      <c r="AK774" s="1481"/>
      <c r="AL774" s="1481"/>
      <c r="AM774" s="1481"/>
      <c r="AN774" s="1481"/>
      <c r="AO774" s="1481"/>
      <c r="AP774" s="1481"/>
      <c r="AQ774" s="1481"/>
      <c r="AR774" s="1481"/>
      <c r="AS774" s="1481"/>
      <c r="AT774" s="1481"/>
      <c r="AU774" s="1481"/>
      <c r="AV774" s="1481"/>
      <c r="AW774" s="1481"/>
      <c r="AX774" s="1481"/>
      <c r="AY774" s="1481"/>
      <c r="AZ774" s="1481"/>
      <c r="BA774" s="1481"/>
      <c r="BB774" s="1481"/>
      <c r="BC774" s="1481"/>
      <c r="BD774" s="1481"/>
      <c r="BE774" s="1481"/>
      <c r="BF774" s="1481"/>
      <c r="BG774" s="1481"/>
      <c r="BH774" s="1481"/>
      <c r="BI774" s="1481"/>
      <c r="BJ774" s="1481"/>
      <c r="BK774" s="1481"/>
      <c r="BL774" s="1481"/>
      <c r="BM774" s="1481"/>
      <c r="BN774" s="1481"/>
      <c r="BO774" s="1481"/>
      <c r="BP774" s="1481"/>
      <c r="BQ774" s="1481"/>
      <c r="BR774" s="1481"/>
      <c r="BS774" s="1481"/>
      <c r="BT774" s="1481"/>
      <c r="BU774" s="1481"/>
      <c r="BV774" s="1481"/>
      <c r="BW774" s="1481"/>
      <c r="BX774" s="1481"/>
      <c r="BY774" s="1481"/>
      <c r="BZ774" s="1481"/>
      <c r="CA774" s="1481"/>
      <c r="CB774" s="1481"/>
      <c r="CC774" s="1481"/>
      <c r="CD774" s="1481"/>
      <c r="CE774" s="1481"/>
    </row>
    <row r="775" spans="1:83" ht="11.25" hidden="1" customHeight="1">
      <c r="A775" s="1649"/>
      <c r="B775" s="1023"/>
      <c r="C775" s="319"/>
      <c r="D775" s="3622"/>
      <c r="E775" s="541" t="s">
        <v>18</v>
      </c>
      <c r="F775" s="1031" t="s">
        <v>18</v>
      </c>
      <c r="G775" s="1031" t="s">
        <v>880</v>
      </c>
      <c r="H775" s="543" t="s">
        <v>18</v>
      </c>
      <c r="I775" s="543"/>
      <c r="J775" s="543"/>
      <c r="K775" s="543"/>
      <c r="L775" s="543"/>
      <c r="M775" s="543"/>
      <c r="N775" s="543"/>
      <c r="O775" s="543"/>
      <c r="P775" s="543"/>
      <c r="Q775" s="543"/>
      <c r="R775" s="544"/>
      <c r="S775" s="545"/>
      <c r="T775" s="608"/>
      <c r="U775" s="3532"/>
      <c r="V775" s="3532"/>
      <c r="W775" s="1023"/>
      <c r="X775" s="1023"/>
      <c r="Y775" s="1023"/>
      <c r="Z775" s="1023"/>
      <c r="AA775" s="1481"/>
      <c r="AB775" s="1023"/>
      <c r="AC775" s="3617"/>
      <c r="AD775" s="521"/>
      <c r="AE775" s="1023"/>
      <c r="AF775" s="1023"/>
      <c r="AG775" s="1481"/>
      <c r="AH775" s="1481"/>
      <c r="AI775" s="1481"/>
      <c r="AJ775" s="1481"/>
      <c r="AK775" s="1481"/>
      <c r="AL775" s="1481"/>
      <c r="AM775" s="1481"/>
      <c r="AN775" s="1481"/>
      <c r="AO775" s="1481"/>
      <c r="AP775" s="1481"/>
      <c r="AQ775" s="1481"/>
      <c r="AR775" s="1481"/>
      <c r="AS775" s="1481"/>
      <c r="AT775" s="1481"/>
      <c r="AU775" s="1481"/>
      <c r="AV775" s="1481"/>
      <c r="AW775" s="1481"/>
      <c r="AX775" s="1481"/>
      <c r="AY775" s="1481"/>
      <c r="AZ775" s="1481"/>
      <c r="BA775" s="1481"/>
      <c r="BB775" s="1481"/>
      <c r="BC775" s="1481"/>
      <c r="BD775" s="1481"/>
      <c r="BE775" s="1481"/>
      <c r="BF775" s="1481"/>
      <c r="BG775" s="1481"/>
      <c r="BH775" s="1481"/>
      <c r="BI775" s="1481"/>
      <c r="BJ775" s="1481"/>
      <c r="BK775" s="1481"/>
      <c r="BL775" s="1481"/>
      <c r="BM775" s="1481"/>
      <c r="BN775" s="1481"/>
      <c r="BO775" s="1481"/>
      <c r="BP775" s="1481"/>
      <c r="BQ775" s="1481"/>
      <c r="BR775" s="1481"/>
      <c r="BS775" s="1481"/>
      <c r="BT775" s="1481"/>
      <c r="BU775" s="1481"/>
      <c r="BV775" s="1023"/>
      <c r="BW775" s="1023"/>
      <c r="BX775" s="1023"/>
      <c r="BY775" s="1023"/>
      <c r="BZ775" s="1023"/>
      <c r="CA775" s="1023"/>
      <c r="CB775" s="1023"/>
      <c r="CC775" s="1023"/>
      <c r="CD775" s="1023"/>
      <c r="CE775" s="1023"/>
    </row>
    <row r="776" spans="1:83" ht="5.25" hidden="1" customHeight="1">
      <c r="A776" s="1636"/>
      <c r="B776" s="1481"/>
      <c r="C776" s="1481"/>
      <c r="D776" s="3622"/>
      <c r="E776" s="909"/>
      <c r="F776" s="909"/>
      <c r="G776" s="909"/>
      <c r="H776" s="909"/>
      <c r="I776" s="909"/>
      <c r="J776" s="909"/>
      <c r="K776" s="909"/>
      <c r="L776" s="909"/>
      <c r="M776" s="909"/>
      <c r="N776" s="909"/>
      <c r="O776" s="909"/>
      <c r="P776" s="909"/>
      <c r="Q776" s="910"/>
      <c r="R776" s="911"/>
      <c r="S776" s="912"/>
      <c r="T776" s="607" t="s">
        <v>877</v>
      </c>
      <c r="U776" s="3532">
        <v>1</v>
      </c>
      <c r="V776" s="3532" t="s">
        <v>840</v>
      </c>
      <c r="W776" s="1481"/>
      <c r="X776" s="1481"/>
      <c r="Y776" s="1481"/>
      <c r="Z776" s="1481"/>
      <c r="AA776" s="1481"/>
      <c r="AB776" s="1481"/>
      <c r="AC776" s="907"/>
      <c r="AD776" s="908"/>
      <c r="AE776" s="1481"/>
      <c r="AF776" s="1481"/>
      <c r="AG776" s="1481"/>
      <c r="AH776" s="1481"/>
      <c r="AI776" s="1481"/>
      <c r="AJ776" s="1481"/>
      <c r="AK776" s="1481"/>
      <c r="AL776" s="1481"/>
      <c r="AM776" s="1481"/>
      <c r="AN776" s="1481"/>
      <c r="AO776" s="1481"/>
      <c r="AP776" s="1481"/>
      <c r="AQ776" s="1481"/>
      <c r="AR776" s="1481"/>
      <c r="AS776" s="1481"/>
      <c r="AT776" s="1481"/>
      <c r="AU776" s="1481"/>
      <c r="AV776" s="1481"/>
      <c r="AW776" s="1481"/>
      <c r="AX776" s="1481"/>
      <c r="AY776" s="1481"/>
      <c r="AZ776" s="1481"/>
      <c r="BA776" s="1481"/>
      <c r="BB776" s="1481"/>
      <c r="BC776" s="1481"/>
      <c r="BD776" s="1481"/>
      <c r="BE776" s="1481"/>
      <c r="BF776" s="1481"/>
      <c r="BG776" s="1481"/>
      <c r="BH776" s="1481"/>
      <c r="BI776" s="1481"/>
      <c r="BJ776" s="1481"/>
      <c r="BK776" s="1481"/>
      <c r="BL776" s="1481"/>
      <c r="BM776" s="1481"/>
      <c r="BN776" s="1481"/>
      <c r="BO776" s="1481"/>
      <c r="BP776" s="1481"/>
      <c r="BQ776" s="1481"/>
      <c r="BR776" s="1481"/>
      <c r="BS776" s="1481"/>
      <c r="BT776" s="1481"/>
      <c r="BU776" s="1481"/>
      <c r="BV776" s="1481"/>
      <c r="BW776" s="1481"/>
      <c r="BX776" s="1481"/>
      <c r="BY776" s="1481"/>
      <c r="BZ776" s="1481"/>
      <c r="CA776" s="1481"/>
      <c r="CB776" s="1481"/>
      <c r="CC776" s="1481"/>
      <c r="CD776" s="1481"/>
      <c r="CE776" s="1481"/>
    </row>
    <row r="777" spans="1:83" ht="5.25" hidden="1" customHeight="1">
      <c r="A777" s="1636"/>
      <c r="B777" s="1481"/>
      <c r="C777" s="1481"/>
      <c r="D777" s="3622"/>
      <c r="E777" s="527"/>
      <c r="F777" s="527"/>
      <c r="G777" s="527"/>
      <c r="H777" s="527"/>
      <c r="I777" s="527"/>
      <c r="J777" s="527"/>
      <c r="K777" s="527"/>
      <c r="L777" s="527"/>
      <c r="M777" s="527"/>
      <c r="N777" s="527"/>
      <c r="O777" s="527"/>
      <c r="P777" s="527"/>
      <c r="Q777" s="527"/>
      <c r="R777" s="527"/>
      <c r="S777" s="528"/>
      <c r="T777" s="608"/>
      <c r="U777" s="3532"/>
      <c r="V777" s="3532"/>
      <c r="W777" s="1481"/>
      <c r="X777" s="1481"/>
      <c r="Y777" s="1481"/>
      <c r="Z777" s="1481"/>
      <c r="AA777" s="1481"/>
      <c r="AB777" s="1481"/>
      <c r="AC777" s="907"/>
      <c r="AD777" s="908"/>
      <c r="AE777" s="1481"/>
      <c r="AF777" s="1481"/>
      <c r="AG777" s="1481"/>
      <c r="AH777" s="1481"/>
      <c r="AI777" s="1481"/>
      <c r="AJ777" s="1481"/>
      <c r="AK777" s="1481"/>
      <c r="AL777" s="1481"/>
      <c r="AM777" s="1481"/>
      <c r="AN777" s="1481"/>
      <c r="AO777" s="1481"/>
      <c r="AP777" s="1481"/>
      <c r="AQ777" s="1481"/>
      <c r="AR777" s="1481"/>
      <c r="AS777" s="1481"/>
      <c r="AT777" s="1481"/>
      <c r="AU777" s="1481"/>
      <c r="AV777" s="1481"/>
      <c r="AW777" s="1481"/>
      <c r="AX777" s="1481"/>
      <c r="AY777" s="1481"/>
      <c r="AZ777" s="1481"/>
      <c r="BA777" s="1481"/>
      <c r="BB777" s="1481"/>
      <c r="BC777" s="1481"/>
      <c r="BD777" s="1481"/>
      <c r="BE777" s="1481"/>
      <c r="BF777" s="1481"/>
      <c r="BG777" s="1481"/>
      <c r="BH777" s="1481"/>
      <c r="BI777" s="1481"/>
      <c r="BJ777" s="1481"/>
      <c r="BK777" s="1481"/>
      <c r="BL777" s="1481"/>
      <c r="BM777" s="1481"/>
      <c r="BN777" s="1481"/>
      <c r="BO777" s="1481"/>
      <c r="BP777" s="1481"/>
      <c r="BQ777" s="1481"/>
      <c r="BR777" s="1481"/>
      <c r="BS777" s="1481"/>
      <c r="BT777" s="1481"/>
      <c r="BU777" s="1481"/>
      <c r="BV777" s="1481"/>
      <c r="BW777" s="1481"/>
      <c r="BX777" s="1481"/>
      <c r="BY777" s="1481"/>
      <c r="BZ777" s="1481"/>
      <c r="CA777" s="1481"/>
      <c r="CB777" s="1481"/>
      <c r="CC777" s="1481"/>
      <c r="CD777" s="1481"/>
      <c r="CE777" s="1481"/>
    </row>
    <row r="778" spans="1:83" ht="5.25" hidden="1" customHeight="1">
      <c r="A778" s="1636"/>
      <c r="B778" s="1481"/>
      <c r="C778" s="1481"/>
      <c r="D778" s="3623"/>
      <c r="E778" s="913"/>
      <c r="F778" s="914"/>
      <c r="G778" s="914"/>
      <c r="H778" s="915"/>
      <c r="I778" s="915"/>
      <c r="J778" s="915"/>
      <c r="K778" s="915"/>
      <c r="L778" s="915"/>
      <c r="M778" s="915"/>
      <c r="N778" s="915"/>
      <c r="O778" s="915"/>
      <c r="P778" s="915"/>
      <c r="Q778" s="915"/>
      <c r="R778" s="818"/>
      <c r="S778" s="916"/>
      <c r="T778" s="608"/>
      <c r="U778" s="3532"/>
      <c r="V778" s="3532"/>
      <c r="W778" s="1481"/>
      <c r="X778" s="1481"/>
      <c r="Y778" s="1481"/>
      <c r="Z778" s="1481"/>
      <c r="AA778" s="1481"/>
      <c r="AB778" s="1481"/>
      <c r="AC778" s="907"/>
      <c r="AD778" s="908"/>
      <c r="AE778" s="1481"/>
      <c r="AF778" s="1481"/>
      <c r="AG778" s="1481"/>
      <c r="AH778" s="1481"/>
      <c r="AI778" s="1481"/>
      <c r="AJ778" s="1481"/>
      <c r="AK778" s="1481"/>
      <c r="AL778" s="1481"/>
      <c r="AM778" s="1481"/>
      <c r="AN778" s="1481"/>
      <c r="AO778" s="1481"/>
      <c r="AP778" s="1481"/>
      <c r="AQ778" s="1481"/>
      <c r="AR778" s="1481"/>
      <c r="AS778" s="1481"/>
      <c r="AT778" s="1481"/>
      <c r="AU778" s="1481"/>
      <c r="AV778" s="1481"/>
      <c r="AW778" s="1481"/>
      <c r="AX778" s="1481"/>
      <c r="AY778" s="1481"/>
      <c r="AZ778" s="1481"/>
      <c r="BA778" s="1481"/>
      <c r="BB778" s="1481"/>
      <c r="BC778" s="1481"/>
      <c r="BD778" s="1481"/>
      <c r="BE778" s="1481"/>
      <c r="BF778" s="1481"/>
      <c r="BG778" s="1481"/>
      <c r="BH778" s="1481"/>
      <c r="BI778" s="1481"/>
      <c r="BJ778" s="1481"/>
      <c r="BK778" s="1481"/>
      <c r="BL778" s="1481"/>
      <c r="BM778" s="1481"/>
      <c r="BN778" s="1481"/>
      <c r="BO778" s="1481"/>
      <c r="BP778" s="1481"/>
      <c r="BQ778" s="1481"/>
      <c r="BR778" s="1481"/>
      <c r="BS778" s="1481"/>
      <c r="BT778" s="1481"/>
      <c r="BU778" s="1481"/>
      <c r="BV778" s="1481"/>
      <c r="BW778" s="1481"/>
      <c r="BX778" s="1481"/>
      <c r="BY778" s="1481"/>
      <c r="BZ778" s="1481"/>
      <c r="CA778" s="1481"/>
      <c r="CB778" s="1481"/>
      <c r="CC778" s="1481"/>
      <c r="CD778" s="1481"/>
      <c r="CE778" s="1481"/>
    </row>
    <row r="779" spans="1:83" ht="15" hidden="1" customHeight="1">
      <c r="A779" s="516" t="s">
        <v>365</v>
      </c>
      <c r="B779"/>
      <c r="C779" t="s">
        <v>18</v>
      </c>
      <c r="D779" s="3621" t="s">
        <v>964</v>
      </c>
      <c r="E779" s="3618" t="s">
        <v>102</v>
      </c>
      <c r="F779" s="3619"/>
      <c r="G779" s="3620"/>
      <c r="H779" s="3614" t="str">
        <f>IF(A779="","",INDEX(DIFFERENTIATION_UNMERGE_VD,MATCH(A779,DIFFERENTIATION_ID_DIFF,0)))</f>
        <v>Производство тепловой энергии. Некомбинированная выработка</v>
      </c>
      <c r="I779" s="3614"/>
      <c r="J779" s="3614"/>
      <c r="K779" s="3614"/>
      <c r="L779" s="3614"/>
      <c r="M779" s="3614"/>
      <c r="N779" s="3614"/>
      <c r="O779" s="3614"/>
      <c r="P779" s="3614"/>
      <c r="Q779" s="3614"/>
      <c r="R779" s="3614"/>
      <c r="S779" s="609"/>
      <c r="T779" s="606"/>
      <c r="U779" s="517"/>
      <c r="V779" s="517"/>
      <c r="W779" s="518"/>
      <c r="X779" s="518"/>
      <c r="Y779" s="518"/>
      <c r="Z779" s="518"/>
      <c r="AA779" s="519"/>
      <c r="AB779" s="520"/>
      <c r="AC779" s="3617"/>
      <c r="AD779" s="521"/>
      <c r="AE779" s="522" t="s">
        <v>18</v>
      </c>
      <c r="AF779" s="522"/>
      <c r="AG779" s="523" t="s">
        <v>874</v>
      </c>
      <c r="AH779" s="524">
        <v>3</v>
      </c>
      <c r="AI779" s="517"/>
      <c r="AJ779" s="517"/>
      <c r="AK779" s="517"/>
      <c r="AL779" s="517"/>
      <c r="AM779" s="517"/>
      <c r="AN779" s="517"/>
      <c r="AO779" s="517"/>
      <c r="AP779" s="517"/>
      <c r="AQ779" s="517"/>
      <c r="AR779" s="517"/>
      <c r="AS779" s="517"/>
      <c r="AT779" s="517"/>
      <c r="AU779" s="517"/>
      <c r="AV779" s="517"/>
      <c r="AW779" s="517"/>
      <c r="AX779" s="517"/>
      <c r="AY779" s="517"/>
      <c r="AZ779" s="517"/>
      <c r="BA779" s="517"/>
      <c r="BB779" s="517"/>
      <c r="BC779" s="517"/>
      <c r="BD779" s="517"/>
      <c r="BE779" s="517"/>
      <c r="BF779" s="517"/>
      <c r="BG779" s="517"/>
      <c r="BH779" s="517"/>
      <c r="BI779" s="517"/>
      <c r="BJ779" s="517"/>
      <c r="BK779" s="517"/>
      <c r="BL779" s="517"/>
      <c r="BM779" s="517"/>
      <c r="BN779" s="517"/>
      <c r="BO779" s="517"/>
      <c r="BP779" s="517"/>
      <c r="BQ779" s="517"/>
      <c r="BR779" s="517"/>
      <c r="BS779" s="517"/>
      <c r="BT779" s="517"/>
      <c r="BU779" s="517"/>
      <c r="BV779" s="518"/>
      <c r="BW779" s="518"/>
      <c r="BX779" s="518"/>
      <c r="BY779" s="518"/>
      <c r="BZ779" s="518"/>
      <c r="CA779" s="518"/>
      <c r="CB779" s="518"/>
      <c r="CC779" s="518"/>
      <c r="CD779" s="518"/>
      <c r="CE779" s="518"/>
    </row>
    <row r="780" spans="1:83" ht="15" hidden="1" customHeight="1">
      <c r="A780" s="516"/>
      <c r="B780"/>
      <c r="C780"/>
      <c r="D780" s="3622"/>
      <c r="E780" s="3618" t="s">
        <v>829</v>
      </c>
      <c r="F780" s="3619"/>
      <c r="G780" s="3620"/>
      <c r="H780" s="3614" t="str">
        <f>IF(A779="","",INDEX(DIFFERENTIATION_UNMERGE_AREA,MATCH(A779,DIFFERENTIATION_ID_DIFF,0)))</f>
        <v>Территория 1</v>
      </c>
      <c r="I780" s="3614"/>
      <c r="J780" s="3614"/>
      <c r="K780" s="3614"/>
      <c r="L780" s="3614"/>
      <c r="M780" s="3614"/>
      <c r="N780" s="3614"/>
      <c r="O780" s="3614"/>
      <c r="P780" s="3614"/>
      <c r="Q780" s="3614"/>
      <c r="R780" s="3614"/>
      <c r="S780" s="609"/>
      <c r="T780" s="606"/>
      <c r="U780" s="517"/>
      <c r="V780" s="517"/>
      <c r="W780" s="518"/>
      <c r="X780" s="518"/>
      <c r="Y780" s="518"/>
      <c r="Z780" s="518"/>
      <c r="AA780" s="519"/>
      <c r="AB780" s="520"/>
      <c r="AC780" s="3617"/>
      <c r="AD780" s="521"/>
      <c r="AE780" s="522"/>
      <c r="AF780" s="522"/>
      <c r="AG780" s="523"/>
      <c r="AH780" s="524"/>
      <c r="AI780" s="517"/>
      <c r="AJ780" s="517"/>
      <c r="AK780" s="517"/>
      <c r="AL780" s="517"/>
      <c r="AM780" s="517"/>
      <c r="AN780" s="517"/>
      <c r="AO780" s="517"/>
      <c r="AP780" s="517"/>
      <c r="AQ780" s="517"/>
      <c r="AR780" s="517"/>
      <c r="AS780" s="517"/>
      <c r="AT780" s="517"/>
      <c r="AU780" s="517"/>
      <c r="AV780" s="517"/>
      <c r="AW780" s="517"/>
      <c r="AX780" s="517"/>
      <c r="AY780" s="517"/>
      <c r="AZ780" s="517"/>
      <c r="BA780" s="517"/>
      <c r="BB780" s="517"/>
      <c r="BC780" s="517"/>
      <c r="BD780" s="517"/>
      <c r="BE780" s="517"/>
      <c r="BF780" s="517"/>
      <c r="BG780" s="517"/>
      <c r="BH780" s="517"/>
      <c r="BI780" s="517"/>
      <c r="BJ780" s="517"/>
      <c r="BK780" s="517"/>
      <c r="BL780" s="517"/>
      <c r="BM780" s="517"/>
      <c r="BN780" s="517"/>
      <c r="BO780" s="517"/>
      <c r="BP780" s="517"/>
      <c r="BQ780" s="517"/>
      <c r="BR780" s="517"/>
      <c r="BS780" s="517"/>
      <c r="BT780" s="517"/>
      <c r="BU780" s="517"/>
      <c r="BV780" s="518"/>
      <c r="BW780" s="518"/>
      <c r="BX780" s="518"/>
      <c r="BY780" s="518"/>
      <c r="BZ780" s="518"/>
      <c r="CA780" s="518"/>
      <c r="CB780" s="518"/>
      <c r="CC780" s="518"/>
      <c r="CD780" s="518"/>
      <c r="CE780" s="518"/>
    </row>
    <row r="781" spans="1:83" ht="15" hidden="1" customHeight="1">
      <c r="A781" s="516"/>
      <c r="B781"/>
      <c r="C781"/>
      <c r="D781" s="3622"/>
      <c r="E781" s="3618" t="s">
        <v>830</v>
      </c>
      <c r="F781" s="3619"/>
      <c r="G781" s="3620"/>
      <c r="H781" s="3614" t="str">
        <f>IF(A779="","",INDEX(DIFFERENTIATION_UNMERGE_SYSTEM,MATCH(A779,DIFFERENTIATION_ID_DIFF,0)))</f>
        <v>Ст. Разина, 11б</v>
      </c>
      <c r="I781" s="3614"/>
      <c r="J781" s="3614"/>
      <c r="K781" s="3614"/>
      <c r="L781" s="3614"/>
      <c r="M781" s="3614"/>
      <c r="N781" s="3614"/>
      <c r="O781" s="3614"/>
      <c r="P781" s="3614"/>
      <c r="Q781" s="3614"/>
      <c r="R781" s="3614"/>
      <c r="S781" s="609"/>
      <c r="T781" s="606"/>
      <c r="U781" s="517"/>
      <c r="V781" s="517"/>
      <c r="W781" s="518"/>
      <c r="X781" s="518"/>
      <c r="Y781" s="518"/>
      <c r="Z781" s="518"/>
      <c r="AA781" s="519"/>
      <c r="AB781" s="520"/>
      <c r="AC781" s="3617"/>
      <c r="AD781" s="521"/>
      <c r="AE781" s="522"/>
      <c r="AF781" s="522"/>
      <c r="AG781" s="523"/>
      <c r="AH781" s="524"/>
      <c r="AI781" s="517"/>
      <c r="AJ781" s="517"/>
      <c r="AK781" s="517"/>
      <c r="AL781" s="517"/>
      <c r="AM781" s="517"/>
      <c r="AN781" s="517"/>
      <c r="AO781" s="517"/>
      <c r="AP781" s="517"/>
      <c r="AQ781" s="517"/>
      <c r="AR781" s="517"/>
      <c r="AS781" s="517"/>
      <c r="AT781" s="517"/>
      <c r="AU781" s="517"/>
      <c r="AV781" s="517"/>
      <c r="AW781" s="517"/>
      <c r="AX781" s="517"/>
      <c r="AY781" s="517"/>
      <c r="AZ781" s="517"/>
      <c r="BA781" s="517"/>
      <c r="BB781" s="517"/>
      <c r="BC781" s="517"/>
      <c r="BD781" s="517"/>
      <c r="BE781" s="517"/>
      <c r="BF781" s="517"/>
      <c r="BG781" s="517"/>
      <c r="BH781" s="517"/>
      <c r="BI781" s="517"/>
      <c r="BJ781" s="517"/>
      <c r="BK781" s="517"/>
      <c r="BL781" s="517"/>
      <c r="BM781" s="517"/>
      <c r="BN781" s="517"/>
      <c r="BO781" s="517"/>
      <c r="BP781" s="517"/>
      <c r="BQ781" s="517"/>
      <c r="BR781" s="517"/>
      <c r="BS781" s="517"/>
      <c r="BT781" s="517"/>
      <c r="BU781" s="517"/>
      <c r="BV781" s="518"/>
      <c r="BW781" s="518"/>
      <c r="BX781" s="518"/>
      <c r="BY781" s="518"/>
      <c r="BZ781" s="518"/>
      <c r="CA781" s="518"/>
      <c r="CB781" s="518"/>
      <c r="CC781" s="518"/>
      <c r="CD781" s="518"/>
      <c r="CE781" s="518"/>
    </row>
    <row r="782" spans="1:83" ht="24.75" hidden="1" customHeight="1">
      <c r="A782" s="1649"/>
      <c r="B782" s="1023"/>
      <c r="C782" s="319"/>
      <c r="D782" s="3622"/>
      <c r="E782" s="3616" t="s">
        <v>875</v>
      </c>
      <c r="F782" s="3616"/>
      <c r="G782" s="3616"/>
      <c r="H782" s="3616"/>
      <c r="I782" s="3616"/>
      <c r="J782" s="3616"/>
      <c r="K782" s="3616"/>
      <c r="L782" s="3616"/>
      <c r="M782" s="3616"/>
      <c r="N782" s="3616"/>
      <c r="O782" s="3616"/>
      <c r="P782" s="3616"/>
      <c r="Q782" s="455">
        <f>SUMIF(T783:T784,"i",Q783:Q784)</f>
        <v>0</v>
      </c>
      <c r="R782" s="887"/>
      <c r="S782" s="1641" t="s">
        <v>876</v>
      </c>
      <c r="T782" s="607" t="s">
        <v>877</v>
      </c>
      <c r="U782" s="3532">
        <v>1</v>
      </c>
      <c r="V782" s="3532" t="s">
        <v>840</v>
      </c>
      <c r="W782" s="1023"/>
      <c r="X782" s="1023"/>
      <c r="Y782" s="1023"/>
      <c r="Z782" s="1023"/>
      <c r="AA782" s="1481"/>
      <c r="AB782" s="1023"/>
      <c r="AC782" s="3617"/>
      <c r="AD782" s="521"/>
      <c r="AE782" s="1023"/>
      <c r="AF782" s="1023"/>
      <c r="AG782" s="1481"/>
      <c r="AH782" s="1481"/>
      <c r="AI782" s="1481"/>
      <c r="AJ782" s="1481"/>
      <c r="AK782" s="1481"/>
      <c r="AL782" s="1481"/>
      <c r="AM782" s="1481"/>
      <c r="AN782" s="1481"/>
      <c r="AO782" s="1481"/>
      <c r="AP782" s="1481"/>
      <c r="AQ782" s="1481"/>
      <c r="AR782" s="1481"/>
      <c r="AS782" s="1481"/>
      <c r="AT782" s="1481"/>
      <c r="AU782" s="1481"/>
      <c r="AV782" s="1481"/>
      <c r="AW782" s="1481"/>
      <c r="AX782" s="1481"/>
      <c r="AY782" s="1481"/>
      <c r="AZ782" s="1481"/>
      <c r="BA782" s="1481"/>
      <c r="BB782" s="1481"/>
      <c r="BC782" s="1481"/>
      <c r="BD782" s="1481"/>
      <c r="BE782" s="1481"/>
      <c r="BF782" s="1481"/>
      <c r="BG782" s="1481"/>
      <c r="BH782" s="1481"/>
      <c r="BI782" s="1481"/>
      <c r="BJ782" s="1481"/>
      <c r="BK782" s="1481"/>
      <c r="BL782" s="1481"/>
      <c r="BM782" s="1481"/>
      <c r="BN782" s="1481"/>
      <c r="BO782" s="1481"/>
      <c r="BP782" s="1481"/>
      <c r="BQ782" s="1481"/>
      <c r="BR782" s="1481"/>
      <c r="BS782" s="1481"/>
      <c r="BT782" s="1481"/>
      <c r="BU782" s="1481"/>
      <c r="BV782" s="1023"/>
      <c r="BW782" s="1023"/>
      <c r="BX782" s="1023"/>
      <c r="BY782" s="1023"/>
      <c r="BZ782" s="1023"/>
      <c r="CA782" s="1023"/>
      <c r="CB782" s="1023"/>
      <c r="CC782" s="1023"/>
      <c r="CD782" s="1023"/>
      <c r="CE782" s="1023"/>
    </row>
    <row r="783" spans="1:83" ht="11.25" hidden="1" customHeight="1">
      <c r="A783" s="1636"/>
      <c r="B783" s="1481"/>
      <c r="C783" s="1481"/>
      <c r="D783" s="3622"/>
      <c r="E783" s="527"/>
      <c r="F783" s="527">
        <v>0</v>
      </c>
      <c r="G783" s="527"/>
      <c r="H783" s="527"/>
      <c r="I783" s="527"/>
      <c r="J783" s="527"/>
      <c r="K783" s="527"/>
      <c r="L783" s="527"/>
      <c r="M783" s="527"/>
      <c r="N783" s="527"/>
      <c r="O783" s="527"/>
      <c r="P783" s="527"/>
      <c r="Q783" s="527"/>
      <c r="R783" s="527"/>
      <c r="S783" s="528"/>
      <c r="T783" s="608"/>
      <c r="U783" s="3532"/>
      <c r="V783" s="3532"/>
      <c r="W783" s="1481"/>
      <c r="X783" s="1481"/>
      <c r="Y783" s="1481"/>
      <c r="Z783" s="1481"/>
      <c r="AA783" s="1481"/>
      <c r="AB783" s="1023"/>
      <c r="AC783" s="3617"/>
      <c r="AD783" s="521"/>
      <c r="AE783" s="1023"/>
      <c r="AF783" s="1023"/>
      <c r="AG783" s="1481"/>
      <c r="AH783" s="1481"/>
      <c r="AI783" s="1481"/>
      <c r="AJ783" s="1481"/>
      <c r="AK783" s="1481"/>
      <c r="AL783" s="1481"/>
      <c r="AM783" s="1481"/>
      <c r="AN783" s="1481"/>
      <c r="AO783" s="1481"/>
      <c r="AP783" s="1481"/>
      <c r="AQ783" s="1481"/>
      <c r="AR783" s="1481"/>
      <c r="AS783" s="1481"/>
      <c r="AT783" s="1481"/>
      <c r="AU783" s="1481"/>
      <c r="AV783" s="1481"/>
      <c r="AW783" s="1481"/>
      <c r="AX783" s="1481"/>
      <c r="AY783" s="1481"/>
      <c r="AZ783" s="1481"/>
      <c r="BA783" s="1481"/>
      <c r="BB783" s="1481"/>
      <c r="BC783" s="1481"/>
      <c r="BD783" s="1481"/>
      <c r="BE783" s="1481"/>
      <c r="BF783" s="1481"/>
      <c r="BG783" s="1481"/>
      <c r="BH783" s="1481"/>
      <c r="BI783" s="1481"/>
      <c r="BJ783" s="1481"/>
      <c r="BK783" s="1481"/>
      <c r="BL783" s="1481"/>
      <c r="BM783" s="1481"/>
      <c r="BN783" s="1481"/>
      <c r="BO783" s="1481"/>
      <c r="BP783" s="1481"/>
      <c r="BQ783" s="1481"/>
      <c r="BR783" s="1481"/>
      <c r="BS783" s="1481"/>
      <c r="BT783" s="1481"/>
      <c r="BU783" s="1481"/>
      <c r="BV783" s="1481"/>
      <c r="BW783" s="1481"/>
      <c r="BX783" s="1481"/>
      <c r="BY783" s="1481"/>
      <c r="BZ783" s="1481"/>
      <c r="CA783" s="1481"/>
      <c r="CB783" s="1481"/>
      <c r="CC783" s="1481"/>
      <c r="CD783" s="1481"/>
      <c r="CE783" s="1481"/>
    </row>
    <row r="784" spans="1:83" ht="11.25" hidden="1" customHeight="1">
      <c r="A784" s="1649"/>
      <c r="B784" s="1023"/>
      <c r="C784" s="319"/>
      <c r="D784" s="3622"/>
      <c r="E784" s="541" t="s">
        <v>18</v>
      </c>
      <c r="F784" s="1031" t="s">
        <v>18</v>
      </c>
      <c r="G784" s="1031" t="s">
        <v>880</v>
      </c>
      <c r="H784" s="543" t="s">
        <v>18</v>
      </c>
      <c r="I784" s="543"/>
      <c r="J784" s="543"/>
      <c r="K784" s="543"/>
      <c r="L784" s="543"/>
      <c r="M784" s="543"/>
      <c r="N784" s="543"/>
      <c r="O784" s="543"/>
      <c r="P784" s="543"/>
      <c r="Q784" s="543"/>
      <c r="R784" s="544"/>
      <c r="S784" s="545"/>
      <c r="T784" s="608"/>
      <c r="U784" s="3532"/>
      <c r="V784" s="3532"/>
      <c r="W784" s="1023"/>
      <c r="X784" s="1023"/>
      <c r="Y784" s="1023"/>
      <c r="Z784" s="1023"/>
      <c r="AA784" s="1481"/>
      <c r="AB784" s="1023"/>
      <c r="AC784" s="3617"/>
      <c r="AD784" s="521"/>
      <c r="AE784" s="1023"/>
      <c r="AF784" s="1023"/>
      <c r="AG784" s="1481"/>
      <c r="AH784" s="1481"/>
      <c r="AI784" s="1481"/>
      <c r="AJ784" s="1481"/>
      <c r="AK784" s="1481"/>
      <c r="AL784" s="1481"/>
      <c r="AM784" s="1481"/>
      <c r="AN784" s="1481"/>
      <c r="AO784" s="1481"/>
      <c r="AP784" s="1481"/>
      <c r="AQ784" s="1481"/>
      <c r="AR784" s="1481"/>
      <c r="AS784" s="1481"/>
      <c r="AT784" s="1481"/>
      <c r="AU784" s="1481"/>
      <c r="AV784" s="1481"/>
      <c r="AW784" s="1481"/>
      <c r="AX784" s="1481"/>
      <c r="AY784" s="1481"/>
      <c r="AZ784" s="1481"/>
      <c r="BA784" s="1481"/>
      <c r="BB784" s="1481"/>
      <c r="BC784" s="1481"/>
      <c r="BD784" s="1481"/>
      <c r="BE784" s="1481"/>
      <c r="BF784" s="1481"/>
      <c r="BG784" s="1481"/>
      <c r="BH784" s="1481"/>
      <c r="BI784" s="1481"/>
      <c r="BJ784" s="1481"/>
      <c r="BK784" s="1481"/>
      <c r="BL784" s="1481"/>
      <c r="BM784" s="1481"/>
      <c r="BN784" s="1481"/>
      <c r="BO784" s="1481"/>
      <c r="BP784" s="1481"/>
      <c r="BQ784" s="1481"/>
      <c r="BR784" s="1481"/>
      <c r="BS784" s="1481"/>
      <c r="BT784" s="1481"/>
      <c r="BU784" s="1481"/>
      <c r="BV784" s="1023"/>
      <c r="BW784" s="1023"/>
      <c r="BX784" s="1023"/>
      <c r="BY784" s="1023"/>
      <c r="BZ784" s="1023"/>
      <c r="CA784" s="1023"/>
      <c r="CB784" s="1023"/>
      <c r="CC784" s="1023"/>
      <c r="CD784" s="1023"/>
      <c r="CE784" s="1023"/>
    </row>
    <row r="785" spans="1:83" ht="5.25" hidden="1" customHeight="1">
      <c r="A785" s="1636"/>
      <c r="B785" s="1481"/>
      <c r="C785" s="1481"/>
      <c r="D785" s="3622"/>
      <c r="E785" s="909"/>
      <c r="F785" s="909"/>
      <c r="G785" s="909"/>
      <c r="H785" s="909"/>
      <c r="I785" s="909"/>
      <c r="J785" s="909"/>
      <c r="K785" s="909"/>
      <c r="L785" s="909"/>
      <c r="M785" s="909"/>
      <c r="N785" s="909"/>
      <c r="O785" s="909"/>
      <c r="P785" s="909"/>
      <c r="Q785" s="910"/>
      <c r="R785" s="911"/>
      <c r="S785" s="912"/>
      <c r="T785" s="607" t="s">
        <v>877</v>
      </c>
      <c r="U785" s="3532">
        <v>1</v>
      </c>
      <c r="V785" s="3532" t="s">
        <v>840</v>
      </c>
      <c r="W785" s="1481"/>
      <c r="X785" s="1481"/>
      <c r="Y785" s="1481"/>
      <c r="Z785" s="1481"/>
      <c r="AA785" s="1481"/>
      <c r="AB785" s="1481"/>
      <c r="AC785" s="907"/>
      <c r="AD785" s="908"/>
      <c r="AE785" s="1481"/>
      <c r="AF785" s="1481"/>
      <c r="AG785" s="1481"/>
      <c r="AH785" s="1481"/>
      <c r="AI785" s="1481"/>
      <c r="AJ785" s="1481"/>
      <c r="AK785" s="1481"/>
      <c r="AL785" s="1481"/>
      <c r="AM785" s="1481"/>
      <c r="AN785" s="1481"/>
      <c r="AO785" s="1481"/>
      <c r="AP785" s="1481"/>
      <c r="AQ785" s="1481"/>
      <c r="AR785" s="1481"/>
      <c r="AS785" s="1481"/>
      <c r="AT785" s="1481"/>
      <c r="AU785" s="1481"/>
      <c r="AV785" s="1481"/>
      <c r="AW785" s="1481"/>
      <c r="AX785" s="1481"/>
      <c r="AY785" s="1481"/>
      <c r="AZ785" s="1481"/>
      <c r="BA785" s="1481"/>
      <c r="BB785" s="1481"/>
      <c r="BC785" s="1481"/>
      <c r="BD785" s="1481"/>
      <c r="BE785" s="1481"/>
      <c r="BF785" s="1481"/>
      <c r="BG785" s="1481"/>
      <c r="BH785" s="1481"/>
      <c r="BI785" s="1481"/>
      <c r="BJ785" s="1481"/>
      <c r="BK785" s="1481"/>
      <c r="BL785" s="1481"/>
      <c r="BM785" s="1481"/>
      <c r="BN785" s="1481"/>
      <c r="BO785" s="1481"/>
      <c r="BP785" s="1481"/>
      <c r="BQ785" s="1481"/>
      <c r="BR785" s="1481"/>
      <c r="BS785" s="1481"/>
      <c r="BT785" s="1481"/>
      <c r="BU785" s="1481"/>
      <c r="BV785" s="1481"/>
      <c r="BW785" s="1481"/>
      <c r="BX785" s="1481"/>
      <c r="BY785" s="1481"/>
      <c r="BZ785" s="1481"/>
      <c r="CA785" s="1481"/>
      <c r="CB785" s="1481"/>
      <c r="CC785" s="1481"/>
      <c r="CD785" s="1481"/>
      <c r="CE785" s="1481"/>
    </row>
    <row r="786" spans="1:83" ht="5.25" hidden="1" customHeight="1">
      <c r="A786" s="1636"/>
      <c r="B786" s="1481"/>
      <c r="C786" s="1481"/>
      <c r="D786" s="3622"/>
      <c r="E786" s="527"/>
      <c r="F786" s="527"/>
      <c r="G786" s="527"/>
      <c r="H786" s="527"/>
      <c r="I786" s="527"/>
      <c r="J786" s="527"/>
      <c r="K786" s="527"/>
      <c r="L786" s="527"/>
      <c r="M786" s="527"/>
      <c r="N786" s="527"/>
      <c r="O786" s="527"/>
      <c r="P786" s="527"/>
      <c r="Q786" s="527"/>
      <c r="R786" s="527"/>
      <c r="S786" s="528"/>
      <c r="T786" s="608"/>
      <c r="U786" s="3532"/>
      <c r="V786" s="3532"/>
      <c r="W786" s="1481"/>
      <c r="X786" s="1481"/>
      <c r="Y786" s="1481"/>
      <c r="Z786" s="1481"/>
      <c r="AA786" s="1481"/>
      <c r="AB786" s="1481"/>
      <c r="AC786" s="907"/>
      <c r="AD786" s="908"/>
      <c r="AE786" s="1481"/>
      <c r="AF786" s="1481"/>
      <c r="AG786" s="1481"/>
      <c r="AH786" s="1481"/>
      <c r="AI786" s="1481"/>
      <c r="AJ786" s="1481"/>
      <c r="AK786" s="1481"/>
      <c r="AL786" s="1481"/>
      <c r="AM786" s="1481"/>
      <c r="AN786" s="1481"/>
      <c r="AO786" s="1481"/>
      <c r="AP786" s="1481"/>
      <c r="AQ786" s="1481"/>
      <c r="AR786" s="1481"/>
      <c r="AS786" s="1481"/>
      <c r="AT786" s="1481"/>
      <c r="AU786" s="1481"/>
      <c r="AV786" s="1481"/>
      <c r="AW786" s="1481"/>
      <c r="AX786" s="1481"/>
      <c r="AY786" s="1481"/>
      <c r="AZ786" s="1481"/>
      <c r="BA786" s="1481"/>
      <c r="BB786" s="1481"/>
      <c r="BC786" s="1481"/>
      <c r="BD786" s="1481"/>
      <c r="BE786" s="1481"/>
      <c r="BF786" s="1481"/>
      <c r="BG786" s="1481"/>
      <c r="BH786" s="1481"/>
      <c r="BI786" s="1481"/>
      <c r="BJ786" s="1481"/>
      <c r="BK786" s="1481"/>
      <c r="BL786" s="1481"/>
      <c r="BM786" s="1481"/>
      <c r="BN786" s="1481"/>
      <c r="BO786" s="1481"/>
      <c r="BP786" s="1481"/>
      <c r="BQ786" s="1481"/>
      <c r="BR786" s="1481"/>
      <c r="BS786" s="1481"/>
      <c r="BT786" s="1481"/>
      <c r="BU786" s="1481"/>
      <c r="BV786" s="1481"/>
      <c r="BW786" s="1481"/>
      <c r="BX786" s="1481"/>
      <c r="BY786" s="1481"/>
      <c r="BZ786" s="1481"/>
      <c r="CA786" s="1481"/>
      <c r="CB786" s="1481"/>
      <c r="CC786" s="1481"/>
      <c r="CD786" s="1481"/>
      <c r="CE786" s="1481"/>
    </row>
    <row r="787" spans="1:83" ht="5.25" hidden="1" customHeight="1">
      <c r="A787" s="1636"/>
      <c r="B787" s="1481"/>
      <c r="C787" s="1481"/>
      <c r="D787" s="3623"/>
      <c r="E787" s="913"/>
      <c r="F787" s="914"/>
      <c r="G787" s="914"/>
      <c r="H787" s="915"/>
      <c r="I787" s="915"/>
      <c r="J787" s="915"/>
      <c r="K787" s="915"/>
      <c r="L787" s="915"/>
      <c r="M787" s="915"/>
      <c r="N787" s="915"/>
      <c r="O787" s="915"/>
      <c r="P787" s="915"/>
      <c r="Q787" s="915"/>
      <c r="R787" s="818"/>
      <c r="S787" s="916"/>
      <c r="T787" s="608"/>
      <c r="U787" s="3532"/>
      <c r="V787" s="3532"/>
      <c r="W787" s="1481"/>
      <c r="X787" s="1481"/>
      <c r="Y787" s="1481"/>
      <c r="Z787" s="1481"/>
      <c r="AA787" s="1481"/>
      <c r="AB787" s="1481"/>
      <c r="AC787" s="907"/>
      <c r="AD787" s="908"/>
      <c r="AE787" s="1481"/>
      <c r="AF787" s="1481"/>
      <c r="AG787" s="1481"/>
      <c r="AH787" s="1481"/>
      <c r="AI787" s="1481"/>
      <c r="AJ787" s="1481"/>
      <c r="AK787" s="1481"/>
      <c r="AL787" s="1481"/>
      <c r="AM787" s="1481"/>
      <c r="AN787" s="1481"/>
      <c r="AO787" s="1481"/>
      <c r="AP787" s="1481"/>
      <c r="AQ787" s="1481"/>
      <c r="AR787" s="1481"/>
      <c r="AS787" s="1481"/>
      <c r="AT787" s="1481"/>
      <c r="AU787" s="1481"/>
      <c r="AV787" s="1481"/>
      <c r="AW787" s="1481"/>
      <c r="AX787" s="1481"/>
      <c r="AY787" s="1481"/>
      <c r="AZ787" s="1481"/>
      <c r="BA787" s="1481"/>
      <c r="BB787" s="1481"/>
      <c r="BC787" s="1481"/>
      <c r="BD787" s="1481"/>
      <c r="BE787" s="1481"/>
      <c r="BF787" s="1481"/>
      <c r="BG787" s="1481"/>
      <c r="BH787" s="1481"/>
      <c r="BI787" s="1481"/>
      <c r="BJ787" s="1481"/>
      <c r="BK787" s="1481"/>
      <c r="BL787" s="1481"/>
      <c r="BM787" s="1481"/>
      <c r="BN787" s="1481"/>
      <c r="BO787" s="1481"/>
      <c r="BP787" s="1481"/>
      <c r="BQ787" s="1481"/>
      <c r="BR787" s="1481"/>
      <c r="BS787" s="1481"/>
      <c r="BT787" s="1481"/>
      <c r="BU787" s="1481"/>
      <c r="BV787" s="1481"/>
      <c r="BW787" s="1481"/>
      <c r="BX787" s="1481"/>
      <c r="BY787" s="1481"/>
      <c r="BZ787" s="1481"/>
      <c r="CA787" s="1481"/>
      <c r="CB787" s="1481"/>
      <c r="CC787" s="1481"/>
      <c r="CD787" s="1481"/>
      <c r="CE787" s="1481"/>
    </row>
    <row r="788" spans="1:83" ht="15" hidden="1" customHeight="1">
      <c r="A788" s="516" t="s">
        <v>368</v>
      </c>
      <c r="B788"/>
      <c r="C788" t="s">
        <v>18</v>
      </c>
      <c r="D788" s="3621" t="s">
        <v>965</v>
      </c>
      <c r="E788" s="3618" t="s">
        <v>102</v>
      </c>
      <c r="F788" s="3619"/>
      <c r="G788" s="3620"/>
      <c r="H788" s="3614" t="str">
        <f>IF(A788="","",INDEX(DIFFERENTIATION_UNMERGE_VD,MATCH(A788,DIFFERENTIATION_ID_DIFF,0)))</f>
        <v>Производство тепловой энергии. Некомбинированная выработка</v>
      </c>
      <c r="I788" s="3614"/>
      <c r="J788" s="3614"/>
      <c r="K788" s="3614"/>
      <c r="L788" s="3614"/>
      <c r="M788" s="3614"/>
      <c r="N788" s="3614"/>
      <c r="O788" s="3614"/>
      <c r="P788" s="3614"/>
      <c r="Q788" s="3614"/>
      <c r="R788" s="3614"/>
      <c r="S788" s="609"/>
      <c r="T788" s="606"/>
      <c r="U788" s="517"/>
      <c r="V788" s="517"/>
      <c r="W788" s="518"/>
      <c r="X788" s="518"/>
      <c r="Y788" s="518"/>
      <c r="Z788" s="518"/>
      <c r="AA788" s="519"/>
      <c r="AB788" s="520"/>
      <c r="AC788" s="3617"/>
      <c r="AD788" s="521"/>
      <c r="AE788" s="522" t="s">
        <v>18</v>
      </c>
      <c r="AF788" s="522"/>
      <c r="AG788" s="523" t="s">
        <v>874</v>
      </c>
      <c r="AH788" s="524">
        <v>3</v>
      </c>
      <c r="AI788" s="517"/>
      <c r="AJ788" s="517"/>
      <c r="AK788" s="517"/>
      <c r="AL788" s="517"/>
      <c r="AM788" s="517"/>
      <c r="AN788" s="517"/>
      <c r="AO788" s="517"/>
      <c r="AP788" s="517"/>
      <c r="AQ788" s="517"/>
      <c r="AR788" s="517"/>
      <c r="AS788" s="517"/>
      <c r="AT788" s="517"/>
      <c r="AU788" s="517"/>
      <c r="AV788" s="517"/>
      <c r="AW788" s="517"/>
      <c r="AX788" s="517"/>
      <c r="AY788" s="517"/>
      <c r="AZ788" s="517"/>
      <c r="BA788" s="517"/>
      <c r="BB788" s="517"/>
      <c r="BC788" s="517"/>
      <c r="BD788" s="517"/>
      <c r="BE788" s="517"/>
      <c r="BF788" s="517"/>
      <c r="BG788" s="517"/>
      <c r="BH788" s="517"/>
      <c r="BI788" s="517"/>
      <c r="BJ788" s="517"/>
      <c r="BK788" s="517"/>
      <c r="BL788" s="517"/>
      <c r="BM788" s="517"/>
      <c r="BN788" s="517"/>
      <c r="BO788" s="517"/>
      <c r="BP788" s="517"/>
      <c r="BQ788" s="517"/>
      <c r="BR788" s="517"/>
      <c r="BS788" s="517"/>
      <c r="BT788" s="517"/>
      <c r="BU788" s="517"/>
      <c r="BV788" s="518"/>
      <c r="BW788" s="518"/>
      <c r="BX788" s="518"/>
      <c r="BY788" s="518"/>
      <c r="BZ788" s="518"/>
      <c r="CA788" s="518"/>
      <c r="CB788" s="518"/>
      <c r="CC788" s="518"/>
      <c r="CD788" s="518"/>
      <c r="CE788" s="518"/>
    </row>
    <row r="789" spans="1:83" ht="15" hidden="1" customHeight="1">
      <c r="A789" s="516"/>
      <c r="B789"/>
      <c r="C789"/>
      <c r="D789" s="3622"/>
      <c r="E789" s="3618" t="s">
        <v>829</v>
      </c>
      <c r="F789" s="3619"/>
      <c r="G789" s="3620"/>
      <c r="H789" s="3614" t="str">
        <f>IF(A788="","",INDEX(DIFFERENTIATION_UNMERGE_AREA,MATCH(A788,DIFFERENTIATION_ID_DIFF,0)))</f>
        <v>Территория 1</v>
      </c>
      <c r="I789" s="3614"/>
      <c r="J789" s="3614"/>
      <c r="K789" s="3614"/>
      <c r="L789" s="3614"/>
      <c r="M789" s="3614"/>
      <c r="N789" s="3614"/>
      <c r="O789" s="3614"/>
      <c r="P789" s="3614"/>
      <c r="Q789" s="3614"/>
      <c r="R789" s="3614"/>
      <c r="S789" s="609"/>
      <c r="T789" s="606"/>
      <c r="U789" s="517"/>
      <c r="V789" s="517"/>
      <c r="W789" s="518"/>
      <c r="X789" s="518"/>
      <c r="Y789" s="518"/>
      <c r="Z789" s="518"/>
      <c r="AA789" s="519"/>
      <c r="AB789" s="520"/>
      <c r="AC789" s="3617"/>
      <c r="AD789" s="521"/>
      <c r="AE789" s="522"/>
      <c r="AF789" s="522"/>
      <c r="AG789" s="523"/>
      <c r="AH789" s="524"/>
      <c r="AI789" s="517"/>
      <c r="AJ789" s="517"/>
      <c r="AK789" s="517"/>
      <c r="AL789" s="517"/>
      <c r="AM789" s="517"/>
      <c r="AN789" s="517"/>
      <c r="AO789" s="517"/>
      <c r="AP789" s="517"/>
      <c r="AQ789" s="517"/>
      <c r="AR789" s="517"/>
      <c r="AS789" s="517"/>
      <c r="AT789" s="517"/>
      <c r="AU789" s="517"/>
      <c r="AV789" s="517"/>
      <c r="AW789" s="517"/>
      <c r="AX789" s="517"/>
      <c r="AY789" s="517"/>
      <c r="AZ789" s="517"/>
      <c r="BA789" s="517"/>
      <c r="BB789" s="517"/>
      <c r="BC789" s="517"/>
      <c r="BD789" s="517"/>
      <c r="BE789" s="517"/>
      <c r="BF789" s="517"/>
      <c r="BG789" s="517"/>
      <c r="BH789" s="517"/>
      <c r="BI789" s="517"/>
      <c r="BJ789" s="517"/>
      <c r="BK789" s="517"/>
      <c r="BL789" s="517"/>
      <c r="BM789" s="517"/>
      <c r="BN789" s="517"/>
      <c r="BO789" s="517"/>
      <c r="BP789" s="517"/>
      <c r="BQ789" s="517"/>
      <c r="BR789" s="517"/>
      <c r="BS789" s="517"/>
      <c r="BT789" s="517"/>
      <c r="BU789" s="517"/>
      <c r="BV789" s="518"/>
      <c r="BW789" s="518"/>
      <c r="BX789" s="518"/>
      <c r="BY789" s="518"/>
      <c r="BZ789" s="518"/>
      <c r="CA789" s="518"/>
      <c r="CB789" s="518"/>
      <c r="CC789" s="518"/>
      <c r="CD789" s="518"/>
      <c r="CE789" s="518"/>
    </row>
    <row r="790" spans="1:83" ht="15" hidden="1" customHeight="1">
      <c r="A790" s="516"/>
      <c r="B790"/>
      <c r="C790"/>
      <c r="D790" s="3622"/>
      <c r="E790" s="3618" t="s">
        <v>830</v>
      </c>
      <c r="F790" s="3619"/>
      <c r="G790" s="3620"/>
      <c r="H790" s="3614" t="str">
        <f>IF(A788="","",INDEX(DIFFERENTIATION_UNMERGE_SYSTEM,MATCH(A788,DIFFERENTIATION_ID_DIFF,0)))</f>
        <v>Рельсовая, 7а</v>
      </c>
      <c r="I790" s="3614"/>
      <c r="J790" s="3614"/>
      <c r="K790" s="3614"/>
      <c r="L790" s="3614"/>
      <c r="M790" s="3614"/>
      <c r="N790" s="3614"/>
      <c r="O790" s="3614"/>
      <c r="P790" s="3614"/>
      <c r="Q790" s="3614"/>
      <c r="R790" s="3614"/>
      <c r="S790" s="609"/>
      <c r="T790" s="606"/>
      <c r="U790" s="517"/>
      <c r="V790" s="517"/>
      <c r="W790" s="518"/>
      <c r="X790" s="518"/>
      <c r="Y790" s="518"/>
      <c r="Z790" s="518"/>
      <c r="AA790" s="519"/>
      <c r="AB790" s="520"/>
      <c r="AC790" s="3617"/>
      <c r="AD790" s="521"/>
      <c r="AE790" s="522"/>
      <c r="AF790" s="522"/>
      <c r="AG790" s="523"/>
      <c r="AH790" s="524"/>
      <c r="AI790" s="517"/>
      <c r="AJ790" s="517"/>
      <c r="AK790" s="517"/>
      <c r="AL790" s="517"/>
      <c r="AM790" s="517"/>
      <c r="AN790" s="517"/>
      <c r="AO790" s="517"/>
      <c r="AP790" s="517"/>
      <c r="AQ790" s="517"/>
      <c r="AR790" s="517"/>
      <c r="AS790" s="517"/>
      <c r="AT790" s="517"/>
      <c r="AU790" s="517"/>
      <c r="AV790" s="517"/>
      <c r="AW790" s="517"/>
      <c r="AX790" s="517"/>
      <c r="AY790" s="517"/>
      <c r="AZ790" s="517"/>
      <c r="BA790" s="517"/>
      <c r="BB790" s="517"/>
      <c r="BC790" s="517"/>
      <c r="BD790" s="517"/>
      <c r="BE790" s="517"/>
      <c r="BF790" s="517"/>
      <c r="BG790" s="517"/>
      <c r="BH790" s="517"/>
      <c r="BI790" s="517"/>
      <c r="BJ790" s="517"/>
      <c r="BK790" s="517"/>
      <c r="BL790" s="517"/>
      <c r="BM790" s="517"/>
      <c r="BN790" s="517"/>
      <c r="BO790" s="517"/>
      <c r="BP790" s="517"/>
      <c r="BQ790" s="517"/>
      <c r="BR790" s="517"/>
      <c r="BS790" s="517"/>
      <c r="BT790" s="517"/>
      <c r="BU790" s="517"/>
      <c r="BV790" s="518"/>
      <c r="BW790" s="518"/>
      <c r="BX790" s="518"/>
      <c r="BY790" s="518"/>
      <c r="BZ790" s="518"/>
      <c r="CA790" s="518"/>
      <c r="CB790" s="518"/>
      <c r="CC790" s="518"/>
      <c r="CD790" s="518"/>
      <c r="CE790" s="518"/>
    </row>
    <row r="791" spans="1:83" ht="24.75" hidden="1" customHeight="1">
      <c r="A791" s="1649"/>
      <c r="B791" s="1023"/>
      <c r="C791" s="319"/>
      <c r="D791" s="3622"/>
      <c r="E791" s="3616" t="s">
        <v>875</v>
      </c>
      <c r="F791" s="3616"/>
      <c r="G791" s="3616"/>
      <c r="H791" s="3616"/>
      <c r="I791" s="3616"/>
      <c r="J791" s="3616"/>
      <c r="K791" s="3616"/>
      <c r="L791" s="3616"/>
      <c r="M791" s="3616"/>
      <c r="N791" s="3616"/>
      <c r="O791" s="3616"/>
      <c r="P791" s="3616"/>
      <c r="Q791" s="455">
        <f>SUMIF(T792:T793,"i",Q792:Q793)</f>
        <v>0</v>
      </c>
      <c r="R791" s="887"/>
      <c r="S791" s="1641" t="s">
        <v>876</v>
      </c>
      <c r="T791" s="607" t="s">
        <v>877</v>
      </c>
      <c r="U791" s="3532">
        <v>1</v>
      </c>
      <c r="V791" s="3532" t="s">
        <v>840</v>
      </c>
      <c r="W791" s="1023"/>
      <c r="X791" s="1023"/>
      <c r="Y791" s="1023"/>
      <c r="Z791" s="1023"/>
      <c r="AA791" s="1481"/>
      <c r="AB791" s="1023"/>
      <c r="AC791" s="3617"/>
      <c r="AD791" s="521"/>
      <c r="AE791" s="1023"/>
      <c r="AF791" s="1023"/>
      <c r="AG791" s="1481"/>
      <c r="AH791" s="1481"/>
      <c r="AI791" s="1481"/>
      <c r="AJ791" s="1481"/>
      <c r="AK791" s="1481"/>
      <c r="AL791" s="1481"/>
      <c r="AM791" s="1481"/>
      <c r="AN791" s="1481"/>
      <c r="AO791" s="1481"/>
      <c r="AP791" s="1481"/>
      <c r="AQ791" s="1481"/>
      <c r="AR791" s="1481"/>
      <c r="AS791" s="1481"/>
      <c r="AT791" s="1481"/>
      <c r="AU791" s="1481"/>
      <c r="AV791" s="1481"/>
      <c r="AW791" s="1481"/>
      <c r="AX791" s="1481"/>
      <c r="AY791" s="1481"/>
      <c r="AZ791" s="1481"/>
      <c r="BA791" s="1481"/>
      <c r="BB791" s="1481"/>
      <c r="BC791" s="1481"/>
      <c r="BD791" s="1481"/>
      <c r="BE791" s="1481"/>
      <c r="BF791" s="1481"/>
      <c r="BG791" s="1481"/>
      <c r="BH791" s="1481"/>
      <c r="BI791" s="1481"/>
      <c r="BJ791" s="1481"/>
      <c r="BK791" s="1481"/>
      <c r="BL791" s="1481"/>
      <c r="BM791" s="1481"/>
      <c r="BN791" s="1481"/>
      <c r="BO791" s="1481"/>
      <c r="BP791" s="1481"/>
      <c r="BQ791" s="1481"/>
      <c r="BR791" s="1481"/>
      <c r="BS791" s="1481"/>
      <c r="BT791" s="1481"/>
      <c r="BU791" s="1481"/>
      <c r="BV791" s="1023"/>
      <c r="BW791" s="1023"/>
      <c r="BX791" s="1023"/>
      <c r="BY791" s="1023"/>
      <c r="BZ791" s="1023"/>
      <c r="CA791" s="1023"/>
      <c r="CB791" s="1023"/>
      <c r="CC791" s="1023"/>
      <c r="CD791" s="1023"/>
      <c r="CE791" s="1023"/>
    </row>
    <row r="792" spans="1:83" ht="11.25" hidden="1" customHeight="1">
      <c r="A792" s="1636"/>
      <c r="B792" s="1481"/>
      <c r="C792" s="1481"/>
      <c r="D792" s="3622"/>
      <c r="E792" s="527"/>
      <c r="F792" s="527">
        <v>0</v>
      </c>
      <c r="G792" s="527"/>
      <c r="H792" s="527"/>
      <c r="I792" s="527"/>
      <c r="J792" s="527"/>
      <c r="K792" s="527"/>
      <c r="L792" s="527"/>
      <c r="M792" s="527"/>
      <c r="N792" s="527"/>
      <c r="O792" s="527"/>
      <c r="P792" s="527"/>
      <c r="Q792" s="527"/>
      <c r="R792" s="527"/>
      <c r="S792" s="528"/>
      <c r="T792" s="608"/>
      <c r="U792" s="3532"/>
      <c r="V792" s="3532"/>
      <c r="W792" s="1481"/>
      <c r="X792" s="1481"/>
      <c r="Y792" s="1481"/>
      <c r="Z792" s="1481"/>
      <c r="AA792" s="1481"/>
      <c r="AB792" s="1023"/>
      <c r="AC792" s="3617"/>
      <c r="AD792" s="521"/>
      <c r="AE792" s="1023"/>
      <c r="AF792" s="1023"/>
      <c r="AG792" s="1481"/>
      <c r="AH792" s="1481"/>
      <c r="AI792" s="1481"/>
      <c r="AJ792" s="1481"/>
      <c r="AK792" s="1481"/>
      <c r="AL792" s="1481"/>
      <c r="AM792" s="1481"/>
      <c r="AN792" s="1481"/>
      <c r="AO792" s="1481"/>
      <c r="AP792" s="1481"/>
      <c r="AQ792" s="1481"/>
      <c r="AR792" s="1481"/>
      <c r="AS792" s="1481"/>
      <c r="AT792" s="1481"/>
      <c r="AU792" s="1481"/>
      <c r="AV792" s="1481"/>
      <c r="AW792" s="1481"/>
      <c r="AX792" s="1481"/>
      <c r="AY792" s="1481"/>
      <c r="AZ792" s="1481"/>
      <c r="BA792" s="1481"/>
      <c r="BB792" s="1481"/>
      <c r="BC792" s="1481"/>
      <c r="BD792" s="1481"/>
      <c r="BE792" s="1481"/>
      <c r="BF792" s="1481"/>
      <c r="BG792" s="1481"/>
      <c r="BH792" s="1481"/>
      <c r="BI792" s="1481"/>
      <c r="BJ792" s="1481"/>
      <c r="BK792" s="1481"/>
      <c r="BL792" s="1481"/>
      <c r="BM792" s="1481"/>
      <c r="BN792" s="1481"/>
      <c r="BO792" s="1481"/>
      <c r="BP792" s="1481"/>
      <c r="BQ792" s="1481"/>
      <c r="BR792" s="1481"/>
      <c r="BS792" s="1481"/>
      <c r="BT792" s="1481"/>
      <c r="BU792" s="1481"/>
      <c r="BV792" s="1481"/>
      <c r="BW792" s="1481"/>
      <c r="BX792" s="1481"/>
      <c r="BY792" s="1481"/>
      <c r="BZ792" s="1481"/>
      <c r="CA792" s="1481"/>
      <c r="CB792" s="1481"/>
      <c r="CC792" s="1481"/>
      <c r="CD792" s="1481"/>
      <c r="CE792" s="1481"/>
    </row>
    <row r="793" spans="1:83" ht="11.25" hidden="1" customHeight="1">
      <c r="A793" s="1649"/>
      <c r="B793" s="1023"/>
      <c r="C793" s="319"/>
      <c r="D793" s="3622"/>
      <c r="E793" s="541" t="s">
        <v>18</v>
      </c>
      <c r="F793" s="1031" t="s">
        <v>18</v>
      </c>
      <c r="G793" s="1031" t="s">
        <v>880</v>
      </c>
      <c r="H793" s="543" t="s">
        <v>18</v>
      </c>
      <c r="I793" s="543"/>
      <c r="J793" s="543"/>
      <c r="K793" s="543"/>
      <c r="L793" s="543"/>
      <c r="M793" s="543"/>
      <c r="N793" s="543"/>
      <c r="O793" s="543"/>
      <c r="P793" s="543"/>
      <c r="Q793" s="543"/>
      <c r="R793" s="544"/>
      <c r="S793" s="545"/>
      <c r="T793" s="608"/>
      <c r="U793" s="3532"/>
      <c r="V793" s="3532"/>
      <c r="W793" s="1023"/>
      <c r="X793" s="1023"/>
      <c r="Y793" s="1023"/>
      <c r="Z793" s="1023"/>
      <c r="AA793" s="1481"/>
      <c r="AB793" s="1023"/>
      <c r="AC793" s="3617"/>
      <c r="AD793" s="521"/>
      <c r="AE793" s="1023"/>
      <c r="AF793" s="1023"/>
      <c r="AG793" s="1481"/>
      <c r="AH793" s="1481"/>
      <c r="AI793" s="1481"/>
      <c r="AJ793" s="1481"/>
      <c r="AK793" s="1481"/>
      <c r="AL793" s="1481"/>
      <c r="AM793" s="1481"/>
      <c r="AN793" s="1481"/>
      <c r="AO793" s="1481"/>
      <c r="AP793" s="1481"/>
      <c r="AQ793" s="1481"/>
      <c r="AR793" s="1481"/>
      <c r="AS793" s="1481"/>
      <c r="AT793" s="1481"/>
      <c r="AU793" s="1481"/>
      <c r="AV793" s="1481"/>
      <c r="AW793" s="1481"/>
      <c r="AX793" s="1481"/>
      <c r="AY793" s="1481"/>
      <c r="AZ793" s="1481"/>
      <c r="BA793" s="1481"/>
      <c r="BB793" s="1481"/>
      <c r="BC793" s="1481"/>
      <c r="BD793" s="1481"/>
      <c r="BE793" s="1481"/>
      <c r="BF793" s="1481"/>
      <c r="BG793" s="1481"/>
      <c r="BH793" s="1481"/>
      <c r="BI793" s="1481"/>
      <c r="BJ793" s="1481"/>
      <c r="BK793" s="1481"/>
      <c r="BL793" s="1481"/>
      <c r="BM793" s="1481"/>
      <c r="BN793" s="1481"/>
      <c r="BO793" s="1481"/>
      <c r="BP793" s="1481"/>
      <c r="BQ793" s="1481"/>
      <c r="BR793" s="1481"/>
      <c r="BS793" s="1481"/>
      <c r="BT793" s="1481"/>
      <c r="BU793" s="1481"/>
      <c r="BV793" s="1023"/>
      <c r="BW793" s="1023"/>
      <c r="BX793" s="1023"/>
      <c r="BY793" s="1023"/>
      <c r="BZ793" s="1023"/>
      <c r="CA793" s="1023"/>
      <c r="CB793" s="1023"/>
      <c r="CC793" s="1023"/>
      <c r="CD793" s="1023"/>
      <c r="CE793" s="1023"/>
    </row>
    <row r="794" spans="1:83" ht="5.25" hidden="1" customHeight="1">
      <c r="A794" s="1636"/>
      <c r="B794" s="1481"/>
      <c r="C794" s="1481"/>
      <c r="D794" s="3622"/>
      <c r="E794" s="909"/>
      <c r="F794" s="909"/>
      <c r="G794" s="909"/>
      <c r="H794" s="909"/>
      <c r="I794" s="909"/>
      <c r="J794" s="909"/>
      <c r="K794" s="909"/>
      <c r="L794" s="909"/>
      <c r="M794" s="909"/>
      <c r="N794" s="909"/>
      <c r="O794" s="909"/>
      <c r="P794" s="909"/>
      <c r="Q794" s="910"/>
      <c r="R794" s="911"/>
      <c r="S794" s="912"/>
      <c r="T794" s="607" t="s">
        <v>877</v>
      </c>
      <c r="U794" s="3532">
        <v>1</v>
      </c>
      <c r="V794" s="3532" t="s">
        <v>840</v>
      </c>
      <c r="W794" s="1481"/>
      <c r="X794" s="1481"/>
      <c r="Y794" s="1481"/>
      <c r="Z794" s="1481"/>
      <c r="AA794" s="1481"/>
      <c r="AB794" s="1481"/>
      <c r="AC794" s="907"/>
      <c r="AD794" s="908"/>
      <c r="AE794" s="1481"/>
      <c r="AF794" s="1481"/>
      <c r="AG794" s="1481"/>
      <c r="AH794" s="1481"/>
      <c r="AI794" s="1481"/>
      <c r="AJ794" s="1481"/>
      <c r="AK794" s="1481"/>
      <c r="AL794" s="1481"/>
      <c r="AM794" s="1481"/>
      <c r="AN794" s="1481"/>
      <c r="AO794" s="1481"/>
      <c r="AP794" s="1481"/>
      <c r="AQ794" s="1481"/>
      <c r="AR794" s="1481"/>
      <c r="AS794" s="1481"/>
      <c r="AT794" s="1481"/>
      <c r="AU794" s="1481"/>
      <c r="AV794" s="1481"/>
      <c r="AW794" s="1481"/>
      <c r="AX794" s="1481"/>
      <c r="AY794" s="1481"/>
      <c r="AZ794" s="1481"/>
      <c r="BA794" s="1481"/>
      <c r="BB794" s="1481"/>
      <c r="BC794" s="1481"/>
      <c r="BD794" s="1481"/>
      <c r="BE794" s="1481"/>
      <c r="BF794" s="1481"/>
      <c r="BG794" s="1481"/>
      <c r="BH794" s="1481"/>
      <c r="BI794" s="1481"/>
      <c r="BJ794" s="1481"/>
      <c r="BK794" s="1481"/>
      <c r="BL794" s="1481"/>
      <c r="BM794" s="1481"/>
      <c r="BN794" s="1481"/>
      <c r="BO794" s="1481"/>
      <c r="BP794" s="1481"/>
      <c r="BQ794" s="1481"/>
      <c r="BR794" s="1481"/>
      <c r="BS794" s="1481"/>
      <c r="BT794" s="1481"/>
      <c r="BU794" s="1481"/>
      <c r="BV794" s="1481"/>
      <c r="BW794" s="1481"/>
      <c r="BX794" s="1481"/>
      <c r="BY794" s="1481"/>
      <c r="BZ794" s="1481"/>
      <c r="CA794" s="1481"/>
      <c r="CB794" s="1481"/>
      <c r="CC794" s="1481"/>
      <c r="CD794" s="1481"/>
      <c r="CE794" s="1481"/>
    </row>
    <row r="795" spans="1:83" ht="5.25" hidden="1" customHeight="1">
      <c r="A795" s="1636"/>
      <c r="B795" s="1481"/>
      <c r="C795" s="1481"/>
      <c r="D795" s="3622"/>
      <c r="E795" s="527"/>
      <c r="F795" s="527"/>
      <c r="G795" s="527"/>
      <c r="H795" s="527"/>
      <c r="I795" s="527"/>
      <c r="J795" s="527"/>
      <c r="K795" s="527"/>
      <c r="L795" s="527"/>
      <c r="M795" s="527"/>
      <c r="N795" s="527"/>
      <c r="O795" s="527"/>
      <c r="P795" s="527"/>
      <c r="Q795" s="527"/>
      <c r="R795" s="527"/>
      <c r="S795" s="528"/>
      <c r="T795" s="608"/>
      <c r="U795" s="3532"/>
      <c r="V795" s="3532"/>
      <c r="W795" s="1481"/>
      <c r="X795" s="1481"/>
      <c r="Y795" s="1481"/>
      <c r="Z795" s="1481"/>
      <c r="AA795" s="1481"/>
      <c r="AB795" s="1481"/>
      <c r="AC795" s="907"/>
      <c r="AD795" s="908"/>
      <c r="AE795" s="1481"/>
      <c r="AF795" s="1481"/>
      <c r="AG795" s="1481"/>
      <c r="AH795" s="1481"/>
      <c r="AI795" s="1481"/>
      <c r="AJ795" s="1481"/>
      <c r="AK795" s="1481"/>
      <c r="AL795" s="1481"/>
      <c r="AM795" s="1481"/>
      <c r="AN795" s="1481"/>
      <c r="AO795" s="1481"/>
      <c r="AP795" s="1481"/>
      <c r="AQ795" s="1481"/>
      <c r="AR795" s="1481"/>
      <c r="AS795" s="1481"/>
      <c r="AT795" s="1481"/>
      <c r="AU795" s="1481"/>
      <c r="AV795" s="1481"/>
      <c r="AW795" s="1481"/>
      <c r="AX795" s="1481"/>
      <c r="AY795" s="1481"/>
      <c r="AZ795" s="1481"/>
      <c r="BA795" s="1481"/>
      <c r="BB795" s="1481"/>
      <c r="BC795" s="1481"/>
      <c r="BD795" s="1481"/>
      <c r="BE795" s="1481"/>
      <c r="BF795" s="1481"/>
      <c r="BG795" s="1481"/>
      <c r="BH795" s="1481"/>
      <c r="BI795" s="1481"/>
      <c r="BJ795" s="1481"/>
      <c r="BK795" s="1481"/>
      <c r="BL795" s="1481"/>
      <c r="BM795" s="1481"/>
      <c r="BN795" s="1481"/>
      <c r="BO795" s="1481"/>
      <c r="BP795" s="1481"/>
      <c r="BQ795" s="1481"/>
      <c r="BR795" s="1481"/>
      <c r="BS795" s="1481"/>
      <c r="BT795" s="1481"/>
      <c r="BU795" s="1481"/>
      <c r="BV795" s="1481"/>
      <c r="BW795" s="1481"/>
      <c r="BX795" s="1481"/>
      <c r="BY795" s="1481"/>
      <c r="BZ795" s="1481"/>
      <c r="CA795" s="1481"/>
      <c r="CB795" s="1481"/>
      <c r="CC795" s="1481"/>
      <c r="CD795" s="1481"/>
      <c r="CE795" s="1481"/>
    </row>
    <row r="796" spans="1:83" ht="5.25" hidden="1" customHeight="1">
      <c r="A796" s="1636"/>
      <c r="B796" s="1481"/>
      <c r="C796" s="1481"/>
      <c r="D796" s="3623"/>
      <c r="E796" s="913"/>
      <c r="F796" s="914"/>
      <c r="G796" s="914"/>
      <c r="H796" s="915"/>
      <c r="I796" s="915"/>
      <c r="J796" s="915"/>
      <c r="K796" s="915"/>
      <c r="L796" s="915"/>
      <c r="M796" s="915"/>
      <c r="N796" s="915"/>
      <c r="O796" s="915"/>
      <c r="P796" s="915"/>
      <c r="Q796" s="915"/>
      <c r="R796" s="818"/>
      <c r="S796" s="916"/>
      <c r="T796" s="608"/>
      <c r="U796" s="3532"/>
      <c r="V796" s="3532"/>
      <c r="W796" s="1481"/>
      <c r="X796" s="1481"/>
      <c r="Y796" s="1481"/>
      <c r="Z796" s="1481"/>
      <c r="AA796" s="1481"/>
      <c r="AB796" s="1481"/>
      <c r="AC796" s="907"/>
      <c r="AD796" s="908"/>
      <c r="AE796" s="1481"/>
      <c r="AF796" s="1481"/>
      <c r="AG796" s="1481"/>
      <c r="AH796" s="1481"/>
      <c r="AI796" s="1481"/>
      <c r="AJ796" s="1481"/>
      <c r="AK796" s="1481"/>
      <c r="AL796" s="1481"/>
      <c r="AM796" s="1481"/>
      <c r="AN796" s="1481"/>
      <c r="AO796" s="1481"/>
      <c r="AP796" s="1481"/>
      <c r="AQ796" s="1481"/>
      <c r="AR796" s="1481"/>
      <c r="AS796" s="1481"/>
      <c r="AT796" s="1481"/>
      <c r="AU796" s="1481"/>
      <c r="AV796" s="1481"/>
      <c r="AW796" s="1481"/>
      <c r="AX796" s="1481"/>
      <c r="AY796" s="1481"/>
      <c r="AZ796" s="1481"/>
      <c r="BA796" s="1481"/>
      <c r="BB796" s="1481"/>
      <c r="BC796" s="1481"/>
      <c r="BD796" s="1481"/>
      <c r="BE796" s="1481"/>
      <c r="BF796" s="1481"/>
      <c r="BG796" s="1481"/>
      <c r="BH796" s="1481"/>
      <c r="BI796" s="1481"/>
      <c r="BJ796" s="1481"/>
      <c r="BK796" s="1481"/>
      <c r="BL796" s="1481"/>
      <c r="BM796" s="1481"/>
      <c r="BN796" s="1481"/>
      <c r="BO796" s="1481"/>
      <c r="BP796" s="1481"/>
      <c r="BQ796" s="1481"/>
      <c r="BR796" s="1481"/>
      <c r="BS796" s="1481"/>
      <c r="BT796" s="1481"/>
      <c r="BU796" s="1481"/>
      <c r="BV796" s="1481"/>
      <c r="BW796" s="1481"/>
      <c r="BX796" s="1481"/>
      <c r="BY796" s="1481"/>
      <c r="BZ796" s="1481"/>
      <c r="CA796" s="1481"/>
      <c r="CB796" s="1481"/>
      <c r="CC796" s="1481"/>
      <c r="CD796" s="1481"/>
      <c r="CE796" s="1481"/>
    </row>
    <row r="797" spans="1:83" ht="15" hidden="1" customHeight="1">
      <c r="A797" s="516" t="s">
        <v>371</v>
      </c>
      <c r="B797"/>
      <c r="C797" t="s">
        <v>18</v>
      </c>
      <c r="D797" s="3621" t="s">
        <v>966</v>
      </c>
      <c r="E797" s="3618" t="s">
        <v>102</v>
      </c>
      <c r="F797" s="3619"/>
      <c r="G797" s="3620"/>
      <c r="H797" s="3614" t="str">
        <f>IF(A797="","",INDEX(DIFFERENTIATION_UNMERGE_VD,MATCH(A797,DIFFERENTIATION_ID_DIFF,0)))</f>
        <v>Производство тепловой энергии. Некомбинированная выработка</v>
      </c>
      <c r="I797" s="3614"/>
      <c r="J797" s="3614"/>
      <c r="K797" s="3614"/>
      <c r="L797" s="3614"/>
      <c r="M797" s="3614"/>
      <c r="N797" s="3614"/>
      <c r="O797" s="3614"/>
      <c r="P797" s="3614"/>
      <c r="Q797" s="3614"/>
      <c r="R797" s="3614"/>
      <c r="S797" s="609"/>
      <c r="T797" s="606"/>
      <c r="U797" s="517"/>
      <c r="V797" s="517"/>
      <c r="W797" s="518"/>
      <c r="X797" s="518"/>
      <c r="Y797" s="518"/>
      <c r="Z797" s="518"/>
      <c r="AA797" s="519"/>
      <c r="AB797" s="520"/>
      <c r="AC797" s="3617"/>
      <c r="AD797" s="521"/>
      <c r="AE797" s="522" t="s">
        <v>18</v>
      </c>
      <c r="AF797" s="522"/>
      <c r="AG797" s="523" t="s">
        <v>874</v>
      </c>
      <c r="AH797" s="524">
        <v>3</v>
      </c>
      <c r="AI797" s="517"/>
      <c r="AJ797" s="517"/>
      <c r="AK797" s="517"/>
      <c r="AL797" s="517"/>
      <c r="AM797" s="517"/>
      <c r="AN797" s="517"/>
      <c r="AO797" s="517"/>
      <c r="AP797" s="517"/>
      <c r="AQ797" s="517"/>
      <c r="AR797" s="517"/>
      <c r="AS797" s="517"/>
      <c r="AT797" s="517"/>
      <c r="AU797" s="517"/>
      <c r="AV797" s="517"/>
      <c r="AW797" s="517"/>
      <c r="AX797" s="517"/>
      <c r="AY797" s="517"/>
      <c r="AZ797" s="517"/>
      <c r="BA797" s="517"/>
      <c r="BB797" s="517"/>
      <c r="BC797" s="517"/>
      <c r="BD797" s="517"/>
      <c r="BE797" s="517"/>
      <c r="BF797" s="517"/>
      <c r="BG797" s="517"/>
      <c r="BH797" s="517"/>
      <c r="BI797" s="517"/>
      <c r="BJ797" s="517"/>
      <c r="BK797" s="517"/>
      <c r="BL797" s="517"/>
      <c r="BM797" s="517"/>
      <c r="BN797" s="517"/>
      <c r="BO797" s="517"/>
      <c r="BP797" s="517"/>
      <c r="BQ797" s="517"/>
      <c r="BR797" s="517"/>
      <c r="BS797" s="517"/>
      <c r="BT797" s="517"/>
      <c r="BU797" s="517"/>
      <c r="BV797" s="518"/>
      <c r="BW797" s="518"/>
      <c r="BX797" s="518"/>
      <c r="BY797" s="518"/>
      <c r="BZ797" s="518"/>
      <c r="CA797" s="518"/>
      <c r="CB797" s="518"/>
      <c r="CC797" s="518"/>
      <c r="CD797" s="518"/>
      <c r="CE797" s="518"/>
    </row>
    <row r="798" spans="1:83" ht="15" hidden="1" customHeight="1">
      <c r="A798" s="516"/>
      <c r="B798"/>
      <c r="C798"/>
      <c r="D798" s="3622"/>
      <c r="E798" s="3618" t="s">
        <v>829</v>
      </c>
      <c r="F798" s="3619"/>
      <c r="G798" s="3620"/>
      <c r="H798" s="3614" t="str">
        <f>IF(A797="","",INDEX(DIFFERENTIATION_UNMERGE_AREA,MATCH(A797,DIFFERENTIATION_ID_DIFF,0)))</f>
        <v>Территория 1</v>
      </c>
      <c r="I798" s="3614"/>
      <c r="J798" s="3614"/>
      <c r="K798" s="3614"/>
      <c r="L798" s="3614"/>
      <c r="M798" s="3614"/>
      <c r="N798" s="3614"/>
      <c r="O798" s="3614"/>
      <c r="P798" s="3614"/>
      <c r="Q798" s="3614"/>
      <c r="R798" s="3614"/>
      <c r="S798" s="609"/>
      <c r="T798" s="606"/>
      <c r="U798" s="517"/>
      <c r="V798" s="517"/>
      <c r="W798" s="518"/>
      <c r="X798" s="518"/>
      <c r="Y798" s="518"/>
      <c r="Z798" s="518"/>
      <c r="AA798" s="519"/>
      <c r="AB798" s="520"/>
      <c r="AC798" s="3617"/>
      <c r="AD798" s="521"/>
      <c r="AE798" s="522"/>
      <c r="AF798" s="522"/>
      <c r="AG798" s="523"/>
      <c r="AH798" s="524"/>
      <c r="AI798" s="517"/>
      <c r="AJ798" s="517"/>
      <c r="AK798" s="517"/>
      <c r="AL798" s="517"/>
      <c r="AM798" s="517"/>
      <c r="AN798" s="517"/>
      <c r="AO798" s="517"/>
      <c r="AP798" s="517"/>
      <c r="AQ798" s="517"/>
      <c r="AR798" s="517"/>
      <c r="AS798" s="517"/>
      <c r="AT798" s="517"/>
      <c r="AU798" s="517"/>
      <c r="AV798" s="517"/>
      <c r="AW798" s="517"/>
      <c r="AX798" s="517"/>
      <c r="AY798" s="517"/>
      <c r="AZ798" s="517"/>
      <c r="BA798" s="517"/>
      <c r="BB798" s="517"/>
      <c r="BC798" s="517"/>
      <c r="BD798" s="517"/>
      <c r="BE798" s="517"/>
      <c r="BF798" s="517"/>
      <c r="BG798" s="517"/>
      <c r="BH798" s="517"/>
      <c r="BI798" s="517"/>
      <c r="BJ798" s="517"/>
      <c r="BK798" s="517"/>
      <c r="BL798" s="517"/>
      <c r="BM798" s="517"/>
      <c r="BN798" s="517"/>
      <c r="BO798" s="517"/>
      <c r="BP798" s="517"/>
      <c r="BQ798" s="517"/>
      <c r="BR798" s="517"/>
      <c r="BS798" s="517"/>
      <c r="BT798" s="517"/>
      <c r="BU798" s="517"/>
      <c r="BV798" s="518"/>
      <c r="BW798" s="518"/>
      <c r="BX798" s="518"/>
      <c r="BY798" s="518"/>
      <c r="BZ798" s="518"/>
      <c r="CA798" s="518"/>
      <c r="CB798" s="518"/>
      <c r="CC798" s="518"/>
      <c r="CD798" s="518"/>
      <c r="CE798" s="518"/>
    </row>
    <row r="799" spans="1:83" ht="15" hidden="1" customHeight="1">
      <c r="A799" s="516"/>
      <c r="B799"/>
      <c r="C799"/>
      <c r="D799" s="3622"/>
      <c r="E799" s="3618" t="s">
        <v>830</v>
      </c>
      <c r="F799" s="3619"/>
      <c r="G799" s="3620"/>
      <c r="H799" s="3614" t="str">
        <f>IF(A797="","",INDEX(DIFFERENTIATION_UNMERGE_SYSTEM,MATCH(A797,DIFFERENTIATION_ID_DIFF,0)))</f>
        <v>Студенческая, 2а</v>
      </c>
      <c r="I799" s="3614"/>
      <c r="J799" s="3614"/>
      <c r="K799" s="3614"/>
      <c r="L799" s="3614"/>
      <c r="M799" s="3614"/>
      <c r="N799" s="3614"/>
      <c r="O799" s="3614"/>
      <c r="P799" s="3614"/>
      <c r="Q799" s="3614"/>
      <c r="R799" s="3614"/>
      <c r="S799" s="609"/>
      <c r="T799" s="606"/>
      <c r="U799" s="517"/>
      <c r="V799" s="517"/>
      <c r="W799" s="518"/>
      <c r="X799" s="518"/>
      <c r="Y799" s="518"/>
      <c r="Z799" s="518"/>
      <c r="AA799" s="519"/>
      <c r="AB799" s="520"/>
      <c r="AC799" s="3617"/>
      <c r="AD799" s="521"/>
      <c r="AE799" s="522"/>
      <c r="AF799" s="522"/>
      <c r="AG799" s="523"/>
      <c r="AH799" s="524"/>
      <c r="AI799" s="517"/>
      <c r="AJ799" s="517"/>
      <c r="AK799" s="517"/>
      <c r="AL799" s="517"/>
      <c r="AM799" s="517"/>
      <c r="AN799" s="517"/>
      <c r="AO799" s="517"/>
      <c r="AP799" s="517"/>
      <c r="AQ799" s="517"/>
      <c r="AR799" s="517"/>
      <c r="AS799" s="517"/>
      <c r="AT799" s="517"/>
      <c r="AU799" s="517"/>
      <c r="AV799" s="517"/>
      <c r="AW799" s="517"/>
      <c r="AX799" s="517"/>
      <c r="AY799" s="517"/>
      <c r="AZ799" s="517"/>
      <c r="BA799" s="517"/>
      <c r="BB799" s="517"/>
      <c r="BC799" s="517"/>
      <c r="BD799" s="517"/>
      <c r="BE799" s="517"/>
      <c r="BF799" s="517"/>
      <c r="BG799" s="517"/>
      <c r="BH799" s="517"/>
      <c r="BI799" s="517"/>
      <c r="BJ799" s="517"/>
      <c r="BK799" s="517"/>
      <c r="BL799" s="517"/>
      <c r="BM799" s="517"/>
      <c r="BN799" s="517"/>
      <c r="BO799" s="517"/>
      <c r="BP799" s="517"/>
      <c r="BQ799" s="517"/>
      <c r="BR799" s="517"/>
      <c r="BS799" s="517"/>
      <c r="BT799" s="517"/>
      <c r="BU799" s="517"/>
      <c r="BV799" s="518"/>
      <c r="BW799" s="518"/>
      <c r="BX799" s="518"/>
      <c r="BY799" s="518"/>
      <c r="BZ799" s="518"/>
      <c r="CA799" s="518"/>
      <c r="CB799" s="518"/>
      <c r="CC799" s="518"/>
      <c r="CD799" s="518"/>
      <c r="CE799" s="518"/>
    </row>
    <row r="800" spans="1:83" ht="24.75" hidden="1" customHeight="1">
      <c r="A800" s="1649"/>
      <c r="B800" s="1023"/>
      <c r="C800" s="319"/>
      <c r="D800" s="3622"/>
      <c r="E800" s="3616" t="s">
        <v>875</v>
      </c>
      <c r="F800" s="3616"/>
      <c r="G800" s="3616"/>
      <c r="H800" s="3616"/>
      <c r="I800" s="3616"/>
      <c r="J800" s="3616"/>
      <c r="K800" s="3616"/>
      <c r="L800" s="3616"/>
      <c r="M800" s="3616"/>
      <c r="N800" s="3616"/>
      <c r="O800" s="3616"/>
      <c r="P800" s="3616"/>
      <c r="Q800" s="455">
        <f>SUMIF(T801:T802,"i",Q801:Q802)</f>
        <v>0</v>
      </c>
      <c r="R800" s="887"/>
      <c r="S800" s="1641" t="s">
        <v>876</v>
      </c>
      <c r="T800" s="607" t="s">
        <v>877</v>
      </c>
      <c r="U800" s="3532">
        <v>1</v>
      </c>
      <c r="V800" s="3532" t="s">
        <v>840</v>
      </c>
      <c r="W800" s="1023"/>
      <c r="X800" s="1023"/>
      <c r="Y800" s="1023"/>
      <c r="Z800" s="1023"/>
      <c r="AA800" s="1481"/>
      <c r="AB800" s="1023"/>
      <c r="AC800" s="3617"/>
      <c r="AD800" s="521"/>
      <c r="AE800" s="1023"/>
      <c r="AF800" s="1023"/>
      <c r="AG800" s="1481"/>
      <c r="AH800" s="1481"/>
      <c r="AI800" s="1481"/>
      <c r="AJ800" s="1481"/>
      <c r="AK800" s="1481"/>
      <c r="AL800" s="1481"/>
      <c r="AM800" s="1481"/>
      <c r="AN800" s="1481"/>
      <c r="AO800" s="1481"/>
      <c r="AP800" s="1481"/>
      <c r="AQ800" s="1481"/>
      <c r="AR800" s="1481"/>
      <c r="AS800" s="1481"/>
      <c r="AT800" s="1481"/>
      <c r="AU800" s="1481"/>
      <c r="AV800" s="1481"/>
      <c r="AW800" s="1481"/>
      <c r="AX800" s="1481"/>
      <c r="AY800" s="1481"/>
      <c r="AZ800" s="1481"/>
      <c r="BA800" s="1481"/>
      <c r="BB800" s="1481"/>
      <c r="BC800" s="1481"/>
      <c r="BD800" s="1481"/>
      <c r="BE800" s="1481"/>
      <c r="BF800" s="1481"/>
      <c r="BG800" s="1481"/>
      <c r="BH800" s="1481"/>
      <c r="BI800" s="1481"/>
      <c r="BJ800" s="1481"/>
      <c r="BK800" s="1481"/>
      <c r="BL800" s="1481"/>
      <c r="BM800" s="1481"/>
      <c r="BN800" s="1481"/>
      <c r="BO800" s="1481"/>
      <c r="BP800" s="1481"/>
      <c r="BQ800" s="1481"/>
      <c r="BR800" s="1481"/>
      <c r="BS800" s="1481"/>
      <c r="BT800" s="1481"/>
      <c r="BU800" s="1481"/>
      <c r="BV800" s="1023"/>
      <c r="BW800" s="1023"/>
      <c r="BX800" s="1023"/>
      <c r="BY800" s="1023"/>
      <c r="BZ800" s="1023"/>
      <c r="CA800" s="1023"/>
      <c r="CB800" s="1023"/>
      <c r="CC800" s="1023"/>
      <c r="CD800" s="1023"/>
      <c r="CE800" s="1023"/>
    </row>
    <row r="801" spans="1:83" ht="11.25" hidden="1" customHeight="1">
      <c r="A801" s="1636"/>
      <c r="B801" s="1481"/>
      <c r="C801" s="1481"/>
      <c r="D801" s="3622"/>
      <c r="E801" s="527"/>
      <c r="F801" s="527">
        <v>0</v>
      </c>
      <c r="G801" s="527"/>
      <c r="H801" s="527"/>
      <c r="I801" s="527"/>
      <c r="J801" s="527"/>
      <c r="K801" s="527"/>
      <c r="L801" s="527"/>
      <c r="M801" s="527"/>
      <c r="N801" s="527"/>
      <c r="O801" s="527"/>
      <c r="P801" s="527"/>
      <c r="Q801" s="527"/>
      <c r="R801" s="527"/>
      <c r="S801" s="528"/>
      <c r="T801" s="608"/>
      <c r="U801" s="3532"/>
      <c r="V801" s="3532"/>
      <c r="W801" s="1481"/>
      <c r="X801" s="1481"/>
      <c r="Y801" s="1481"/>
      <c r="Z801" s="1481"/>
      <c r="AA801" s="1481"/>
      <c r="AB801" s="1023"/>
      <c r="AC801" s="3617"/>
      <c r="AD801" s="521"/>
      <c r="AE801" s="1023"/>
      <c r="AF801" s="1023"/>
      <c r="AG801" s="1481"/>
      <c r="AH801" s="1481"/>
      <c r="AI801" s="1481"/>
      <c r="AJ801" s="1481"/>
      <c r="AK801" s="1481"/>
      <c r="AL801" s="1481"/>
      <c r="AM801" s="1481"/>
      <c r="AN801" s="1481"/>
      <c r="AO801" s="1481"/>
      <c r="AP801" s="1481"/>
      <c r="AQ801" s="1481"/>
      <c r="AR801" s="1481"/>
      <c r="AS801" s="1481"/>
      <c r="AT801" s="1481"/>
      <c r="AU801" s="1481"/>
      <c r="AV801" s="1481"/>
      <c r="AW801" s="1481"/>
      <c r="AX801" s="1481"/>
      <c r="AY801" s="1481"/>
      <c r="AZ801" s="1481"/>
      <c r="BA801" s="1481"/>
      <c r="BB801" s="1481"/>
      <c r="BC801" s="1481"/>
      <c r="BD801" s="1481"/>
      <c r="BE801" s="1481"/>
      <c r="BF801" s="1481"/>
      <c r="BG801" s="1481"/>
      <c r="BH801" s="1481"/>
      <c r="BI801" s="1481"/>
      <c r="BJ801" s="1481"/>
      <c r="BK801" s="1481"/>
      <c r="BL801" s="1481"/>
      <c r="BM801" s="1481"/>
      <c r="BN801" s="1481"/>
      <c r="BO801" s="1481"/>
      <c r="BP801" s="1481"/>
      <c r="BQ801" s="1481"/>
      <c r="BR801" s="1481"/>
      <c r="BS801" s="1481"/>
      <c r="BT801" s="1481"/>
      <c r="BU801" s="1481"/>
      <c r="BV801" s="1481"/>
      <c r="BW801" s="1481"/>
      <c r="BX801" s="1481"/>
      <c r="BY801" s="1481"/>
      <c r="BZ801" s="1481"/>
      <c r="CA801" s="1481"/>
      <c r="CB801" s="1481"/>
      <c r="CC801" s="1481"/>
      <c r="CD801" s="1481"/>
      <c r="CE801" s="1481"/>
    </row>
    <row r="802" spans="1:83" ht="11.25" hidden="1" customHeight="1">
      <c r="A802" s="1649"/>
      <c r="B802" s="1023"/>
      <c r="C802" s="319"/>
      <c r="D802" s="3622"/>
      <c r="E802" s="541" t="s">
        <v>18</v>
      </c>
      <c r="F802" s="1031" t="s">
        <v>18</v>
      </c>
      <c r="G802" s="1031" t="s">
        <v>880</v>
      </c>
      <c r="H802" s="543" t="s">
        <v>18</v>
      </c>
      <c r="I802" s="543"/>
      <c r="J802" s="543"/>
      <c r="K802" s="543"/>
      <c r="L802" s="543"/>
      <c r="M802" s="543"/>
      <c r="N802" s="543"/>
      <c r="O802" s="543"/>
      <c r="P802" s="543"/>
      <c r="Q802" s="543"/>
      <c r="R802" s="544"/>
      <c r="S802" s="545"/>
      <c r="T802" s="608"/>
      <c r="U802" s="3532"/>
      <c r="V802" s="3532"/>
      <c r="W802" s="1023"/>
      <c r="X802" s="1023"/>
      <c r="Y802" s="1023"/>
      <c r="Z802" s="1023"/>
      <c r="AA802" s="1481"/>
      <c r="AB802" s="1023"/>
      <c r="AC802" s="3617"/>
      <c r="AD802" s="521"/>
      <c r="AE802" s="1023"/>
      <c r="AF802" s="1023"/>
      <c r="AG802" s="1481"/>
      <c r="AH802" s="1481"/>
      <c r="AI802" s="1481"/>
      <c r="AJ802" s="1481"/>
      <c r="AK802" s="1481"/>
      <c r="AL802" s="1481"/>
      <c r="AM802" s="1481"/>
      <c r="AN802" s="1481"/>
      <c r="AO802" s="1481"/>
      <c r="AP802" s="1481"/>
      <c r="AQ802" s="1481"/>
      <c r="AR802" s="1481"/>
      <c r="AS802" s="1481"/>
      <c r="AT802" s="1481"/>
      <c r="AU802" s="1481"/>
      <c r="AV802" s="1481"/>
      <c r="AW802" s="1481"/>
      <c r="AX802" s="1481"/>
      <c r="AY802" s="1481"/>
      <c r="AZ802" s="1481"/>
      <c r="BA802" s="1481"/>
      <c r="BB802" s="1481"/>
      <c r="BC802" s="1481"/>
      <c r="BD802" s="1481"/>
      <c r="BE802" s="1481"/>
      <c r="BF802" s="1481"/>
      <c r="BG802" s="1481"/>
      <c r="BH802" s="1481"/>
      <c r="BI802" s="1481"/>
      <c r="BJ802" s="1481"/>
      <c r="BK802" s="1481"/>
      <c r="BL802" s="1481"/>
      <c r="BM802" s="1481"/>
      <c r="BN802" s="1481"/>
      <c r="BO802" s="1481"/>
      <c r="BP802" s="1481"/>
      <c r="BQ802" s="1481"/>
      <c r="BR802" s="1481"/>
      <c r="BS802" s="1481"/>
      <c r="BT802" s="1481"/>
      <c r="BU802" s="1481"/>
      <c r="BV802" s="1023"/>
      <c r="BW802" s="1023"/>
      <c r="BX802" s="1023"/>
      <c r="BY802" s="1023"/>
      <c r="BZ802" s="1023"/>
      <c r="CA802" s="1023"/>
      <c r="CB802" s="1023"/>
      <c r="CC802" s="1023"/>
      <c r="CD802" s="1023"/>
      <c r="CE802" s="1023"/>
    </row>
    <row r="803" spans="1:83" ht="5.25" hidden="1" customHeight="1">
      <c r="A803" s="1636"/>
      <c r="B803" s="1481"/>
      <c r="C803" s="1481"/>
      <c r="D803" s="3622"/>
      <c r="E803" s="909"/>
      <c r="F803" s="909"/>
      <c r="G803" s="909"/>
      <c r="H803" s="909"/>
      <c r="I803" s="909"/>
      <c r="J803" s="909"/>
      <c r="K803" s="909"/>
      <c r="L803" s="909"/>
      <c r="M803" s="909"/>
      <c r="N803" s="909"/>
      <c r="O803" s="909"/>
      <c r="P803" s="909"/>
      <c r="Q803" s="910"/>
      <c r="R803" s="911"/>
      <c r="S803" s="912"/>
      <c r="T803" s="607" t="s">
        <v>877</v>
      </c>
      <c r="U803" s="3532">
        <v>1</v>
      </c>
      <c r="V803" s="3532" t="s">
        <v>840</v>
      </c>
      <c r="W803" s="1481"/>
      <c r="X803" s="1481"/>
      <c r="Y803" s="1481"/>
      <c r="Z803" s="1481"/>
      <c r="AA803" s="1481"/>
      <c r="AB803" s="1481"/>
      <c r="AC803" s="907"/>
      <c r="AD803" s="908"/>
      <c r="AE803" s="1481"/>
      <c r="AF803" s="1481"/>
      <c r="AG803" s="1481"/>
      <c r="AH803" s="1481"/>
      <c r="AI803" s="1481"/>
      <c r="AJ803" s="1481"/>
      <c r="AK803" s="1481"/>
      <c r="AL803" s="1481"/>
      <c r="AM803" s="1481"/>
      <c r="AN803" s="1481"/>
      <c r="AO803" s="1481"/>
      <c r="AP803" s="1481"/>
      <c r="AQ803" s="1481"/>
      <c r="AR803" s="1481"/>
      <c r="AS803" s="1481"/>
      <c r="AT803" s="1481"/>
      <c r="AU803" s="1481"/>
      <c r="AV803" s="1481"/>
      <c r="AW803" s="1481"/>
      <c r="AX803" s="1481"/>
      <c r="AY803" s="1481"/>
      <c r="AZ803" s="1481"/>
      <c r="BA803" s="1481"/>
      <c r="BB803" s="1481"/>
      <c r="BC803" s="1481"/>
      <c r="BD803" s="1481"/>
      <c r="BE803" s="1481"/>
      <c r="BF803" s="1481"/>
      <c r="BG803" s="1481"/>
      <c r="BH803" s="1481"/>
      <c r="BI803" s="1481"/>
      <c r="BJ803" s="1481"/>
      <c r="BK803" s="1481"/>
      <c r="BL803" s="1481"/>
      <c r="BM803" s="1481"/>
      <c r="BN803" s="1481"/>
      <c r="BO803" s="1481"/>
      <c r="BP803" s="1481"/>
      <c r="BQ803" s="1481"/>
      <c r="BR803" s="1481"/>
      <c r="BS803" s="1481"/>
      <c r="BT803" s="1481"/>
      <c r="BU803" s="1481"/>
      <c r="BV803" s="1481"/>
      <c r="BW803" s="1481"/>
      <c r="BX803" s="1481"/>
      <c r="BY803" s="1481"/>
      <c r="BZ803" s="1481"/>
      <c r="CA803" s="1481"/>
      <c r="CB803" s="1481"/>
      <c r="CC803" s="1481"/>
      <c r="CD803" s="1481"/>
      <c r="CE803" s="1481"/>
    </row>
    <row r="804" spans="1:83" ht="5.25" hidden="1" customHeight="1">
      <c r="A804" s="1636"/>
      <c r="B804" s="1481"/>
      <c r="C804" s="1481"/>
      <c r="D804" s="3622"/>
      <c r="E804" s="527"/>
      <c r="F804" s="527"/>
      <c r="G804" s="527"/>
      <c r="H804" s="527"/>
      <c r="I804" s="527"/>
      <c r="J804" s="527"/>
      <c r="K804" s="527"/>
      <c r="L804" s="527"/>
      <c r="M804" s="527"/>
      <c r="N804" s="527"/>
      <c r="O804" s="527"/>
      <c r="P804" s="527"/>
      <c r="Q804" s="527"/>
      <c r="R804" s="527"/>
      <c r="S804" s="528"/>
      <c r="T804" s="608"/>
      <c r="U804" s="3532"/>
      <c r="V804" s="3532"/>
      <c r="W804" s="1481"/>
      <c r="X804" s="1481"/>
      <c r="Y804" s="1481"/>
      <c r="Z804" s="1481"/>
      <c r="AA804" s="1481"/>
      <c r="AB804" s="1481"/>
      <c r="AC804" s="907"/>
      <c r="AD804" s="908"/>
      <c r="AE804" s="1481"/>
      <c r="AF804" s="1481"/>
      <c r="AG804" s="1481"/>
      <c r="AH804" s="1481"/>
      <c r="AI804" s="1481"/>
      <c r="AJ804" s="1481"/>
      <c r="AK804" s="1481"/>
      <c r="AL804" s="1481"/>
      <c r="AM804" s="1481"/>
      <c r="AN804" s="1481"/>
      <c r="AO804" s="1481"/>
      <c r="AP804" s="1481"/>
      <c r="AQ804" s="1481"/>
      <c r="AR804" s="1481"/>
      <c r="AS804" s="1481"/>
      <c r="AT804" s="1481"/>
      <c r="AU804" s="1481"/>
      <c r="AV804" s="1481"/>
      <c r="AW804" s="1481"/>
      <c r="AX804" s="1481"/>
      <c r="AY804" s="1481"/>
      <c r="AZ804" s="1481"/>
      <c r="BA804" s="1481"/>
      <c r="BB804" s="1481"/>
      <c r="BC804" s="1481"/>
      <c r="BD804" s="1481"/>
      <c r="BE804" s="1481"/>
      <c r="BF804" s="1481"/>
      <c r="BG804" s="1481"/>
      <c r="BH804" s="1481"/>
      <c r="BI804" s="1481"/>
      <c r="BJ804" s="1481"/>
      <c r="BK804" s="1481"/>
      <c r="BL804" s="1481"/>
      <c r="BM804" s="1481"/>
      <c r="BN804" s="1481"/>
      <c r="BO804" s="1481"/>
      <c r="BP804" s="1481"/>
      <c r="BQ804" s="1481"/>
      <c r="BR804" s="1481"/>
      <c r="BS804" s="1481"/>
      <c r="BT804" s="1481"/>
      <c r="BU804" s="1481"/>
      <c r="BV804" s="1481"/>
      <c r="BW804" s="1481"/>
      <c r="BX804" s="1481"/>
      <c r="BY804" s="1481"/>
      <c r="BZ804" s="1481"/>
      <c r="CA804" s="1481"/>
      <c r="CB804" s="1481"/>
      <c r="CC804" s="1481"/>
      <c r="CD804" s="1481"/>
      <c r="CE804" s="1481"/>
    </row>
    <row r="805" spans="1:83" ht="5.25" hidden="1" customHeight="1">
      <c r="A805" s="1636"/>
      <c r="B805" s="1481"/>
      <c r="C805" s="1481"/>
      <c r="D805" s="3623"/>
      <c r="E805" s="913"/>
      <c r="F805" s="914"/>
      <c r="G805" s="914"/>
      <c r="H805" s="915"/>
      <c r="I805" s="915"/>
      <c r="J805" s="915"/>
      <c r="K805" s="915"/>
      <c r="L805" s="915"/>
      <c r="M805" s="915"/>
      <c r="N805" s="915"/>
      <c r="O805" s="915"/>
      <c r="P805" s="915"/>
      <c r="Q805" s="915"/>
      <c r="R805" s="818"/>
      <c r="S805" s="916"/>
      <c r="T805" s="608"/>
      <c r="U805" s="3532"/>
      <c r="V805" s="3532"/>
      <c r="W805" s="1481"/>
      <c r="X805" s="1481"/>
      <c r="Y805" s="1481"/>
      <c r="Z805" s="1481"/>
      <c r="AA805" s="1481"/>
      <c r="AB805" s="1481"/>
      <c r="AC805" s="907"/>
      <c r="AD805" s="908"/>
      <c r="AE805" s="1481"/>
      <c r="AF805" s="1481"/>
      <c r="AG805" s="1481"/>
      <c r="AH805" s="1481"/>
      <c r="AI805" s="1481"/>
      <c r="AJ805" s="1481"/>
      <c r="AK805" s="1481"/>
      <c r="AL805" s="1481"/>
      <c r="AM805" s="1481"/>
      <c r="AN805" s="1481"/>
      <c r="AO805" s="1481"/>
      <c r="AP805" s="1481"/>
      <c r="AQ805" s="1481"/>
      <c r="AR805" s="1481"/>
      <c r="AS805" s="1481"/>
      <c r="AT805" s="1481"/>
      <c r="AU805" s="1481"/>
      <c r="AV805" s="1481"/>
      <c r="AW805" s="1481"/>
      <c r="AX805" s="1481"/>
      <c r="AY805" s="1481"/>
      <c r="AZ805" s="1481"/>
      <c r="BA805" s="1481"/>
      <c r="BB805" s="1481"/>
      <c r="BC805" s="1481"/>
      <c r="BD805" s="1481"/>
      <c r="BE805" s="1481"/>
      <c r="BF805" s="1481"/>
      <c r="BG805" s="1481"/>
      <c r="BH805" s="1481"/>
      <c r="BI805" s="1481"/>
      <c r="BJ805" s="1481"/>
      <c r="BK805" s="1481"/>
      <c r="BL805" s="1481"/>
      <c r="BM805" s="1481"/>
      <c r="BN805" s="1481"/>
      <c r="BO805" s="1481"/>
      <c r="BP805" s="1481"/>
      <c r="BQ805" s="1481"/>
      <c r="BR805" s="1481"/>
      <c r="BS805" s="1481"/>
      <c r="BT805" s="1481"/>
      <c r="BU805" s="1481"/>
      <c r="BV805" s="1481"/>
      <c r="BW805" s="1481"/>
      <c r="BX805" s="1481"/>
      <c r="BY805" s="1481"/>
      <c r="BZ805" s="1481"/>
      <c r="CA805" s="1481"/>
      <c r="CB805" s="1481"/>
      <c r="CC805" s="1481"/>
      <c r="CD805" s="1481"/>
      <c r="CE805" s="1481"/>
    </row>
    <row r="806" spans="1:83" ht="15" hidden="1" customHeight="1">
      <c r="A806" s="516" t="s">
        <v>374</v>
      </c>
      <c r="B806"/>
      <c r="C806" t="s">
        <v>18</v>
      </c>
      <c r="D806" s="3621" t="s">
        <v>967</v>
      </c>
      <c r="E806" s="3618" t="s">
        <v>102</v>
      </c>
      <c r="F806" s="3619"/>
      <c r="G806" s="3620"/>
      <c r="H806" s="3614" t="str">
        <f>IF(A806="","",INDEX(DIFFERENTIATION_UNMERGE_VD,MATCH(A806,DIFFERENTIATION_ID_DIFF,0)))</f>
        <v>Производство тепловой энергии. Некомбинированная выработка</v>
      </c>
      <c r="I806" s="3614"/>
      <c r="J806" s="3614"/>
      <c r="K806" s="3614"/>
      <c r="L806" s="3614"/>
      <c r="M806" s="3614"/>
      <c r="N806" s="3614"/>
      <c r="O806" s="3614"/>
      <c r="P806" s="3614"/>
      <c r="Q806" s="3614"/>
      <c r="R806" s="3614"/>
      <c r="S806" s="609"/>
      <c r="T806" s="606"/>
      <c r="U806" s="517"/>
      <c r="V806" s="517"/>
      <c r="W806" s="518"/>
      <c r="X806" s="518"/>
      <c r="Y806" s="518"/>
      <c r="Z806" s="518"/>
      <c r="AA806" s="519"/>
      <c r="AB806" s="520"/>
      <c r="AC806" s="3617"/>
      <c r="AD806" s="521"/>
      <c r="AE806" s="522" t="s">
        <v>18</v>
      </c>
      <c r="AF806" s="522"/>
      <c r="AG806" s="523" t="s">
        <v>874</v>
      </c>
      <c r="AH806" s="524">
        <v>3</v>
      </c>
      <c r="AI806" s="517"/>
      <c r="AJ806" s="517"/>
      <c r="AK806" s="517"/>
      <c r="AL806" s="517"/>
      <c r="AM806" s="517"/>
      <c r="AN806" s="517"/>
      <c r="AO806" s="517"/>
      <c r="AP806" s="517"/>
      <c r="AQ806" s="517"/>
      <c r="AR806" s="517"/>
      <c r="AS806" s="517"/>
      <c r="AT806" s="517"/>
      <c r="AU806" s="517"/>
      <c r="AV806" s="517"/>
      <c r="AW806" s="517"/>
      <c r="AX806" s="517"/>
      <c r="AY806" s="517"/>
      <c r="AZ806" s="517"/>
      <c r="BA806" s="517"/>
      <c r="BB806" s="517"/>
      <c r="BC806" s="517"/>
      <c r="BD806" s="517"/>
      <c r="BE806" s="517"/>
      <c r="BF806" s="517"/>
      <c r="BG806" s="517"/>
      <c r="BH806" s="517"/>
      <c r="BI806" s="517"/>
      <c r="BJ806" s="517"/>
      <c r="BK806" s="517"/>
      <c r="BL806" s="517"/>
      <c r="BM806" s="517"/>
      <c r="BN806" s="517"/>
      <c r="BO806" s="517"/>
      <c r="BP806" s="517"/>
      <c r="BQ806" s="517"/>
      <c r="BR806" s="517"/>
      <c r="BS806" s="517"/>
      <c r="BT806" s="517"/>
      <c r="BU806" s="517"/>
      <c r="BV806" s="518"/>
      <c r="BW806" s="518"/>
      <c r="BX806" s="518"/>
      <c r="BY806" s="518"/>
      <c r="BZ806" s="518"/>
      <c r="CA806" s="518"/>
      <c r="CB806" s="518"/>
      <c r="CC806" s="518"/>
      <c r="CD806" s="518"/>
      <c r="CE806" s="518"/>
    </row>
    <row r="807" spans="1:83" ht="15" hidden="1" customHeight="1">
      <c r="A807" s="516"/>
      <c r="B807"/>
      <c r="C807"/>
      <c r="D807" s="3622"/>
      <c r="E807" s="3618" t="s">
        <v>829</v>
      </c>
      <c r="F807" s="3619"/>
      <c r="G807" s="3620"/>
      <c r="H807" s="3614" t="str">
        <f>IF(A806="","",INDEX(DIFFERENTIATION_UNMERGE_AREA,MATCH(A806,DIFFERENTIATION_ID_DIFF,0)))</f>
        <v>Территория 1</v>
      </c>
      <c r="I807" s="3614"/>
      <c r="J807" s="3614"/>
      <c r="K807" s="3614"/>
      <c r="L807" s="3614"/>
      <c r="M807" s="3614"/>
      <c r="N807" s="3614"/>
      <c r="O807" s="3614"/>
      <c r="P807" s="3614"/>
      <c r="Q807" s="3614"/>
      <c r="R807" s="3614"/>
      <c r="S807" s="609"/>
      <c r="T807" s="606"/>
      <c r="U807" s="517"/>
      <c r="V807" s="517"/>
      <c r="W807" s="518"/>
      <c r="X807" s="518"/>
      <c r="Y807" s="518"/>
      <c r="Z807" s="518"/>
      <c r="AA807" s="519"/>
      <c r="AB807" s="520"/>
      <c r="AC807" s="3617"/>
      <c r="AD807" s="521"/>
      <c r="AE807" s="522"/>
      <c r="AF807" s="522"/>
      <c r="AG807" s="523"/>
      <c r="AH807" s="524"/>
      <c r="AI807" s="517"/>
      <c r="AJ807" s="517"/>
      <c r="AK807" s="517"/>
      <c r="AL807" s="517"/>
      <c r="AM807" s="517"/>
      <c r="AN807" s="517"/>
      <c r="AO807" s="517"/>
      <c r="AP807" s="517"/>
      <c r="AQ807" s="517"/>
      <c r="AR807" s="517"/>
      <c r="AS807" s="517"/>
      <c r="AT807" s="517"/>
      <c r="AU807" s="517"/>
      <c r="AV807" s="517"/>
      <c r="AW807" s="517"/>
      <c r="AX807" s="517"/>
      <c r="AY807" s="517"/>
      <c r="AZ807" s="517"/>
      <c r="BA807" s="517"/>
      <c r="BB807" s="517"/>
      <c r="BC807" s="517"/>
      <c r="BD807" s="517"/>
      <c r="BE807" s="517"/>
      <c r="BF807" s="517"/>
      <c r="BG807" s="517"/>
      <c r="BH807" s="517"/>
      <c r="BI807" s="517"/>
      <c r="BJ807" s="517"/>
      <c r="BK807" s="517"/>
      <c r="BL807" s="517"/>
      <c r="BM807" s="517"/>
      <c r="BN807" s="517"/>
      <c r="BO807" s="517"/>
      <c r="BP807" s="517"/>
      <c r="BQ807" s="517"/>
      <c r="BR807" s="517"/>
      <c r="BS807" s="517"/>
      <c r="BT807" s="517"/>
      <c r="BU807" s="517"/>
      <c r="BV807" s="518"/>
      <c r="BW807" s="518"/>
      <c r="BX807" s="518"/>
      <c r="BY807" s="518"/>
      <c r="BZ807" s="518"/>
      <c r="CA807" s="518"/>
      <c r="CB807" s="518"/>
      <c r="CC807" s="518"/>
      <c r="CD807" s="518"/>
      <c r="CE807" s="518"/>
    </row>
    <row r="808" spans="1:83" ht="15" hidden="1" customHeight="1">
      <c r="A808" s="516"/>
      <c r="B808"/>
      <c r="C808"/>
      <c r="D808" s="3622"/>
      <c r="E808" s="3618" t="s">
        <v>830</v>
      </c>
      <c r="F808" s="3619"/>
      <c r="G808" s="3620"/>
      <c r="H808" s="3614" t="str">
        <f>IF(A806="","",INDEX(DIFFERENTIATION_UNMERGE_SYSTEM,MATCH(A806,DIFFERENTIATION_ID_DIFF,0)))</f>
        <v>Тульская, 24а</v>
      </c>
      <c r="I808" s="3614"/>
      <c r="J808" s="3614"/>
      <c r="K808" s="3614"/>
      <c r="L808" s="3614"/>
      <c r="M808" s="3614"/>
      <c r="N808" s="3614"/>
      <c r="O808" s="3614"/>
      <c r="P808" s="3614"/>
      <c r="Q808" s="3614"/>
      <c r="R808" s="3614"/>
      <c r="S808" s="609"/>
      <c r="T808" s="606"/>
      <c r="U808" s="517"/>
      <c r="V808" s="517"/>
      <c r="W808" s="518"/>
      <c r="X808" s="518"/>
      <c r="Y808" s="518"/>
      <c r="Z808" s="518"/>
      <c r="AA808" s="519"/>
      <c r="AB808" s="520"/>
      <c r="AC808" s="3617"/>
      <c r="AD808" s="521"/>
      <c r="AE808" s="522"/>
      <c r="AF808" s="522"/>
      <c r="AG808" s="523"/>
      <c r="AH808" s="524"/>
      <c r="AI808" s="517"/>
      <c r="AJ808" s="517"/>
      <c r="AK808" s="517"/>
      <c r="AL808" s="517"/>
      <c r="AM808" s="517"/>
      <c r="AN808" s="517"/>
      <c r="AO808" s="517"/>
      <c r="AP808" s="517"/>
      <c r="AQ808" s="517"/>
      <c r="AR808" s="517"/>
      <c r="AS808" s="517"/>
      <c r="AT808" s="517"/>
      <c r="AU808" s="517"/>
      <c r="AV808" s="517"/>
      <c r="AW808" s="517"/>
      <c r="AX808" s="517"/>
      <c r="AY808" s="517"/>
      <c r="AZ808" s="517"/>
      <c r="BA808" s="517"/>
      <c r="BB808" s="517"/>
      <c r="BC808" s="517"/>
      <c r="BD808" s="517"/>
      <c r="BE808" s="517"/>
      <c r="BF808" s="517"/>
      <c r="BG808" s="517"/>
      <c r="BH808" s="517"/>
      <c r="BI808" s="517"/>
      <c r="BJ808" s="517"/>
      <c r="BK808" s="517"/>
      <c r="BL808" s="517"/>
      <c r="BM808" s="517"/>
      <c r="BN808" s="517"/>
      <c r="BO808" s="517"/>
      <c r="BP808" s="517"/>
      <c r="BQ808" s="517"/>
      <c r="BR808" s="517"/>
      <c r="BS808" s="517"/>
      <c r="BT808" s="517"/>
      <c r="BU808" s="517"/>
      <c r="BV808" s="518"/>
      <c r="BW808" s="518"/>
      <c r="BX808" s="518"/>
      <c r="BY808" s="518"/>
      <c r="BZ808" s="518"/>
      <c r="CA808" s="518"/>
      <c r="CB808" s="518"/>
      <c r="CC808" s="518"/>
      <c r="CD808" s="518"/>
      <c r="CE808" s="518"/>
    </row>
    <row r="809" spans="1:83" ht="24.75" hidden="1" customHeight="1">
      <c r="A809" s="1649"/>
      <c r="B809" s="1023"/>
      <c r="C809" s="319"/>
      <c r="D809" s="3622"/>
      <c r="E809" s="3616" t="s">
        <v>875</v>
      </c>
      <c r="F809" s="3616"/>
      <c r="G809" s="3616"/>
      <c r="H809" s="3616"/>
      <c r="I809" s="3616"/>
      <c r="J809" s="3616"/>
      <c r="K809" s="3616"/>
      <c r="L809" s="3616"/>
      <c r="M809" s="3616"/>
      <c r="N809" s="3616"/>
      <c r="O809" s="3616"/>
      <c r="P809" s="3616"/>
      <c r="Q809" s="455">
        <f>SUMIF(T810:T811,"i",Q810:Q811)</f>
        <v>0</v>
      </c>
      <c r="R809" s="887"/>
      <c r="S809" s="1641" t="s">
        <v>876</v>
      </c>
      <c r="T809" s="607" t="s">
        <v>877</v>
      </c>
      <c r="U809" s="3532">
        <v>1</v>
      </c>
      <c r="V809" s="3532" t="s">
        <v>840</v>
      </c>
      <c r="W809" s="1023"/>
      <c r="X809" s="1023"/>
      <c r="Y809" s="1023"/>
      <c r="Z809" s="1023"/>
      <c r="AA809" s="1481"/>
      <c r="AB809" s="1023"/>
      <c r="AC809" s="3617"/>
      <c r="AD809" s="521"/>
      <c r="AE809" s="1023"/>
      <c r="AF809" s="1023"/>
      <c r="AG809" s="1481"/>
      <c r="AH809" s="1481"/>
      <c r="AI809" s="1481"/>
      <c r="AJ809" s="1481"/>
      <c r="AK809" s="1481"/>
      <c r="AL809" s="1481"/>
      <c r="AM809" s="1481"/>
      <c r="AN809" s="1481"/>
      <c r="AO809" s="1481"/>
      <c r="AP809" s="1481"/>
      <c r="AQ809" s="1481"/>
      <c r="AR809" s="1481"/>
      <c r="AS809" s="1481"/>
      <c r="AT809" s="1481"/>
      <c r="AU809" s="1481"/>
      <c r="AV809" s="1481"/>
      <c r="AW809" s="1481"/>
      <c r="AX809" s="1481"/>
      <c r="AY809" s="1481"/>
      <c r="AZ809" s="1481"/>
      <c r="BA809" s="1481"/>
      <c r="BB809" s="1481"/>
      <c r="BC809" s="1481"/>
      <c r="BD809" s="1481"/>
      <c r="BE809" s="1481"/>
      <c r="BF809" s="1481"/>
      <c r="BG809" s="1481"/>
      <c r="BH809" s="1481"/>
      <c r="BI809" s="1481"/>
      <c r="BJ809" s="1481"/>
      <c r="BK809" s="1481"/>
      <c r="BL809" s="1481"/>
      <c r="BM809" s="1481"/>
      <c r="BN809" s="1481"/>
      <c r="BO809" s="1481"/>
      <c r="BP809" s="1481"/>
      <c r="BQ809" s="1481"/>
      <c r="BR809" s="1481"/>
      <c r="BS809" s="1481"/>
      <c r="BT809" s="1481"/>
      <c r="BU809" s="1481"/>
      <c r="BV809" s="1023"/>
      <c r="BW809" s="1023"/>
      <c r="BX809" s="1023"/>
      <c r="BY809" s="1023"/>
      <c r="BZ809" s="1023"/>
      <c r="CA809" s="1023"/>
      <c r="CB809" s="1023"/>
      <c r="CC809" s="1023"/>
      <c r="CD809" s="1023"/>
      <c r="CE809" s="1023"/>
    </row>
    <row r="810" spans="1:83" ht="11.25" hidden="1" customHeight="1">
      <c r="A810" s="1636"/>
      <c r="B810" s="1481"/>
      <c r="C810" s="1481"/>
      <c r="D810" s="3622"/>
      <c r="E810" s="527"/>
      <c r="F810" s="527">
        <v>0</v>
      </c>
      <c r="G810" s="527"/>
      <c r="H810" s="527"/>
      <c r="I810" s="527"/>
      <c r="J810" s="527"/>
      <c r="K810" s="527"/>
      <c r="L810" s="527"/>
      <c r="M810" s="527"/>
      <c r="N810" s="527"/>
      <c r="O810" s="527"/>
      <c r="P810" s="527"/>
      <c r="Q810" s="527"/>
      <c r="R810" s="527"/>
      <c r="S810" s="528"/>
      <c r="T810" s="608"/>
      <c r="U810" s="3532"/>
      <c r="V810" s="3532"/>
      <c r="W810" s="1481"/>
      <c r="X810" s="1481"/>
      <c r="Y810" s="1481"/>
      <c r="Z810" s="1481"/>
      <c r="AA810" s="1481"/>
      <c r="AB810" s="1023"/>
      <c r="AC810" s="3617"/>
      <c r="AD810" s="521"/>
      <c r="AE810" s="1023"/>
      <c r="AF810" s="1023"/>
      <c r="AG810" s="1481"/>
      <c r="AH810" s="1481"/>
      <c r="AI810" s="1481"/>
      <c r="AJ810" s="1481"/>
      <c r="AK810" s="1481"/>
      <c r="AL810" s="1481"/>
      <c r="AM810" s="1481"/>
      <c r="AN810" s="1481"/>
      <c r="AO810" s="1481"/>
      <c r="AP810" s="1481"/>
      <c r="AQ810" s="1481"/>
      <c r="AR810" s="1481"/>
      <c r="AS810" s="1481"/>
      <c r="AT810" s="1481"/>
      <c r="AU810" s="1481"/>
      <c r="AV810" s="1481"/>
      <c r="AW810" s="1481"/>
      <c r="AX810" s="1481"/>
      <c r="AY810" s="1481"/>
      <c r="AZ810" s="1481"/>
      <c r="BA810" s="1481"/>
      <c r="BB810" s="1481"/>
      <c r="BC810" s="1481"/>
      <c r="BD810" s="1481"/>
      <c r="BE810" s="1481"/>
      <c r="BF810" s="1481"/>
      <c r="BG810" s="1481"/>
      <c r="BH810" s="1481"/>
      <c r="BI810" s="1481"/>
      <c r="BJ810" s="1481"/>
      <c r="BK810" s="1481"/>
      <c r="BL810" s="1481"/>
      <c r="BM810" s="1481"/>
      <c r="BN810" s="1481"/>
      <c r="BO810" s="1481"/>
      <c r="BP810" s="1481"/>
      <c r="BQ810" s="1481"/>
      <c r="BR810" s="1481"/>
      <c r="BS810" s="1481"/>
      <c r="BT810" s="1481"/>
      <c r="BU810" s="1481"/>
      <c r="BV810" s="1481"/>
      <c r="BW810" s="1481"/>
      <c r="BX810" s="1481"/>
      <c r="BY810" s="1481"/>
      <c r="BZ810" s="1481"/>
      <c r="CA810" s="1481"/>
      <c r="CB810" s="1481"/>
      <c r="CC810" s="1481"/>
      <c r="CD810" s="1481"/>
      <c r="CE810" s="1481"/>
    </row>
    <row r="811" spans="1:83" ht="11.25" hidden="1" customHeight="1">
      <c r="A811" s="1649"/>
      <c r="B811" s="1023"/>
      <c r="C811" s="319"/>
      <c r="D811" s="3622"/>
      <c r="E811" s="541" t="s">
        <v>18</v>
      </c>
      <c r="F811" s="1031" t="s">
        <v>18</v>
      </c>
      <c r="G811" s="1031" t="s">
        <v>880</v>
      </c>
      <c r="H811" s="543" t="s">
        <v>18</v>
      </c>
      <c r="I811" s="543"/>
      <c r="J811" s="543"/>
      <c r="K811" s="543"/>
      <c r="L811" s="543"/>
      <c r="M811" s="543"/>
      <c r="N811" s="543"/>
      <c r="O811" s="543"/>
      <c r="P811" s="543"/>
      <c r="Q811" s="543"/>
      <c r="R811" s="544"/>
      <c r="S811" s="545"/>
      <c r="T811" s="608"/>
      <c r="U811" s="3532"/>
      <c r="V811" s="3532"/>
      <c r="W811" s="1023"/>
      <c r="X811" s="1023"/>
      <c r="Y811" s="1023"/>
      <c r="Z811" s="1023"/>
      <c r="AA811" s="1481"/>
      <c r="AB811" s="1023"/>
      <c r="AC811" s="3617"/>
      <c r="AD811" s="521"/>
      <c r="AE811" s="1023"/>
      <c r="AF811" s="1023"/>
      <c r="AG811" s="1481"/>
      <c r="AH811" s="1481"/>
      <c r="AI811" s="1481"/>
      <c r="AJ811" s="1481"/>
      <c r="AK811" s="1481"/>
      <c r="AL811" s="1481"/>
      <c r="AM811" s="1481"/>
      <c r="AN811" s="1481"/>
      <c r="AO811" s="1481"/>
      <c r="AP811" s="1481"/>
      <c r="AQ811" s="1481"/>
      <c r="AR811" s="1481"/>
      <c r="AS811" s="1481"/>
      <c r="AT811" s="1481"/>
      <c r="AU811" s="1481"/>
      <c r="AV811" s="1481"/>
      <c r="AW811" s="1481"/>
      <c r="AX811" s="1481"/>
      <c r="AY811" s="1481"/>
      <c r="AZ811" s="1481"/>
      <c r="BA811" s="1481"/>
      <c r="BB811" s="1481"/>
      <c r="BC811" s="1481"/>
      <c r="BD811" s="1481"/>
      <c r="BE811" s="1481"/>
      <c r="BF811" s="1481"/>
      <c r="BG811" s="1481"/>
      <c r="BH811" s="1481"/>
      <c r="BI811" s="1481"/>
      <c r="BJ811" s="1481"/>
      <c r="BK811" s="1481"/>
      <c r="BL811" s="1481"/>
      <c r="BM811" s="1481"/>
      <c r="BN811" s="1481"/>
      <c r="BO811" s="1481"/>
      <c r="BP811" s="1481"/>
      <c r="BQ811" s="1481"/>
      <c r="BR811" s="1481"/>
      <c r="BS811" s="1481"/>
      <c r="BT811" s="1481"/>
      <c r="BU811" s="1481"/>
      <c r="BV811" s="1023"/>
      <c r="BW811" s="1023"/>
      <c r="BX811" s="1023"/>
      <c r="BY811" s="1023"/>
      <c r="BZ811" s="1023"/>
      <c r="CA811" s="1023"/>
      <c r="CB811" s="1023"/>
      <c r="CC811" s="1023"/>
      <c r="CD811" s="1023"/>
      <c r="CE811" s="1023"/>
    </row>
    <row r="812" spans="1:83" ht="5.25" hidden="1" customHeight="1">
      <c r="A812" s="1636"/>
      <c r="B812" s="1481"/>
      <c r="C812" s="1481"/>
      <c r="D812" s="3622"/>
      <c r="E812" s="909"/>
      <c r="F812" s="909"/>
      <c r="G812" s="909"/>
      <c r="H812" s="909"/>
      <c r="I812" s="909"/>
      <c r="J812" s="909"/>
      <c r="K812" s="909"/>
      <c r="L812" s="909"/>
      <c r="M812" s="909"/>
      <c r="N812" s="909"/>
      <c r="O812" s="909"/>
      <c r="P812" s="909"/>
      <c r="Q812" s="910"/>
      <c r="R812" s="911"/>
      <c r="S812" s="912"/>
      <c r="T812" s="607" t="s">
        <v>877</v>
      </c>
      <c r="U812" s="3532">
        <v>1</v>
      </c>
      <c r="V812" s="3532" t="s">
        <v>840</v>
      </c>
      <c r="W812" s="1481"/>
      <c r="X812" s="1481"/>
      <c r="Y812" s="1481"/>
      <c r="Z812" s="1481"/>
      <c r="AA812" s="1481"/>
      <c r="AB812" s="1481"/>
      <c r="AC812" s="907"/>
      <c r="AD812" s="908"/>
      <c r="AE812" s="1481"/>
      <c r="AF812" s="1481"/>
      <c r="AG812" s="1481"/>
      <c r="AH812" s="1481"/>
      <c r="AI812" s="1481"/>
      <c r="AJ812" s="1481"/>
      <c r="AK812" s="1481"/>
      <c r="AL812" s="1481"/>
      <c r="AM812" s="1481"/>
      <c r="AN812" s="1481"/>
      <c r="AO812" s="1481"/>
      <c r="AP812" s="1481"/>
      <c r="AQ812" s="1481"/>
      <c r="AR812" s="1481"/>
      <c r="AS812" s="1481"/>
      <c r="AT812" s="1481"/>
      <c r="AU812" s="1481"/>
      <c r="AV812" s="1481"/>
      <c r="AW812" s="1481"/>
      <c r="AX812" s="1481"/>
      <c r="AY812" s="1481"/>
      <c r="AZ812" s="1481"/>
      <c r="BA812" s="1481"/>
      <c r="BB812" s="1481"/>
      <c r="BC812" s="1481"/>
      <c r="BD812" s="1481"/>
      <c r="BE812" s="1481"/>
      <c r="BF812" s="1481"/>
      <c r="BG812" s="1481"/>
      <c r="BH812" s="1481"/>
      <c r="BI812" s="1481"/>
      <c r="BJ812" s="1481"/>
      <c r="BK812" s="1481"/>
      <c r="BL812" s="1481"/>
      <c r="BM812" s="1481"/>
      <c r="BN812" s="1481"/>
      <c r="BO812" s="1481"/>
      <c r="BP812" s="1481"/>
      <c r="BQ812" s="1481"/>
      <c r="BR812" s="1481"/>
      <c r="BS812" s="1481"/>
      <c r="BT812" s="1481"/>
      <c r="BU812" s="1481"/>
      <c r="BV812" s="1481"/>
      <c r="BW812" s="1481"/>
      <c r="BX812" s="1481"/>
      <c r="BY812" s="1481"/>
      <c r="BZ812" s="1481"/>
      <c r="CA812" s="1481"/>
      <c r="CB812" s="1481"/>
      <c r="CC812" s="1481"/>
      <c r="CD812" s="1481"/>
      <c r="CE812" s="1481"/>
    </row>
    <row r="813" spans="1:83" ht="5.25" hidden="1" customHeight="1">
      <c r="A813" s="1636"/>
      <c r="B813" s="1481"/>
      <c r="C813" s="1481"/>
      <c r="D813" s="3622"/>
      <c r="E813" s="527"/>
      <c r="F813" s="527"/>
      <c r="G813" s="527"/>
      <c r="H813" s="527"/>
      <c r="I813" s="527"/>
      <c r="J813" s="527"/>
      <c r="K813" s="527"/>
      <c r="L813" s="527"/>
      <c r="M813" s="527"/>
      <c r="N813" s="527"/>
      <c r="O813" s="527"/>
      <c r="P813" s="527"/>
      <c r="Q813" s="527"/>
      <c r="R813" s="527"/>
      <c r="S813" s="528"/>
      <c r="T813" s="608"/>
      <c r="U813" s="3532"/>
      <c r="V813" s="3532"/>
      <c r="W813" s="1481"/>
      <c r="X813" s="1481"/>
      <c r="Y813" s="1481"/>
      <c r="Z813" s="1481"/>
      <c r="AA813" s="1481"/>
      <c r="AB813" s="1481"/>
      <c r="AC813" s="907"/>
      <c r="AD813" s="908"/>
      <c r="AE813" s="1481"/>
      <c r="AF813" s="1481"/>
      <c r="AG813" s="1481"/>
      <c r="AH813" s="1481"/>
      <c r="AI813" s="1481"/>
      <c r="AJ813" s="1481"/>
      <c r="AK813" s="1481"/>
      <c r="AL813" s="1481"/>
      <c r="AM813" s="1481"/>
      <c r="AN813" s="1481"/>
      <c r="AO813" s="1481"/>
      <c r="AP813" s="1481"/>
      <c r="AQ813" s="1481"/>
      <c r="AR813" s="1481"/>
      <c r="AS813" s="1481"/>
      <c r="AT813" s="1481"/>
      <c r="AU813" s="1481"/>
      <c r="AV813" s="1481"/>
      <c r="AW813" s="1481"/>
      <c r="AX813" s="1481"/>
      <c r="AY813" s="1481"/>
      <c r="AZ813" s="1481"/>
      <c r="BA813" s="1481"/>
      <c r="BB813" s="1481"/>
      <c r="BC813" s="1481"/>
      <c r="BD813" s="1481"/>
      <c r="BE813" s="1481"/>
      <c r="BF813" s="1481"/>
      <c r="BG813" s="1481"/>
      <c r="BH813" s="1481"/>
      <c r="BI813" s="1481"/>
      <c r="BJ813" s="1481"/>
      <c r="BK813" s="1481"/>
      <c r="BL813" s="1481"/>
      <c r="BM813" s="1481"/>
      <c r="BN813" s="1481"/>
      <c r="BO813" s="1481"/>
      <c r="BP813" s="1481"/>
      <c r="BQ813" s="1481"/>
      <c r="BR813" s="1481"/>
      <c r="BS813" s="1481"/>
      <c r="BT813" s="1481"/>
      <c r="BU813" s="1481"/>
      <c r="BV813" s="1481"/>
      <c r="BW813" s="1481"/>
      <c r="BX813" s="1481"/>
      <c r="BY813" s="1481"/>
      <c r="BZ813" s="1481"/>
      <c r="CA813" s="1481"/>
      <c r="CB813" s="1481"/>
      <c r="CC813" s="1481"/>
      <c r="CD813" s="1481"/>
      <c r="CE813" s="1481"/>
    </row>
    <row r="814" spans="1:83" ht="5.25" hidden="1" customHeight="1">
      <c r="A814" s="1636"/>
      <c r="B814" s="1481"/>
      <c r="C814" s="1481"/>
      <c r="D814" s="3623"/>
      <c r="E814" s="913"/>
      <c r="F814" s="914"/>
      <c r="G814" s="914"/>
      <c r="H814" s="915"/>
      <c r="I814" s="915"/>
      <c r="J814" s="915"/>
      <c r="K814" s="915"/>
      <c r="L814" s="915"/>
      <c r="M814" s="915"/>
      <c r="N814" s="915"/>
      <c r="O814" s="915"/>
      <c r="P814" s="915"/>
      <c r="Q814" s="915"/>
      <c r="R814" s="818"/>
      <c r="S814" s="916"/>
      <c r="T814" s="608"/>
      <c r="U814" s="3532"/>
      <c r="V814" s="3532"/>
      <c r="W814" s="1481"/>
      <c r="X814" s="1481"/>
      <c r="Y814" s="1481"/>
      <c r="Z814" s="1481"/>
      <c r="AA814" s="1481"/>
      <c r="AB814" s="1481"/>
      <c r="AC814" s="907"/>
      <c r="AD814" s="908"/>
      <c r="AE814" s="1481"/>
      <c r="AF814" s="1481"/>
      <c r="AG814" s="1481"/>
      <c r="AH814" s="1481"/>
      <c r="AI814" s="1481"/>
      <c r="AJ814" s="1481"/>
      <c r="AK814" s="1481"/>
      <c r="AL814" s="1481"/>
      <c r="AM814" s="1481"/>
      <c r="AN814" s="1481"/>
      <c r="AO814" s="1481"/>
      <c r="AP814" s="1481"/>
      <c r="AQ814" s="1481"/>
      <c r="AR814" s="1481"/>
      <c r="AS814" s="1481"/>
      <c r="AT814" s="1481"/>
      <c r="AU814" s="1481"/>
      <c r="AV814" s="1481"/>
      <c r="AW814" s="1481"/>
      <c r="AX814" s="1481"/>
      <c r="AY814" s="1481"/>
      <c r="AZ814" s="1481"/>
      <c r="BA814" s="1481"/>
      <c r="BB814" s="1481"/>
      <c r="BC814" s="1481"/>
      <c r="BD814" s="1481"/>
      <c r="BE814" s="1481"/>
      <c r="BF814" s="1481"/>
      <c r="BG814" s="1481"/>
      <c r="BH814" s="1481"/>
      <c r="BI814" s="1481"/>
      <c r="BJ814" s="1481"/>
      <c r="BK814" s="1481"/>
      <c r="BL814" s="1481"/>
      <c r="BM814" s="1481"/>
      <c r="BN814" s="1481"/>
      <c r="BO814" s="1481"/>
      <c r="BP814" s="1481"/>
      <c r="BQ814" s="1481"/>
      <c r="BR814" s="1481"/>
      <c r="BS814" s="1481"/>
      <c r="BT814" s="1481"/>
      <c r="BU814" s="1481"/>
      <c r="BV814" s="1481"/>
      <c r="BW814" s="1481"/>
      <c r="BX814" s="1481"/>
      <c r="BY814" s="1481"/>
      <c r="BZ814" s="1481"/>
      <c r="CA814" s="1481"/>
      <c r="CB814" s="1481"/>
      <c r="CC814" s="1481"/>
      <c r="CD814" s="1481"/>
      <c r="CE814" s="1481"/>
    </row>
    <row r="815" spans="1:83" ht="15" hidden="1" customHeight="1">
      <c r="A815" s="516" t="s">
        <v>377</v>
      </c>
      <c r="B815"/>
      <c r="C815" t="s">
        <v>18</v>
      </c>
      <c r="D815" s="3621" t="s">
        <v>968</v>
      </c>
      <c r="E815" s="3618" t="s">
        <v>102</v>
      </c>
      <c r="F815" s="3619"/>
      <c r="G815" s="3620"/>
      <c r="H815" s="3614" t="str">
        <f>IF(A815="","",INDEX(DIFFERENTIATION_UNMERGE_VD,MATCH(A815,DIFFERENTIATION_ID_DIFF,0)))</f>
        <v>Производство тепловой энергии. Некомбинированная выработка</v>
      </c>
      <c r="I815" s="3614"/>
      <c r="J815" s="3614"/>
      <c r="K815" s="3614"/>
      <c r="L815" s="3614"/>
      <c r="M815" s="3614"/>
      <c r="N815" s="3614"/>
      <c r="O815" s="3614"/>
      <c r="P815" s="3614"/>
      <c r="Q815" s="3614"/>
      <c r="R815" s="3614"/>
      <c r="S815" s="609"/>
      <c r="T815" s="606"/>
      <c r="U815" s="517"/>
      <c r="V815" s="517"/>
      <c r="W815" s="518"/>
      <c r="X815" s="518"/>
      <c r="Y815" s="518"/>
      <c r="Z815" s="518"/>
      <c r="AA815" s="519"/>
      <c r="AB815" s="520"/>
      <c r="AC815" s="3617"/>
      <c r="AD815" s="521"/>
      <c r="AE815" s="522" t="s">
        <v>18</v>
      </c>
      <c r="AF815" s="522"/>
      <c r="AG815" s="523" t="s">
        <v>874</v>
      </c>
      <c r="AH815" s="524">
        <v>3</v>
      </c>
      <c r="AI815" s="517"/>
      <c r="AJ815" s="517"/>
      <c r="AK815" s="517"/>
      <c r="AL815" s="517"/>
      <c r="AM815" s="517"/>
      <c r="AN815" s="517"/>
      <c r="AO815" s="517"/>
      <c r="AP815" s="517"/>
      <c r="AQ815" s="517"/>
      <c r="AR815" s="517"/>
      <c r="AS815" s="517"/>
      <c r="AT815" s="517"/>
      <c r="AU815" s="517"/>
      <c r="AV815" s="517"/>
      <c r="AW815" s="517"/>
      <c r="AX815" s="517"/>
      <c r="AY815" s="517"/>
      <c r="AZ815" s="517"/>
      <c r="BA815" s="517"/>
      <c r="BB815" s="517"/>
      <c r="BC815" s="517"/>
      <c r="BD815" s="517"/>
      <c r="BE815" s="517"/>
      <c r="BF815" s="517"/>
      <c r="BG815" s="517"/>
      <c r="BH815" s="517"/>
      <c r="BI815" s="517"/>
      <c r="BJ815" s="517"/>
      <c r="BK815" s="517"/>
      <c r="BL815" s="517"/>
      <c r="BM815" s="517"/>
      <c r="BN815" s="517"/>
      <c r="BO815" s="517"/>
      <c r="BP815" s="517"/>
      <c r="BQ815" s="517"/>
      <c r="BR815" s="517"/>
      <c r="BS815" s="517"/>
      <c r="BT815" s="517"/>
      <c r="BU815" s="517"/>
      <c r="BV815" s="518"/>
      <c r="BW815" s="518"/>
      <c r="BX815" s="518"/>
      <c r="BY815" s="518"/>
      <c r="BZ815" s="518"/>
      <c r="CA815" s="518"/>
      <c r="CB815" s="518"/>
      <c r="CC815" s="518"/>
      <c r="CD815" s="518"/>
      <c r="CE815" s="518"/>
    </row>
    <row r="816" spans="1:83" ht="15" hidden="1" customHeight="1">
      <c r="A816" s="516"/>
      <c r="B816"/>
      <c r="C816"/>
      <c r="D816" s="3622"/>
      <c r="E816" s="3618" t="s">
        <v>829</v>
      </c>
      <c r="F816" s="3619"/>
      <c r="G816" s="3620"/>
      <c r="H816" s="3614" t="str">
        <f>IF(A815="","",INDEX(DIFFERENTIATION_UNMERGE_AREA,MATCH(A815,DIFFERENTIATION_ID_DIFF,0)))</f>
        <v>Территория 1</v>
      </c>
      <c r="I816" s="3614"/>
      <c r="J816" s="3614"/>
      <c r="K816" s="3614"/>
      <c r="L816" s="3614"/>
      <c r="M816" s="3614"/>
      <c r="N816" s="3614"/>
      <c r="O816" s="3614"/>
      <c r="P816" s="3614"/>
      <c r="Q816" s="3614"/>
      <c r="R816" s="3614"/>
      <c r="S816" s="609"/>
      <c r="T816" s="606"/>
      <c r="U816" s="517"/>
      <c r="V816" s="517"/>
      <c r="W816" s="518"/>
      <c r="X816" s="518"/>
      <c r="Y816" s="518"/>
      <c r="Z816" s="518"/>
      <c r="AA816" s="519"/>
      <c r="AB816" s="520"/>
      <c r="AC816" s="3617"/>
      <c r="AD816" s="521"/>
      <c r="AE816" s="522"/>
      <c r="AF816" s="522"/>
      <c r="AG816" s="523"/>
      <c r="AH816" s="524"/>
      <c r="AI816" s="517"/>
      <c r="AJ816" s="517"/>
      <c r="AK816" s="517"/>
      <c r="AL816" s="517"/>
      <c r="AM816" s="517"/>
      <c r="AN816" s="517"/>
      <c r="AO816" s="517"/>
      <c r="AP816" s="517"/>
      <c r="AQ816" s="517"/>
      <c r="AR816" s="517"/>
      <c r="AS816" s="517"/>
      <c r="AT816" s="517"/>
      <c r="AU816" s="517"/>
      <c r="AV816" s="517"/>
      <c r="AW816" s="517"/>
      <c r="AX816" s="517"/>
      <c r="AY816" s="517"/>
      <c r="AZ816" s="517"/>
      <c r="BA816" s="517"/>
      <c r="BB816" s="517"/>
      <c r="BC816" s="517"/>
      <c r="BD816" s="517"/>
      <c r="BE816" s="517"/>
      <c r="BF816" s="517"/>
      <c r="BG816" s="517"/>
      <c r="BH816" s="517"/>
      <c r="BI816" s="517"/>
      <c r="BJ816" s="517"/>
      <c r="BK816" s="517"/>
      <c r="BL816" s="517"/>
      <c r="BM816" s="517"/>
      <c r="BN816" s="517"/>
      <c r="BO816" s="517"/>
      <c r="BP816" s="517"/>
      <c r="BQ816" s="517"/>
      <c r="BR816" s="517"/>
      <c r="BS816" s="517"/>
      <c r="BT816" s="517"/>
      <c r="BU816" s="517"/>
      <c r="BV816" s="518"/>
      <c r="BW816" s="518"/>
      <c r="BX816" s="518"/>
      <c r="BY816" s="518"/>
      <c r="BZ816" s="518"/>
      <c r="CA816" s="518"/>
      <c r="CB816" s="518"/>
      <c r="CC816" s="518"/>
      <c r="CD816" s="518"/>
      <c r="CE816" s="518"/>
    </row>
    <row r="817" spans="1:83" ht="15" hidden="1" customHeight="1">
      <c r="A817" s="516"/>
      <c r="B817"/>
      <c r="C817"/>
      <c r="D817" s="3622"/>
      <c r="E817" s="3618" t="s">
        <v>830</v>
      </c>
      <c r="F817" s="3619"/>
      <c r="G817" s="3620"/>
      <c r="H817" s="3614" t="str">
        <f>IF(A815="","",INDEX(DIFFERENTIATION_UNMERGE_SYSTEM,MATCH(A815,DIFFERENTIATION_ID_DIFF,0)))</f>
        <v>Тульская, 63б</v>
      </c>
      <c r="I817" s="3614"/>
      <c r="J817" s="3614"/>
      <c r="K817" s="3614"/>
      <c r="L817" s="3614"/>
      <c r="M817" s="3614"/>
      <c r="N817" s="3614"/>
      <c r="O817" s="3614"/>
      <c r="P817" s="3614"/>
      <c r="Q817" s="3614"/>
      <c r="R817" s="3614"/>
      <c r="S817" s="609"/>
      <c r="T817" s="606"/>
      <c r="U817" s="517"/>
      <c r="V817" s="517"/>
      <c r="W817" s="518"/>
      <c r="X817" s="518"/>
      <c r="Y817" s="518"/>
      <c r="Z817" s="518"/>
      <c r="AA817" s="519"/>
      <c r="AB817" s="520"/>
      <c r="AC817" s="3617"/>
      <c r="AD817" s="521"/>
      <c r="AE817" s="522"/>
      <c r="AF817" s="522"/>
      <c r="AG817" s="523"/>
      <c r="AH817" s="524"/>
      <c r="AI817" s="517"/>
      <c r="AJ817" s="517"/>
      <c r="AK817" s="517"/>
      <c r="AL817" s="517"/>
      <c r="AM817" s="517"/>
      <c r="AN817" s="517"/>
      <c r="AO817" s="517"/>
      <c r="AP817" s="517"/>
      <c r="AQ817" s="517"/>
      <c r="AR817" s="517"/>
      <c r="AS817" s="517"/>
      <c r="AT817" s="517"/>
      <c r="AU817" s="517"/>
      <c r="AV817" s="517"/>
      <c r="AW817" s="517"/>
      <c r="AX817" s="517"/>
      <c r="AY817" s="517"/>
      <c r="AZ817" s="517"/>
      <c r="BA817" s="517"/>
      <c r="BB817" s="517"/>
      <c r="BC817" s="517"/>
      <c r="BD817" s="517"/>
      <c r="BE817" s="517"/>
      <c r="BF817" s="517"/>
      <c r="BG817" s="517"/>
      <c r="BH817" s="517"/>
      <c r="BI817" s="517"/>
      <c r="BJ817" s="517"/>
      <c r="BK817" s="517"/>
      <c r="BL817" s="517"/>
      <c r="BM817" s="517"/>
      <c r="BN817" s="517"/>
      <c r="BO817" s="517"/>
      <c r="BP817" s="517"/>
      <c r="BQ817" s="517"/>
      <c r="BR817" s="517"/>
      <c r="BS817" s="517"/>
      <c r="BT817" s="517"/>
      <c r="BU817" s="517"/>
      <c r="BV817" s="518"/>
      <c r="BW817" s="518"/>
      <c r="BX817" s="518"/>
      <c r="BY817" s="518"/>
      <c r="BZ817" s="518"/>
      <c r="CA817" s="518"/>
      <c r="CB817" s="518"/>
      <c r="CC817" s="518"/>
      <c r="CD817" s="518"/>
      <c r="CE817" s="518"/>
    </row>
    <row r="818" spans="1:83" ht="24.75" hidden="1" customHeight="1">
      <c r="A818" s="1649"/>
      <c r="B818" s="1023"/>
      <c r="C818" s="319"/>
      <c r="D818" s="3622"/>
      <c r="E818" s="3616" t="s">
        <v>875</v>
      </c>
      <c r="F818" s="3616"/>
      <c r="G818" s="3616"/>
      <c r="H818" s="3616"/>
      <c r="I818" s="3616"/>
      <c r="J818" s="3616"/>
      <c r="K818" s="3616"/>
      <c r="L818" s="3616"/>
      <c r="M818" s="3616"/>
      <c r="N818" s="3616"/>
      <c r="O818" s="3616"/>
      <c r="P818" s="3616"/>
      <c r="Q818" s="455">
        <f>SUMIF(T819:T820,"i",Q819:Q820)</f>
        <v>0</v>
      </c>
      <c r="R818" s="887"/>
      <c r="S818" s="1641" t="s">
        <v>876</v>
      </c>
      <c r="T818" s="607" t="s">
        <v>877</v>
      </c>
      <c r="U818" s="3532">
        <v>1</v>
      </c>
      <c r="V818" s="3532" t="s">
        <v>840</v>
      </c>
      <c r="W818" s="1023"/>
      <c r="X818" s="1023"/>
      <c r="Y818" s="1023"/>
      <c r="Z818" s="1023"/>
      <c r="AA818" s="1481"/>
      <c r="AB818" s="1023"/>
      <c r="AC818" s="3617"/>
      <c r="AD818" s="521"/>
      <c r="AE818" s="1023"/>
      <c r="AF818" s="1023"/>
      <c r="AG818" s="1481"/>
      <c r="AH818" s="1481"/>
      <c r="AI818" s="1481"/>
      <c r="AJ818" s="1481"/>
      <c r="AK818" s="1481"/>
      <c r="AL818" s="1481"/>
      <c r="AM818" s="1481"/>
      <c r="AN818" s="1481"/>
      <c r="AO818" s="1481"/>
      <c r="AP818" s="1481"/>
      <c r="AQ818" s="1481"/>
      <c r="AR818" s="1481"/>
      <c r="AS818" s="1481"/>
      <c r="AT818" s="1481"/>
      <c r="AU818" s="1481"/>
      <c r="AV818" s="1481"/>
      <c r="AW818" s="1481"/>
      <c r="AX818" s="1481"/>
      <c r="AY818" s="1481"/>
      <c r="AZ818" s="1481"/>
      <c r="BA818" s="1481"/>
      <c r="BB818" s="1481"/>
      <c r="BC818" s="1481"/>
      <c r="BD818" s="1481"/>
      <c r="BE818" s="1481"/>
      <c r="BF818" s="1481"/>
      <c r="BG818" s="1481"/>
      <c r="BH818" s="1481"/>
      <c r="BI818" s="1481"/>
      <c r="BJ818" s="1481"/>
      <c r="BK818" s="1481"/>
      <c r="BL818" s="1481"/>
      <c r="BM818" s="1481"/>
      <c r="BN818" s="1481"/>
      <c r="BO818" s="1481"/>
      <c r="BP818" s="1481"/>
      <c r="BQ818" s="1481"/>
      <c r="BR818" s="1481"/>
      <c r="BS818" s="1481"/>
      <c r="BT818" s="1481"/>
      <c r="BU818" s="1481"/>
      <c r="BV818" s="1023"/>
      <c r="BW818" s="1023"/>
      <c r="BX818" s="1023"/>
      <c r="BY818" s="1023"/>
      <c r="BZ818" s="1023"/>
      <c r="CA818" s="1023"/>
      <c r="CB818" s="1023"/>
      <c r="CC818" s="1023"/>
      <c r="CD818" s="1023"/>
      <c r="CE818" s="1023"/>
    </row>
    <row r="819" spans="1:83" ht="11.25" hidden="1" customHeight="1">
      <c r="A819" s="1636"/>
      <c r="B819" s="1481"/>
      <c r="C819" s="1481"/>
      <c r="D819" s="3622"/>
      <c r="E819" s="527"/>
      <c r="F819" s="527">
        <v>0</v>
      </c>
      <c r="G819" s="527"/>
      <c r="H819" s="527"/>
      <c r="I819" s="527"/>
      <c r="J819" s="527"/>
      <c r="K819" s="527"/>
      <c r="L819" s="527"/>
      <c r="M819" s="527"/>
      <c r="N819" s="527"/>
      <c r="O819" s="527"/>
      <c r="P819" s="527"/>
      <c r="Q819" s="527"/>
      <c r="R819" s="527"/>
      <c r="S819" s="528"/>
      <c r="T819" s="608"/>
      <c r="U819" s="3532"/>
      <c r="V819" s="3532"/>
      <c r="W819" s="1481"/>
      <c r="X819" s="1481"/>
      <c r="Y819" s="1481"/>
      <c r="Z819" s="1481"/>
      <c r="AA819" s="1481"/>
      <c r="AB819" s="1023"/>
      <c r="AC819" s="3617"/>
      <c r="AD819" s="521"/>
      <c r="AE819" s="1023"/>
      <c r="AF819" s="1023"/>
      <c r="AG819" s="1481"/>
      <c r="AH819" s="1481"/>
      <c r="AI819" s="1481"/>
      <c r="AJ819" s="1481"/>
      <c r="AK819" s="1481"/>
      <c r="AL819" s="1481"/>
      <c r="AM819" s="1481"/>
      <c r="AN819" s="1481"/>
      <c r="AO819" s="1481"/>
      <c r="AP819" s="1481"/>
      <c r="AQ819" s="1481"/>
      <c r="AR819" s="1481"/>
      <c r="AS819" s="1481"/>
      <c r="AT819" s="1481"/>
      <c r="AU819" s="1481"/>
      <c r="AV819" s="1481"/>
      <c r="AW819" s="1481"/>
      <c r="AX819" s="1481"/>
      <c r="AY819" s="1481"/>
      <c r="AZ819" s="1481"/>
      <c r="BA819" s="1481"/>
      <c r="BB819" s="1481"/>
      <c r="BC819" s="1481"/>
      <c r="BD819" s="1481"/>
      <c r="BE819" s="1481"/>
      <c r="BF819" s="1481"/>
      <c r="BG819" s="1481"/>
      <c r="BH819" s="1481"/>
      <c r="BI819" s="1481"/>
      <c r="BJ819" s="1481"/>
      <c r="BK819" s="1481"/>
      <c r="BL819" s="1481"/>
      <c r="BM819" s="1481"/>
      <c r="BN819" s="1481"/>
      <c r="BO819" s="1481"/>
      <c r="BP819" s="1481"/>
      <c r="BQ819" s="1481"/>
      <c r="BR819" s="1481"/>
      <c r="BS819" s="1481"/>
      <c r="BT819" s="1481"/>
      <c r="BU819" s="1481"/>
      <c r="BV819" s="1481"/>
      <c r="BW819" s="1481"/>
      <c r="BX819" s="1481"/>
      <c r="BY819" s="1481"/>
      <c r="BZ819" s="1481"/>
      <c r="CA819" s="1481"/>
      <c r="CB819" s="1481"/>
      <c r="CC819" s="1481"/>
      <c r="CD819" s="1481"/>
      <c r="CE819" s="1481"/>
    </row>
    <row r="820" spans="1:83" ht="11.25" hidden="1" customHeight="1">
      <c r="A820" s="1649"/>
      <c r="B820" s="1023"/>
      <c r="C820" s="319"/>
      <c r="D820" s="3622"/>
      <c r="E820" s="541" t="s">
        <v>18</v>
      </c>
      <c r="F820" s="1031" t="s">
        <v>18</v>
      </c>
      <c r="G820" s="1031" t="s">
        <v>880</v>
      </c>
      <c r="H820" s="543" t="s">
        <v>18</v>
      </c>
      <c r="I820" s="543"/>
      <c r="J820" s="543"/>
      <c r="K820" s="543"/>
      <c r="L820" s="543"/>
      <c r="M820" s="543"/>
      <c r="N820" s="543"/>
      <c r="O820" s="543"/>
      <c r="P820" s="543"/>
      <c r="Q820" s="543"/>
      <c r="R820" s="544"/>
      <c r="S820" s="545"/>
      <c r="T820" s="608"/>
      <c r="U820" s="3532"/>
      <c r="V820" s="3532"/>
      <c r="W820" s="1023"/>
      <c r="X820" s="1023"/>
      <c r="Y820" s="1023"/>
      <c r="Z820" s="1023"/>
      <c r="AA820" s="1481"/>
      <c r="AB820" s="1023"/>
      <c r="AC820" s="3617"/>
      <c r="AD820" s="521"/>
      <c r="AE820" s="1023"/>
      <c r="AF820" s="1023"/>
      <c r="AG820" s="1481"/>
      <c r="AH820" s="1481"/>
      <c r="AI820" s="1481"/>
      <c r="AJ820" s="1481"/>
      <c r="AK820" s="1481"/>
      <c r="AL820" s="1481"/>
      <c r="AM820" s="1481"/>
      <c r="AN820" s="1481"/>
      <c r="AO820" s="1481"/>
      <c r="AP820" s="1481"/>
      <c r="AQ820" s="1481"/>
      <c r="AR820" s="1481"/>
      <c r="AS820" s="1481"/>
      <c r="AT820" s="1481"/>
      <c r="AU820" s="1481"/>
      <c r="AV820" s="1481"/>
      <c r="AW820" s="1481"/>
      <c r="AX820" s="1481"/>
      <c r="AY820" s="1481"/>
      <c r="AZ820" s="1481"/>
      <c r="BA820" s="1481"/>
      <c r="BB820" s="1481"/>
      <c r="BC820" s="1481"/>
      <c r="BD820" s="1481"/>
      <c r="BE820" s="1481"/>
      <c r="BF820" s="1481"/>
      <c r="BG820" s="1481"/>
      <c r="BH820" s="1481"/>
      <c r="BI820" s="1481"/>
      <c r="BJ820" s="1481"/>
      <c r="BK820" s="1481"/>
      <c r="BL820" s="1481"/>
      <c r="BM820" s="1481"/>
      <c r="BN820" s="1481"/>
      <c r="BO820" s="1481"/>
      <c r="BP820" s="1481"/>
      <c r="BQ820" s="1481"/>
      <c r="BR820" s="1481"/>
      <c r="BS820" s="1481"/>
      <c r="BT820" s="1481"/>
      <c r="BU820" s="1481"/>
      <c r="BV820" s="1023"/>
      <c r="BW820" s="1023"/>
      <c r="BX820" s="1023"/>
      <c r="BY820" s="1023"/>
      <c r="BZ820" s="1023"/>
      <c r="CA820" s="1023"/>
      <c r="CB820" s="1023"/>
      <c r="CC820" s="1023"/>
      <c r="CD820" s="1023"/>
      <c r="CE820" s="1023"/>
    </row>
    <row r="821" spans="1:83" ht="5.25" hidden="1" customHeight="1">
      <c r="A821" s="1636"/>
      <c r="B821" s="1481"/>
      <c r="C821" s="1481"/>
      <c r="D821" s="3622"/>
      <c r="E821" s="909"/>
      <c r="F821" s="909"/>
      <c r="G821" s="909"/>
      <c r="H821" s="909"/>
      <c r="I821" s="909"/>
      <c r="J821" s="909"/>
      <c r="K821" s="909"/>
      <c r="L821" s="909"/>
      <c r="M821" s="909"/>
      <c r="N821" s="909"/>
      <c r="O821" s="909"/>
      <c r="P821" s="909"/>
      <c r="Q821" s="910"/>
      <c r="R821" s="911"/>
      <c r="S821" s="912"/>
      <c r="T821" s="607" t="s">
        <v>877</v>
      </c>
      <c r="U821" s="3532">
        <v>1</v>
      </c>
      <c r="V821" s="3532" t="s">
        <v>840</v>
      </c>
      <c r="W821" s="1481"/>
      <c r="X821" s="1481"/>
      <c r="Y821" s="1481"/>
      <c r="Z821" s="1481"/>
      <c r="AA821" s="1481"/>
      <c r="AB821" s="1481"/>
      <c r="AC821" s="907"/>
      <c r="AD821" s="908"/>
      <c r="AE821" s="1481"/>
      <c r="AF821" s="1481"/>
      <c r="AG821" s="1481"/>
      <c r="AH821" s="1481"/>
      <c r="AI821" s="1481"/>
      <c r="AJ821" s="1481"/>
      <c r="AK821" s="1481"/>
      <c r="AL821" s="1481"/>
      <c r="AM821" s="1481"/>
      <c r="AN821" s="1481"/>
      <c r="AO821" s="1481"/>
      <c r="AP821" s="1481"/>
      <c r="AQ821" s="1481"/>
      <c r="AR821" s="1481"/>
      <c r="AS821" s="1481"/>
      <c r="AT821" s="1481"/>
      <c r="AU821" s="1481"/>
      <c r="AV821" s="1481"/>
      <c r="AW821" s="1481"/>
      <c r="AX821" s="1481"/>
      <c r="AY821" s="1481"/>
      <c r="AZ821" s="1481"/>
      <c r="BA821" s="1481"/>
      <c r="BB821" s="1481"/>
      <c r="BC821" s="1481"/>
      <c r="BD821" s="1481"/>
      <c r="BE821" s="1481"/>
      <c r="BF821" s="1481"/>
      <c r="BG821" s="1481"/>
      <c r="BH821" s="1481"/>
      <c r="BI821" s="1481"/>
      <c r="BJ821" s="1481"/>
      <c r="BK821" s="1481"/>
      <c r="BL821" s="1481"/>
      <c r="BM821" s="1481"/>
      <c r="BN821" s="1481"/>
      <c r="BO821" s="1481"/>
      <c r="BP821" s="1481"/>
      <c r="BQ821" s="1481"/>
      <c r="BR821" s="1481"/>
      <c r="BS821" s="1481"/>
      <c r="BT821" s="1481"/>
      <c r="BU821" s="1481"/>
      <c r="BV821" s="1481"/>
      <c r="BW821" s="1481"/>
      <c r="BX821" s="1481"/>
      <c r="BY821" s="1481"/>
      <c r="BZ821" s="1481"/>
      <c r="CA821" s="1481"/>
      <c r="CB821" s="1481"/>
      <c r="CC821" s="1481"/>
      <c r="CD821" s="1481"/>
      <c r="CE821" s="1481"/>
    </row>
    <row r="822" spans="1:83" ht="5.25" hidden="1" customHeight="1">
      <c r="A822" s="1636"/>
      <c r="B822" s="1481"/>
      <c r="C822" s="1481"/>
      <c r="D822" s="3622"/>
      <c r="E822" s="527"/>
      <c r="F822" s="527"/>
      <c r="G822" s="527"/>
      <c r="H822" s="527"/>
      <c r="I822" s="527"/>
      <c r="J822" s="527"/>
      <c r="K822" s="527"/>
      <c r="L822" s="527"/>
      <c r="M822" s="527"/>
      <c r="N822" s="527"/>
      <c r="O822" s="527"/>
      <c r="P822" s="527"/>
      <c r="Q822" s="527"/>
      <c r="R822" s="527"/>
      <c r="S822" s="528"/>
      <c r="T822" s="608"/>
      <c r="U822" s="3532"/>
      <c r="V822" s="3532"/>
      <c r="W822" s="1481"/>
      <c r="X822" s="1481"/>
      <c r="Y822" s="1481"/>
      <c r="Z822" s="1481"/>
      <c r="AA822" s="1481"/>
      <c r="AB822" s="1481"/>
      <c r="AC822" s="907"/>
      <c r="AD822" s="908"/>
      <c r="AE822" s="1481"/>
      <c r="AF822" s="1481"/>
      <c r="AG822" s="1481"/>
      <c r="AH822" s="1481"/>
      <c r="AI822" s="1481"/>
      <c r="AJ822" s="1481"/>
      <c r="AK822" s="1481"/>
      <c r="AL822" s="1481"/>
      <c r="AM822" s="1481"/>
      <c r="AN822" s="1481"/>
      <c r="AO822" s="1481"/>
      <c r="AP822" s="1481"/>
      <c r="AQ822" s="1481"/>
      <c r="AR822" s="1481"/>
      <c r="AS822" s="1481"/>
      <c r="AT822" s="1481"/>
      <c r="AU822" s="1481"/>
      <c r="AV822" s="1481"/>
      <c r="AW822" s="1481"/>
      <c r="AX822" s="1481"/>
      <c r="AY822" s="1481"/>
      <c r="AZ822" s="1481"/>
      <c r="BA822" s="1481"/>
      <c r="BB822" s="1481"/>
      <c r="BC822" s="1481"/>
      <c r="BD822" s="1481"/>
      <c r="BE822" s="1481"/>
      <c r="BF822" s="1481"/>
      <c r="BG822" s="1481"/>
      <c r="BH822" s="1481"/>
      <c r="BI822" s="1481"/>
      <c r="BJ822" s="1481"/>
      <c r="BK822" s="1481"/>
      <c r="BL822" s="1481"/>
      <c r="BM822" s="1481"/>
      <c r="BN822" s="1481"/>
      <c r="BO822" s="1481"/>
      <c r="BP822" s="1481"/>
      <c r="BQ822" s="1481"/>
      <c r="BR822" s="1481"/>
      <c r="BS822" s="1481"/>
      <c r="BT822" s="1481"/>
      <c r="BU822" s="1481"/>
      <c r="BV822" s="1481"/>
      <c r="BW822" s="1481"/>
      <c r="BX822" s="1481"/>
      <c r="BY822" s="1481"/>
      <c r="BZ822" s="1481"/>
      <c r="CA822" s="1481"/>
      <c r="CB822" s="1481"/>
      <c r="CC822" s="1481"/>
      <c r="CD822" s="1481"/>
      <c r="CE822" s="1481"/>
    </row>
    <row r="823" spans="1:83" ht="5.25" hidden="1" customHeight="1">
      <c r="A823" s="1636"/>
      <c r="B823" s="1481"/>
      <c r="C823" s="1481"/>
      <c r="D823" s="3623"/>
      <c r="E823" s="913"/>
      <c r="F823" s="914"/>
      <c r="G823" s="914"/>
      <c r="H823" s="915"/>
      <c r="I823" s="915"/>
      <c r="J823" s="915"/>
      <c r="K823" s="915"/>
      <c r="L823" s="915"/>
      <c r="M823" s="915"/>
      <c r="N823" s="915"/>
      <c r="O823" s="915"/>
      <c r="P823" s="915"/>
      <c r="Q823" s="915"/>
      <c r="R823" s="818"/>
      <c r="S823" s="916"/>
      <c r="T823" s="608"/>
      <c r="U823" s="3532"/>
      <c r="V823" s="3532"/>
      <c r="W823" s="1481"/>
      <c r="X823" s="1481"/>
      <c r="Y823" s="1481"/>
      <c r="Z823" s="1481"/>
      <c r="AA823" s="1481"/>
      <c r="AB823" s="1481"/>
      <c r="AC823" s="907"/>
      <c r="AD823" s="908"/>
      <c r="AE823" s="1481"/>
      <c r="AF823" s="1481"/>
      <c r="AG823" s="1481"/>
      <c r="AH823" s="1481"/>
      <c r="AI823" s="1481"/>
      <c r="AJ823" s="1481"/>
      <c r="AK823" s="1481"/>
      <c r="AL823" s="1481"/>
      <c r="AM823" s="1481"/>
      <c r="AN823" s="1481"/>
      <c r="AO823" s="1481"/>
      <c r="AP823" s="1481"/>
      <c r="AQ823" s="1481"/>
      <c r="AR823" s="1481"/>
      <c r="AS823" s="1481"/>
      <c r="AT823" s="1481"/>
      <c r="AU823" s="1481"/>
      <c r="AV823" s="1481"/>
      <c r="AW823" s="1481"/>
      <c r="AX823" s="1481"/>
      <c r="AY823" s="1481"/>
      <c r="AZ823" s="1481"/>
      <c r="BA823" s="1481"/>
      <c r="BB823" s="1481"/>
      <c r="BC823" s="1481"/>
      <c r="BD823" s="1481"/>
      <c r="BE823" s="1481"/>
      <c r="BF823" s="1481"/>
      <c r="BG823" s="1481"/>
      <c r="BH823" s="1481"/>
      <c r="BI823" s="1481"/>
      <c r="BJ823" s="1481"/>
      <c r="BK823" s="1481"/>
      <c r="BL823" s="1481"/>
      <c r="BM823" s="1481"/>
      <c r="BN823" s="1481"/>
      <c r="BO823" s="1481"/>
      <c r="BP823" s="1481"/>
      <c r="BQ823" s="1481"/>
      <c r="BR823" s="1481"/>
      <c r="BS823" s="1481"/>
      <c r="BT823" s="1481"/>
      <c r="BU823" s="1481"/>
      <c r="BV823" s="1481"/>
      <c r="BW823" s="1481"/>
      <c r="BX823" s="1481"/>
      <c r="BY823" s="1481"/>
      <c r="BZ823" s="1481"/>
      <c r="CA823" s="1481"/>
      <c r="CB823" s="1481"/>
      <c r="CC823" s="1481"/>
      <c r="CD823" s="1481"/>
      <c r="CE823" s="1481"/>
    </row>
    <row r="824" spans="1:83" ht="15" hidden="1" customHeight="1">
      <c r="A824" s="516" t="s">
        <v>380</v>
      </c>
      <c r="B824"/>
      <c r="C824" t="s">
        <v>18</v>
      </c>
      <c r="D824" s="3621" t="s">
        <v>969</v>
      </c>
      <c r="E824" s="3618" t="s">
        <v>102</v>
      </c>
      <c r="F824" s="3619"/>
      <c r="G824" s="3620"/>
      <c r="H824" s="3614" t="str">
        <f>IF(A824="","",INDEX(DIFFERENTIATION_UNMERGE_VD,MATCH(A824,DIFFERENTIATION_ID_DIFF,0)))</f>
        <v>Производство тепловой энергии. Некомбинированная выработка</v>
      </c>
      <c r="I824" s="3614"/>
      <c r="J824" s="3614"/>
      <c r="K824" s="3614"/>
      <c r="L824" s="3614"/>
      <c r="M824" s="3614"/>
      <c r="N824" s="3614"/>
      <c r="O824" s="3614"/>
      <c r="P824" s="3614"/>
      <c r="Q824" s="3614"/>
      <c r="R824" s="3614"/>
      <c r="S824" s="609"/>
      <c r="T824" s="606"/>
      <c r="U824" s="517"/>
      <c r="V824" s="517"/>
      <c r="W824" s="518"/>
      <c r="X824" s="518"/>
      <c r="Y824" s="518"/>
      <c r="Z824" s="518"/>
      <c r="AA824" s="519"/>
      <c r="AB824" s="520"/>
      <c r="AC824" s="3617"/>
      <c r="AD824" s="521"/>
      <c r="AE824" s="522" t="s">
        <v>18</v>
      </c>
      <c r="AF824" s="522"/>
      <c r="AG824" s="523" t="s">
        <v>874</v>
      </c>
      <c r="AH824" s="524">
        <v>3</v>
      </c>
      <c r="AI824" s="517"/>
      <c r="AJ824" s="517"/>
      <c r="AK824" s="517"/>
      <c r="AL824" s="517"/>
      <c r="AM824" s="517"/>
      <c r="AN824" s="517"/>
      <c r="AO824" s="517"/>
      <c r="AP824" s="517"/>
      <c r="AQ824" s="517"/>
      <c r="AR824" s="517"/>
      <c r="AS824" s="517"/>
      <c r="AT824" s="517"/>
      <c r="AU824" s="517"/>
      <c r="AV824" s="517"/>
      <c r="AW824" s="517"/>
      <c r="AX824" s="517"/>
      <c r="AY824" s="517"/>
      <c r="AZ824" s="517"/>
      <c r="BA824" s="517"/>
      <c r="BB824" s="517"/>
      <c r="BC824" s="517"/>
      <c r="BD824" s="517"/>
      <c r="BE824" s="517"/>
      <c r="BF824" s="517"/>
      <c r="BG824" s="517"/>
      <c r="BH824" s="517"/>
      <c r="BI824" s="517"/>
      <c r="BJ824" s="517"/>
      <c r="BK824" s="517"/>
      <c r="BL824" s="517"/>
      <c r="BM824" s="517"/>
      <c r="BN824" s="517"/>
      <c r="BO824" s="517"/>
      <c r="BP824" s="517"/>
      <c r="BQ824" s="517"/>
      <c r="BR824" s="517"/>
      <c r="BS824" s="517"/>
      <c r="BT824" s="517"/>
      <c r="BU824" s="517"/>
      <c r="BV824" s="518"/>
      <c r="BW824" s="518"/>
      <c r="BX824" s="518"/>
      <c r="BY824" s="518"/>
      <c r="BZ824" s="518"/>
      <c r="CA824" s="518"/>
      <c r="CB824" s="518"/>
      <c r="CC824" s="518"/>
      <c r="CD824" s="518"/>
      <c r="CE824" s="518"/>
    </row>
    <row r="825" spans="1:83" ht="15" hidden="1" customHeight="1">
      <c r="A825" s="516"/>
      <c r="B825"/>
      <c r="C825"/>
      <c r="D825" s="3622"/>
      <c r="E825" s="3618" t="s">
        <v>829</v>
      </c>
      <c r="F825" s="3619"/>
      <c r="G825" s="3620"/>
      <c r="H825" s="3614" t="str">
        <f>IF(A824="","",INDEX(DIFFERENTIATION_UNMERGE_AREA,MATCH(A824,DIFFERENTIATION_ID_DIFF,0)))</f>
        <v>Территория 1</v>
      </c>
      <c r="I825" s="3614"/>
      <c r="J825" s="3614"/>
      <c r="K825" s="3614"/>
      <c r="L825" s="3614"/>
      <c r="M825" s="3614"/>
      <c r="N825" s="3614"/>
      <c r="O825" s="3614"/>
      <c r="P825" s="3614"/>
      <c r="Q825" s="3614"/>
      <c r="R825" s="3614"/>
      <c r="S825" s="609"/>
      <c r="T825" s="606"/>
      <c r="U825" s="517"/>
      <c r="V825" s="517"/>
      <c r="W825" s="518"/>
      <c r="X825" s="518"/>
      <c r="Y825" s="518"/>
      <c r="Z825" s="518"/>
      <c r="AA825" s="519"/>
      <c r="AB825" s="520"/>
      <c r="AC825" s="3617"/>
      <c r="AD825" s="521"/>
      <c r="AE825" s="522"/>
      <c r="AF825" s="522"/>
      <c r="AG825" s="523"/>
      <c r="AH825" s="524"/>
      <c r="AI825" s="517"/>
      <c r="AJ825" s="517"/>
      <c r="AK825" s="517"/>
      <c r="AL825" s="517"/>
      <c r="AM825" s="517"/>
      <c r="AN825" s="517"/>
      <c r="AO825" s="517"/>
      <c r="AP825" s="517"/>
      <c r="AQ825" s="517"/>
      <c r="AR825" s="517"/>
      <c r="AS825" s="517"/>
      <c r="AT825" s="517"/>
      <c r="AU825" s="517"/>
      <c r="AV825" s="517"/>
      <c r="AW825" s="517"/>
      <c r="AX825" s="517"/>
      <c r="AY825" s="517"/>
      <c r="AZ825" s="517"/>
      <c r="BA825" s="517"/>
      <c r="BB825" s="517"/>
      <c r="BC825" s="517"/>
      <c r="BD825" s="517"/>
      <c r="BE825" s="517"/>
      <c r="BF825" s="517"/>
      <c r="BG825" s="517"/>
      <c r="BH825" s="517"/>
      <c r="BI825" s="517"/>
      <c r="BJ825" s="517"/>
      <c r="BK825" s="517"/>
      <c r="BL825" s="517"/>
      <c r="BM825" s="517"/>
      <c r="BN825" s="517"/>
      <c r="BO825" s="517"/>
      <c r="BP825" s="517"/>
      <c r="BQ825" s="517"/>
      <c r="BR825" s="517"/>
      <c r="BS825" s="517"/>
      <c r="BT825" s="517"/>
      <c r="BU825" s="517"/>
      <c r="BV825" s="518"/>
      <c r="BW825" s="518"/>
      <c r="BX825" s="518"/>
      <c r="BY825" s="518"/>
      <c r="BZ825" s="518"/>
      <c r="CA825" s="518"/>
      <c r="CB825" s="518"/>
      <c r="CC825" s="518"/>
      <c r="CD825" s="518"/>
      <c r="CE825" s="518"/>
    </row>
    <row r="826" spans="1:83" ht="15" hidden="1" customHeight="1">
      <c r="A826" s="516"/>
      <c r="B826"/>
      <c r="C826"/>
      <c r="D826" s="3622"/>
      <c r="E826" s="3618" t="s">
        <v>830</v>
      </c>
      <c r="F826" s="3619"/>
      <c r="G826" s="3620"/>
      <c r="H826" s="3614" t="str">
        <f>IF(A824="","",INDEX(DIFFERENTIATION_UNMERGE_SYSTEM,MATCH(A824,DIFFERENTIATION_ID_DIFF,0)))</f>
        <v>Южный, 26б</v>
      </c>
      <c r="I826" s="3614"/>
      <c r="J826" s="3614"/>
      <c r="K826" s="3614"/>
      <c r="L826" s="3614"/>
      <c r="M826" s="3614"/>
      <c r="N826" s="3614"/>
      <c r="O826" s="3614"/>
      <c r="P826" s="3614"/>
      <c r="Q826" s="3614"/>
      <c r="R826" s="3614"/>
      <c r="S826" s="609"/>
      <c r="T826" s="606"/>
      <c r="U826" s="517"/>
      <c r="V826" s="517"/>
      <c r="W826" s="518"/>
      <c r="X826" s="518"/>
      <c r="Y826" s="518"/>
      <c r="Z826" s="518"/>
      <c r="AA826" s="519"/>
      <c r="AB826" s="520"/>
      <c r="AC826" s="3617"/>
      <c r="AD826" s="521"/>
      <c r="AE826" s="522"/>
      <c r="AF826" s="522"/>
      <c r="AG826" s="523"/>
      <c r="AH826" s="524"/>
      <c r="AI826" s="517"/>
      <c r="AJ826" s="517"/>
      <c r="AK826" s="517"/>
      <c r="AL826" s="517"/>
      <c r="AM826" s="517"/>
      <c r="AN826" s="517"/>
      <c r="AO826" s="517"/>
      <c r="AP826" s="517"/>
      <c r="AQ826" s="517"/>
      <c r="AR826" s="517"/>
      <c r="AS826" s="517"/>
      <c r="AT826" s="517"/>
      <c r="AU826" s="517"/>
      <c r="AV826" s="517"/>
      <c r="AW826" s="517"/>
      <c r="AX826" s="517"/>
      <c r="AY826" s="517"/>
      <c r="AZ826" s="517"/>
      <c r="BA826" s="517"/>
      <c r="BB826" s="517"/>
      <c r="BC826" s="517"/>
      <c r="BD826" s="517"/>
      <c r="BE826" s="517"/>
      <c r="BF826" s="517"/>
      <c r="BG826" s="517"/>
      <c r="BH826" s="517"/>
      <c r="BI826" s="517"/>
      <c r="BJ826" s="517"/>
      <c r="BK826" s="517"/>
      <c r="BL826" s="517"/>
      <c r="BM826" s="517"/>
      <c r="BN826" s="517"/>
      <c r="BO826" s="517"/>
      <c r="BP826" s="517"/>
      <c r="BQ826" s="517"/>
      <c r="BR826" s="517"/>
      <c r="BS826" s="517"/>
      <c r="BT826" s="517"/>
      <c r="BU826" s="517"/>
      <c r="BV826" s="518"/>
      <c r="BW826" s="518"/>
      <c r="BX826" s="518"/>
      <c r="BY826" s="518"/>
      <c r="BZ826" s="518"/>
      <c r="CA826" s="518"/>
      <c r="CB826" s="518"/>
      <c r="CC826" s="518"/>
      <c r="CD826" s="518"/>
      <c r="CE826" s="518"/>
    </row>
    <row r="827" spans="1:83" ht="24.75" hidden="1" customHeight="1">
      <c r="A827" s="1649"/>
      <c r="B827" s="1023"/>
      <c r="C827" s="319"/>
      <c r="D827" s="3622"/>
      <c r="E827" s="3616" t="s">
        <v>875</v>
      </c>
      <c r="F827" s="3616"/>
      <c r="G827" s="3616"/>
      <c r="H827" s="3616"/>
      <c r="I827" s="3616"/>
      <c r="J827" s="3616"/>
      <c r="K827" s="3616"/>
      <c r="L827" s="3616"/>
      <c r="M827" s="3616"/>
      <c r="N827" s="3616"/>
      <c r="O827" s="3616"/>
      <c r="P827" s="3616"/>
      <c r="Q827" s="455">
        <f>SUMIF(T828:T829,"i",Q828:Q829)</f>
        <v>0</v>
      </c>
      <c r="R827" s="887"/>
      <c r="S827" s="1641" t="s">
        <v>876</v>
      </c>
      <c r="T827" s="607" t="s">
        <v>877</v>
      </c>
      <c r="U827" s="3532">
        <v>1</v>
      </c>
      <c r="V827" s="3532" t="s">
        <v>840</v>
      </c>
      <c r="W827" s="1023"/>
      <c r="X827" s="1023"/>
      <c r="Y827" s="1023"/>
      <c r="Z827" s="1023"/>
      <c r="AA827" s="1481"/>
      <c r="AB827" s="1023"/>
      <c r="AC827" s="3617"/>
      <c r="AD827" s="521"/>
      <c r="AE827" s="1023"/>
      <c r="AF827" s="1023"/>
      <c r="AG827" s="1481"/>
      <c r="AH827" s="1481"/>
      <c r="AI827" s="1481"/>
      <c r="AJ827" s="1481"/>
      <c r="AK827" s="1481"/>
      <c r="AL827" s="1481"/>
      <c r="AM827" s="1481"/>
      <c r="AN827" s="1481"/>
      <c r="AO827" s="1481"/>
      <c r="AP827" s="1481"/>
      <c r="AQ827" s="1481"/>
      <c r="AR827" s="1481"/>
      <c r="AS827" s="1481"/>
      <c r="AT827" s="1481"/>
      <c r="AU827" s="1481"/>
      <c r="AV827" s="1481"/>
      <c r="AW827" s="1481"/>
      <c r="AX827" s="1481"/>
      <c r="AY827" s="1481"/>
      <c r="AZ827" s="1481"/>
      <c r="BA827" s="1481"/>
      <c r="BB827" s="1481"/>
      <c r="BC827" s="1481"/>
      <c r="BD827" s="1481"/>
      <c r="BE827" s="1481"/>
      <c r="BF827" s="1481"/>
      <c r="BG827" s="1481"/>
      <c r="BH827" s="1481"/>
      <c r="BI827" s="1481"/>
      <c r="BJ827" s="1481"/>
      <c r="BK827" s="1481"/>
      <c r="BL827" s="1481"/>
      <c r="BM827" s="1481"/>
      <c r="BN827" s="1481"/>
      <c r="BO827" s="1481"/>
      <c r="BP827" s="1481"/>
      <c r="BQ827" s="1481"/>
      <c r="BR827" s="1481"/>
      <c r="BS827" s="1481"/>
      <c r="BT827" s="1481"/>
      <c r="BU827" s="1481"/>
      <c r="BV827" s="1023"/>
      <c r="BW827" s="1023"/>
      <c r="BX827" s="1023"/>
      <c r="BY827" s="1023"/>
      <c r="BZ827" s="1023"/>
      <c r="CA827" s="1023"/>
      <c r="CB827" s="1023"/>
      <c r="CC827" s="1023"/>
      <c r="CD827" s="1023"/>
      <c r="CE827" s="1023"/>
    </row>
    <row r="828" spans="1:83" ht="11.25" hidden="1" customHeight="1">
      <c r="A828" s="1636"/>
      <c r="B828" s="1481"/>
      <c r="C828" s="1481"/>
      <c r="D828" s="3622"/>
      <c r="E828" s="527"/>
      <c r="F828" s="527">
        <v>0</v>
      </c>
      <c r="G828" s="527"/>
      <c r="H828" s="527"/>
      <c r="I828" s="527"/>
      <c r="J828" s="527"/>
      <c r="K828" s="527"/>
      <c r="L828" s="527"/>
      <c r="M828" s="527"/>
      <c r="N828" s="527"/>
      <c r="O828" s="527"/>
      <c r="P828" s="527"/>
      <c r="Q828" s="527"/>
      <c r="R828" s="527"/>
      <c r="S828" s="528"/>
      <c r="T828" s="608"/>
      <c r="U828" s="3532"/>
      <c r="V828" s="3532"/>
      <c r="W828" s="1481"/>
      <c r="X828" s="1481"/>
      <c r="Y828" s="1481"/>
      <c r="Z828" s="1481"/>
      <c r="AA828" s="1481"/>
      <c r="AB828" s="1023"/>
      <c r="AC828" s="3617"/>
      <c r="AD828" s="521"/>
      <c r="AE828" s="1023"/>
      <c r="AF828" s="1023"/>
      <c r="AG828" s="1481"/>
      <c r="AH828" s="1481"/>
      <c r="AI828" s="1481"/>
      <c r="AJ828" s="1481"/>
      <c r="AK828" s="1481"/>
      <c r="AL828" s="1481"/>
      <c r="AM828" s="1481"/>
      <c r="AN828" s="1481"/>
      <c r="AO828" s="1481"/>
      <c r="AP828" s="1481"/>
      <c r="AQ828" s="1481"/>
      <c r="AR828" s="1481"/>
      <c r="AS828" s="1481"/>
      <c r="AT828" s="1481"/>
      <c r="AU828" s="1481"/>
      <c r="AV828" s="1481"/>
      <c r="AW828" s="1481"/>
      <c r="AX828" s="1481"/>
      <c r="AY828" s="1481"/>
      <c r="AZ828" s="1481"/>
      <c r="BA828" s="1481"/>
      <c r="BB828" s="1481"/>
      <c r="BC828" s="1481"/>
      <c r="BD828" s="1481"/>
      <c r="BE828" s="1481"/>
      <c r="BF828" s="1481"/>
      <c r="BG828" s="1481"/>
      <c r="BH828" s="1481"/>
      <c r="BI828" s="1481"/>
      <c r="BJ828" s="1481"/>
      <c r="BK828" s="1481"/>
      <c r="BL828" s="1481"/>
      <c r="BM828" s="1481"/>
      <c r="BN828" s="1481"/>
      <c r="BO828" s="1481"/>
      <c r="BP828" s="1481"/>
      <c r="BQ828" s="1481"/>
      <c r="BR828" s="1481"/>
      <c r="BS828" s="1481"/>
      <c r="BT828" s="1481"/>
      <c r="BU828" s="1481"/>
      <c r="BV828" s="1481"/>
      <c r="BW828" s="1481"/>
      <c r="BX828" s="1481"/>
      <c r="BY828" s="1481"/>
      <c r="BZ828" s="1481"/>
      <c r="CA828" s="1481"/>
      <c r="CB828" s="1481"/>
      <c r="CC828" s="1481"/>
      <c r="CD828" s="1481"/>
      <c r="CE828" s="1481"/>
    </row>
    <row r="829" spans="1:83" ht="11.25" hidden="1" customHeight="1">
      <c r="A829" s="1649"/>
      <c r="B829" s="1023"/>
      <c r="C829" s="319"/>
      <c r="D829" s="3622"/>
      <c r="E829" s="541" t="s">
        <v>18</v>
      </c>
      <c r="F829" s="1031" t="s">
        <v>18</v>
      </c>
      <c r="G829" s="1031" t="s">
        <v>880</v>
      </c>
      <c r="H829" s="543" t="s">
        <v>18</v>
      </c>
      <c r="I829" s="543"/>
      <c r="J829" s="543"/>
      <c r="K829" s="543"/>
      <c r="L829" s="543"/>
      <c r="M829" s="543"/>
      <c r="N829" s="543"/>
      <c r="O829" s="543"/>
      <c r="P829" s="543"/>
      <c r="Q829" s="543"/>
      <c r="R829" s="544"/>
      <c r="S829" s="545"/>
      <c r="T829" s="608"/>
      <c r="U829" s="3532"/>
      <c r="V829" s="3532"/>
      <c r="W829" s="1023"/>
      <c r="X829" s="1023"/>
      <c r="Y829" s="1023"/>
      <c r="Z829" s="1023"/>
      <c r="AA829" s="1481"/>
      <c r="AB829" s="1023"/>
      <c r="AC829" s="3617"/>
      <c r="AD829" s="521"/>
      <c r="AE829" s="1023"/>
      <c r="AF829" s="1023"/>
      <c r="AG829" s="1481"/>
      <c r="AH829" s="1481"/>
      <c r="AI829" s="1481"/>
      <c r="AJ829" s="1481"/>
      <c r="AK829" s="1481"/>
      <c r="AL829" s="1481"/>
      <c r="AM829" s="1481"/>
      <c r="AN829" s="1481"/>
      <c r="AO829" s="1481"/>
      <c r="AP829" s="1481"/>
      <c r="AQ829" s="1481"/>
      <c r="AR829" s="1481"/>
      <c r="AS829" s="1481"/>
      <c r="AT829" s="1481"/>
      <c r="AU829" s="1481"/>
      <c r="AV829" s="1481"/>
      <c r="AW829" s="1481"/>
      <c r="AX829" s="1481"/>
      <c r="AY829" s="1481"/>
      <c r="AZ829" s="1481"/>
      <c r="BA829" s="1481"/>
      <c r="BB829" s="1481"/>
      <c r="BC829" s="1481"/>
      <c r="BD829" s="1481"/>
      <c r="BE829" s="1481"/>
      <c r="BF829" s="1481"/>
      <c r="BG829" s="1481"/>
      <c r="BH829" s="1481"/>
      <c r="BI829" s="1481"/>
      <c r="BJ829" s="1481"/>
      <c r="BK829" s="1481"/>
      <c r="BL829" s="1481"/>
      <c r="BM829" s="1481"/>
      <c r="BN829" s="1481"/>
      <c r="BO829" s="1481"/>
      <c r="BP829" s="1481"/>
      <c r="BQ829" s="1481"/>
      <c r="BR829" s="1481"/>
      <c r="BS829" s="1481"/>
      <c r="BT829" s="1481"/>
      <c r="BU829" s="1481"/>
      <c r="BV829" s="1023"/>
      <c r="BW829" s="1023"/>
      <c r="BX829" s="1023"/>
      <c r="BY829" s="1023"/>
      <c r="BZ829" s="1023"/>
      <c r="CA829" s="1023"/>
      <c r="CB829" s="1023"/>
      <c r="CC829" s="1023"/>
      <c r="CD829" s="1023"/>
      <c r="CE829" s="1023"/>
    </row>
    <row r="830" spans="1:83" ht="5.25" hidden="1" customHeight="1">
      <c r="A830" s="1636"/>
      <c r="B830" s="1481"/>
      <c r="C830" s="1481"/>
      <c r="D830" s="3622"/>
      <c r="E830" s="909"/>
      <c r="F830" s="909"/>
      <c r="G830" s="909"/>
      <c r="H830" s="909"/>
      <c r="I830" s="909"/>
      <c r="J830" s="909"/>
      <c r="K830" s="909"/>
      <c r="L830" s="909"/>
      <c r="M830" s="909"/>
      <c r="N830" s="909"/>
      <c r="O830" s="909"/>
      <c r="P830" s="909"/>
      <c r="Q830" s="910"/>
      <c r="R830" s="911"/>
      <c r="S830" s="912"/>
      <c r="T830" s="607" t="s">
        <v>877</v>
      </c>
      <c r="U830" s="3532">
        <v>1</v>
      </c>
      <c r="V830" s="3532" t="s">
        <v>840</v>
      </c>
      <c r="W830" s="1481"/>
      <c r="X830" s="1481"/>
      <c r="Y830" s="1481"/>
      <c r="Z830" s="1481"/>
      <c r="AA830" s="1481"/>
      <c r="AB830" s="1481"/>
      <c r="AC830" s="907"/>
      <c r="AD830" s="908"/>
      <c r="AE830" s="1481"/>
      <c r="AF830" s="1481"/>
      <c r="AG830" s="1481"/>
      <c r="AH830" s="1481"/>
      <c r="AI830" s="1481"/>
      <c r="AJ830" s="1481"/>
      <c r="AK830" s="1481"/>
      <c r="AL830" s="1481"/>
      <c r="AM830" s="1481"/>
      <c r="AN830" s="1481"/>
      <c r="AO830" s="1481"/>
      <c r="AP830" s="1481"/>
      <c r="AQ830" s="1481"/>
      <c r="AR830" s="1481"/>
      <c r="AS830" s="1481"/>
      <c r="AT830" s="1481"/>
      <c r="AU830" s="1481"/>
      <c r="AV830" s="1481"/>
      <c r="AW830" s="1481"/>
      <c r="AX830" s="1481"/>
      <c r="AY830" s="1481"/>
      <c r="AZ830" s="1481"/>
      <c r="BA830" s="1481"/>
      <c r="BB830" s="1481"/>
      <c r="BC830" s="1481"/>
      <c r="BD830" s="1481"/>
      <c r="BE830" s="1481"/>
      <c r="BF830" s="1481"/>
      <c r="BG830" s="1481"/>
      <c r="BH830" s="1481"/>
      <c r="BI830" s="1481"/>
      <c r="BJ830" s="1481"/>
      <c r="BK830" s="1481"/>
      <c r="BL830" s="1481"/>
      <c r="BM830" s="1481"/>
      <c r="BN830" s="1481"/>
      <c r="BO830" s="1481"/>
      <c r="BP830" s="1481"/>
      <c r="BQ830" s="1481"/>
      <c r="BR830" s="1481"/>
      <c r="BS830" s="1481"/>
      <c r="BT830" s="1481"/>
      <c r="BU830" s="1481"/>
      <c r="BV830" s="1481"/>
      <c r="BW830" s="1481"/>
      <c r="BX830" s="1481"/>
      <c r="BY830" s="1481"/>
      <c r="BZ830" s="1481"/>
      <c r="CA830" s="1481"/>
      <c r="CB830" s="1481"/>
      <c r="CC830" s="1481"/>
      <c r="CD830" s="1481"/>
      <c r="CE830" s="1481"/>
    </row>
    <row r="831" spans="1:83" ht="5.25" hidden="1" customHeight="1">
      <c r="A831" s="1636"/>
      <c r="B831" s="1481"/>
      <c r="C831" s="1481"/>
      <c r="D831" s="3622"/>
      <c r="E831" s="527"/>
      <c r="F831" s="527"/>
      <c r="G831" s="527"/>
      <c r="H831" s="527"/>
      <c r="I831" s="527"/>
      <c r="J831" s="527"/>
      <c r="K831" s="527"/>
      <c r="L831" s="527"/>
      <c r="M831" s="527"/>
      <c r="N831" s="527"/>
      <c r="O831" s="527"/>
      <c r="P831" s="527"/>
      <c r="Q831" s="527"/>
      <c r="R831" s="527"/>
      <c r="S831" s="528"/>
      <c r="T831" s="608"/>
      <c r="U831" s="3532"/>
      <c r="V831" s="3532"/>
      <c r="W831" s="1481"/>
      <c r="X831" s="1481"/>
      <c r="Y831" s="1481"/>
      <c r="Z831" s="1481"/>
      <c r="AA831" s="1481"/>
      <c r="AB831" s="1481"/>
      <c r="AC831" s="907"/>
      <c r="AD831" s="908"/>
      <c r="AE831" s="1481"/>
      <c r="AF831" s="1481"/>
      <c r="AG831" s="1481"/>
      <c r="AH831" s="1481"/>
      <c r="AI831" s="1481"/>
      <c r="AJ831" s="1481"/>
      <c r="AK831" s="1481"/>
      <c r="AL831" s="1481"/>
      <c r="AM831" s="1481"/>
      <c r="AN831" s="1481"/>
      <c r="AO831" s="1481"/>
      <c r="AP831" s="1481"/>
      <c r="AQ831" s="1481"/>
      <c r="AR831" s="1481"/>
      <c r="AS831" s="1481"/>
      <c r="AT831" s="1481"/>
      <c r="AU831" s="1481"/>
      <c r="AV831" s="1481"/>
      <c r="AW831" s="1481"/>
      <c r="AX831" s="1481"/>
      <c r="AY831" s="1481"/>
      <c r="AZ831" s="1481"/>
      <c r="BA831" s="1481"/>
      <c r="BB831" s="1481"/>
      <c r="BC831" s="1481"/>
      <c r="BD831" s="1481"/>
      <c r="BE831" s="1481"/>
      <c r="BF831" s="1481"/>
      <c r="BG831" s="1481"/>
      <c r="BH831" s="1481"/>
      <c r="BI831" s="1481"/>
      <c r="BJ831" s="1481"/>
      <c r="BK831" s="1481"/>
      <c r="BL831" s="1481"/>
      <c r="BM831" s="1481"/>
      <c r="BN831" s="1481"/>
      <c r="BO831" s="1481"/>
      <c r="BP831" s="1481"/>
      <c r="BQ831" s="1481"/>
      <c r="BR831" s="1481"/>
      <c r="BS831" s="1481"/>
      <c r="BT831" s="1481"/>
      <c r="BU831" s="1481"/>
      <c r="BV831" s="1481"/>
      <c r="BW831" s="1481"/>
      <c r="BX831" s="1481"/>
      <c r="BY831" s="1481"/>
      <c r="BZ831" s="1481"/>
      <c r="CA831" s="1481"/>
      <c r="CB831" s="1481"/>
      <c r="CC831" s="1481"/>
      <c r="CD831" s="1481"/>
      <c r="CE831" s="1481"/>
    </row>
    <row r="832" spans="1:83" ht="5.25" hidden="1" customHeight="1">
      <c r="A832" s="1636"/>
      <c r="B832" s="1481"/>
      <c r="C832" s="1481"/>
      <c r="D832" s="3623"/>
      <c r="E832" s="913"/>
      <c r="F832" s="914"/>
      <c r="G832" s="914"/>
      <c r="H832" s="915"/>
      <c r="I832" s="915"/>
      <c r="J832" s="915"/>
      <c r="K832" s="915"/>
      <c r="L832" s="915"/>
      <c r="M832" s="915"/>
      <c r="N832" s="915"/>
      <c r="O832" s="915"/>
      <c r="P832" s="915"/>
      <c r="Q832" s="915"/>
      <c r="R832" s="818"/>
      <c r="S832" s="916"/>
      <c r="T832" s="608"/>
      <c r="U832" s="3532"/>
      <c r="V832" s="3532"/>
      <c r="W832" s="1481"/>
      <c r="X832" s="1481"/>
      <c r="Y832" s="1481"/>
      <c r="Z832" s="1481"/>
      <c r="AA832" s="1481"/>
      <c r="AB832" s="1481"/>
      <c r="AC832" s="907"/>
      <c r="AD832" s="908"/>
      <c r="AE832" s="1481"/>
      <c r="AF832" s="1481"/>
      <c r="AG832" s="1481"/>
      <c r="AH832" s="1481"/>
      <c r="AI832" s="1481"/>
      <c r="AJ832" s="1481"/>
      <c r="AK832" s="1481"/>
      <c r="AL832" s="1481"/>
      <c r="AM832" s="1481"/>
      <c r="AN832" s="1481"/>
      <c r="AO832" s="1481"/>
      <c r="AP832" s="1481"/>
      <c r="AQ832" s="1481"/>
      <c r="AR832" s="1481"/>
      <c r="AS832" s="1481"/>
      <c r="AT832" s="1481"/>
      <c r="AU832" s="1481"/>
      <c r="AV832" s="1481"/>
      <c r="AW832" s="1481"/>
      <c r="AX832" s="1481"/>
      <c r="AY832" s="1481"/>
      <c r="AZ832" s="1481"/>
      <c r="BA832" s="1481"/>
      <c r="BB832" s="1481"/>
      <c r="BC832" s="1481"/>
      <c r="BD832" s="1481"/>
      <c r="BE832" s="1481"/>
      <c r="BF832" s="1481"/>
      <c r="BG832" s="1481"/>
      <c r="BH832" s="1481"/>
      <c r="BI832" s="1481"/>
      <c r="BJ832" s="1481"/>
      <c r="BK832" s="1481"/>
      <c r="BL832" s="1481"/>
      <c r="BM832" s="1481"/>
      <c r="BN832" s="1481"/>
      <c r="BO832" s="1481"/>
      <c r="BP832" s="1481"/>
      <c r="BQ832" s="1481"/>
      <c r="BR832" s="1481"/>
      <c r="BS832" s="1481"/>
      <c r="BT832" s="1481"/>
      <c r="BU832" s="1481"/>
      <c r="BV832" s="1481"/>
      <c r="BW832" s="1481"/>
      <c r="BX832" s="1481"/>
      <c r="BY832" s="1481"/>
      <c r="BZ832" s="1481"/>
      <c r="CA832" s="1481"/>
      <c r="CB832" s="1481"/>
      <c r="CC832" s="1481"/>
      <c r="CD832" s="1481"/>
      <c r="CE832" s="1481"/>
    </row>
    <row r="833" spans="1:83" ht="15" hidden="1" customHeight="1">
      <c r="A833" s="516" t="s">
        <v>383</v>
      </c>
      <c r="B833"/>
      <c r="C833" t="s">
        <v>18</v>
      </c>
      <c r="D833" s="3621" t="s">
        <v>970</v>
      </c>
      <c r="E833" s="3618" t="s">
        <v>102</v>
      </c>
      <c r="F833" s="3619"/>
      <c r="G833" s="3620"/>
      <c r="H833" s="3614" t="str">
        <f>IF(A833="","",INDEX(DIFFERENTIATION_UNMERGE_VD,MATCH(A833,DIFFERENTIATION_ID_DIFF,0)))</f>
        <v>Производство тепловой энергии. Некомбинированная выработка</v>
      </c>
      <c r="I833" s="3614"/>
      <c r="J833" s="3614"/>
      <c r="K833" s="3614"/>
      <c r="L833" s="3614"/>
      <c r="M833" s="3614"/>
      <c r="N833" s="3614"/>
      <c r="O833" s="3614"/>
      <c r="P833" s="3614"/>
      <c r="Q833" s="3614"/>
      <c r="R833" s="3614"/>
      <c r="S833" s="609"/>
      <c r="T833" s="606"/>
      <c r="U833" s="517"/>
      <c r="V833" s="517"/>
      <c r="W833" s="518"/>
      <c r="X833" s="518"/>
      <c r="Y833" s="518"/>
      <c r="Z833" s="518"/>
      <c r="AA833" s="519"/>
      <c r="AB833" s="520"/>
      <c r="AC833" s="3617"/>
      <c r="AD833" s="521"/>
      <c r="AE833" s="522" t="s">
        <v>18</v>
      </c>
      <c r="AF833" s="522"/>
      <c r="AG833" s="523" t="s">
        <v>874</v>
      </c>
      <c r="AH833" s="524">
        <v>3</v>
      </c>
      <c r="AI833" s="517"/>
      <c r="AJ833" s="517"/>
      <c r="AK833" s="517"/>
      <c r="AL833" s="517"/>
      <c r="AM833" s="517"/>
      <c r="AN833" s="517"/>
      <c r="AO833" s="517"/>
      <c r="AP833" s="517"/>
      <c r="AQ833" s="517"/>
      <c r="AR833" s="517"/>
      <c r="AS833" s="517"/>
      <c r="AT833" s="517"/>
      <c r="AU833" s="517"/>
      <c r="AV833" s="517"/>
      <c r="AW833" s="517"/>
      <c r="AX833" s="517"/>
      <c r="AY833" s="517"/>
      <c r="AZ833" s="517"/>
      <c r="BA833" s="517"/>
      <c r="BB833" s="517"/>
      <c r="BC833" s="517"/>
      <c r="BD833" s="517"/>
      <c r="BE833" s="517"/>
      <c r="BF833" s="517"/>
      <c r="BG833" s="517"/>
      <c r="BH833" s="517"/>
      <c r="BI833" s="517"/>
      <c r="BJ833" s="517"/>
      <c r="BK833" s="517"/>
      <c r="BL833" s="517"/>
      <c r="BM833" s="517"/>
      <c r="BN833" s="517"/>
      <c r="BO833" s="517"/>
      <c r="BP833" s="517"/>
      <c r="BQ833" s="517"/>
      <c r="BR833" s="517"/>
      <c r="BS833" s="517"/>
      <c r="BT833" s="517"/>
      <c r="BU833" s="517"/>
      <c r="BV833" s="518"/>
      <c r="BW833" s="518"/>
      <c r="BX833" s="518"/>
      <c r="BY833" s="518"/>
      <c r="BZ833" s="518"/>
      <c r="CA833" s="518"/>
      <c r="CB833" s="518"/>
      <c r="CC833" s="518"/>
      <c r="CD833" s="518"/>
      <c r="CE833" s="518"/>
    </row>
    <row r="834" spans="1:83" ht="15" hidden="1" customHeight="1">
      <c r="A834" s="516"/>
      <c r="B834"/>
      <c r="C834"/>
      <c r="D834" s="3622"/>
      <c r="E834" s="3618" t="s">
        <v>829</v>
      </c>
      <c r="F834" s="3619"/>
      <c r="G834" s="3620"/>
      <c r="H834" s="3614" t="str">
        <f>IF(A833="","",INDEX(DIFFERENTIATION_UNMERGE_AREA,MATCH(A833,DIFFERENTIATION_ID_DIFF,0)))</f>
        <v>Территория 1</v>
      </c>
      <c r="I834" s="3614"/>
      <c r="J834" s="3614"/>
      <c r="K834" s="3614"/>
      <c r="L834" s="3614"/>
      <c r="M834" s="3614"/>
      <c r="N834" s="3614"/>
      <c r="O834" s="3614"/>
      <c r="P834" s="3614"/>
      <c r="Q834" s="3614"/>
      <c r="R834" s="3614"/>
      <c r="S834" s="609"/>
      <c r="T834" s="606"/>
      <c r="U834" s="517"/>
      <c r="V834" s="517"/>
      <c r="W834" s="518"/>
      <c r="X834" s="518"/>
      <c r="Y834" s="518"/>
      <c r="Z834" s="518"/>
      <c r="AA834" s="519"/>
      <c r="AB834" s="520"/>
      <c r="AC834" s="3617"/>
      <c r="AD834" s="521"/>
      <c r="AE834" s="522"/>
      <c r="AF834" s="522"/>
      <c r="AG834" s="523"/>
      <c r="AH834" s="524"/>
      <c r="AI834" s="517"/>
      <c r="AJ834" s="517"/>
      <c r="AK834" s="517"/>
      <c r="AL834" s="517"/>
      <c r="AM834" s="517"/>
      <c r="AN834" s="517"/>
      <c r="AO834" s="517"/>
      <c r="AP834" s="517"/>
      <c r="AQ834" s="517"/>
      <c r="AR834" s="517"/>
      <c r="AS834" s="517"/>
      <c r="AT834" s="517"/>
      <c r="AU834" s="517"/>
      <c r="AV834" s="517"/>
      <c r="AW834" s="517"/>
      <c r="AX834" s="517"/>
      <c r="AY834" s="517"/>
      <c r="AZ834" s="517"/>
      <c r="BA834" s="517"/>
      <c r="BB834" s="517"/>
      <c r="BC834" s="517"/>
      <c r="BD834" s="517"/>
      <c r="BE834" s="517"/>
      <c r="BF834" s="517"/>
      <c r="BG834" s="517"/>
      <c r="BH834" s="517"/>
      <c r="BI834" s="517"/>
      <c r="BJ834" s="517"/>
      <c r="BK834" s="517"/>
      <c r="BL834" s="517"/>
      <c r="BM834" s="517"/>
      <c r="BN834" s="517"/>
      <c r="BO834" s="517"/>
      <c r="BP834" s="517"/>
      <c r="BQ834" s="517"/>
      <c r="BR834" s="517"/>
      <c r="BS834" s="517"/>
      <c r="BT834" s="517"/>
      <c r="BU834" s="517"/>
      <c r="BV834" s="518"/>
      <c r="BW834" s="518"/>
      <c r="BX834" s="518"/>
      <c r="BY834" s="518"/>
      <c r="BZ834" s="518"/>
      <c r="CA834" s="518"/>
      <c r="CB834" s="518"/>
      <c r="CC834" s="518"/>
      <c r="CD834" s="518"/>
      <c r="CE834" s="518"/>
    </row>
    <row r="835" spans="1:83" ht="15" hidden="1" customHeight="1">
      <c r="A835" s="516"/>
      <c r="B835"/>
      <c r="C835"/>
      <c r="D835" s="3622"/>
      <c r="E835" s="3618" t="s">
        <v>830</v>
      </c>
      <c r="F835" s="3619"/>
      <c r="G835" s="3620"/>
      <c r="H835" s="3614" t="str">
        <f>IF(A833="","",INDEX(DIFFERENTIATION_UNMERGE_SYSTEM,MATCH(A833,DIFFERENTIATION_ID_DIFF,0)))</f>
        <v>Металлургов,80б</v>
      </c>
      <c r="I835" s="3614"/>
      <c r="J835" s="3614"/>
      <c r="K835" s="3614"/>
      <c r="L835" s="3614"/>
      <c r="M835" s="3614"/>
      <c r="N835" s="3614"/>
      <c r="O835" s="3614"/>
      <c r="P835" s="3614"/>
      <c r="Q835" s="3614"/>
      <c r="R835" s="3614"/>
      <c r="S835" s="609"/>
      <c r="T835" s="606"/>
      <c r="U835" s="517"/>
      <c r="V835" s="517"/>
      <c r="W835" s="518"/>
      <c r="X835" s="518"/>
      <c r="Y835" s="518"/>
      <c r="Z835" s="518"/>
      <c r="AA835" s="519"/>
      <c r="AB835" s="520"/>
      <c r="AC835" s="3617"/>
      <c r="AD835" s="521"/>
      <c r="AE835" s="522"/>
      <c r="AF835" s="522"/>
      <c r="AG835" s="523"/>
      <c r="AH835" s="524"/>
      <c r="AI835" s="517"/>
      <c r="AJ835" s="517"/>
      <c r="AK835" s="517"/>
      <c r="AL835" s="517"/>
      <c r="AM835" s="517"/>
      <c r="AN835" s="517"/>
      <c r="AO835" s="517"/>
      <c r="AP835" s="517"/>
      <c r="AQ835" s="517"/>
      <c r="AR835" s="517"/>
      <c r="AS835" s="517"/>
      <c r="AT835" s="517"/>
      <c r="AU835" s="517"/>
      <c r="AV835" s="517"/>
      <c r="AW835" s="517"/>
      <c r="AX835" s="517"/>
      <c r="AY835" s="517"/>
      <c r="AZ835" s="517"/>
      <c r="BA835" s="517"/>
      <c r="BB835" s="517"/>
      <c r="BC835" s="517"/>
      <c r="BD835" s="517"/>
      <c r="BE835" s="517"/>
      <c r="BF835" s="517"/>
      <c r="BG835" s="517"/>
      <c r="BH835" s="517"/>
      <c r="BI835" s="517"/>
      <c r="BJ835" s="517"/>
      <c r="BK835" s="517"/>
      <c r="BL835" s="517"/>
      <c r="BM835" s="517"/>
      <c r="BN835" s="517"/>
      <c r="BO835" s="517"/>
      <c r="BP835" s="517"/>
      <c r="BQ835" s="517"/>
      <c r="BR835" s="517"/>
      <c r="BS835" s="517"/>
      <c r="BT835" s="517"/>
      <c r="BU835" s="517"/>
      <c r="BV835" s="518"/>
      <c r="BW835" s="518"/>
      <c r="BX835" s="518"/>
      <c r="BY835" s="518"/>
      <c r="BZ835" s="518"/>
      <c r="CA835" s="518"/>
      <c r="CB835" s="518"/>
      <c r="CC835" s="518"/>
      <c r="CD835" s="518"/>
      <c r="CE835" s="518"/>
    </row>
    <row r="836" spans="1:83" ht="24.75" hidden="1" customHeight="1">
      <c r="A836" s="1649"/>
      <c r="B836" s="1023"/>
      <c r="C836" s="319"/>
      <c r="D836" s="3622"/>
      <c r="E836" s="3616" t="s">
        <v>875</v>
      </c>
      <c r="F836" s="3616"/>
      <c r="G836" s="3616"/>
      <c r="H836" s="3616"/>
      <c r="I836" s="3616"/>
      <c r="J836" s="3616"/>
      <c r="K836" s="3616"/>
      <c r="L836" s="3616"/>
      <c r="M836" s="3616"/>
      <c r="N836" s="3616"/>
      <c r="O836" s="3616"/>
      <c r="P836" s="3616"/>
      <c r="Q836" s="455">
        <f>SUMIF(T837:T838,"i",Q837:Q838)</f>
        <v>0</v>
      </c>
      <c r="R836" s="887"/>
      <c r="S836" s="1641" t="s">
        <v>876</v>
      </c>
      <c r="T836" s="607" t="s">
        <v>877</v>
      </c>
      <c r="U836" s="3532">
        <v>1</v>
      </c>
      <c r="V836" s="3532" t="s">
        <v>840</v>
      </c>
      <c r="W836" s="1023"/>
      <c r="X836" s="1023"/>
      <c r="Y836" s="1023"/>
      <c r="Z836" s="1023"/>
      <c r="AA836" s="1481"/>
      <c r="AB836" s="1023"/>
      <c r="AC836" s="3617"/>
      <c r="AD836" s="521"/>
      <c r="AE836" s="1023"/>
      <c r="AF836" s="1023"/>
      <c r="AG836" s="1481"/>
      <c r="AH836" s="1481"/>
      <c r="AI836" s="1481"/>
      <c r="AJ836" s="1481"/>
      <c r="AK836" s="1481"/>
      <c r="AL836" s="1481"/>
      <c r="AM836" s="1481"/>
      <c r="AN836" s="1481"/>
      <c r="AO836" s="1481"/>
      <c r="AP836" s="1481"/>
      <c r="AQ836" s="1481"/>
      <c r="AR836" s="1481"/>
      <c r="AS836" s="1481"/>
      <c r="AT836" s="1481"/>
      <c r="AU836" s="1481"/>
      <c r="AV836" s="1481"/>
      <c r="AW836" s="1481"/>
      <c r="AX836" s="1481"/>
      <c r="AY836" s="1481"/>
      <c r="AZ836" s="1481"/>
      <c r="BA836" s="1481"/>
      <c r="BB836" s="1481"/>
      <c r="BC836" s="1481"/>
      <c r="BD836" s="1481"/>
      <c r="BE836" s="1481"/>
      <c r="BF836" s="1481"/>
      <c r="BG836" s="1481"/>
      <c r="BH836" s="1481"/>
      <c r="BI836" s="1481"/>
      <c r="BJ836" s="1481"/>
      <c r="BK836" s="1481"/>
      <c r="BL836" s="1481"/>
      <c r="BM836" s="1481"/>
      <c r="BN836" s="1481"/>
      <c r="BO836" s="1481"/>
      <c r="BP836" s="1481"/>
      <c r="BQ836" s="1481"/>
      <c r="BR836" s="1481"/>
      <c r="BS836" s="1481"/>
      <c r="BT836" s="1481"/>
      <c r="BU836" s="1481"/>
      <c r="BV836" s="1023"/>
      <c r="BW836" s="1023"/>
      <c r="BX836" s="1023"/>
      <c r="BY836" s="1023"/>
      <c r="BZ836" s="1023"/>
      <c r="CA836" s="1023"/>
      <c r="CB836" s="1023"/>
      <c r="CC836" s="1023"/>
      <c r="CD836" s="1023"/>
      <c r="CE836" s="1023"/>
    </row>
    <row r="837" spans="1:83" ht="11.25" hidden="1" customHeight="1">
      <c r="A837" s="1636"/>
      <c r="B837" s="1481"/>
      <c r="C837" s="1481"/>
      <c r="D837" s="3622"/>
      <c r="E837" s="527"/>
      <c r="F837" s="527">
        <v>0</v>
      </c>
      <c r="G837" s="527"/>
      <c r="H837" s="527"/>
      <c r="I837" s="527"/>
      <c r="J837" s="527"/>
      <c r="K837" s="527"/>
      <c r="L837" s="527"/>
      <c r="M837" s="527"/>
      <c r="N837" s="527"/>
      <c r="O837" s="527"/>
      <c r="P837" s="527"/>
      <c r="Q837" s="527"/>
      <c r="R837" s="527"/>
      <c r="S837" s="528"/>
      <c r="T837" s="608"/>
      <c r="U837" s="3532"/>
      <c r="V837" s="3532"/>
      <c r="W837" s="1481"/>
      <c r="X837" s="1481"/>
      <c r="Y837" s="1481"/>
      <c r="Z837" s="1481"/>
      <c r="AA837" s="1481"/>
      <c r="AB837" s="1023"/>
      <c r="AC837" s="3617"/>
      <c r="AD837" s="521"/>
      <c r="AE837" s="1023"/>
      <c r="AF837" s="1023"/>
      <c r="AG837" s="1481"/>
      <c r="AH837" s="1481"/>
      <c r="AI837" s="1481"/>
      <c r="AJ837" s="1481"/>
      <c r="AK837" s="1481"/>
      <c r="AL837" s="1481"/>
      <c r="AM837" s="1481"/>
      <c r="AN837" s="1481"/>
      <c r="AO837" s="1481"/>
      <c r="AP837" s="1481"/>
      <c r="AQ837" s="1481"/>
      <c r="AR837" s="1481"/>
      <c r="AS837" s="1481"/>
      <c r="AT837" s="1481"/>
      <c r="AU837" s="1481"/>
      <c r="AV837" s="1481"/>
      <c r="AW837" s="1481"/>
      <c r="AX837" s="1481"/>
      <c r="AY837" s="1481"/>
      <c r="AZ837" s="1481"/>
      <c r="BA837" s="1481"/>
      <c r="BB837" s="1481"/>
      <c r="BC837" s="1481"/>
      <c r="BD837" s="1481"/>
      <c r="BE837" s="1481"/>
      <c r="BF837" s="1481"/>
      <c r="BG837" s="1481"/>
      <c r="BH837" s="1481"/>
      <c r="BI837" s="1481"/>
      <c r="BJ837" s="1481"/>
      <c r="BK837" s="1481"/>
      <c r="BL837" s="1481"/>
      <c r="BM837" s="1481"/>
      <c r="BN837" s="1481"/>
      <c r="BO837" s="1481"/>
      <c r="BP837" s="1481"/>
      <c r="BQ837" s="1481"/>
      <c r="BR837" s="1481"/>
      <c r="BS837" s="1481"/>
      <c r="BT837" s="1481"/>
      <c r="BU837" s="1481"/>
      <c r="BV837" s="1481"/>
      <c r="BW837" s="1481"/>
      <c r="BX837" s="1481"/>
      <c r="BY837" s="1481"/>
      <c r="BZ837" s="1481"/>
      <c r="CA837" s="1481"/>
      <c r="CB837" s="1481"/>
      <c r="CC837" s="1481"/>
      <c r="CD837" s="1481"/>
      <c r="CE837" s="1481"/>
    </row>
    <row r="838" spans="1:83" ht="11.25" hidden="1" customHeight="1">
      <c r="A838" s="1649"/>
      <c r="B838" s="1023"/>
      <c r="C838" s="319"/>
      <c r="D838" s="3622"/>
      <c r="E838" s="541" t="s">
        <v>18</v>
      </c>
      <c r="F838" s="1031" t="s">
        <v>18</v>
      </c>
      <c r="G838" s="1031" t="s">
        <v>880</v>
      </c>
      <c r="H838" s="543" t="s">
        <v>18</v>
      </c>
      <c r="I838" s="543"/>
      <c r="J838" s="543"/>
      <c r="K838" s="543"/>
      <c r="L838" s="543"/>
      <c r="M838" s="543"/>
      <c r="N838" s="543"/>
      <c r="O838" s="543"/>
      <c r="P838" s="543"/>
      <c r="Q838" s="543"/>
      <c r="R838" s="544"/>
      <c r="S838" s="545"/>
      <c r="T838" s="608"/>
      <c r="U838" s="3532"/>
      <c r="V838" s="3532"/>
      <c r="W838" s="1023"/>
      <c r="X838" s="1023"/>
      <c r="Y838" s="1023"/>
      <c r="Z838" s="1023"/>
      <c r="AA838" s="1481"/>
      <c r="AB838" s="1023"/>
      <c r="AC838" s="3617"/>
      <c r="AD838" s="521"/>
      <c r="AE838" s="1023"/>
      <c r="AF838" s="1023"/>
      <c r="AG838" s="1481"/>
      <c r="AH838" s="1481"/>
      <c r="AI838" s="1481"/>
      <c r="AJ838" s="1481"/>
      <c r="AK838" s="1481"/>
      <c r="AL838" s="1481"/>
      <c r="AM838" s="1481"/>
      <c r="AN838" s="1481"/>
      <c r="AO838" s="1481"/>
      <c r="AP838" s="1481"/>
      <c r="AQ838" s="1481"/>
      <c r="AR838" s="1481"/>
      <c r="AS838" s="1481"/>
      <c r="AT838" s="1481"/>
      <c r="AU838" s="1481"/>
      <c r="AV838" s="1481"/>
      <c r="AW838" s="1481"/>
      <c r="AX838" s="1481"/>
      <c r="AY838" s="1481"/>
      <c r="AZ838" s="1481"/>
      <c r="BA838" s="1481"/>
      <c r="BB838" s="1481"/>
      <c r="BC838" s="1481"/>
      <c r="BD838" s="1481"/>
      <c r="BE838" s="1481"/>
      <c r="BF838" s="1481"/>
      <c r="BG838" s="1481"/>
      <c r="BH838" s="1481"/>
      <c r="BI838" s="1481"/>
      <c r="BJ838" s="1481"/>
      <c r="BK838" s="1481"/>
      <c r="BL838" s="1481"/>
      <c r="BM838" s="1481"/>
      <c r="BN838" s="1481"/>
      <c r="BO838" s="1481"/>
      <c r="BP838" s="1481"/>
      <c r="BQ838" s="1481"/>
      <c r="BR838" s="1481"/>
      <c r="BS838" s="1481"/>
      <c r="BT838" s="1481"/>
      <c r="BU838" s="1481"/>
      <c r="BV838" s="1023"/>
      <c r="BW838" s="1023"/>
      <c r="BX838" s="1023"/>
      <c r="BY838" s="1023"/>
      <c r="BZ838" s="1023"/>
      <c r="CA838" s="1023"/>
      <c r="CB838" s="1023"/>
      <c r="CC838" s="1023"/>
      <c r="CD838" s="1023"/>
      <c r="CE838" s="1023"/>
    </row>
    <row r="839" spans="1:83" ht="5.25" hidden="1" customHeight="1">
      <c r="A839" s="1636"/>
      <c r="B839" s="1481"/>
      <c r="C839" s="1481"/>
      <c r="D839" s="3622"/>
      <c r="E839" s="909"/>
      <c r="F839" s="909"/>
      <c r="G839" s="909"/>
      <c r="H839" s="909"/>
      <c r="I839" s="909"/>
      <c r="J839" s="909"/>
      <c r="K839" s="909"/>
      <c r="L839" s="909"/>
      <c r="M839" s="909"/>
      <c r="N839" s="909"/>
      <c r="O839" s="909"/>
      <c r="P839" s="909"/>
      <c r="Q839" s="910"/>
      <c r="R839" s="911"/>
      <c r="S839" s="912"/>
      <c r="T839" s="607" t="s">
        <v>877</v>
      </c>
      <c r="U839" s="3532">
        <v>1</v>
      </c>
      <c r="V839" s="3532" t="s">
        <v>840</v>
      </c>
      <c r="W839" s="1481"/>
      <c r="X839" s="1481"/>
      <c r="Y839" s="1481"/>
      <c r="Z839" s="1481"/>
      <c r="AA839" s="1481"/>
      <c r="AB839" s="1481"/>
      <c r="AC839" s="907"/>
      <c r="AD839" s="908"/>
      <c r="AE839" s="1481"/>
      <c r="AF839" s="1481"/>
      <c r="AG839" s="1481"/>
      <c r="AH839" s="1481"/>
      <c r="AI839" s="1481"/>
      <c r="AJ839" s="1481"/>
      <c r="AK839" s="1481"/>
      <c r="AL839" s="1481"/>
      <c r="AM839" s="1481"/>
      <c r="AN839" s="1481"/>
      <c r="AO839" s="1481"/>
      <c r="AP839" s="1481"/>
      <c r="AQ839" s="1481"/>
      <c r="AR839" s="1481"/>
      <c r="AS839" s="1481"/>
      <c r="AT839" s="1481"/>
      <c r="AU839" s="1481"/>
      <c r="AV839" s="1481"/>
      <c r="AW839" s="1481"/>
      <c r="AX839" s="1481"/>
      <c r="AY839" s="1481"/>
      <c r="AZ839" s="1481"/>
      <c r="BA839" s="1481"/>
      <c r="BB839" s="1481"/>
      <c r="BC839" s="1481"/>
      <c r="BD839" s="1481"/>
      <c r="BE839" s="1481"/>
      <c r="BF839" s="1481"/>
      <c r="BG839" s="1481"/>
      <c r="BH839" s="1481"/>
      <c r="BI839" s="1481"/>
      <c r="BJ839" s="1481"/>
      <c r="BK839" s="1481"/>
      <c r="BL839" s="1481"/>
      <c r="BM839" s="1481"/>
      <c r="BN839" s="1481"/>
      <c r="BO839" s="1481"/>
      <c r="BP839" s="1481"/>
      <c r="BQ839" s="1481"/>
      <c r="BR839" s="1481"/>
      <c r="BS839" s="1481"/>
      <c r="BT839" s="1481"/>
      <c r="BU839" s="1481"/>
      <c r="BV839" s="1481"/>
      <c r="BW839" s="1481"/>
      <c r="BX839" s="1481"/>
      <c r="BY839" s="1481"/>
      <c r="BZ839" s="1481"/>
      <c r="CA839" s="1481"/>
      <c r="CB839" s="1481"/>
      <c r="CC839" s="1481"/>
      <c r="CD839" s="1481"/>
      <c r="CE839" s="1481"/>
    </row>
    <row r="840" spans="1:83" ht="5.25" hidden="1" customHeight="1">
      <c r="A840" s="1636"/>
      <c r="B840" s="1481"/>
      <c r="C840" s="1481"/>
      <c r="D840" s="3622"/>
      <c r="E840" s="527"/>
      <c r="F840" s="527"/>
      <c r="G840" s="527"/>
      <c r="H840" s="527"/>
      <c r="I840" s="527"/>
      <c r="J840" s="527"/>
      <c r="K840" s="527"/>
      <c r="L840" s="527"/>
      <c r="M840" s="527"/>
      <c r="N840" s="527"/>
      <c r="O840" s="527"/>
      <c r="P840" s="527"/>
      <c r="Q840" s="527"/>
      <c r="R840" s="527"/>
      <c r="S840" s="528"/>
      <c r="T840" s="608"/>
      <c r="U840" s="3532"/>
      <c r="V840" s="3532"/>
      <c r="W840" s="1481"/>
      <c r="X840" s="1481"/>
      <c r="Y840" s="1481"/>
      <c r="Z840" s="1481"/>
      <c r="AA840" s="1481"/>
      <c r="AB840" s="1481"/>
      <c r="AC840" s="907"/>
      <c r="AD840" s="908"/>
      <c r="AE840" s="1481"/>
      <c r="AF840" s="1481"/>
      <c r="AG840" s="1481"/>
      <c r="AH840" s="1481"/>
      <c r="AI840" s="1481"/>
      <c r="AJ840" s="1481"/>
      <c r="AK840" s="1481"/>
      <c r="AL840" s="1481"/>
      <c r="AM840" s="1481"/>
      <c r="AN840" s="1481"/>
      <c r="AO840" s="1481"/>
      <c r="AP840" s="1481"/>
      <c r="AQ840" s="1481"/>
      <c r="AR840" s="1481"/>
      <c r="AS840" s="1481"/>
      <c r="AT840" s="1481"/>
      <c r="AU840" s="1481"/>
      <c r="AV840" s="1481"/>
      <c r="AW840" s="1481"/>
      <c r="AX840" s="1481"/>
      <c r="AY840" s="1481"/>
      <c r="AZ840" s="1481"/>
      <c r="BA840" s="1481"/>
      <c r="BB840" s="1481"/>
      <c r="BC840" s="1481"/>
      <c r="BD840" s="1481"/>
      <c r="BE840" s="1481"/>
      <c r="BF840" s="1481"/>
      <c r="BG840" s="1481"/>
      <c r="BH840" s="1481"/>
      <c r="BI840" s="1481"/>
      <c r="BJ840" s="1481"/>
      <c r="BK840" s="1481"/>
      <c r="BL840" s="1481"/>
      <c r="BM840" s="1481"/>
      <c r="BN840" s="1481"/>
      <c r="BO840" s="1481"/>
      <c r="BP840" s="1481"/>
      <c r="BQ840" s="1481"/>
      <c r="BR840" s="1481"/>
      <c r="BS840" s="1481"/>
      <c r="BT840" s="1481"/>
      <c r="BU840" s="1481"/>
      <c r="BV840" s="1481"/>
      <c r="BW840" s="1481"/>
      <c r="BX840" s="1481"/>
      <c r="BY840" s="1481"/>
      <c r="BZ840" s="1481"/>
      <c r="CA840" s="1481"/>
      <c r="CB840" s="1481"/>
      <c r="CC840" s="1481"/>
      <c r="CD840" s="1481"/>
      <c r="CE840" s="1481"/>
    </row>
    <row r="841" spans="1:83" ht="5.25" hidden="1" customHeight="1">
      <c r="A841" s="1636"/>
      <c r="B841" s="1481"/>
      <c r="C841" s="1481"/>
      <c r="D841" s="3623"/>
      <c r="E841" s="913"/>
      <c r="F841" s="914"/>
      <c r="G841" s="914"/>
      <c r="H841" s="915"/>
      <c r="I841" s="915"/>
      <c r="J841" s="915"/>
      <c r="K841" s="915"/>
      <c r="L841" s="915"/>
      <c r="M841" s="915"/>
      <c r="N841" s="915"/>
      <c r="O841" s="915"/>
      <c r="P841" s="915"/>
      <c r="Q841" s="915"/>
      <c r="R841" s="818"/>
      <c r="S841" s="916"/>
      <c r="T841" s="608"/>
      <c r="U841" s="3532"/>
      <c r="V841" s="3532"/>
      <c r="W841" s="1481"/>
      <c r="X841" s="1481"/>
      <c r="Y841" s="1481"/>
      <c r="Z841" s="1481"/>
      <c r="AA841" s="1481"/>
      <c r="AB841" s="1481"/>
      <c r="AC841" s="907"/>
      <c r="AD841" s="908"/>
      <c r="AE841" s="1481"/>
      <c r="AF841" s="1481"/>
      <c r="AG841" s="1481"/>
      <c r="AH841" s="1481"/>
      <c r="AI841" s="1481"/>
      <c r="AJ841" s="1481"/>
      <c r="AK841" s="1481"/>
      <c r="AL841" s="1481"/>
      <c r="AM841" s="1481"/>
      <c r="AN841" s="1481"/>
      <c r="AO841" s="1481"/>
      <c r="AP841" s="1481"/>
      <c r="AQ841" s="1481"/>
      <c r="AR841" s="1481"/>
      <c r="AS841" s="1481"/>
      <c r="AT841" s="1481"/>
      <c r="AU841" s="1481"/>
      <c r="AV841" s="1481"/>
      <c r="AW841" s="1481"/>
      <c r="AX841" s="1481"/>
      <c r="AY841" s="1481"/>
      <c r="AZ841" s="1481"/>
      <c r="BA841" s="1481"/>
      <c r="BB841" s="1481"/>
      <c r="BC841" s="1481"/>
      <c r="BD841" s="1481"/>
      <c r="BE841" s="1481"/>
      <c r="BF841" s="1481"/>
      <c r="BG841" s="1481"/>
      <c r="BH841" s="1481"/>
      <c r="BI841" s="1481"/>
      <c r="BJ841" s="1481"/>
      <c r="BK841" s="1481"/>
      <c r="BL841" s="1481"/>
      <c r="BM841" s="1481"/>
      <c r="BN841" s="1481"/>
      <c r="BO841" s="1481"/>
      <c r="BP841" s="1481"/>
      <c r="BQ841" s="1481"/>
      <c r="BR841" s="1481"/>
      <c r="BS841" s="1481"/>
      <c r="BT841" s="1481"/>
      <c r="BU841" s="1481"/>
      <c r="BV841" s="1481"/>
      <c r="BW841" s="1481"/>
      <c r="BX841" s="1481"/>
      <c r="BY841" s="1481"/>
      <c r="BZ841" s="1481"/>
      <c r="CA841" s="1481"/>
      <c r="CB841" s="1481"/>
      <c r="CC841" s="1481"/>
      <c r="CD841" s="1481"/>
      <c r="CE841" s="1481"/>
    </row>
    <row r="842" spans="1:83" ht="15" hidden="1" customHeight="1">
      <c r="A842" s="516" t="s">
        <v>386</v>
      </c>
      <c r="B842"/>
      <c r="C842" t="s">
        <v>18</v>
      </c>
      <c r="D842" s="3621" t="s">
        <v>971</v>
      </c>
      <c r="E842" s="3618" t="s">
        <v>102</v>
      </c>
      <c r="F842" s="3619"/>
      <c r="G842" s="3620"/>
      <c r="H842" s="3614" t="str">
        <f>IF(A842="","",INDEX(DIFFERENTIATION_UNMERGE_VD,MATCH(A842,DIFFERENTIATION_ID_DIFF,0)))</f>
        <v>Производство тепловой энергии. Некомбинированная выработка</v>
      </c>
      <c r="I842" s="3614"/>
      <c r="J842" s="3614"/>
      <c r="K842" s="3614"/>
      <c r="L842" s="3614"/>
      <c r="M842" s="3614"/>
      <c r="N842" s="3614"/>
      <c r="O842" s="3614"/>
      <c r="P842" s="3614"/>
      <c r="Q842" s="3614"/>
      <c r="R842" s="3614"/>
      <c r="S842" s="609"/>
      <c r="T842" s="606"/>
      <c r="U842" s="517"/>
      <c r="V842" s="517"/>
      <c r="W842" s="518"/>
      <c r="X842" s="518"/>
      <c r="Y842" s="518"/>
      <c r="Z842" s="518"/>
      <c r="AA842" s="519"/>
      <c r="AB842" s="520"/>
      <c r="AC842" s="3617"/>
      <c r="AD842" s="521"/>
      <c r="AE842" s="522" t="s">
        <v>18</v>
      </c>
      <c r="AF842" s="522"/>
      <c r="AG842" s="523" t="s">
        <v>874</v>
      </c>
      <c r="AH842" s="524">
        <v>3</v>
      </c>
      <c r="AI842" s="517"/>
      <c r="AJ842" s="517"/>
      <c r="AK842" s="517"/>
      <c r="AL842" s="517"/>
      <c r="AM842" s="517"/>
      <c r="AN842" s="517"/>
      <c r="AO842" s="517"/>
      <c r="AP842" s="517"/>
      <c r="AQ842" s="517"/>
      <c r="AR842" s="517"/>
      <c r="AS842" s="517"/>
      <c r="AT842" s="517"/>
      <c r="AU842" s="517"/>
      <c r="AV842" s="517"/>
      <c r="AW842" s="517"/>
      <c r="AX842" s="517"/>
      <c r="AY842" s="517"/>
      <c r="AZ842" s="517"/>
      <c r="BA842" s="517"/>
      <c r="BB842" s="517"/>
      <c r="BC842" s="517"/>
      <c r="BD842" s="517"/>
      <c r="BE842" s="517"/>
      <c r="BF842" s="517"/>
      <c r="BG842" s="517"/>
      <c r="BH842" s="517"/>
      <c r="BI842" s="517"/>
      <c r="BJ842" s="517"/>
      <c r="BK842" s="517"/>
      <c r="BL842" s="517"/>
      <c r="BM842" s="517"/>
      <c r="BN842" s="517"/>
      <c r="BO842" s="517"/>
      <c r="BP842" s="517"/>
      <c r="BQ842" s="517"/>
      <c r="BR842" s="517"/>
      <c r="BS842" s="517"/>
      <c r="BT842" s="517"/>
      <c r="BU842" s="517"/>
      <c r="BV842" s="518"/>
      <c r="BW842" s="518"/>
      <c r="BX842" s="518"/>
      <c r="BY842" s="518"/>
      <c r="BZ842" s="518"/>
      <c r="CA842" s="518"/>
      <c r="CB842" s="518"/>
      <c r="CC842" s="518"/>
      <c r="CD842" s="518"/>
      <c r="CE842" s="518"/>
    </row>
    <row r="843" spans="1:83" ht="15" hidden="1" customHeight="1">
      <c r="A843" s="516"/>
      <c r="B843"/>
      <c r="C843"/>
      <c r="D843" s="3622"/>
      <c r="E843" s="3618" t="s">
        <v>829</v>
      </c>
      <c r="F843" s="3619"/>
      <c r="G843" s="3620"/>
      <c r="H843" s="3614" t="str">
        <f>IF(A842="","",INDEX(DIFFERENTIATION_UNMERGE_AREA,MATCH(A842,DIFFERENTIATION_ID_DIFF,0)))</f>
        <v>Территория 1</v>
      </c>
      <c r="I843" s="3614"/>
      <c r="J843" s="3614"/>
      <c r="K843" s="3614"/>
      <c r="L843" s="3614"/>
      <c r="M843" s="3614"/>
      <c r="N843" s="3614"/>
      <c r="O843" s="3614"/>
      <c r="P843" s="3614"/>
      <c r="Q843" s="3614"/>
      <c r="R843" s="3614"/>
      <c r="S843" s="609"/>
      <c r="T843" s="606"/>
      <c r="U843" s="517"/>
      <c r="V843" s="517"/>
      <c r="W843" s="518"/>
      <c r="X843" s="518"/>
      <c r="Y843" s="518"/>
      <c r="Z843" s="518"/>
      <c r="AA843" s="519"/>
      <c r="AB843" s="520"/>
      <c r="AC843" s="3617"/>
      <c r="AD843" s="521"/>
      <c r="AE843" s="522"/>
      <c r="AF843" s="522"/>
      <c r="AG843" s="523"/>
      <c r="AH843" s="524"/>
      <c r="AI843" s="517"/>
      <c r="AJ843" s="517"/>
      <c r="AK843" s="517"/>
      <c r="AL843" s="517"/>
      <c r="AM843" s="517"/>
      <c r="AN843" s="517"/>
      <c r="AO843" s="517"/>
      <c r="AP843" s="517"/>
      <c r="AQ843" s="517"/>
      <c r="AR843" s="517"/>
      <c r="AS843" s="517"/>
      <c r="AT843" s="517"/>
      <c r="AU843" s="517"/>
      <c r="AV843" s="517"/>
      <c r="AW843" s="517"/>
      <c r="AX843" s="517"/>
      <c r="AY843" s="517"/>
      <c r="AZ843" s="517"/>
      <c r="BA843" s="517"/>
      <c r="BB843" s="517"/>
      <c r="BC843" s="517"/>
      <c r="BD843" s="517"/>
      <c r="BE843" s="517"/>
      <c r="BF843" s="517"/>
      <c r="BG843" s="517"/>
      <c r="BH843" s="517"/>
      <c r="BI843" s="517"/>
      <c r="BJ843" s="517"/>
      <c r="BK843" s="517"/>
      <c r="BL843" s="517"/>
      <c r="BM843" s="517"/>
      <c r="BN843" s="517"/>
      <c r="BO843" s="517"/>
      <c r="BP843" s="517"/>
      <c r="BQ843" s="517"/>
      <c r="BR843" s="517"/>
      <c r="BS843" s="517"/>
      <c r="BT843" s="517"/>
      <c r="BU843" s="517"/>
      <c r="BV843" s="518"/>
      <c r="BW843" s="518"/>
      <c r="BX843" s="518"/>
      <c r="BY843" s="518"/>
      <c r="BZ843" s="518"/>
      <c r="CA843" s="518"/>
      <c r="CB843" s="518"/>
      <c r="CC843" s="518"/>
      <c r="CD843" s="518"/>
      <c r="CE843" s="518"/>
    </row>
    <row r="844" spans="1:83" ht="15" hidden="1" customHeight="1">
      <c r="A844" s="516"/>
      <c r="B844"/>
      <c r="C844"/>
      <c r="D844" s="3622"/>
      <c r="E844" s="3618" t="s">
        <v>830</v>
      </c>
      <c r="F844" s="3619"/>
      <c r="G844" s="3620"/>
      <c r="H844" s="3614" t="str">
        <f>IF(A842="","",INDEX(DIFFERENTIATION_UNMERGE_SYSTEM,MATCH(A842,DIFFERENTIATION_ID_DIFF,0)))</f>
        <v>Силикатная,28а</v>
      </c>
      <c r="I844" s="3614"/>
      <c r="J844" s="3614"/>
      <c r="K844" s="3614"/>
      <c r="L844" s="3614"/>
      <c r="M844" s="3614"/>
      <c r="N844" s="3614"/>
      <c r="O844" s="3614"/>
      <c r="P844" s="3614"/>
      <c r="Q844" s="3614"/>
      <c r="R844" s="3614"/>
      <c r="S844" s="609"/>
      <c r="T844" s="606"/>
      <c r="U844" s="517"/>
      <c r="V844" s="517"/>
      <c r="W844" s="518"/>
      <c r="X844" s="518"/>
      <c r="Y844" s="518"/>
      <c r="Z844" s="518"/>
      <c r="AA844" s="519"/>
      <c r="AB844" s="520"/>
      <c r="AC844" s="3617"/>
      <c r="AD844" s="521"/>
      <c r="AE844" s="522"/>
      <c r="AF844" s="522"/>
      <c r="AG844" s="523"/>
      <c r="AH844" s="524"/>
      <c r="AI844" s="517"/>
      <c r="AJ844" s="517"/>
      <c r="AK844" s="517"/>
      <c r="AL844" s="517"/>
      <c r="AM844" s="517"/>
      <c r="AN844" s="517"/>
      <c r="AO844" s="517"/>
      <c r="AP844" s="517"/>
      <c r="AQ844" s="517"/>
      <c r="AR844" s="517"/>
      <c r="AS844" s="517"/>
      <c r="AT844" s="517"/>
      <c r="AU844" s="517"/>
      <c r="AV844" s="517"/>
      <c r="AW844" s="517"/>
      <c r="AX844" s="517"/>
      <c r="AY844" s="517"/>
      <c r="AZ844" s="517"/>
      <c r="BA844" s="517"/>
      <c r="BB844" s="517"/>
      <c r="BC844" s="517"/>
      <c r="BD844" s="517"/>
      <c r="BE844" s="517"/>
      <c r="BF844" s="517"/>
      <c r="BG844" s="517"/>
      <c r="BH844" s="517"/>
      <c r="BI844" s="517"/>
      <c r="BJ844" s="517"/>
      <c r="BK844" s="517"/>
      <c r="BL844" s="517"/>
      <c r="BM844" s="517"/>
      <c r="BN844" s="517"/>
      <c r="BO844" s="517"/>
      <c r="BP844" s="517"/>
      <c r="BQ844" s="517"/>
      <c r="BR844" s="517"/>
      <c r="BS844" s="517"/>
      <c r="BT844" s="517"/>
      <c r="BU844" s="517"/>
      <c r="BV844" s="518"/>
      <c r="BW844" s="518"/>
      <c r="BX844" s="518"/>
      <c r="BY844" s="518"/>
      <c r="BZ844" s="518"/>
      <c r="CA844" s="518"/>
      <c r="CB844" s="518"/>
      <c r="CC844" s="518"/>
      <c r="CD844" s="518"/>
      <c r="CE844" s="518"/>
    </row>
    <row r="845" spans="1:83" ht="24.75" hidden="1" customHeight="1">
      <c r="A845" s="1649"/>
      <c r="B845" s="1023"/>
      <c r="C845" s="319"/>
      <c r="D845" s="3622"/>
      <c r="E845" s="3616" t="s">
        <v>875</v>
      </c>
      <c r="F845" s="3616"/>
      <c r="G845" s="3616"/>
      <c r="H845" s="3616"/>
      <c r="I845" s="3616"/>
      <c r="J845" s="3616"/>
      <c r="K845" s="3616"/>
      <c r="L845" s="3616"/>
      <c r="M845" s="3616"/>
      <c r="N845" s="3616"/>
      <c r="O845" s="3616"/>
      <c r="P845" s="3616"/>
      <c r="Q845" s="455">
        <f>SUMIF(T846:T847,"i",Q846:Q847)</f>
        <v>0</v>
      </c>
      <c r="R845" s="887"/>
      <c r="S845" s="1641" t="s">
        <v>876</v>
      </c>
      <c r="T845" s="607" t="s">
        <v>877</v>
      </c>
      <c r="U845" s="3532">
        <v>1</v>
      </c>
      <c r="V845" s="3532" t="s">
        <v>840</v>
      </c>
      <c r="W845" s="1023"/>
      <c r="X845" s="1023"/>
      <c r="Y845" s="1023"/>
      <c r="Z845" s="1023"/>
      <c r="AA845" s="1481"/>
      <c r="AB845" s="1023"/>
      <c r="AC845" s="3617"/>
      <c r="AD845" s="521"/>
      <c r="AE845" s="1023"/>
      <c r="AF845" s="1023"/>
      <c r="AG845" s="1481"/>
      <c r="AH845" s="1481"/>
      <c r="AI845" s="1481"/>
      <c r="AJ845" s="1481"/>
      <c r="AK845" s="1481"/>
      <c r="AL845" s="1481"/>
      <c r="AM845" s="1481"/>
      <c r="AN845" s="1481"/>
      <c r="AO845" s="1481"/>
      <c r="AP845" s="1481"/>
      <c r="AQ845" s="1481"/>
      <c r="AR845" s="1481"/>
      <c r="AS845" s="1481"/>
      <c r="AT845" s="1481"/>
      <c r="AU845" s="1481"/>
      <c r="AV845" s="1481"/>
      <c r="AW845" s="1481"/>
      <c r="AX845" s="1481"/>
      <c r="AY845" s="1481"/>
      <c r="AZ845" s="1481"/>
      <c r="BA845" s="1481"/>
      <c r="BB845" s="1481"/>
      <c r="BC845" s="1481"/>
      <c r="BD845" s="1481"/>
      <c r="BE845" s="1481"/>
      <c r="BF845" s="1481"/>
      <c r="BG845" s="1481"/>
      <c r="BH845" s="1481"/>
      <c r="BI845" s="1481"/>
      <c r="BJ845" s="1481"/>
      <c r="BK845" s="1481"/>
      <c r="BL845" s="1481"/>
      <c r="BM845" s="1481"/>
      <c r="BN845" s="1481"/>
      <c r="BO845" s="1481"/>
      <c r="BP845" s="1481"/>
      <c r="BQ845" s="1481"/>
      <c r="BR845" s="1481"/>
      <c r="BS845" s="1481"/>
      <c r="BT845" s="1481"/>
      <c r="BU845" s="1481"/>
      <c r="BV845" s="1023"/>
      <c r="BW845" s="1023"/>
      <c r="BX845" s="1023"/>
      <c r="BY845" s="1023"/>
      <c r="BZ845" s="1023"/>
      <c r="CA845" s="1023"/>
      <c r="CB845" s="1023"/>
      <c r="CC845" s="1023"/>
      <c r="CD845" s="1023"/>
      <c r="CE845" s="1023"/>
    </row>
    <row r="846" spans="1:83" ht="11.25" hidden="1" customHeight="1">
      <c r="A846" s="1636"/>
      <c r="B846" s="1481"/>
      <c r="C846" s="1481"/>
      <c r="D846" s="3622"/>
      <c r="E846" s="527"/>
      <c r="F846" s="527">
        <v>0</v>
      </c>
      <c r="G846" s="527"/>
      <c r="H846" s="527"/>
      <c r="I846" s="527"/>
      <c r="J846" s="527"/>
      <c r="K846" s="527"/>
      <c r="L846" s="527"/>
      <c r="M846" s="527"/>
      <c r="N846" s="527"/>
      <c r="O846" s="527"/>
      <c r="P846" s="527"/>
      <c r="Q846" s="527"/>
      <c r="R846" s="527"/>
      <c r="S846" s="528"/>
      <c r="T846" s="608"/>
      <c r="U846" s="3532"/>
      <c r="V846" s="3532"/>
      <c r="W846" s="1481"/>
      <c r="X846" s="1481"/>
      <c r="Y846" s="1481"/>
      <c r="Z846" s="1481"/>
      <c r="AA846" s="1481"/>
      <c r="AB846" s="1023"/>
      <c r="AC846" s="3617"/>
      <c r="AD846" s="521"/>
      <c r="AE846" s="1023"/>
      <c r="AF846" s="1023"/>
      <c r="AG846" s="1481"/>
      <c r="AH846" s="1481"/>
      <c r="AI846" s="1481"/>
      <c r="AJ846" s="1481"/>
      <c r="AK846" s="1481"/>
      <c r="AL846" s="1481"/>
      <c r="AM846" s="1481"/>
      <c r="AN846" s="1481"/>
      <c r="AO846" s="1481"/>
      <c r="AP846" s="1481"/>
      <c r="AQ846" s="1481"/>
      <c r="AR846" s="1481"/>
      <c r="AS846" s="1481"/>
      <c r="AT846" s="1481"/>
      <c r="AU846" s="1481"/>
      <c r="AV846" s="1481"/>
      <c r="AW846" s="1481"/>
      <c r="AX846" s="1481"/>
      <c r="AY846" s="1481"/>
      <c r="AZ846" s="1481"/>
      <c r="BA846" s="1481"/>
      <c r="BB846" s="1481"/>
      <c r="BC846" s="1481"/>
      <c r="BD846" s="1481"/>
      <c r="BE846" s="1481"/>
      <c r="BF846" s="1481"/>
      <c r="BG846" s="1481"/>
      <c r="BH846" s="1481"/>
      <c r="BI846" s="1481"/>
      <c r="BJ846" s="1481"/>
      <c r="BK846" s="1481"/>
      <c r="BL846" s="1481"/>
      <c r="BM846" s="1481"/>
      <c r="BN846" s="1481"/>
      <c r="BO846" s="1481"/>
      <c r="BP846" s="1481"/>
      <c r="BQ846" s="1481"/>
      <c r="BR846" s="1481"/>
      <c r="BS846" s="1481"/>
      <c r="BT846" s="1481"/>
      <c r="BU846" s="1481"/>
      <c r="BV846" s="1481"/>
      <c r="BW846" s="1481"/>
      <c r="BX846" s="1481"/>
      <c r="BY846" s="1481"/>
      <c r="BZ846" s="1481"/>
      <c r="CA846" s="1481"/>
      <c r="CB846" s="1481"/>
      <c r="CC846" s="1481"/>
      <c r="CD846" s="1481"/>
      <c r="CE846" s="1481"/>
    </row>
    <row r="847" spans="1:83" ht="11.25" hidden="1" customHeight="1">
      <c r="A847" s="1649"/>
      <c r="B847" s="1023"/>
      <c r="C847" s="319"/>
      <c r="D847" s="3622"/>
      <c r="E847" s="541" t="s">
        <v>18</v>
      </c>
      <c r="F847" s="1031" t="s">
        <v>18</v>
      </c>
      <c r="G847" s="1031" t="s">
        <v>880</v>
      </c>
      <c r="H847" s="543" t="s">
        <v>18</v>
      </c>
      <c r="I847" s="543"/>
      <c r="J847" s="543"/>
      <c r="K847" s="543"/>
      <c r="L847" s="543"/>
      <c r="M847" s="543"/>
      <c r="N847" s="543"/>
      <c r="O847" s="543"/>
      <c r="P847" s="543"/>
      <c r="Q847" s="543"/>
      <c r="R847" s="544"/>
      <c r="S847" s="545"/>
      <c r="T847" s="608"/>
      <c r="U847" s="3532"/>
      <c r="V847" s="3532"/>
      <c r="W847" s="1023"/>
      <c r="X847" s="1023"/>
      <c r="Y847" s="1023"/>
      <c r="Z847" s="1023"/>
      <c r="AA847" s="1481"/>
      <c r="AB847" s="1023"/>
      <c r="AC847" s="3617"/>
      <c r="AD847" s="521"/>
      <c r="AE847" s="1023"/>
      <c r="AF847" s="1023"/>
      <c r="AG847" s="1481"/>
      <c r="AH847" s="1481"/>
      <c r="AI847" s="1481"/>
      <c r="AJ847" s="1481"/>
      <c r="AK847" s="1481"/>
      <c r="AL847" s="1481"/>
      <c r="AM847" s="1481"/>
      <c r="AN847" s="1481"/>
      <c r="AO847" s="1481"/>
      <c r="AP847" s="1481"/>
      <c r="AQ847" s="1481"/>
      <c r="AR847" s="1481"/>
      <c r="AS847" s="1481"/>
      <c r="AT847" s="1481"/>
      <c r="AU847" s="1481"/>
      <c r="AV847" s="1481"/>
      <c r="AW847" s="1481"/>
      <c r="AX847" s="1481"/>
      <c r="AY847" s="1481"/>
      <c r="AZ847" s="1481"/>
      <c r="BA847" s="1481"/>
      <c r="BB847" s="1481"/>
      <c r="BC847" s="1481"/>
      <c r="BD847" s="1481"/>
      <c r="BE847" s="1481"/>
      <c r="BF847" s="1481"/>
      <c r="BG847" s="1481"/>
      <c r="BH847" s="1481"/>
      <c r="BI847" s="1481"/>
      <c r="BJ847" s="1481"/>
      <c r="BK847" s="1481"/>
      <c r="BL847" s="1481"/>
      <c r="BM847" s="1481"/>
      <c r="BN847" s="1481"/>
      <c r="BO847" s="1481"/>
      <c r="BP847" s="1481"/>
      <c r="BQ847" s="1481"/>
      <c r="BR847" s="1481"/>
      <c r="BS847" s="1481"/>
      <c r="BT847" s="1481"/>
      <c r="BU847" s="1481"/>
      <c r="BV847" s="1023"/>
      <c r="BW847" s="1023"/>
      <c r="BX847" s="1023"/>
      <c r="BY847" s="1023"/>
      <c r="BZ847" s="1023"/>
      <c r="CA847" s="1023"/>
      <c r="CB847" s="1023"/>
      <c r="CC847" s="1023"/>
      <c r="CD847" s="1023"/>
      <c r="CE847" s="1023"/>
    </row>
    <row r="848" spans="1:83" ht="5.25" hidden="1" customHeight="1">
      <c r="A848" s="1636"/>
      <c r="B848" s="1481"/>
      <c r="C848" s="1481"/>
      <c r="D848" s="3622"/>
      <c r="E848" s="909"/>
      <c r="F848" s="909"/>
      <c r="G848" s="909"/>
      <c r="H848" s="909"/>
      <c r="I848" s="909"/>
      <c r="J848" s="909"/>
      <c r="K848" s="909"/>
      <c r="L848" s="909"/>
      <c r="M848" s="909"/>
      <c r="N848" s="909"/>
      <c r="O848" s="909"/>
      <c r="P848" s="909"/>
      <c r="Q848" s="910"/>
      <c r="R848" s="911"/>
      <c r="S848" s="912"/>
      <c r="T848" s="607" t="s">
        <v>877</v>
      </c>
      <c r="U848" s="3532">
        <v>1</v>
      </c>
      <c r="V848" s="3532" t="s">
        <v>840</v>
      </c>
      <c r="W848" s="1481"/>
      <c r="X848" s="1481"/>
      <c r="Y848" s="1481"/>
      <c r="Z848" s="1481"/>
      <c r="AA848" s="1481"/>
      <c r="AB848" s="1481"/>
      <c r="AC848" s="907"/>
      <c r="AD848" s="908"/>
      <c r="AE848" s="1481"/>
      <c r="AF848" s="1481"/>
      <c r="AG848" s="1481"/>
      <c r="AH848" s="1481"/>
      <c r="AI848" s="1481"/>
      <c r="AJ848" s="1481"/>
      <c r="AK848" s="1481"/>
      <c r="AL848" s="1481"/>
      <c r="AM848" s="1481"/>
      <c r="AN848" s="1481"/>
      <c r="AO848" s="1481"/>
      <c r="AP848" s="1481"/>
      <c r="AQ848" s="1481"/>
      <c r="AR848" s="1481"/>
      <c r="AS848" s="1481"/>
      <c r="AT848" s="1481"/>
      <c r="AU848" s="1481"/>
      <c r="AV848" s="1481"/>
      <c r="AW848" s="1481"/>
      <c r="AX848" s="1481"/>
      <c r="AY848" s="1481"/>
      <c r="AZ848" s="1481"/>
      <c r="BA848" s="1481"/>
      <c r="BB848" s="1481"/>
      <c r="BC848" s="1481"/>
      <c r="BD848" s="1481"/>
      <c r="BE848" s="1481"/>
      <c r="BF848" s="1481"/>
      <c r="BG848" s="1481"/>
      <c r="BH848" s="1481"/>
      <c r="BI848" s="1481"/>
      <c r="BJ848" s="1481"/>
      <c r="BK848" s="1481"/>
      <c r="BL848" s="1481"/>
      <c r="BM848" s="1481"/>
      <c r="BN848" s="1481"/>
      <c r="BO848" s="1481"/>
      <c r="BP848" s="1481"/>
      <c r="BQ848" s="1481"/>
      <c r="BR848" s="1481"/>
      <c r="BS848" s="1481"/>
      <c r="BT848" s="1481"/>
      <c r="BU848" s="1481"/>
      <c r="BV848" s="1481"/>
      <c r="BW848" s="1481"/>
      <c r="BX848" s="1481"/>
      <c r="BY848" s="1481"/>
      <c r="BZ848" s="1481"/>
      <c r="CA848" s="1481"/>
      <c r="CB848" s="1481"/>
      <c r="CC848" s="1481"/>
      <c r="CD848" s="1481"/>
      <c r="CE848" s="1481"/>
    </row>
    <row r="849" spans="1:83" ht="5.25" hidden="1" customHeight="1">
      <c r="A849" s="1636"/>
      <c r="B849" s="1481"/>
      <c r="C849" s="1481"/>
      <c r="D849" s="3622"/>
      <c r="E849" s="527"/>
      <c r="F849" s="527"/>
      <c r="G849" s="527"/>
      <c r="H849" s="527"/>
      <c r="I849" s="527"/>
      <c r="J849" s="527"/>
      <c r="K849" s="527"/>
      <c r="L849" s="527"/>
      <c r="M849" s="527"/>
      <c r="N849" s="527"/>
      <c r="O849" s="527"/>
      <c r="P849" s="527"/>
      <c r="Q849" s="527"/>
      <c r="R849" s="527"/>
      <c r="S849" s="528"/>
      <c r="T849" s="608"/>
      <c r="U849" s="3532"/>
      <c r="V849" s="3532"/>
      <c r="W849" s="1481"/>
      <c r="X849" s="1481"/>
      <c r="Y849" s="1481"/>
      <c r="Z849" s="1481"/>
      <c r="AA849" s="1481"/>
      <c r="AB849" s="1481"/>
      <c r="AC849" s="907"/>
      <c r="AD849" s="908"/>
      <c r="AE849" s="1481"/>
      <c r="AF849" s="1481"/>
      <c r="AG849" s="1481"/>
      <c r="AH849" s="1481"/>
      <c r="AI849" s="1481"/>
      <c r="AJ849" s="1481"/>
      <c r="AK849" s="1481"/>
      <c r="AL849" s="1481"/>
      <c r="AM849" s="1481"/>
      <c r="AN849" s="1481"/>
      <c r="AO849" s="1481"/>
      <c r="AP849" s="1481"/>
      <c r="AQ849" s="1481"/>
      <c r="AR849" s="1481"/>
      <c r="AS849" s="1481"/>
      <c r="AT849" s="1481"/>
      <c r="AU849" s="1481"/>
      <c r="AV849" s="1481"/>
      <c r="AW849" s="1481"/>
      <c r="AX849" s="1481"/>
      <c r="AY849" s="1481"/>
      <c r="AZ849" s="1481"/>
      <c r="BA849" s="1481"/>
      <c r="BB849" s="1481"/>
      <c r="BC849" s="1481"/>
      <c r="BD849" s="1481"/>
      <c r="BE849" s="1481"/>
      <c r="BF849" s="1481"/>
      <c r="BG849" s="1481"/>
      <c r="BH849" s="1481"/>
      <c r="BI849" s="1481"/>
      <c r="BJ849" s="1481"/>
      <c r="BK849" s="1481"/>
      <c r="BL849" s="1481"/>
      <c r="BM849" s="1481"/>
      <c r="BN849" s="1481"/>
      <c r="BO849" s="1481"/>
      <c r="BP849" s="1481"/>
      <c r="BQ849" s="1481"/>
      <c r="BR849" s="1481"/>
      <c r="BS849" s="1481"/>
      <c r="BT849" s="1481"/>
      <c r="BU849" s="1481"/>
      <c r="BV849" s="1481"/>
      <c r="BW849" s="1481"/>
      <c r="BX849" s="1481"/>
      <c r="BY849" s="1481"/>
      <c r="BZ849" s="1481"/>
      <c r="CA849" s="1481"/>
      <c r="CB849" s="1481"/>
      <c r="CC849" s="1481"/>
      <c r="CD849" s="1481"/>
      <c r="CE849" s="1481"/>
    </row>
    <row r="850" spans="1:83" ht="5.25" hidden="1" customHeight="1">
      <c r="A850" s="1636"/>
      <c r="B850" s="1481"/>
      <c r="C850" s="1481"/>
      <c r="D850" s="3623"/>
      <c r="E850" s="913"/>
      <c r="F850" s="914"/>
      <c r="G850" s="914"/>
      <c r="H850" s="915"/>
      <c r="I850" s="915"/>
      <c r="J850" s="915"/>
      <c r="K850" s="915"/>
      <c r="L850" s="915"/>
      <c r="M850" s="915"/>
      <c r="N850" s="915"/>
      <c r="O850" s="915"/>
      <c r="P850" s="915"/>
      <c r="Q850" s="915"/>
      <c r="R850" s="818"/>
      <c r="S850" s="916"/>
      <c r="T850" s="608"/>
      <c r="U850" s="3532"/>
      <c r="V850" s="3532"/>
      <c r="W850" s="1481"/>
      <c r="X850" s="1481"/>
      <c r="Y850" s="1481"/>
      <c r="Z850" s="1481"/>
      <c r="AA850" s="1481"/>
      <c r="AB850" s="1481"/>
      <c r="AC850" s="907"/>
      <c r="AD850" s="908"/>
      <c r="AE850" s="1481"/>
      <c r="AF850" s="1481"/>
      <c r="AG850" s="1481"/>
      <c r="AH850" s="1481"/>
      <c r="AI850" s="1481"/>
      <c r="AJ850" s="1481"/>
      <c r="AK850" s="1481"/>
      <c r="AL850" s="1481"/>
      <c r="AM850" s="1481"/>
      <c r="AN850" s="1481"/>
      <c r="AO850" s="1481"/>
      <c r="AP850" s="1481"/>
      <c r="AQ850" s="1481"/>
      <c r="AR850" s="1481"/>
      <c r="AS850" s="1481"/>
      <c r="AT850" s="1481"/>
      <c r="AU850" s="1481"/>
      <c r="AV850" s="1481"/>
      <c r="AW850" s="1481"/>
      <c r="AX850" s="1481"/>
      <c r="AY850" s="1481"/>
      <c r="AZ850" s="1481"/>
      <c r="BA850" s="1481"/>
      <c r="BB850" s="1481"/>
      <c r="BC850" s="1481"/>
      <c r="BD850" s="1481"/>
      <c r="BE850" s="1481"/>
      <c r="BF850" s="1481"/>
      <c r="BG850" s="1481"/>
      <c r="BH850" s="1481"/>
      <c r="BI850" s="1481"/>
      <c r="BJ850" s="1481"/>
      <c r="BK850" s="1481"/>
      <c r="BL850" s="1481"/>
      <c r="BM850" s="1481"/>
      <c r="BN850" s="1481"/>
      <c r="BO850" s="1481"/>
      <c r="BP850" s="1481"/>
      <c r="BQ850" s="1481"/>
      <c r="BR850" s="1481"/>
      <c r="BS850" s="1481"/>
      <c r="BT850" s="1481"/>
      <c r="BU850" s="1481"/>
      <c r="BV850" s="1481"/>
      <c r="BW850" s="1481"/>
      <c r="BX850" s="1481"/>
      <c r="BY850" s="1481"/>
      <c r="BZ850" s="1481"/>
      <c r="CA850" s="1481"/>
      <c r="CB850" s="1481"/>
      <c r="CC850" s="1481"/>
      <c r="CD850" s="1481"/>
      <c r="CE850" s="1481"/>
    </row>
    <row r="851" spans="1:83" ht="18.75" customHeight="1">
      <c r="D851" s="917"/>
      <c r="E851" s="917"/>
      <c r="F851" s="917"/>
      <c r="G851" s="917"/>
      <c r="H851" s="917"/>
      <c r="I851" s="917"/>
      <c r="J851" s="917"/>
      <c r="K851" s="917"/>
      <c r="L851" s="917"/>
      <c r="M851" s="917"/>
      <c r="N851" s="917"/>
      <c r="O851" s="917"/>
      <c r="P851" s="917"/>
      <c r="Q851" s="917"/>
      <c r="R851" s="917"/>
      <c r="S851" s="917"/>
      <c r="T851" s="245"/>
    </row>
    <row r="852" spans="1:83" ht="11.25" customHeight="1">
      <c r="D852" s="407"/>
    </row>
    <row r="853" spans="1:83" ht="11.25" customHeight="1">
      <c r="D853" s="546"/>
      <c r="E853" s="546"/>
      <c r="F853" s="546"/>
      <c r="G853" s="547"/>
    </row>
    <row r="855" spans="1:83" ht="11.25" customHeight="1">
      <c r="D855" s="548"/>
      <c r="E855" s="3615"/>
      <c r="F855" s="3615"/>
      <c r="G855" s="3615"/>
      <c r="H855" s="3615"/>
      <c r="I855" s="3615"/>
      <c r="J855" s="3615"/>
      <c r="K855" s="3615"/>
      <c r="L855" s="3615"/>
      <c r="M855" s="3615"/>
      <c r="N855" s="3615"/>
      <c r="O855" s="3615"/>
      <c r="P855" s="3615"/>
      <c r="Q855" s="3615"/>
      <c r="R855" s="3615"/>
    </row>
    <row r="856" spans="1:83" ht="11.25" customHeight="1">
      <c r="F856" s="644"/>
      <c r="G856" s="644"/>
    </row>
  </sheetData>
  <sheetProtection formatColumns="0" formatRows="0" insertRows="0" deleteColumns="0" deleteRows="0" sort="0" autoFilter="0"/>
  <mergeCells count="1218">
    <mergeCell ref="U848:U850"/>
    <mergeCell ref="V848:V850"/>
    <mergeCell ref="U845:U847"/>
    <mergeCell ref="V845:V847"/>
    <mergeCell ref="D842:D850"/>
    <mergeCell ref="E842:G842"/>
    <mergeCell ref="H842:R842"/>
    <mergeCell ref="AC842:AC847"/>
    <mergeCell ref="E843:G843"/>
    <mergeCell ref="H843:R843"/>
    <mergeCell ref="E844:G844"/>
    <mergeCell ref="H844:R844"/>
    <mergeCell ref="E845:P845"/>
    <mergeCell ref="U830:U832"/>
    <mergeCell ref="V830:V832"/>
    <mergeCell ref="U827:U829"/>
    <mergeCell ref="V827:V829"/>
    <mergeCell ref="D824:D832"/>
    <mergeCell ref="E824:G824"/>
    <mergeCell ref="H824:R824"/>
    <mergeCell ref="AC824:AC829"/>
    <mergeCell ref="E825:G825"/>
    <mergeCell ref="H825:R825"/>
    <mergeCell ref="E826:G826"/>
    <mergeCell ref="H826:R826"/>
    <mergeCell ref="E827:P827"/>
    <mergeCell ref="U839:U841"/>
    <mergeCell ref="V839:V841"/>
    <mergeCell ref="U836:U838"/>
    <mergeCell ref="V836:V838"/>
    <mergeCell ref="D833:D841"/>
    <mergeCell ref="E833:G833"/>
    <mergeCell ref="H833:R833"/>
    <mergeCell ref="AC833:AC838"/>
    <mergeCell ref="E834:G834"/>
    <mergeCell ref="H834:R834"/>
    <mergeCell ref="E835:G835"/>
    <mergeCell ref="H835:R835"/>
    <mergeCell ref="E836:P836"/>
    <mergeCell ref="U812:U814"/>
    <mergeCell ref="V812:V814"/>
    <mergeCell ref="U809:U811"/>
    <mergeCell ref="V809:V811"/>
    <mergeCell ref="D806:D814"/>
    <mergeCell ref="E806:G806"/>
    <mergeCell ref="H806:R806"/>
    <mergeCell ref="AC806:AC811"/>
    <mergeCell ref="E807:G807"/>
    <mergeCell ref="H807:R807"/>
    <mergeCell ref="E808:G808"/>
    <mergeCell ref="H808:R808"/>
    <mergeCell ref="E809:P809"/>
    <mergeCell ref="U821:U823"/>
    <mergeCell ref="V821:V823"/>
    <mergeCell ref="U818:U820"/>
    <mergeCell ref="V818:V820"/>
    <mergeCell ref="D815:D823"/>
    <mergeCell ref="E815:G815"/>
    <mergeCell ref="H815:R815"/>
    <mergeCell ref="AC815:AC820"/>
    <mergeCell ref="E816:G816"/>
    <mergeCell ref="H816:R816"/>
    <mergeCell ref="E817:G817"/>
    <mergeCell ref="H817:R817"/>
    <mergeCell ref="E818:P818"/>
    <mergeCell ref="U794:U796"/>
    <mergeCell ref="V794:V796"/>
    <mergeCell ref="U791:U793"/>
    <mergeCell ref="V791:V793"/>
    <mergeCell ref="D788:D796"/>
    <mergeCell ref="E788:G788"/>
    <mergeCell ref="H788:R788"/>
    <mergeCell ref="AC788:AC793"/>
    <mergeCell ref="E789:G789"/>
    <mergeCell ref="H789:R789"/>
    <mergeCell ref="E790:G790"/>
    <mergeCell ref="H790:R790"/>
    <mergeCell ref="E791:P791"/>
    <mergeCell ref="U803:U805"/>
    <mergeCell ref="V803:V805"/>
    <mergeCell ref="U800:U802"/>
    <mergeCell ref="V800:V802"/>
    <mergeCell ref="D797:D805"/>
    <mergeCell ref="E797:G797"/>
    <mergeCell ref="H797:R797"/>
    <mergeCell ref="AC797:AC802"/>
    <mergeCell ref="E798:G798"/>
    <mergeCell ref="H798:R798"/>
    <mergeCell ref="E799:G799"/>
    <mergeCell ref="H799:R799"/>
    <mergeCell ref="E800:P800"/>
    <mergeCell ref="U776:U778"/>
    <mergeCell ref="V776:V778"/>
    <mergeCell ref="U773:U775"/>
    <mergeCell ref="V773:V775"/>
    <mergeCell ref="D770:D778"/>
    <mergeCell ref="E770:G770"/>
    <mergeCell ref="H770:R770"/>
    <mergeCell ref="AC770:AC775"/>
    <mergeCell ref="E771:G771"/>
    <mergeCell ref="H771:R771"/>
    <mergeCell ref="E772:G772"/>
    <mergeCell ref="H772:R772"/>
    <mergeCell ref="E773:P773"/>
    <mergeCell ref="U785:U787"/>
    <mergeCell ref="V785:V787"/>
    <mergeCell ref="U782:U784"/>
    <mergeCell ref="V782:V784"/>
    <mergeCell ref="D779:D787"/>
    <mergeCell ref="E779:G779"/>
    <mergeCell ref="H779:R779"/>
    <mergeCell ref="AC779:AC784"/>
    <mergeCell ref="E780:G780"/>
    <mergeCell ref="H780:R780"/>
    <mergeCell ref="E781:G781"/>
    <mergeCell ref="H781:R781"/>
    <mergeCell ref="E782:P782"/>
    <mergeCell ref="U758:U760"/>
    <mergeCell ref="V758:V760"/>
    <mergeCell ref="U755:U757"/>
    <mergeCell ref="V755:V757"/>
    <mergeCell ref="D752:D760"/>
    <mergeCell ref="E752:G752"/>
    <mergeCell ref="H752:R752"/>
    <mergeCell ref="AC752:AC757"/>
    <mergeCell ref="E753:G753"/>
    <mergeCell ref="H753:R753"/>
    <mergeCell ref="E754:G754"/>
    <mergeCell ref="H754:R754"/>
    <mergeCell ref="E755:P755"/>
    <mergeCell ref="U767:U769"/>
    <mergeCell ref="V767:V769"/>
    <mergeCell ref="U764:U766"/>
    <mergeCell ref="V764:V766"/>
    <mergeCell ref="D761:D769"/>
    <mergeCell ref="E761:G761"/>
    <mergeCell ref="H761:R761"/>
    <mergeCell ref="AC761:AC766"/>
    <mergeCell ref="E762:G762"/>
    <mergeCell ref="H762:R762"/>
    <mergeCell ref="E763:G763"/>
    <mergeCell ref="H763:R763"/>
    <mergeCell ref="E764:P764"/>
    <mergeCell ref="U740:U742"/>
    <mergeCell ref="V740:V742"/>
    <mergeCell ref="U737:U739"/>
    <mergeCell ref="V737:V739"/>
    <mergeCell ref="D734:D742"/>
    <mergeCell ref="E734:G734"/>
    <mergeCell ref="H734:R734"/>
    <mergeCell ref="AC734:AC739"/>
    <mergeCell ref="E735:G735"/>
    <mergeCell ref="H735:R735"/>
    <mergeCell ref="E736:G736"/>
    <mergeCell ref="H736:R736"/>
    <mergeCell ref="E737:P737"/>
    <mergeCell ref="U749:U751"/>
    <mergeCell ref="V749:V751"/>
    <mergeCell ref="U746:U748"/>
    <mergeCell ref="V746:V748"/>
    <mergeCell ref="D743:D751"/>
    <mergeCell ref="E743:G743"/>
    <mergeCell ref="H743:R743"/>
    <mergeCell ref="AC743:AC748"/>
    <mergeCell ref="E744:G744"/>
    <mergeCell ref="H744:R744"/>
    <mergeCell ref="E745:G745"/>
    <mergeCell ref="H745:R745"/>
    <mergeCell ref="E746:P746"/>
    <mergeCell ref="U722:U724"/>
    <mergeCell ref="V722:V724"/>
    <mergeCell ref="U719:U721"/>
    <mergeCell ref="V719:V721"/>
    <mergeCell ref="D716:D724"/>
    <mergeCell ref="E716:G716"/>
    <mergeCell ref="H716:R716"/>
    <mergeCell ref="AC716:AC721"/>
    <mergeCell ref="E717:G717"/>
    <mergeCell ref="H717:R717"/>
    <mergeCell ref="E718:G718"/>
    <mergeCell ref="H718:R718"/>
    <mergeCell ref="E719:P719"/>
    <mergeCell ref="U731:U733"/>
    <mergeCell ref="V731:V733"/>
    <mergeCell ref="U728:U730"/>
    <mergeCell ref="V728:V730"/>
    <mergeCell ref="D725:D733"/>
    <mergeCell ref="E725:G725"/>
    <mergeCell ref="H725:R725"/>
    <mergeCell ref="AC725:AC730"/>
    <mergeCell ref="E726:G726"/>
    <mergeCell ref="H726:R726"/>
    <mergeCell ref="E727:G727"/>
    <mergeCell ref="H727:R727"/>
    <mergeCell ref="E728:P728"/>
    <mergeCell ref="U704:U706"/>
    <mergeCell ref="V704:V706"/>
    <mergeCell ref="U701:U703"/>
    <mergeCell ref="V701:V703"/>
    <mergeCell ref="D698:D706"/>
    <mergeCell ref="E698:G698"/>
    <mergeCell ref="H698:R698"/>
    <mergeCell ref="AC698:AC703"/>
    <mergeCell ref="E699:G699"/>
    <mergeCell ref="H699:R699"/>
    <mergeCell ref="E700:G700"/>
    <mergeCell ref="H700:R700"/>
    <mergeCell ref="E701:P701"/>
    <mergeCell ref="U713:U715"/>
    <mergeCell ref="V713:V715"/>
    <mergeCell ref="U710:U712"/>
    <mergeCell ref="V710:V712"/>
    <mergeCell ref="D707:D715"/>
    <mergeCell ref="E707:G707"/>
    <mergeCell ref="H707:R707"/>
    <mergeCell ref="AC707:AC712"/>
    <mergeCell ref="E708:G708"/>
    <mergeCell ref="H708:R708"/>
    <mergeCell ref="E709:G709"/>
    <mergeCell ref="H709:R709"/>
    <mergeCell ref="E710:P710"/>
    <mergeCell ref="U686:U688"/>
    <mergeCell ref="V686:V688"/>
    <mergeCell ref="U683:U685"/>
    <mergeCell ref="V683:V685"/>
    <mergeCell ref="D680:D688"/>
    <mergeCell ref="E680:G680"/>
    <mergeCell ref="H680:R680"/>
    <mergeCell ref="AC680:AC685"/>
    <mergeCell ref="E681:G681"/>
    <mergeCell ref="H681:R681"/>
    <mergeCell ref="E682:G682"/>
    <mergeCell ref="H682:R682"/>
    <mergeCell ref="E683:P683"/>
    <mergeCell ref="U695:U697"/>
    <mergeCell ref="V695:V697"/>
    <mergeCell ref="U692:U694"/>
    <mergeCell ref="V692:V694"/>
    <mergeCell ref="D689:D697"/>
    <mergeCell ref="E689:G689"/>
    <mergeCell ref="H689:R689"/>
    <mergeCell ref="AC689:AC694"/>
    <mergeCell ref="E690:G690"/>
    <mergeCell ref="H690:R690"/>
    <mergeCell ref="E691:G691"/>
    <mergeCell ref="H691:R691"/>
    <mergeCell ref="E692:P692"/>
    <mergeCell ref="U668:U670"/>
    <mergeCell ref="V668:V670"/>
    <mergeCell ref="U665:U667"/>
    <mergeCell ref="V665:V667"/>
    <mergeCell ref="D662:D670"/>
    <mergeCell ref="E662:G662"/>
    <mergeCell ref="H662:R662"/>
    <mergeCell ref="AC662:AC667"/>
    <mergeCell ref="E663:G663"/>
    <mergeCell ref="H663:R663"/>
    <mergeCell ref="E664:G664"/>
    <mergeCell ref="H664:R664"/>
    <mergeCell ref="E665:P665"/>
    <mergeCell ref="U677:U679"/>
    <mergeCell ref="V677:V679"/>
    <mergeCell ref="U674:U676"/>
    <mergeCell ref="V674:V676"/>
    <mergeCell ref="D671:D679"/>
    <mergeCell ref="E671:G671"/>
    <mergeCell ref="H671:R671"/>
    <mergeCell ref="AC671:AC676"/>
    <mergeCell ref="E672:G672"/>
    <mergeCell ref="H672:R672"/>
    <mergeCell ref="E673:G673"/>
    <mergeCell ref="H673:R673"/>
    <mergeCell ref="E674:P674"/>
    <mergeCell ref="U650:U652"/>
    <mergeCell ref="V650:V652"/>
    <mergeCell ref="U647:U649"/>
    <mergeCell ref="V647:V649"/>
    <mergeCell ref="D644:D652"/>
    <mergeCell ref="E644:G644"/>
    <mergeCell ref="H644:R644"/>
    <mergeCell ref="AC644:AC649"/>
    <mergeCell ref="E645:G645"/>
    <mergeCell ref="H645:R645"/>
    <mergeCell ref="E646:G646"/>
    <mergeCell ref="H646:R646"/>
    <mergeCell ref="E647:P647"/>
    <mergeCell ref="U659:U661"/>
    <mergeCell ref="V659:V661"/>
    <mergeCell ref="U656:U658"/>
    <mergeCell ref="V656:V658"/>
    <mergeCell ref="D653:D661"/>
    <mergeCell ref="E653:G653"/>
    <mergeCell ref="H653:R653"/>
    <mergeCell ref="AC653:AC658"/>
    <mergeCell ref="E654:G654"/>
    <mergeCell ref="H654:R654"/>
    <mergeCell ref="E655:G655"/>
    <mergeCell ref="H655:R655"/>
    <mergeCell ref="E656:P656"/>
    <mergeCell ref="U632:U634"/>
    <mergeCell ref="V632:V634"/>
    <mergeCell ref="U629:U631"/>
    <mergeCell ref="V629:V631"/>
    <mergeCell ref="D626:D634"/>
    <mergeCell ref="E626:G626"/>
    <mergeCell ref="H626:R626"/>
    <mergeCell ref="AC626:AC631"/>
    <mergeCell ref="E627:G627"/>
    <mergeCell ref="H627:R627"/>
    <mergeCell ref="E628:G628"/>
    <mergeCell ref="H628:R628"/>
    <mergeCell ref="E629:P629"/>
    <mergeCell ref="U641:U643"/>
    <mergeCell ref="V641:V643"/>
    <mergeCell ref="U638:U640"/>
    <mergeCell ref="V638:V640"/>
    <mergeCell ref="D635:D643"/>
    <mergeCell ref="E635:G635"/>
    <mergeCell ref="H635:R635"/>
    <mergeCell ref="AC635:AC640"/>
    <mergeCell ref="E636:G636"/>
    <mergeCell ref="H636:R636"/>
    <mergeCell ref="E637:G637"/>
    <mergeCell ref="H637:R637"/>
    <mergeCell ref="E638:P638"/>
    <mergeCell ref="U614:U616"/>
    <mergeCell ref="V614:V616"/>
    <mergeCell ref="U611:U613"/>
    <mergeCell ref="V611:V613"/>
    <mergeCell ref="D608:D616"/>
    <mergeCell ref="E608:G608"/>
    <mergeCell ref="H608:R608"/>
    <mergeCell ref="AC608:AC613"/>
    <mergeCell ref="E609:G609"/>
    <mergeCell ref="H609:R609"/>
    <mergeCell ref="E610:G610"/>
    <mergeCell ref="H610:R610"/>
    <mergeCell ref="E611:P611"/>
    <mergeCell ref="U623:U625"/>
    <mergeCell ref="V623:V625"/>
    <mergeCell ref="U620:U622"/>
    <mergeCell ref="V620:V622"/>
    <mergeCell ref="D617:D625"/>
    <mergeCell ref="E617:G617"/>
    <mergeCell ref="H617:R617"/>
    <mergeCell ref="AC617:AC622"/>
    <mergeCell ref="E618:G618"/>
    <mergeCell ref="H618:R618"/>
    <mergeCell ref="E619:G619"/>
    <mergeCell ref="H619:R619"/>
    <mergeCell ref="E620:P620"/>
    <mergeCell ref="U596:U598"/>
    <mergeCell ref="V596:V598"/>
    <mergeCell ref="U593:U595"/>
    <mergeCell ref="V593:V595"/>
    <mergeCell ref="D590:D598"/>
    <mergeCell ref="E590:G590"/>
    <mergeCell ref="H590:R590"/>
    <mergeCell ref="AC590:AC595"/>
    <mergeCell ref="E591:G591"/>
    <mergeCell ref="H591:R591"/>
    <mergeCell ref="E592:G592"/>
    <mergeCell ref="H592:R592"/>
    <mergeCell ref="E593:P593"/>
    <mergeCell ref="U605:U607"/>
    <mergeCell ref="V605:V607"/>
    <mergeCell ref="U602:U604"/>
    <mergeCell ref="V602:V604"/>
    <mergeCell ref="D599:D607"/>
    <mergeCell ref="E599:G599"/>
    <mergeCell ref="H599:R599"/>
    <mergeCell ref="AC599:AC604"/>
    <mergeCell ref="E600:G600"/>
    <mergeCell ref="H600:R600"/>
    <mergeCell ref="E601:G601"/>
    <mergeCell ref="H601:R601"/>
    <mergeCell ref="E602:P602"/>
    <mergeCell ref="U578:U580"/>
    <mergeCell ref="V578:V580"/>
    <mergeCell ref="U575:U577"/>
    <mergeCell ref="V575:V577"/>
    <mergeCell ref="D572:D580"/>
    <mergeCell ref="E572:G572"/>
    <mergeCell ref="H572:R572"/>
    <mergeCell ref="AC572:AC577"/>
    <mergeCell ref="E573:G573"/>
    <mergeCell ref="H573:R573"/>
    <mergeCell ref="E574:G574"/>
    <mergeCell ref="H574:R574"/>
    <mergeCell ref="E575:P575"/>
    <mergeCell ref="U587:U589"/>
    <mergeCell ref="V587:V589"/>
    <mergeCell ref="U584:U586"/>
    <mergeCell ref="V584:V586"/>
    <mergeCell ref="D581:D589"/>
    <mergeCell ref="E581:G581"/>
    <mergeCell ref="H581:R581"/>
    <mergeCell ref="AC581:AC586"/>
    <mergeCell ref="E582:G582"/>
    <mergeCell ref="H582:R582"/>
    <mergeCell ref="E583:G583"/>
    <mergeCell ref="H583:R583"/>
    <mergeCell ref="E584:P584"/>
    <mergeCell ref="U560:U562"/>
    <mergeCell ref="V560:V562"/>
    <mergeCell ref="U557:U559"/>
    <mergeCell ref="V557:V559"/>
    <mergeCell ref="D554:D562"/>
    <mergeCell ref="E554:G554"/>
    <mergeCell ref="H554:R554"/>
    <mergeCell ref="AC554:AC559"/>
    <mergeCell ref="E555:G555"/>
    <mergeCell ref="H555:R555"/>
    <mergeCell ref="E556:G556"/>
    <mergeCell ref="H556:R556"/>
    <mergeCell ref="E557:P557"/>
    <mergeCell ref="U569:U571"/>
    <mergeCell ref="V569:V571"/>
    <mergeCell ref="U566:U568"/>
    <mergeCell ref="V566:V568"/>
    <mergeCell ref="D563:D571"/>
    <mergeCell ref="E563:G563"/>
    <mergeCell ref="H563:R563"/>
    <mergeCell ref="AC563:AC568"/>
    <mergeCell ref="E564:G564"/>
    <mergeCell ref="H564:R564"/>
    <mergeCell ref="E565:G565"/>
    <mergeCell ref="H565:R565"/>
    <mergeCell ref="E566:P566"/>
    <mergeCell ref="U542:U544"/>
    <mergeCell ref="V542:V544"/>
    <mergeCell ref="U539:U541"/>
    <mergeCell ref="V539:V541"/>
    <mergeCell ref="D536:D544"/>
    <mergeCell ref="E536:G536"/>
    <mergeCell ref="H536:R536"/>
    <mergeCell ref="AC536:AC541"/>
    <mergeCell ref="E537:G537"/>
    <mergeCell ref="H537:R537"/>
    <mergeCell ref="E538:G538"/>
    <mergeCell ref="H538:R538"/>
    <mergeCell ref="E539:P539"/>
    <mergeCell ref="U551:U553"/>
    <mergeCell ref="V551:V553"/>
    <mergeCell ref="U548:U550"/>
    <mergeCell ref="V548:V550"/>
    <mergeCell ref="D545:D553"/>
    <mergeCell ref="E545:G545"/>
    <mergeCell ref="H545:R545"/>
    <mergeCell ref="AC545:AC550"/>
    <mergeCell ref="E546:G546"/>
    <mergeCell ref="H546:R546"/>
    <mergeCell ref="E547:G547"/>
    <mergeCell ref="H547:R547"/>
    <mergeCell ref="E548:P548"/>
    <mergeCell ref="U524:U526"/>
    <mergeCell ref="V524:V526"/>
    <mergeCell ref="U521:U523"/>
    <mergeCell ref="V521:V523"/>
    <mergeCell ref="D518:D526"/>
    <mergeCell ref="E518:G518"/>
    <mergeCell ref="H518:R518"/>
    <mergeCell ref="AC518:AC523"/>
    <mergeCell ref="E519:G519"/>
    <mergeCell ref="H519:R519"/>
    <mergeCell ref="E520:G520"/>
    <mergeCell ref="H520:R520"/>
    <mergeCell ref="E521:P521"/>
    <mergeCell ref="U533:U535"/>
    <mergeCell ref="V533:V535"/>
    <mergeCell ref="U530:U532"/>
    <mergeCell ref="V530:V532"/>
    <mergeCell ref="D527:D535"/>
    <mergeCell ref="E527:G527"/>
    <mergeCell ref="H527:R527"/>
    <mergeCell ref="AC527:AC532"/>
    <mergeCell ref="E528:G528"/>
    <mergeCell ref="H528:R528"/>
    <mergeCell ref="E529:G529"/>
    <mergeCell ref="H529:R529"/>
    <mergeCell ref="E530:P530"/>
    <mergeCell ref="U506:U508"/>
    <mergeCell ref="V506:V508"/>
    <mergeCell ref="U503:U505"/>
    <mergeCell ref="V503:V505"/>
    <mergeCell ref="D500:D508"/>
    <mergeCell ref="E500:G500"/>
    <mergeCell ref="H500:R500"/>
    <mergeCell ref="AC500:AC505"/>
    <mergeCell ref="E501:G501"/>
    <mergeCell ref="H501:R501"/>
    <mergeCell ref="E502:G502"/>
    <mergeCell ref="H502:R502"/>
    <mergeCell ref="E503:P503"/>
    <mergeCell ref="U515:U517"/>
    <mergeCell ref="V515:V517"/>
    <mergeCell ref="U512:U514"/>
    <mergeCell ref="V512:V514"/>
    <mergeCell ref="D509:D517"/>
    <mergeCell ref="E509:G509"/>
    <mergeCell ref="H509:R509"/>
    <mergeCell ref="AC509:AC514"/>
    <mergeCell ref="E510:G510"/>
    <mergeCell ref="H510:R510"/>
    <mergeCell ref="E511:G511"/>
    <mergeCell ref="H511:R511"/>
    <mergeCell ref="E512:P512"/>
    <mergeCell ref="U488:U490"/>
    <mergeCell ref="V488:V490"/>
    <mergeCell ref="U485:U487"/>
    <mergeCell ref="V485:V487"/>
    <mergeCell ref="D482:D490"/>
    <mergeCell ref="E482:G482"/>
    <mergeCell ref="H482:R482"/>
    <mergeCell ref="AC482:AC487"/>
    <mergeCell ref="E483:G483"/>
    <mergeCell ref="H483:R483"/>
    <mergeCell ref="E484:G484"/>
    <mergeCell ref="H484:R484"/>
    <mergeCell ref="E485:P485"/>
    <mergeCell ref="U497:U499"/>
    <mergeCell ref="V497:V499"/>
    <mergeCell ref="U494:U496"/>
    <mergeCell ref="V494:V496"/>
    <mergeCell ref="D491:D499"/>
    <mergeCell ref="E491:G491"/>
    <mergeCell ref="H491:R491"/>
    <mergeCell ref="AC491:AC496"/>
    <mergeCell ref="E492:G492"/>
    <mergeCell ref="H492:R492"/>
    <mergeCell ref="E493:G493"/>
    <mergeCell ref="H493:R493"/>
    <mergeCell ref="E494:P494"/>
    <mergeCell ref="U470:U472"/>
    <mergeCell ref="V470:V472"/>
    <mergeCell ref="U467:U469"/>
    <mergeCell ref="V467:V469"/>
    <mergeCell ref="D464:D472"/>
    <mergeCell ref="E464:G464"/>
    <mergeCell ref="H464:R464"/>
    <mergeCell ref="AC464:AC469"/>
    <mergeCell ref="E465:G465"/>
    <mergeCell ref="H465:R465"/>
    <mergeCell ref="E466:G466"/>
    <mergeCell ref="H466:R466"/>
    <mergeCell ref="E467:P467"/>
    <mergeCell ref="U479:U481"/>
    <mergeCell ref="V479:V481"/>
    <mergeCell ref="U476:U478"/>
    <mergeCell ref="V476:V478"/>
    <mergeCell ref="D473:D481"/>
    <mergeCell ref="E473:G473"/>
    <mergeCell ref="H473:R473"/>
    <mergeCell ref="AC473:AC478"/>
    <mergeCell ref="E474:G474"/>
    <mergeCell ref="H474:R474"/>
    <mergeCell ref="E475:G475"/>
    <mergeCell ref="H475:R475"/>
    <mergeCell ref="E476:P476"/>
    <mergeCell ref="U452:U454"/>
    <mergeCell ref="V452:V454"/>
    <mergeCell ref="U449:U451"/>
    <mergeCell ref="V449:V451"/>
    <mergeCell ref="D446:D454"/>
    <mergeCell ref="E446:G446"/>
    <mergeCell ref="H446:R446"/>
    <mergeCell ref="AC446:AC451"/>
    <mergeCell ref="E447:G447"/>
    <mergeCell ref="H447:R447"/>
    <mergeCell ref="E448:G448"/>
    <mergeCell ref="H448:R448"/>
    <mergeCell ref="E449:P449"/>
    <mergeCell ref="U461:U463"/>
    <mergeCell ref="V461:V463"/>
    <mergeCell ref="U458:U460"/>
    <mergeCell ref="V458:V460"/>
    <mergeCell ref="D455:D463"/>
    <mergeCell ref="E455:G455"/>
    <mergeCell ref="H455:R455"/>
    <mergeCell ref="AC455:AC460"/>
    <mergeCell ref="E456:G456"/>
    <mergeCell ref="H456:R456"/>
    <mergeCell ref="E457:G457"/>
    <mergeCell ref="H457:R457"/>
    <mergeCell ref="E458:P458"/>
    <mergeCell ref="U434:U436"/>
    <mergeCell ref="V434:V436"/>
    <mergeCell ref="U431:U433"/>
    <mergeCell ref="V431:V433"/>
    <mergeCell ref="D428:D436"/>
    <mergeCell ref="E428:G428"/>
    <mergeCell ref="H428:R428"/>
    <mergeCell ref="AC428:AC433"/>
    <mergeCell ref="E429:G429"/>
    <mergeCell ref="H429:R429"/>
    <mergeCell ref="E430:G430"/>
    <mergeCell ref="H430:R430"/>
    <mergeCell ref="E431:P431"/>
    <mergeCell ref="U443:U445"/>
    <mergeCell ref="V443:V445"/>
    <mergeCell ref="U440:U442"/>
    <mergeCell ref="V440:V442"/>
    <mergeCell ref="D437:D445"/>
    <mergeCell ref="E437:G437"/>
    <mergeCell ref="H437:R437"/>
    <mergeCell ref="AC437:AC442"/>
    <mergeCell ref="E438:G438"/>
    <mergeCell ref="H438:R438"/>
    <mergeCell ref="E439:G439"/>
    <mergeCell ref="H439:R439"/>
    <mergeCell ref="E440:P440"/>
    <mergeCell ref="U416:U418"/>
    <mergeCell ref="V416:V418"/>
    <mergeCell ref="U413:U415"/>
    <mergeCell ref="V413:V415"/>
    <mergeCell ref="D410:D418"/>
    <mergeCell ref="E410:G410"/>
    <mergeCell ref="H410:R410"/>
    <mergeCell ref="AC410:AC415"/>
    <mergeCell ref="E411:G411"/>
    <mergeCell ref="H411:R411"/>
    <mergeCell ref="E412:G412"/>
    <mergeCell ref="H412:R412"/>
    <mergeCell ref="E413:P413"/>
    <mergeCell ref="U425:U427"/>
    <mergeCell ref="V425:V427"/>
    <mergeCell ref="U422:U424"/>
    <mergeCell ref="V422:V424"/>
    <mergeCell ref="D419:D427"/>
    <mergeCell ref="E419:G419"/>
    <mergeCell ref="H419:R419"/>
    <mergeCell ref="AC419:AC424"/>
    <mergeCell ref="E420:G420"/>
    <mergeCell ref="H420:R420"/>
    <mergeCell ref="E421:G421"/>
    <mergeCell ref="H421:R421"/>
    <mergeCell ref="E422:P422"/>
    <mergeCell ref="U398:U400"/>
    <mergeCell ref="V398:V400"/>
    <mergeCell ref="U395:U397"/>
    <mergeCell ref="V395:V397"/>
    <mergeCell ref="D392:D400"/>
    <mergeCell ref="E392:G392"/>
    <mergeCell ref="H392:R392"/>
    <mergeCell ref="AC392:AC397"/>
    <mergeCell ref="E393:G393"/>
    <mergeCell ref="H393:R393"/>
    <mergeCell ref="E394:G394"/>
    <mergeCell ref="H394:R394"/>
    <mergeCell ref="E395:P395"/>
    <mergeCell ref="U407:U409"/>
    <mergeCell ref="V407:V409"/>
    <mergeCell ref="U404:U406"/>
    <mergeCell ref="V404:V406"/>
    <mergeCell ref="D401:D409"/>
    <mergeCell ref="E401:G401"/>
    <mergeCell ref="H401:R401"/>
    <mergeCell ref="AC401:AC406"/>
    <mergeCell ref="E402:G402"/>
    <mergeCell ref="H402:R402"/>
    <mergeCell ref="E403:G403"/>
    <mergeCell ref="H403:R403"/>
    <mergeCell ref="E404:P404"/>
    <mergeCell ref="U380:U382"/>
    <mergeCell ref="V380:V382"/>
    <mergeCell ref="U377:U379"/>
    <mergeCell ref="V377:V379"/>
    <mergeCell ref="D374:D382"/>
    <mergeCell ref="E374:G374"/>
    <mergeCell ref="H374:R374"/>
    <mergeCell ref="AC374:AC379"/>
    <mergeCell ref="E375:G375"/>
    <mergeCell ref="H375:R375"/>
    <mergeCell ref="E376:G376"/>
    <mergeCell ref="H376:R376"/>
    <mergeCell ref="E377:P377"/>
    <mergeCell ref="U389:U391"/>
    <mergeCell ref="V389:V391"/>
    <mergeCell ref="U386:U388"/>
    <mergeCell ref="V386:V388"/>
    <mergeCell ref="D383:D391"/>
    <mergeCell ref="E383:G383"/>
    <mergeCell ref="H383:R383"/>
    <mergeCell ref="AC383:AC388"/>
    <mergeCell ref="E384:G384"/>
    <mergeCell ref="H384:R384"/>
    <mergeCell ref="E385:G385"/>
    <mergeCell ref="H385:R385"/>
    <mergeCell ref="E386:P386"/>
    <mergeCell ref="U362:U364"/>
    <mergeCell ref="V362:V364"/>
    <mergeCell ref="U359:U361"/>
    <mergeCell ref="V359:V361"/>
    <mergeCell ref="D356:D364"/>
    <mergeCell ref="E356:G356"/>
    <mergeCell ref="H356:R356"/>
    <mergeCell ref="AC356:AC361"/>
    <mergeCell ref="E357:G357"/>
    <mergeCell ref="H357:R357"/>
    <mergeCell ref="E358:G358"/>
    <mergeCell ref="H358:R358"/>
    <mergeCell ref="E359:P359"/>
    <mergeCell ref="U371:U373"/>
    <mergeCell ref="V371:V373"/>
    <mergeCell ref="U368:U370"/>
    <mergeCell ref="V368:V370"/>
    <mergeCell ref="D365:D373"/>
    <mergeCell ref="E365:G365"/>
    <mergeCell ref="H365:R365"/>
    <mergeCell ref="AC365:AC370"/>
    <mergeCell ref="E366:G366"/>
    <mergeCell ref="H366:R366"/>
    <mergeCell ref="E367:G367"/>
    <mergeCell ref="H367:R367"/>
    <mergeCell ref="E368:P368"/>
    <mergeCell ref="U344:U346"/>
    <mergeCell ref="V344:V346"/>
    <mergeCell ref="U341:U343"/>
    <mergeCell ref="V341:V343"/>
    <mergeCell ref="D338:D346"/>
    <mergeCell ref="E338:G338"/>
    <mergeCell ref="H338:R338"/>
    <mergeCell ref="AC338:AC343"/>
    <mergeCell ref="E339:G339"/>
    <mergeCell ref="H339:R339"/>
    <mergeCell ref="E340:G340"/>
    <mergeCell ref="H340:R340"/>
    <mergeCell ref="E341:P341"/>
    <mergeCell ref="U353:U355"/>
    <mergeCell ref="V353:V355"/>
    <mergeCell ref="U350:U352"/>
    <mergeCell ref="V350:V352"/>
    <mergeCell ref="D347:D355"/>
    <mergeCell ref="E347:G347"/>
    <mergeCell ref="H347:R347"/>
    <mergeCell ref="AC347:AC352"/>
    <mergeCell ref="E348:G348"/>
    <mergeCell ref="H348:R348"/>
    <mergeCell ref="E349:G349"/>
    <mergeCell ref="H349:R349"/>
    <mergeCell ref="E350:P350"/>
    <mergeCell ref="U326:U328"/>
    <mergeCell ref="V326:V328"/>
    <mergeCell ref="U323:U325"/>
    <mergeCell ref="V323:V325"/>
    <mergeCell ref="D320:D328"/>
    <mergeCell ref="E320:G320"/>
    <mergeCell ref="H320:R320"/>
    <mergeCell ref="AC320:AC325"/>
    <mergeCell ref="E321:G321"/>
    <mergeCell ref="H321:R321"/>
    <mergeCell ref="E322:G322"/>
    <mergeCell ref="H322:R322"/>
    <mergeCell ref="E323:P323"/>
    <mergeCell ref="U335:U337"/>
    <mergeCell ref="V335:V337"/>
    <mergeCell ref="U332:U334"/>
    <mergeCell ref="V332:V334"/>
    <mergeCell ref="D329:D337"/>
    <mergeCell ref="E329:G329"/>
    <mergeCell ref="H329:R329"/>
    <mergeCell ref="AC329:AC334"/>
    <mergeCell ref="E330:G330"/>
    <mergeCell ref="H330:R330"/>
    <mergeCell ref="E331:G331"/>
    <mergeCell ref="H331:R331"/>
    <mergeCell ref="E332:P332"/>
    <mergeCell ref="U308:U310"/>
    <mergeCell ref="V308:V310"/>
    <mergeCell ref="U305:U307"/>
    <mergeCell ref="V305:V307"/>
    <mergeCell ref="D302:D310"/>
    <mergeCell ref="E302:G302"/>
    <mergeCell ref="H302:R302"/>
    <mergeCell ref="AC302:AC307"/>
    <mergeCell ref="E303:G303"/>
    <mergeCell ref="H303:R303"/>
    <mergeCell ref="E304:G304"/>
    <mergeCell ref="H304:R304"/>
    <mergeCell ref="E305:P305"/>
    <mergeCell ref="U317:U319"/>
    <mergeCell ref="V317:V319"/>
    <mergeCell ref="U314:U316"/>
    <mergeCell ref="V314:V316"/>
    <mergeCell ref="D311:D319"/>
    <mergeCell ref="E311:G311"/>
    <mergeCell ref="H311:R311"/>
    <mergeCell ref="AC311:AC316"/>
    <mergeCell ref="E312:G312"/>
    <mergeCell ref="H312:R312"/>
    <mergeCell ref="E313:G313"/>
    <mergeCell ref="H313:R313"/>
    <mergeCell ref="E314:P314"/>
    <mergeCell ref="U290:U292"/>
    <mergeCell ref="V290:V292"/>
    <mergeCell ref="U287:U289"/>
    <mergeCell ref="V287:V289"/>
    <mergeCell ref="D284:D292"/>
    <mergeCell ref="E284:G284"/>
    <mergeCell ref="H284:R284"/>
    <mergeCell ref="AC284:AC289"/>
    <mergeCell ref="E285:G285"/>
    <mergeCell ref="H285:R285"/>
    <mergeCell ref="E286:G286"/>
    <mergeCell ref="H286:R286"/>
    <mergeCell ref="E287:P287"/>
    <mergeCell ref="U299:U301"/>
    <mergeCell ref="V299:V301"/>
    <mergeCell ref="U296:U298"/>
    <mergeCell ref="V296:V298"/>
    <mergeCell ref="D293:D301"/>
    <mergeCell ref="E293:G293"/>
    <mergeCell ref="H293:R293"/>
    <mergeCell ref="AC293:AC298"/>
    <mergeCell ref="E294:G294"/>
    <mergeCell ref="H294:R294"/>
    <mergeCell ref="E295:G295"/>
    <mergeCell ref="H295:R295"/>
    <mergeCell ref="E296:P296"/>
    <mergeCell ref="U272:U274"/>
    <mergeCell ref="V272:V274"/>
    <mergeCell ref="U269:U271"/>
    <mergeCell ref="V269:V271"/>
    <mergeCell ref="D266:D274"/>
    <mergeCell ref="E266:G266"/>
    <mergeCell ref="H266:R266"/>
    <mergeCell ref="AC266:AC271"/>
    <mergeCell ref="E267:G267"/>
    <mergeCell ref="H267:R267"/>
    <mergeCell ref="E268:G268"/>
    <mergeCell ref="H268:R268"/>
    <mergeCell ref="E269:P269"/>
    <mergeCell ref="U281:U283"/>
    <mergeCell ref="V281:V283"/>
    <mergeCell ref="U278:U280"/>
    <mergeCell ref="V278:V280"/>
    <mergeCell ref="D275:D283"/>
    <mergeCell ref="E275:G275"/>
    <mergeCell ref="H275:R275"/>
    <mergeCell ref="AC275:AC280"/>
    <mergeCell ref="E276:G276"/>
    <mergeCell ref="H276:R276"/>
    <mergeCell ref="E277:G277"/>
    <mergeCell ref="H277:R277"/>
    <mergeCell ref="E278:P278"/>
    <mergeCell ref="U254:U256"/>
    <mergeCell ref="V254:V256"/>
    <mergeCell ref="U251:U253"/>
    <mergeCell ref="V251:V253"/>
    <mergeCell ref="D248:D256"/>
    <mergeCell ref="E248:G248"/>
    <mergeCell ref="H248:R248"/>
    <mergeCell ref="AC248:AC253"/>
    <mergeCell ref="E249:G249"/>
    <mergeCell ref="H249:R249"/>
    <mergeCell ref="E250:G250"/>
    <mergeCell ref="H250:R250"/>
    <mergeCell ref="E251:P251"/>
    <mergeCell ref="U263:U265"/>
    <mergeCell ref="V263:V265"/>
    <mergeCell ref="U260:U262"/>
    <mergeCell ref="V260:V262"/>
    <mergeCell ref="D257:D265"/>
    <mergeCell ref="E257:G257"/>
    <mergeCell ref="H257:R257"/>
    <mergeCell ref="AC257:AC262"/>
    <mergeCell ref="E258:G258"/>
    <mergeCell ref="H258:R258"/>
    <mergeCell ref="E259:G259"/>
    <mergeCell ref="H259:R259"/>
    <mergeCell ref="E260:P260"/>
    <mergeCell ref="U236:U238"/>
    <mergeCell ref="V236:V238"/>
    <mergeCell ref="U233:U235"/>
    <mergeCell ref="V233:V235"/>
    <mergeCell ref="D230:D238"/>
    <mergeCell ref="E230:G230"/>
    <mergeCell ref="H230:R230"/>
    <mergeCell ref="AC230:AC235"/>
    <mergeCell ref="E231:G231"/>
    <mergeCell ref="H231:R231"/>
    <mergeCell ref="E232:G232"/>
    <mergeCell ref="H232:R232"/>
    <mergeCell ref="E233:P233"/>
    <mergeCell ref="U245:U247"/>
    <mergeCell ref="V245:V247"/>
    <mergeCell ref="U242:U244"/>
    <mergeCell ref="V242:V244"/>
    <mergeCell ref="D239:D247"/>
    <mergeCell ref="E239:G239"/>
    <mergeCell ref="H239:R239"/>
    <mergeCell ref="AC239:AC244"/>
    <mergeCell ref="E240:G240"/>
    <mergeCell ref="H240:R240"/>
    <mergeCell ref="E241:G241"/>
    <mergeCell ref="H241:R241"/>
    <mergeCell ref="E242:P242"/>
    <mergeCell ref="U218:U220"/>
    <mergeCell ref="V218:V220"/>
    <mergeCell ref="U215:U217"/>
    <mergeCell ref="V215:V217"/>
    <mergeCell ref="D212:D220"/>
    <mergeCell ref="E212:G212"/>
    <mergeCell ref="H212:R212"/>
    <mergeCell ref="AC212:AC217"/>
    <mergeCell ref="E213:G213"/>
    <mergeCell ref="H213:R213"/>
    <mergeCell ref="E214:G214"/>
    <mergeCell ref="H214:R214"/>
    <mergeCell ref="E215:P215"/>
    <mergeCell ref="U227:U229"/>
    <mergeCell ref="V227:V229"/>
    <mergeCell ref="U224:U226"/>
    <mergeCell ref="V224:V226"/>
    <mergeCell ref="D221:D229"/>
    <mergeCell ref="E221:G221"/>
    <mergeCell ref="H221:R221"/>
    <mergeCell ref="AC221:AC226"/>
    <mergeCell ref="E222:G222"/>
    <mergeCell ref="H222:R222"/>
    <mergeCell ref="E223:G223"/>
    <mergeCell ref="H223:R223"/>
    <mergeCell ref="E224:P224"/>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E5:K5"/>
    <mergeCell ref="E6:K6"/>
    <mergeCell ref="E9:R9"/>
    <mergeCell ref="S9:S10"/>
    <mergeCell ref="E10:F10"/>
    <mergeCell ref="H10:I10"/>
    <mergeCell ref="L10:M10"/>
    <mergeCell ref="D14:D22"/>
    <mergeCell ref="H14:R14"/>
    <mergeCell ref="H15:R15"/>
    <mergeCell ref="H16:R16"/>
    <mergeCell ref="E855:R855"/>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62A84-7FAA-F405-F2BE-F1C675F67511}">
  <sheetPr>
    <tabColor theme="9" tint="-0.249977111117893"/>
  </sheetPr>
  <dimension ref="A1:AE218"/>
  <sheetViews>
    <sheetView showGridLines="0" topLeftCell="D5" zoomScale="90" workbookViewId="0"/>
  </sheetViews>
  <sheetFormatPr defaultColWidth="9.140625" defaultRowHeight="11.25" customHeight="1"/>
  <cols>
    <col min="1" max="1" width="10.7109375" style="1845" hidden="1" customWidth="1"/>
    <col min="2" max="2" width="16.85546875" style="1903" hidden="1" customWidth="1"/>
    <col min="3" max="3" width="5.5703125" style="1866" hidden="1" customWidth="1"/>
    <col min="4" max="4" width="3.7109375" style="1910" customWidth="1"/>
    <col min="5" max="5" width="7.7109375" style="1910" customWidth="1"/>
    <col min="6" max="6" width="56.140625" style="1910" customWidth="1"/>
    <col min="7" max="7" width="10.42578125" style="1910" customWidth="1"/>
    <col min="8" max="8" width="40.7109375" style="1910" hidden="1" customWidth="1"/>
    <col min="9" max="9" width="40.7109375" style="1910" customWidth="1"/>
    <col min="10" max="10" width="102.85546875" style="1910" customWidth="1"/>
    <col min="11" max="11" width="9.7109375" style="1903" customWidth="1"/>
    <col min="12" max="12" width="5.28515625" style="1866" customWidth="1"/>
    <col min="13" max="13" width="3.7109375" style="1866" customWidth="1"/>
    <col min="14" max="17" width="3.7109375" style="1903" customWidth="1"/>
    <col min="18" max="18" width="10.5703125" style="1866" customWidth="1"/>
    <col min="19" max="19" width="34.7109375" style="1903" customWidth="1"/>
    <col min="20" max="20" width="9.42578125" style="1903" customWidth="1"/>
    <col min="21" max="21" width="9.140625" style="1858"/>
    <col min="22" max="26" width="9.140625" style="1903"/>
    <col min="27" max="31" width="9.140625" style="1926"/>
  </cols>
  <sheetData>
    <row r="1" spans="1:31" s="1903" customFormat="1" ht="11.25" hidden="1" customHeight="1">
      <c r="A1" s="858"/>
      <c r="C1" s="1481"/>
      <c r="D1" s="434"/>
      <c r="H1" s="1023">
        <v>4</v>
      </c>
      <c r="I1" s="1023">
        <v>4</v>
      </c>
      <c r="L1" s="1481"/>
      <c r="M1" s="1481"/>
      <c r="R1" s="1481"/>
    </row>
    <row r="2" spans="1:31" s="1903" customFormat="1" ht="22.5" hidden="1" customHeight="1">
      <c r="A2" s="858"/>
      <c r="C2" s="1481"/>
      <c r="D2" s="435"/>
      <c r="E2" s="1482"/>
      <c r="F2" s="437"/>
      <c r="G2" s="1484" t="s">
        <v>817</v>
      </c>
      <c r="H2" s="438"/>
      <c r="I2" s="438"/>
      <c r="J2" s="439" t="s">
        <v>972</v>
      </c>
      <c r="K2" s="440"/>
      <c r="L2" s="1481"/>
      <c r="M2" s="1481"/>
      <c r="R2" s="1481"/>
      <c r="U2" s="441"/>
      <c r="AA2" s="1477"/>
      <c r="AB2" s="1477"/>
      <c r="AC2" s="1477"/>
      <c r="AD2" s="1477"/>
      <c r="AE2" s="1477"/>
    </row>
    <row r="3" spans="1:31" ht="11.25" hidden="1" customHeight="1"/>
    <row r="4" spans="1:31" s="1926" customFormat="1" ht="11.25" hidden="1" customHeight="1">
      <c r="A4" s="858"/>
      <c r="B4" s="1023"/>
      <c r="C4" s="1481"/>
      <c r="D4" s="271"/>
      <c r="J4" s="1477">
        <v>4</v>
      </c>
      <c r="K4" s="1023"/>
      <c r="L4" s="1481"/>
      <c r="M4" s="1481"/>
      <c r="N4" s="1023"/>
      <c r="O4" s="1023"/>
      <c r="P4" s="1023"/>
      <c r="Q4" s="1023"/>
      <c r="R4" s="1481"/>
      <c r="S4" s="1023"/>
      <c r="T4" s="1023"/>
      <c r="U4" s="441"/>
      <c r="V4" s="1023"/>
      <c r="W4" s="1023"/>
      <c r="X4" s="1023"/>
      <c r="Y4" s="1023"/>
      <c r="Z4" s="1023"/>
    </row>
    <row r="6" spans="1:31" ht="22.5" customHeight="1">
      <c r="E6" s="3457" t="s">
        <v>973</v>
      </c>
      <c r="F6" s="3457"/>
      <c r="G6" s="3457"/>
      <c r="H6" s="3457"/>
      <c r="I6" s="3457"/>
      <c r="J6" s="453"/>
    </row>
    <row r="7" spans="1:31" ht="24" customHeight="1">
      <c r="E7" s="3480" t="str">
        <f>IF(org=0,"Не определено",org)</f>
        <v>АО "Орелгортеплоэнерго"</v>
      </c>
      <c r="F7" s="3480"/>
      <c r="G7" s="3480"/>
      <c r="H7" s="3480"/>
      <c r="I7" s="3480"/>
    </row>
    <row r="8" spans="1:31" ht="11.25" customHeight="1">
      <c r="E8" s="1000"/>
      <c r="F8" s="1000"/>
      <c r="G8" s="1000"/>
      <c r="H8" s="1000"/>
      <c r="I8" s="1000"/>
    </row>
    <row r="9" spans="1:31" s="1866" customFormat="1" ht="0.75" customHeight="1">
      <c r="A9" s="1030"/>
      <c r="D9" s="1487"/>
      <c r="H9" s="765"/>
      <c r="I9" s="765" t="s">
        <v>115</v>
      </c>
    </row>
    <row r="10" spans="1:31" ht="11.25" customHeight="1">
      <c r="E10" s="601"/>
      <c r="F10" s="3607" t="s">
        <v>102</v>
      </c>
      <c r="G10" s="3608"/>
      <c r="H10" s="1405" t="str">
        <f>IF(H9="","",INDEX(DIFFERENTIATION_UNMERGE_VD,MATCH(H9,DIFFERENTIATION_ID_DIFF,0)))</f>
        <v/>
      </c>
      <c r="I10" s="1405" t="str">
        <f>IF(I9="","",INDEX(DIFFERENTIATION_UNMERGE_VD,MATCH(I9,DIFFERENTIATION_ID_DIFF,0)))</f>
        <v>Производство тепловой энергии. Некомбинированная выработка</v>
      </c>
      <c r="J10" s="3401"/>
    </row>
    <row r="11" spans="1:31" ht="11.25" customHeight="1">
      <c r="E11" s="601"/>
      <c r="F11" s="3607" t="s">
        <v>829</v>
      </c>
      <c r="G11" s="3608"/>
      <c r="H11" s="1405" t="str">
        <f>IF(H9="","",INDEX(DIFFERENTIATION_UNMERGE_AREA,MATCH(H9,DIFFERENTIATION_ID_DIFF,0)))</f>
        <v/>
      </c>
      <c r="I11" s="1405" t="str">
        <f>IF(I9="","",INDEX(DIFFERENTIATION_UNMERGE_AREA,MATCH(I9,DIFFERENTIATION_ID_DIFF,0)))</f>
        <v>Территория 1</v>
      </c>
      <c r="J11" s="3401"/>
    </row>
    <row r="12" spans="1:31" ht="11.25" hidden="1" customHeight="1">
      <c r="E12" s="1507"/>
      <c r="F12" s="3624" t="s">
        <v>830</v>
      </c>
      <c r="G12" s="3625"/>
      <c r="H12" s="1508" t="str">
        <f>IF(H9="","",INDEX(DIFFERENTIATION_UNMERGE_SYSTEM,MATCH(H9,DIFFERENTIATION_ID_DIFF,0)))</f>
        <v/>
      </c>
      <c r="I12" s="1508" t="str">
        <f>IF(I9="","",INDEX(DIFFERENTIATION_UNMERGE_SYSTEM,MATCH(I9,DIFFERENTIATION_ID_DIFF,0)))</f>
        <v>Авиационная, 1</v>
      </c>
      <c r="J12" s="3401"/>
    </row>
    <row r="13" spans="1:31" ht="11.25" customHeight="1">
      <c r="E13" s="3609" t="s">
        <v>560</v>
      </c>
      <c r="F13" s="3610"/>
      <c r="G13" s="3610"/>
      <c r="H13" s="1404"/>
      <c r="I13" s="1404"/>
      <c r="J13" s="3401"/>
    </row>
    <row r="14" spans="1:31" ht="22.5" customHeight="1">
      <c r="E14" s="1484" t="s">
        <v>85</v>
      </c>
      <c r="F14" s="1479" t="s">
        <v>562</v>
      </c>
      <c r="G14" s="1479" t="s">
        <v>831</v>
      </c>
      <c r="H14" s="1479" t="s">
        <v>563</v>
      </c>
      <c r="I14" s="1479" t="s">
        <v>563</v>
      </c>
      <c r="J14" s="3401"/>
    </row>
    <row r="15" spans="1:31" ht="18.75" customHeight="1">
      <c r="D15" s="1483"/>
      <c r="E15" s="1475" t="s">
        <v>106</v>
      </c>
      <c r="F15" s="597" t="s">
        <v>974</v>
      </c>
      <c r="G15" s="1491" t="s">
        <v>817</v>
      </c>
      <c r="H15" s="454"/>
      <c r="I15" s="454"/>
      <c r="J15" s="201" t="s">
        <v>975</v>
      </c>
      <c r="K15" s="440" t="s">
        <v>976</v>
      </c>
    </row>
    <row r="16" spans="1:31" ht="33.75" customHeight="1">
      <c r="D16" s="1483"/>
      <c r="E16" s="1475" t="s">
        <v>107</v>
      </c>
      <c r="F16" s="597" t="s">
        <v>977</v>
      </c>
      <c r="G16" s="1491" t="s">
        <v>817</v>
      </c>
      <c r="H16" s="455">
        <f>SUM(H17,H20:H32)</f>
        <v>0</v>
      </c>
      <c r="I16" s="455">
        <f>SUM(I17,I20:I32)</f>
        <v>0</v>
      </c>
      <c r="J16" s="201" t="s">
        <v>978</v>
      </c>
      <c r="K16" s="440" t="s">
        <v>976</v>
      </c>
    </row>
    <row r="17" spans="1:31" ht="18.75" customHeight="1">
      <c r="D17" s="1483"/>
      <c r="E17" s="1509" t="s">
        <v>979</v>
      </c>
      <c r="F17" s="826" t="s">
        <v>980</v>
      </c>
      <c r="G17" s="1488" t="s">
        <v>817</v>
      </c>
      <c r="H17" s="454"/>
      <c r="I17" s="454"/>
      <c r="J17" s="201" t="s">
        <v>981</v>
      </c>
      <c r="K17" s="440"/>
    </row>
    <row r="18" spans="1:31" ht="22.5" customHeight="1">
      <c r="D18" s="1483"/>
      <c r="E18" s="1509" t="s">
        <v>982</v>
      </c>
      <c r="F18" s="1495" t="s">
        <v>983</v>
      </c>
      <c r="G18" s="1488" t="s">
        <v>817</v>
      </c>
      <c r="H18" s="454"/>
      <c r="I18" s="454"/>
      <c r="J18" s="201" t="s">
        <v>984</v>
      </c>
      <c r="K18" s="440"/>
    </row>
    <row r="19" spans="1:31" ht="33.75" customHeight="1">
      <c r="D19" s="1483"/>
      <c r="E19" s="1509" t="s">
        <v>985</v>
      </c>
      <c r="F19" s="1495" t="s">
        <v>986</v>
      </c>
      <c r="G19" s="1488" t="s">
        <v>817</v>
      </c>
      <c r="H19" s="454"/>
      <c r="I19" s="454"/>
      <c r="J19" s="201"/>
      <c r="K19" s="440"/>
    </row>
    <row r="20" spans="1:31" ht="18.75" customHeight="1">
      <c r="D20" s="1483"/>
      <c r="E20" s="1509" t="s">
        <v>567</v>
      </c>
      <c r="F20" s="826" t="s">
        <v>987</v>
      </c>
      <c r="G20" s="1488" t="s">
        <v>817</v>
      </c>
      <c r="H20" s="454"/>
      <c r="I20" s="454"/>
      <c r="J20" s="201" t="s">
        <v>988</v>
      </c>
      <c r="K20" s="440"/>
    </row>
    <row r="21" spans="1:31" ht="18.75" customHeight="1">
      <c r="D21" s="1483"/>
      <c r="E21" s="1509" t="s">
        <v>989</v>
      </c>
      <c r="F21" s="1495" t="s">
        <v>990</v>
      </c>
      <c r="G21" s="1488" t="s">
        <v>817</v>
      </c>
      <c r="H21" s="454"/>
      <c r="I21" s="454"/>
      <c r="J21" s="201"/>
      <c r="K21" s="440"/>
    </row>
    <row r="22" spans="1:31" ht="18.75" customHeight="1">
      <c r="D22" s="1483"/>
      <c r="E22" s="1509" t="s">
        <v>991</v>
      </c>
      <c r="F22" s="1495" t="s">
        <v>992</v>
      </c>
      <c r="G22" s="1488" t="s">
        <v>817</v>
      </c>
      <c r="H22" s="454"/>
      <c r="I22" s="454"/>
      <c r="J22" s="201"/>
      <c r="K22" s="440"/>
    </row>
    <row r="23" spans="1:31" ht="22.5" customHeight="1">
      <c r="D23" s="1483"/>
      <c r="E23" s="1509" t="s">
        <v>570</v>
      </c>
      <c r="F23" s="826" t="s">
        <v>993</v>
      </c>
      <c r="G23" s="1488" t="s">
        <v>817</v>
      </c>
      <c r="H23" s="454"/>
      <c r="I23" s="454"/>
      <c r="J23" s="201" t="s">
        <v>994</v>
      </c>
      <c r="K23" s="440"/>
    </row>
    <row r="24" spans="1:31" ht="18.75" customHeight="1">
      <c r="D24" s="1483"/>
      <c r="E24" s="1509" t="s">
        <v>995</v>
      </c>
      <c r="F24" s="1495" t="s">
        <v>996</v>
      </c>
      <c r="G24" s="1488" t="s">
        <v>817</v>
      </c>
      <c r="H24" s="454"/>
      <c r="I24" s="454"/>
      <c r="J24" s="201"/>
      <c r="K24" s="440"/>
    </row>
    <row r="25" spans="1:31" ht="33.75" customHeight="1">
      <c r="D25" s="1483"/>
      <c r="E25" s="1509" t="s">
        <v>997</v>
      </c>
      <c r="F25" s="1495" t="s">
        <v>998</v>
      </c>
      <c r="G25" s="1488" t="s">
        <v>817</v>
      </c>
      <c r="H25" s="454"/>
      <c r="I25" s="454"/>
      <c r="J25" s="201"/>
      <c r="K25" s="440"/>
    </row>
    <row r="26" spans="1:31" ht="22.5" customHeight="1">
      <c r="D26" s="1483"/>
      <c r="E26" s="1509" t="s">
        <v>999</v>
      </c>
      <c r="F26" s="826" t="s">
        <v>1000</v>
      </c>
      <c r="G26" s="1488" t="s">
        <v>817</v>
      </c>
      <c r="H26" s="454"/>
      <c r="I26" s="454"/>
      <c r="J26" s="201" t="s">
        <v>1001</v>
      </c>
      <c r="K26" s="440"/>
    </row>
    <row r="27" spans="1:31" ht="18.75" customHeight="1">
      <c r="D27" s="1483"/>
      <c r="E27" s="1520" t="s">
        <v>1002</v>
      </c>
      <c r="F27" s="1495" t="s">
        <v>1003</v>
      </c>
      <c r="G27" s="1499" t="s">
        <v>817</v>
      </c>
      <c r="H27" s="1521"/>
      <c r="I27" s="1521"/>
      <c r="J27" s="201"/>
      <c r="K27" s="440"/>
    </row>
    <row r="28" spans="1:31" ht="18.75" customHeight="1">
      <c r="D28" s="1483"/>
      <c r="E28" s="1520" t="s">
        <v>1004</v>
      </c>
      <c r="F28" s="1495" t="s">
        <v>1005</v>
      </c>
      <c r="G28" s="1499" t="s">
        <v>817</v>
      </c>
      <c r="H28" s="1521"/>
      <c r="I28" s="1521"/>
      <c r="J28" s="201"/>
      <c r="K28" s="440"/>
    </row>
    <row r="29" spans="1:31" ht="18.75" customHeight="1">
      <c r="D29" s="1483"/>
      <c r="E29" s="1520" t="s">
        <v>1006</v>
      </c>
      <c r="F29" s="826" t="s">
        <v>1007</v>
      </c>
      <c r="G29" s="1499" t="s">
        <v>817</v>
      </c>
      <c r="H29" s="1521"/>
      <c r="I29" s="1521"/>
      <c r="J29" s="201"/>
      <c r="K29" s="440"/>
    </row>
    <row r="30" spans="1:31" ht="18.75" customHeight="1">
      <c r="D30" s="1483"/>
      <c r="E30" s="1520" t="s">
        <v>1008</v>
      </c>
      <c r="F30" s="826" t="s">
        <v>1009</v>
      </c>
      <c r="G30" s="1499" t="s">
        <v>817</v>
      </c>
      <c r="H30" s="1521"/>
      <c r="I30" s="1521"/>
      <c r="J30" s="201"/>
      <c r="K30" s="440"/>
    </row>
    <row r="31" spans="1:31" ht="18.75" customHeight="1">
      <c r="D31" s="1483"/>
      <c r="E31" s="1520" t="s">
        <v>1010</v>
      </c>
      <c r="F31" s="826" t="s">
        <v>1011</v>
      </c>
      <c r="G31" s="1499" t="s">
        <v>817</v>
      </c>
      <c r="H31" s="1521"/>
      <c r="I31" s="1521"/>
      <c r="J31" s="201"/>
      <c r="K31" s="440"/>
    </row>
    <row r="32" spans="1:31" s="1903" customFormat="1" ht="22.5" customHeight="1">
      <c r="A32" s="858"/>
      <c r="C32" s="1481"/>
      <c r="D32" s="1483"/>
      <c r="E32" s="1520" t="s">
        <v>1012</v>
      </c>
      <c r="F32" s="826" t="s">
        <v>1013</v>
      </c>
      <c r="G32" s="1489" t="s">
        <v>817</v>
      </c>
      <c r="H32" s="476">
        <f>SUM(H33:H34)</f>
        <v>0</v>
      </c>
      <c r="I32" s="476">
        <f>SUM(I33:I34)</f>
        <v>0</v>
      </c>
      <c r="J32" s="201" t="s">
        <v>1014</v>
      </c>
      <c r="K32" s="440"/>
      <c r="L32" s="1481"/>
      <c r="M32" s="1481"/>
      <c r="R32" s="1481"/>
      <c r="U32" s="441"/>
      <c r="AA32" s="1477"/>
      <c r="AB32" s="1477"/>
      <c r="AC32" s="1477"/>
      <c r="AD32" s="1477"/>
      <c r="AE32" s="1477"/>
    </row>
    <row r="33" spans="1:31" s="1866" customFormat="1" ht="0.75" customHeight="1">
      <c r="A33" s="1030"/>
      <c r="D33" s="445"/>
      <c r="E33" s="683" t="str">
        <f>E32&amp;".0"</f>
        <v>2.8.0</v>
      </c>
      <c r="F33" s="862"/>
      <c r="G33" s="448"/>
      <c r="H33" s="863"/>
      <c r="I33" s="863"/>
      <c r="J33" s="864"/>
    </row>
    <row r="34" spans="1:31" s="1903" customFormat="1" ht="18.75" customHeight="1">
      <c r="A34" s="858"/>
      <c r="C34" s="1481"/>
      <c r="D34" s="1478"/>
      <c r="E34" s="467"/>
      <c r="F34" s="1511" t="s">
        <v>842</v>
      </c>
      <c r="G34" s="469"/>
      <c r="H34" s="470"/>
      <c r="I34" s="470"/>
      <c r="J34" s="212" t="s">
        <v>1015</v>
      </c>
      <c r="K34" s="440"/>
      <c r="L34" s="1481"/>
      <c r="M34" s="1481"/>
      <c r="R34" s="1481"/>
      <c r="U34" s="441"/>
      <c r="AA34" s="1477"/>
      <c r="AB34" s="1477"/>
      <c r="AC34" s="1477"/>
      <c r="AD34" s="1477"/>
      <c r="AE34" s="1477"/>
    </row>
    <row r="35" spans="1:31" ht="56.25" customHeight="1">
      <c r="D35" s="1483"/>
      <c r="E35" s="1520" t="s">
        <v>1016</v>
      </c>
      <c r="F35" s="826" t="s">
        <v>1017</v>
      </c>
      <c r="G35" s="1499" t="s">
        <v>817</v>
      </c>
      <c r="H35" s="1521"/>
      <c r="I35" s="1521"/>
      <c r="J35" s="201" t="s">
        <v>1018</v>
      </c>
      <c r="K35" s="440"/>
    </row>
    <row r="36" spans="1:31" s="1903" customFormat="1" ht="22.5" customHeight="1">
      <c r="A36" s="860" t="s">
        <v>843</v>
      </c>
      <c r="C36" s="1481"/>
      <c r="D36" s="1483"/>
      <c r="E36" s="1509" t="s">
        <v>87</v>
      </c>
      <c r="F36" s="597" t="s">
        <v>1019</v>
      </c>
      <c r="G36" s="1488" t="s">
        <v>817</v>
      </c>
      <c r="H36" s="454"/>
      <c r="I36" s="454"/>
      <c r="J36" s="201" t="s">
        <v>1020</v>
      </c>
      <c r="K36" s="440"/>
      <c r="L36" s="1481"/>
      <c r="M36" s="1481"/>
      <c r="R36" s="1481"/>
      <c r="U36" s="441"/>
      <c r="AA36" s="1477"/>
      <c r="AB36" s="1477"/>
      <c r="AC36" s="1477"/>
      <c r="AD36" s="1477"/>
      <c r="AE36" s="1477"/>
    </row>
    <row r="37" spans="1:31" s="1903" customFormat="1" ht="22.5" customHeight="1">
      <c r="A37" s="860"/>
      <c r="C37" s="1481"/>
      <c r="D37" s="1483"/>
      <c r="E37" s="1509" t="s">
        <v>586</v>
      </c>
      <c r="F37" s="826" t="s">
        <v>1021</v>
      </c>
      <c r="G37" s="1499"/>
      <c r="H37" s="454"/>
      <c r="I37" s="454"/>
      <c r="J37" s="201"/>
      <c r="K37" s="440"/>
      <c r="L37" s="1481"/>
      <c r="M37" s="1481"/>
      <c r="R37" s="1481"/>
      <c r="U37" s="441"/>
      <c r="AA37" s="1477"/>
      <c r="AB37" s="1477"/>
      <c r="AC37" s="1477"/>
      <c r="AD37" s="1477"/>
      <c r="AE37" s="1477"/>
    </row>
    <row r="38" spans="1:31" s="1903" customFormat="1" ht="18.75" customHeight="1">
      <c r="A38" s="858"/>
      <c r="C38" s="1481"/>
      <c r="D38" s="472"/>
      <c r="E38" s="1509" t="s">
        <v>88</v>
      </c>
      <c r="F38" s="597" t="s">
        <v>1022</v>
      </c>
      <c r="G38" s="1488" t="s">
        <v>817</v>
      </c>
      <c r="H38" s="454"/>
      <c r="I38" s="454"/>
      <c r="J38" s="201" t="s">
        <v>1023</v>
      </c>
      <c r="K38" s="440"/>
      <c r="L38" s="1481"/>
      <c r="M38" s="1481"/>
      <c r="R38" s="1481"/>
      <c r="U38" s="441"/>
      <c r="AA38" s="1477"/>
      <c r="AB38" s="1477"/>
      <c r="AC38" s="1477"/>
      <c r="AD38" s="1477"/>
      <c r="AE38" s="1477"/>
    </row>
    <row r="39" spans="1:31" s="1903" customFormat="1" ht="22.5" customHeight="1">
      <c r="A39" s="858"/>
      <c r="C39" s="1481"/>
      <c r="D39" s="472"/>
      <c r="E39" s="1509" t="s">
        <v>1024</v>
      </c>
      <c r="F39" s="826" t="s">
        <v>1025</v>
      </c>
      <c r="G39" s="1499" t="s">
        <v>817</v>
      </c>
      <c r="H39" s="454"/>
      <c r="I39" s="454"/>
      <c r="J39" s="201" t="s">
        <v>1026</v>
      </c>
      <c r="K39" s="440"/>
      <c r="L39" s="1481"/>
      <c r="M39" s="1481"/>
      <c r="R39" s="1481"/>
      <c r="U39" s="441"/>
      <c r="AA39" s="1477"/>
      <c r="AB39" s="1477"/>
      <c r="AC39" s="1477"/>
      <c r="AD39" s="1477"/>
      <c r="AE39" s="1477"/>
    </row>
    <row r="40" spans="1:31" s="1903" customFormat="1" ht="22.5" customHeight="1">
      <c r="A40" s="858"/>
      <c r="C40" s="1481"/>
      <c r="D40" s="1483"/>
      <c r="E40" s="1509" t="s">
        <v>1027</v>
      </c>
      <c r="F40" s="1495" t="s">
        <v>1028</v>
      </c>
      <c r="G40" s="1488" t="s">
        <v>817</v>
      </c>
      <c r="H40" s="454"/>
      <c r="I40" s="454"/>
      <c r="J40" s="201" t="s">
        <v>1029</v>
      </c>
      <c r="K40" s="440"/>
      <c r="L40" s="1481"/>
      <c r="M40" s="1481"/>
      <c r="R40" s="1481"/>
      <c r="U40" s="441"/>
      <c r="AA40" s="1477"/>
      <c r="AB40" s="1477"/>
      <c r="AC40" s="1477"/>
      <c r="AD40" s="1477"/>
      <c r="AE40" s="1477"/>
    </row>
    <row r="41" spans="1:31" s="1903" customFormat="1" ht="22.5" customHeight="1">
      <c r="A41" s="858"/>
      <c r="C41" s="1481"/>
      <c r="D41" s="1483"/>
      <c r="E41" s="1509" t="s">
        <v>1030</v>
      </c>
      <c r="F41" s="1495" t="s">
        <v>1031</v>
      </c>
      <c r="G41" s="1488" t="s">
        <v>817</v>
      </c>
      <c r="H41" s="454"/>
      <c r="I41" s="454"/>
      <c r="J41" s="201" t="s">
        <v>1032</v>
      </c>
      <c r="K41" s="440"/>
      <c r="L41" s="1481"/>
      <c r="M41" s="1481"/>
      <c r="R41" s="1481"/>
      <c r="U41" s="441"/>
      <c r="AA41" s="1477"/>
      <c r="AB41" s="1477"/>
      <c r="AC41" s="1477"/>
      <c r="AD41" s="1477"/>
      <c r="AE41" s="1477"/>
    </row>
    <row r="42" spans="1:31" s="1903" customFormat="1" ht="22.5" customHeight="1">
      <c r="A42" s="858"/>
      <c r="C42" s="1481"/>
      <c r="D42" s="1483"/>
      <c r="E42" s="1509" t="s">
        <v>1033</v>
      </c>
      <c r="F42" s="1495" t="s">
        <v>1034</v>
      </c>
      <c r="G42" s="1488" t="s">
        <v>817</v>
      </c>
      <c r="H42" s="454"/>
      <c r="I42" s="454"/>
      <c r="J42" s="201" t="s">
        <v>1035</v>
      </c>
      <c r="K42" s="440"/>
      <c r="L42" s="1481"/>
      <c r="M42" s="1481"/>
      <c r="R42" s="1481"/>
      <c r="U42" s="441"/>
      <c r="AA42" s="1477"/>
      <c r="AB42" s="1477"/>
      <c r="AC42" s="1477"/>
      <c r="AD42" s="1477"/>
      <c r="AE42" s="1477"/>
    </row>
    <row r="43" spans="1:31" s="1903" customFormat="1" ht="33.75" customHeight="1">
      <c r="A43" s="858"/>
      <c r="C43" s="1481" t="s">
        <v>853</v>
      </c>
      <c r="D43" s="1483"/>
      <c r="E43" s="1509" t="s">
        <v>108</v>
      </c>
      <c r="F43" s="597" t="s">
        <v>1036</v>
      </c>
      <c r="G43" s="1491" t="s">
        <v>1037</v>
      </c>
      <c r="H43" s="308"/>
      <c r="I43" s="308"/>
      <c r="J43" s="201" t="s">
        <v>1038</v>
      </c>
      <c r="K43" s="440"/>
      <c r="L43" s="1481"/>
      <c r="M43" s="1481"/>
      <c r="R43" s="1481"/>
      <c r="U43" s="441"/>
      <c r="AA43" s="1477"/>
      <c r="AB43" s="1477"/>
      <c r="AC43" s="1477"/>
      <c r="AD43" s="1477"/>
      <c r="AE43" s="1477"/>
    </row>
    <row r="44" spans="1:31" s="1903" customFormat="1" ht="22.5" customHeight="1">
      <c r="A44" s="858"/>
      <c r="C44" s="1481"/>
      <c r="D44" s="1483"/>
      <c r="E44" s="1509" t="s">
        <v>89</v>
      </c>
      <c r="F44" s="597" t="s">
        <v>1039</v>
      </c>
      <c r="G44" s="1488" t="s">
        <v>1040</v>
      </c>
      <c r="H44" s="442"/>
      <c r="I44" s="442"/>
      <c r="J44" s="201" t="s">
        <v>1041</v>
      </c>
      <c r="K44" s="440"/>
      <c r="L44" s="1481"/>
      <c r="M44" s="1481"/>
      <c r="R44" s="1481"/>
      <c r="U44" s="441"/>
      <c r="AA44" s="1477"/>
      <c r="AB44" s="1477"/>
      <c r="AC44" s="1477"/>
      <c r="AD44" s="1477"/>
      <c r="AE44" s="1477"/>
    </row>
    <row r="45" spans="1:31" s="1903" customFormat="1" ht="22.5" customHeight="1">
      <c r="A45" s="858"/>
      <c r="C45" s="1481"/>
      <c r="D45" s="1483"/>
      <c r="E45" s="1509" t="s">
        <v>90</v>
      </c>
      <c r="F45" s="597" t="s">
        <v>1042</v>
      </c>
      <c r="G45" s="1499" t="s">
        <v>1043</v>
      </c>
      <c r="H45" s="442"/>
      <c r="I45" s="442"/>
      <c r="J45" s="201" t="s">
        <v>1044</v>
      </c>
      <c r="K45" s="440"/>
      <c r="L45" s="1481"/>
      <c r="M45" s="1481"/>
      <c r="R45" s="1481"/>
      <c r="U45" s="441"/>
      <c r="AA45" s="1477"/>
      <c r="AB45" s="1477"/>
      <c r="AC45" s="1477"/>
      <c r="AD45" s="1477"/>
      <c r="AE45" s="1477"/>
    </row>
    <row r="46" spans="1:31" s="1903" customFormat="1" ht="18.75" customHeight="1">
      <c r="A46" s="858"/>
      <c r="C46" s="1481"/>
      <c r="D46" s="1483"/>
      <c r="E46" s="1509" t="s">
        <v>109</v>
      </c>
      <c r="F46" s="597" t="s">
        <v>1045</v>
      </c>
      <c r="G46" s="1488" t="s">
        <v>855</v>
      </c>
      <c r="H46" s="474"/>
      <c r="I46" s="474"/>
      <c r="J46" s="201"/>
      <c r="K46" s="440"/>
      <c r="L46" s="1481"/>
      <c r="M46" s="1481"/>
      <c r="R46" s="1481"/>
      <c r="U46" s="441"/>
      <c r="AA46" s="1477"/>
      <c r="AB46" s="1477"/>
      <c r="AC46" s="1477"/>
      <c r="AD46" s="1477"/>
      <c r="AE46" s="1477"/>
    </row>
    <row r="47" spans="1:31" ht="11.25" customHeight="1">
      <c r="D47" s="1483"/>
    </row>
    <row r="48" spans="1:31" ht="26.25" customHeight="1">
      <c r="D48" s="1483"/>
      <c r="E48" s="1119"/>
      <c r="F48" s="3527"/>
      <c r="G48" s="3527"/>
      <c r="H48" s="3527"/>
      <c r="I48" s="3527"/>
      <c r="J48" s="3527"/>
    </row>
    <row r="49" spans="1:31" s="1838" customFormat="1" ht="37.5" customHeight="1">
      <c r="A49" s="858"/>
      <c r="B49" s="1481"/>
      <c r="C49" s="1481"/>
      <c r="D49" s="260"/>
      <c r="F49" s="3527"/>
      <c r="G49" s="3527"/>
      <c r="H49" s="3527"/>
      <c r="I49" s="3527"/>
      <c r="J49" s="3527"/>
      <c r="K49" s="1023"/>
      <c r="L49" s="1481"/>
      <c r="M49" s="1481"/>
      <c r="N49" s="1023"/>
      <c r="O49" s="1023"/>
      <c r="P49" s="1023"/>
      <c r="Q49" s="1023"/>
      <c r="R49" s="1481"/>
      <c r="S49" s="1023"/>
      <c r="T49" s="1023"/>
      <c r="U49" s="441"/>
      <c r="V49" s="1023"/>
      <c r="W49" s="1023"/>
      <c r="X49" s="1023"/>
      <c r="Y49" s="1023"/>
      <c r="Z49" s="1023"/>
      <c r="AA49" s="1477"/>
      <c r="AB49" s="463"/>
      <c r="AC49" s="463"/>
      <c r="AD49" s="463"/>
      <c r="AE49" s="463"/>
    </row>
    <row r="50" spans="1:31" s="1838" customFormat="1" ht="11.25" customHeight="1">
      <c r="A50" s="858"/>
      <c r="B50" s="1481"/>
      <c r="C50" s="1481"/>
      <c r="D50" s="260"/>
      <c r="K50" s="1023"/>
      <c r="L50" s="1481"/>
      <c r="M50" s="1481"/>
      <c r="N50" s="1023"/>
      <c r="O50" s="1023"/>
      <c r="P50" s="1023"/>
      <c r="Q50" s="1023"/>
      <c r="R50" s="1481"/>
      <c r="S50" s="1023"/>
      <c r="T50" s="1023"/>
      <c r="U50" s="441"/>
      <c r="V50" s="1023"/>
      <c r="W50" s="1023"/>
      <c r="X50" s="1023"/>
      <c r="Y50" s="1023"/>
      <c r="Z50" s="1023"/>
      <c r="AA50" s="1477"/>
      <c r="AB50" s="463"/>
      <c r="AC50" s="463"/>
      <c r="AD50" s="463"/>
      <c r="AE50" s="463"/>
    </row>
    <row r="51" spans="1:31" s="1838" customFormat="1" ht="11.25" customHeight="1">
      <c r="A51" s="858"/>
      <c r="B51" s="1481"/>
      <c r="C51" s="1481"/>
      <c r="D51" s="260"/>
      <c r="K51" s="1023"/>
      <c r="L51" s="1481"/>
      <c r="M51" s="1481"/>
      <c r="N51" s="1023"/>
      <c r="O51" s="1023"/>
      <c r="P51" s="1023"/>
      <c r="Q51" s="1023"/>
      <c r="R51" s="1481"/>
      <c r="S51" s="1023"/>
      <c r="T51" s="1023"/>
      <c r="U51" s="441"/>
      <c r="V51" s="1023"/>
      <c r="W51" s="1023"/>
      <c r="X51" s="1023"/>
      <c r="Y51" s="1023"/>
      <c r="Z51" s="1023"/>
      <c r="AA51" s="1477"/>
      <c r="AB51" s="463"/>
      <c r="AC51" s="463"/>
      <c r="AD51" s="463"/>
      <c r="AE51" s="463"/>
    </row>
    <row r="52" spans="1:31" s="1838" customFormat="1" ht="11.25" customHeight="1">
      <c r="A52" s="858"/>
      <c r="B52" s="1481"/>
      <c r="C52" s="1481"/>
      <c r="D52" s="260"/>
      <c r="H52" s="463"/>
      <c r="I52" s="463"/>
      <c r="K52" s="1023"/>
      <c r="L52" s="1481"/>
      <c r="M52" s="1481"/>
      <c r="N52" s="1023"/>
      <c r="O52" s="1023"/>
      <c r="P52" s="1023"/>
      <c r="Q52" s="1023"/>
      <c r="R52" s="1481"/>
      <c r="S52" s="1023"/>
      <c r="T52" s="1023"/>
      <c r="U52" s="441"/>
      <c r="V52" s="1023"/>
      <c r="W52" s="1023"/>
      <c r="X52" s="1023"/>
      <c r="Y52" s="1023"/>
      <c r="Z52" s="1023"/>
      <c r="AA52" s="1477"/>
      <c r="AB52" s="463"/>
      <c r="AC52" s="463"/>
      <c r="AD52" s="463"/>
      <c r="AE52" s="463"/>
    </row>
    <row r="53" spans="1:31" s="1838" customFormat="1" ht="11.25" customHeight="1">
      <c r="A53" s="858"/>
      <c r="B53" s="1481"/>
      <c r="C53" s="1481"/>
      <c r="D53" s="260"/>
      <c r="K53" s="1023"/>
      <c r="L53" s="1481"/>
      <c r="M53" s="1481"/>
      <c r="N53" s="1023"/>
      <c r="O53" s="1023"/>
      <c r="P53" s="1023"/>
      <c r="Q53" s="1023"/>
      <c r="R53" s="1481"/>
      <c r="S53" s="1023"/>
      <c r="T53" s="1023"/>
      <c r="U53" s="441"/>
      <c r="V53" s="1023"/>
      <c r="W53" s="1023"/>
      <c r="X53" s="1023"/>
      <c r="Y53" s="1023"/>
      <c r="Z53" s="1023"/>
      <c r="AA53" s="1477"/>
      <c r="AB53" s="463"/>
      <c r="AC53" s="463"/>
      <c r="AD53" s="463"/>
      <c r="AE53" s="463"/>
    </row>
    <row r="54" spans="1:31" s="1838" customFormat="1" ht="11.25" customHeight="1">
      <c r="A54" s="858"/>
      <c r="B54" s="1481"/>
      <c r="C54" s="1481"/>
      <c r="D54" s="260"/>
      <c r="K54" s="1023"/>
      <c r="L54" s="1481"/>
      <c r="M54" s="1481"/>
      <c r="N54" s="1023"/>
      <c r="O54" s="1023"/>
      <c r="P54" s="1023"/>
      <c r="Q54" s="1023"/>
      <c r="R54" s="1481"/>
      <c r="S54" s="1023"/>
      <c r="T54" s="1023"/>
      <c r="U54" s="441"/>
      <c r="V54" s="1023"/>
      <c r="W54" s="1023"/>
      <c r="X54" s="1023"/>
      <c r="Y54" s="1023"/>
      <c r="Z54" s="1023"/>
      <c r="AA54" s="1477"/>
      <c r="AB54" s="463"/>
      <c r="AC54" s="463"/>
      <c r="AD54" s="463"/>
      <c r="AE54" s="463"/>
    </row>
    <row r="55" spans="1:31" s="1838" customFormat="1" ht="11.25" customHeight="1">
      <c r="A55" s="858"/>
      <c r="B55" s="1481"/>
      <c r="C55" s="1481"/>
      <c r="D55" s="260"/>
      <c r="K55" s="1023"/>
      <c r="L55" s="1481"/>
      <c r="M55" s="1481"/>
      <c r="N55" s="1023"/>
      <c r="O55" s="1023"/>
      <c r="P55" s="1023"/>
      <c r="Q55" s="1023"/>
      <c r="R55" s="1481"/>
      <c r="S55" s="1023"/>
      <c r="T55" s="1023"/>
      <c r="U55" s="441"/>
      <c r="V55" s="1023"/>
      <c r="W55" s="1023"/>
      <c r="X55" s="1023"/>
      <c r="Y55" s="1023"/>
      <c r="Z55" s="1023"/>
      <c r="AA55" s="1477"/>
      <c r="AB55" s="463"/>
      <c r="AC55" s="463"/>
      <c r="AD55" s="463"/>
      <c r="AE55" s="463"/>
    </row>
    <row r="56" spans="1:31" s="1838" customFormat="1" ht="11.25" customHeight="1">
      <c r="A56" s="858"/>
      <c r="B56" s="1481"/>
      <c r="C56" s="1481"/>
      <c r="D56" s="260"/>
      <c r="K56" s="1023"/>
      <c r="L56" s="1481"/>
      <c r="M56" s="1481"/>
      <c r="N56" s="1023"/>
      <c r="O56" s="1023"/>
      <c r="P56" s="1023"/>
      <c r="Q56" s="1023"/>
      <c r="R56" s="1481"/>
      <c r="S56" s="1023"/>
      <c r="T56" s="1023"/>
      <c r="U56" s="441"/>
      <c r="V56" s="1023"/>
      <c r="W56" s="1023"/>
      <c r="X56" s="1023"/>
      <c r="Y56" s="1023"/>
      <c r="Z56" s="1023"/>
      <c r="AA56" s="1477"/>
      <c r="AB56" s="463"/>
      <c r="AC56" s="463"/>
      <c r="AD56" s="463"/>
      <c r="AE56" s="463"/>
    </row>
    <row r="57" spans="1:31" s="1838" customFormat="1" ht="11.25" customHeight="1">
      <c r="A57" s="858"/>
      <c r="B57" s="1481"/>
      <c r="C57" s="1481"/>
      <c r="D57" s="260"/>
      <c r="K57" s="1023"/>
      <c r="L57" s="1481"/>
      <c r="M57" s="1481"/>
      <c r="N57" s="1023"/>
      <c r="O57" s="1023"/>
      <c r="P57" s="1023"/>
      <c r="Q57" s="1023"/>
      <c r="R57" s="1481"/>
      <c r="S57" s="1023"/>
      <c r="T57" s="1023"/>
      <c r="U57" s="441"/>
      <c r="V57" s="1023"/>
      <c r="W57" s="1023"/>
      <c r="X57" s="1023"/>
      <c r="Y57" s="1023"/>
      <c r="Z57" s="1023"/>
      <c r="AA57" s="1477"/>
      <c r="AB57" s="463"/>
      <c r="AC57" s="463"/>
      <c r="AD57" s="463"/>
      <c r="AE57" s="463"/>
    </row>
    <row r="58" spans="1:31" s="1838" customFormat="1" ht="11.25" customHeight="1">
      <c r="A58" s="858"/>
      <c r="B58" s="1481"/>
      <c r="C58" s="1481"/>
      <c r="D58" s="260"/>
      <c r="K58" s="1023"/>
      <c r="L58" s="1481"/>
      <c r="M58" s="1481"/>
      <c r="N58" s="1023"/>
      <c r="O58" s="1023"/>
      <c r="P58" s="1023"/>
      <c r="Q58" s="1023"/>
      <c r="R58" s="1481"/>
      <c r="S58" s="1023"/>
      <c r="T58" s="1023"/>
      <c r="U58" s="441"/>
      <c r="V58" s="1023"/>
      <c r="W58" s="1023"/>
      <c r="X58" s="1023"/>
      <c r="Y58" s="1023"/>
      <c r="Z58" s="1023"/>
      <c r="AA58" s="1477"/>
      <c r="AB58" s="463"/>
      <c r="AC58" s="463"/>
      <c r="AD58" s="463"/>
      <c r="AE58" s="463"/>
    </row>
    <row r="59" spans="1:31" s="1838" customFormat="1" ht="11.25" customHeight="1">
      <c r="A59" s="858"/>
      <c r="B59" s="1481"/>
      <c r="C59" s="1481"/>
      <c r="D59" s="260"/>
      <c r="K59" s="1023"/>
      <c r="L59" s="1481"/>
      <c r="M59" s="1481"/>
      <c r="N59" s="1023"/>
      <c r="O59" s="1023"/>
      <c r="P59" s="1023"/>
      <c r="Q59" s="1023"/>
      <c r="R59" s="1481"/>
      <c r="S59" s="1023"/>
      <c r="T59" s="1023"/>
      <c r="U59" s="441"/>
      <c r="V59" s="1023"/>
      <c r="W59" s="1023"/>
      <c r="X59" s="1023"/>
      <c r="Y59" s="1023"/>
      <c r="Z59" s="1023"/>
      <c r="AA59" s="1477"/>
      <c r="AB59" s="463"/>
      <c r="AC59" s="463"/>
      <c r="AD59" s="463"/>
      <c r="AE59" s="463"/>
    </row>
    <row r="60" spans="1:31" s="1838" customFormat="1" ht="11.25" customHeight="1">
      <c r="A60" s="858"/>
      <c r="B60" s="1481"/>
      <c r="C60" s="1481"/>
      <c r="D60" s="260"/>
      <c r="K60" s="1023"/>
      <c r="L60" s="1481"/>
      <c r="M60" s="1481"/>
      <c r="N60" s="1023"/>
      <c r="O60" s="1023"/>
      <c r="P60" s="1023"/>
      <c r="Q60" s="1023"/>
      <c r="R60" s="1481"/>
      <c r="S60" s="1023"/>
      <c r="T60" s="1023"/>
      <c r="U60" s="441"/>
      <c r="V60" s="1023"/>
      <c r="W60" s="1023"/>
      <c r="X60" s="1023"/>
      <c r="Y60" s="1023"/>
      <c r="Z60" s="1023"/>
      <c r="AA60" s="1477"/>
      <c r="AB60" s="463"/>
      <c r="AC60" s="463"/>
      <c r="AD60" s="463"/>
      <c r="AE60" s="463"/>
    </row>
    <row r="61" spans="1:31" s="1838" customFormat="1" ht="11.25" customHeight="1">
      <c r="A61" s="858"/>
      <c r="B61" s="1481"/>
      <c r="C61" s="1481"/>
      <c r="D61" s="260"/>
      <c r="K61" s="1023"/>
      <c r="L61" s="1481"/>
      <c r="M61" s="1481"/>
      <c r="N61" s="1023"/>
      <c r="O61" s="1023"/>
      <c r="P61" s="1023"/>
      <c r="Q61" s="1023"/>
      <c r="R61" s="1481"/>
      <c r="S61" s="1023"/>
      <c r="T61" s="1023"/>
      <c r="U61" s="441"/>
      <c r="V61" s="1023"/>
      <c r="W61" s="1023"/>
      <c r="X61" s="1023"/>
      <c r="Y61" s="1023"/>
      <c r="Z61" s="1023"/>
      <c r="AA61" s="1477"/>
      <c r="AB61" s="463"/>
      <c r="AC61" s="463"/>
      <c r="AD61" s="463"/>
      <c r="AE61" s="463"/>
    </row>
    <row r="62" spans="1:31" s="1838" customFormat="1" ht="11.25" customHeight="1">
      <c r="A62" s="858"/>
      <c r="B62" s="1481"/>
      <c r="C62" s="1481"/>
      <c r="D62" s="260"/>
      <c r="K62" s="1023"/>
      <c r="L62" s="1481"/>
      <c r="M62" s="1481"/>
      <c r="N62" s="1023"/>
      <c r="O62" s="1023"/>
      <c r="P62" s="1023"/>
      <c r="Q62" s="1023"/>
      <c r="R62" s="1481"/>
      <c r="S62" s="1023"/>
      <c r="T62" s="1023"/>
      <c r="U62" s="441"/>
      <c r="V62" s="1023"/>
      <c r="W62" s="1023"/>
      <c r="X62" s="1023"/>
      <c r="Y62" s="1023"/>
      <c r="Z62" s="1023"/>
      <c r="AA62" s="1477"/>
      <c r="AB62" s="463"/>
      <c r="AC62" s="463"/>
      <c r="AD62" s="463"/>
      <c r="AE62" s="463"/>
    </row>
    <row r="63" spans="1:31" s="1838" customFormat="1" ht="11.25" customHeight="1">
      <c r="A63" s="858"/>
      <c r="B63" s="1481"/>
      <c r="C63" s="1481"/>
      <c r="D63" s="260"/>
      <c r="K63" s="1023"/>
      <c r="L63" s="1481"/>
      <c r="M63" s="1481"/>
      <c r="N63" s="1023"/>
      <c r="O63" s="1023"/>
      <c r="P63" s="1023"/>
      <c r="Q63" s="1023"/>
      <c r="R63" s="1481"/>
      <c r="S63" s="1023"/>
      <c r="T63" s="1023"/>
      <c r="U63" s="441"/>
      <c r="V63" s="1023"/>
      <c r="W63" s="1023"/>
      <c r="X63" s="1023"/>
      <c r="Y63" s="1023"/>
      <c r="Z63" s="1023"/>
      <c r="AA63" s="1477"/>
      <c r="AB63" s="463"/>
      <c r="AC63" s="463"/>
      <c r="AD63" s="463"/>
      <c r="AE63" s="463"/>
    </row>
    <row r="64" spans="1:31" s="1838" customFormat="1" ht="11.25" customHeight="1">
      <c r="A64" s="858"/>
      <c r="B64" s="1481"/>
      <c r="C64" s="1481"/>
      <c r="D64" s="260"/>
      <c r="K64" s="1023"/>
      <c r="L64" s="1481"/>
      <c r="M64" s="1481"/>
      <c r="N64" s="1023"/>
      <c r="O64" s="1023"/>
      <c r="P64" s="1023"/>
      <c r="Q64" s="1023"/>
      <c r="R64" s="1481"/>
      <c r="S64" s="1023"/>
      <c r="T64" s="1023"/>
      <c r="U64" s="441"/>
      <c r="V64" s="1023"/>
      <c r="W64" s="1023"/>
      <c r="X64" s="1023"/>
      <c r="Y64" s="1023"/>
      <c r="Z64" s="1023"/>
      <c r="AA64" s="1477"/>
      <c r="AB64" s="463"/>
      <c r="AC64" s="463"/>
      <c r="AD64" s="463"/>
      <c r="AE64" s="463"/>
    </row>
    <row r="65" spans="1:31" s="1838" customFormat="1" ht="11.25" customHeight="1">
      <c r="A65" s="858"/>
      <c r="B65" s="1481"/>
      <c r="C65" s="1481"/>
      <c r="D65" s="260"/>
      <c r="K65" s="1023"/>
      <c r="L65" s="1481"/>
      <c r="M65" s="1481"/>
      <c r="N65" s="1023"/>
      <c r="O65" s="1023"/>
      <c r="P65" s="1023"/>
      <c r="Q65" s="1023"/>
      <c r="R65" s="1481"/>
      <c r="S65" s="1023"/>
      <c r="T65" s="1023"/>
      <c r="U65" s="441"/>
      <c r="V65" s="1023"/>
      <c r="W65" s="1023"/>
      <c r="X65" s="1023"/>
      <c r="Y65" s="1023"/>
      <c r="Z65" s="1023"/>
      <c r="AA65" s="1477"/>
      <c r="AB65" s="463"/>
      <c r="AC65" s="463"/>
      <c r="AD65" s="463"/>
      <c r="AE65" s="463"/>
    </row>
    <row r="66" spans="1:31" s="1838" customFormat="1" ht="11.25" customHeight="1">
      <c r="A66" s="858"/>
      <c r="B66" s="1481"/>
      <c r="C66" s="1481"/>
      <c r="D66" s="260"/>
      <c r="K66" s="1023"/>
      <c r="L66" s="1481"/>
      <c r="M66" s="1481"/>
      <c r="N66" s="1023"/>
      <c r="O66" s="1023"/>
      <c r="P66" s="1023"/>
      <c r="Q66" s="1023"/>
      <c r="R66" s="1481"/>
      <c r="S66" s="1023"/>
      <c r="T66" s="1023"/>
      <c r="U66" s="441"/>
      <c r="V66" s="1023"/>
      <c r="W66" s="1023"/>
      <c r="X66" s="1023"/>
      <c r="Y66" s="1023"/>
      <c r="Z66" s="1023"/>
      <c r="AA66" s="1477"/>
      <c r="AB66" s="463"/>
      <c r="AC66" s="463"/>
      <c r="AD66" s="463"/>
      <c r="AE66" s="463"/>
    </row>
    <row r="67" spans="1:31" s="1838" customFormat="1" ht="11.25" customHeight="1">
      <c r="A67" s="858"/>
      <c r="B67" s="1481"/>
      <c r="C67" s="1481"/>
      <c r="D67" s="260"/>
      <c r="K67" s="1023"/>
      <c r="L67" s="1481"/>
      <c r="M67" s="1481"/>
      <c r="N67" s="1023"/>
      <c r="O67" s="1023"/>
      <c r="P67" s="1023"/>
      <c r="Q67" s="1023"/>
      <c r="R67" s="1481"/>
      <c r="S67" s="1023"/>
      <c r="T67" s="1023"/>
      <c r="U67" s="441"/>
      <c r="V67" s="1023"/>
      <c r="W67" s="1023"/>
      <c r="X67" s="1023"/>
      <c r="Y67" s="1023"/>
      <c r="Z67" s="1023"/>
      <c r="AA67" s="1477"/>
      <c r="AB67" s="463"/>
      <c r="AC67" s="463"/>
      <c r="AD67" s="463"/>
      <c r="AE67" s="463"/>
    </row>
    <row r="68" spans="1:31" s="1838" customFormat="1" ht="11.25" customHeight="1">
      <c r="A68" s="858"/>
      <c r="B68" s="1481"/>
      <c r="C68" s="1481"/>
      <c r="D68" s="260"/>
      <c r="K68" s="1023"/>
      <c r="L68" s="1481"/>
      <c r="M68" s="1481"/>
      <c r="N68" s="1023"/>
      <c r="O68" s="1023"/>
      <c r="P68" s="1023"/>
      <c r="Q68" s="1023"/>
      <c r="R68" s="1481"/>
      <c r="S68" s="1023"/>
      <c r="T68" s="1023"/>
      <c r="U68" s="441"/>
      <c r="V68" s="1023"/>
      <c r="W68" s="1023"/>
      <c r="X68" s="1023"/>
      <c r="Y68" s="1023"/>
      <c r="Z68" s="1023"/>
      <c r="AA68" s="1477"/>
      <c r="AB68" s="463"/>
      <c r="AC68" s="463"/>
      <c r="AD68" s="463"/>
      <c r="AE68" s="463"/>
    </row>
    <row r="69" spans="1:31" s="1838" customFormat="1" ht="11.25" customHeight="1">
      <c r="A69" s="858"/>
      <c r="B69" s="1481"/>
      <c r="C69" s="1481"/>
      <c r="D69" s="260"/>
      <c r="K69" s="1023"/>
      <c r="L69" s="1481"/>
      <c r="M69" s="1481"/>
      <c r="N69" s="1023"/>
      <c r="O69" s="1023"/>
      <c r="P69" s="1023"/>
      <c r="Q69" s="1023"/>
      <c r="R69" s="1481"/>
      <c r="S69" s="1023"/>
      <c r="T69" s="1023"/>
      <c r="U69" s="441"/>
      <c r="V69" s="1023"/>
      <c r="W69" s="1023"/>
      <c r="X69" s="1023"/>
      <c r="Y69" s="1023"/>
      <c r="Z69" s="1023"/>
      <c r="AA69" s="1477"/>
      <c r="AB69" s="463"/>
      <c r="AC69" s="463"/>
      <c r="AD69" s="463"/>
      <c r="AE69" s="463"/>
    </row>
    <row r="70" spans="1:31" s="1838" customFormat="1" ht="11.25" customHeight="1">
      <c r="A70" s="858"/>
      <c r="B70" s="1481"/>
      <c r="C70" s="1481"/>
      <c r="D70" s="260"/>
      <c r="K70" s="1023"/>
      <c r="L70" s="1481"/>
      <c r="M70" s="1481"/>
      <c r="N70" s="1023"/>
      <c r="O70" s="1023"/>
      <c r="P70" s="1023"/>
      <c r="Q70" s="1023"/>
      <c r="R70" s="1481"/>
      <c r="S70" s="1023"/>
      <c r="T70" s="1023"/>
      <c r="U70" s="441"/>
      <c r="V70" s="1023"/>
      <c r="W70" s="1023"/>
      <c r="X70" s="1023"/>
      <c r="Y70" s="1023"/>
      <c r="Z70" s="1023"/>
      <c r="AA70" s="1477"/>
      <c r="AB70" s="463"/>
      <c r="AC70" s="463"/>
      <c r="AD70" s="463"/>
      <c r="AE70" s="463"/>
    </row>
    <row r="71" spans="1:31" s="1838" customFormat="1" ht="11.25" customHeight="1">
      <c r="A71" s="858"/>
      <c r="B71" s="1481"/>
      <c r="C71" s="1481"/>
      <c r="D71" s="260"/>
      <c r="K71" s="1023"/>
      <c r="L71" s="1481"/>
      <c r="M71" s="1481"/>
      <c r="N71" s="1023"/>
      <c r="O71" s="1023"/>
      <c r="P71" s="1023"/>
      <c r="Q71" s="1023"/>
      <c r="R71" s="1481"/>
      <c r="S71" s="1023"/>
      <c r="T71" s="1023"/>
      <c r="U71" s="441"/>
      <c r="V71" s="1023"/>
      <c r="W71" s="1023"/>
      <c r="X71" s="1023"/>
      <c r="Y71" s="1023"/>
      <c r="Z71" s="1023"/>
      <c r="AA71" s="1477"/>
      <c r="AB71" s="463"/>
      <c r="AC71" s="463"/>
      <c r="AD71" s="463"/>
      <c r="AE71" s="463"/>
    </row>
    <row r="72" spans="1:31" s="1838" customFormat="1" ht="11.25" customHeight="1">
      <c r="A72" s="858"/>
      <c r="B72" s="1481"/>
      <c r="C72" s="1481"/>
      <c r="D72" s="260"/>
      <c r="K72" s="1023"/>
      <c r="L72" s="1481"/>
      <c r="M72" s="1481"/>
      <c r="N72" s="1023"/>
      <c r="O72" s="1023"/>
      <c r="P72" s="1023"/>
      <c r="Q72" s="1023"/>
      <c r="R72" s="1481"/>
      <c r="S72" s="1023"/>
      <c r="T72" s="1023"/>
      <c r="U72" s="441"/>
      <c r="V72" s="1023"/>
      <c r="W72" s="1023"/>
      <c r="X72" s="1023"/>
      <c r="Y72" s="1023"/>
      <c r="Z72" s="1023"/>
      <c r="AA72" s="1477"/>
      <c r="AB72" s="463"/>
      <c r="AC72" s="463"/>
      <c r="AD72" s="463"/>
      <c r="AE72" s="463"/>
    </row>
    <row r="73" spans="1:31" s="1838" customFormat="1" ht="11.25" customHeight="1">
      <c r="A73" s="858"/>
      <c r="B73" s="1481"/>
      <c r="C73" s="1481"/>
      <c r="D73" s="260"/>
      <c r="K73" s="1023"/>
      <c r="L73" s="1481"/>
      <c r="M73" s="1481"/>
      <c r="N73" s="1023"/>
      <c r="O73" s="1023"/>
      <c r="P73" s="1023"/>
      <c r="Q73" s="1023"/>
      <c r="R73" s="1481"/>
      <c r="S73" s="1023"/>
      <c r="T73" s="1023"/>
      <c r="U73" s="441"/>
      <c r="V73" s="1023"/>
      <c r="W73" s="1023"/>
      <c r="X73" s="1023"/>
      <c r="Y73" s="1023"/>
      <c r="Z73" s="1023"/>
      <c r="AA73" s="1477"/>
      <c r="AB73" s="463"/>
      <c r="AC73" s="463"/>
      <c r="AD73" s="463"/>
      <c r="AE73" s="463"/>
    </row>
    <row r="74" spans="1:31" s="1838" customFormat="1" ht="11.25" customHeight="1">
      <c r="A74" s="858"/>
      <c r="B74" s="1481"/>
      <c r="C74" s="1481"/>
      <c r="D74" s="260"/>
      <c r="K74" s="1023"/>
      <c r="L74" s="1481"/>
      <c r="M74" s="1481"/>
      <c r="N74" s="1023"/>
      <c r="O74" s="1023"/>
      <c r="P74" s="1023"/>
      <c r="Q74" s="1023"/>
      <c r="R74" s="1481"/>
      <c r="S74" s="1023"/>
      <c r="T74" s="1023"/>
      <c r="U74" s="441"/>
      <c r="V74" s="1023"/>
      <c r="W74" s="1023"/>
      <c r="X74" s="1023"/>
      <c r="Y74" s="1023"/>
      <c r="Z74" s="1023"/>
      <c r="AA74" s="1477"/>
      <c r="AB74" s="463"/>
      <c r="AC74" s="463"/>
      <c r="AD74" s="463"/>
      <c r="AE74" s="463"/>
    </row>
    <row r="75" spans="1:31" s="1838" customFormat="1" ht="11.25" customHeight="1">
      <c r="A75" s="858"/>
      <c r="B75" s="1481"/>
      <c r="C75" s="1481"/>
      <c r="D75" s="260"/>
      <c r="K75" s="1023"/>
      <c r="L75" s="1481"/>
      <c r="M75" s="1481"/>
      <c r="N75" s="1023"/>
      <c r="O75" s="1023"/>
      <c r="P75" s="1023"/>
      <c r="Q75" s="1023"/>
      <c r="R75" s="1481"/>
      <c r="S75" s="1023"/>
      <c r="T75" s="1023"/>
      <c r="U75" s="441"/>
      <c r="V75" s="1023"/>
      <c r="W75" s="1023"/>
      <c r="X75" s="1023"/>
      <c r="Y75" s="1023"/>
      <c r="Z75" s="1023"/>
      <c r="AA75" s="1477"/>
      <c r="AB75" s="463"/>
      <c r="AC75" s="463"/>
      <c r="AD75" s="463"/>
      <c r="AE75" s="463"/>
    </row>
    <row r="76" spans="1:31" s="1838" customFormat="1" ht="11.25" customHeight="1">
      <c r="A76" s="858"/>
      <c r="B76" s="1481"/>
      <c r="C76" s="1481"/>
      <c r="D76" s="260"/>
      <c r="K76" s="1023"/>
      <c r="L76" s="1481"/>
      <c r="M76" s="1481"/>
      <c r="N76" s="1023"/>
      <c r="O76" s="1023"/>
      <c r="P76" s="1023"/>
      <c r="Q76" s="1023"/>
      <c r="R76" s="1481"/>
      <c r="S76" s="1023"/>
      <c r="T76" s="1023"/>
      <c r="U76" s="441"/>
      <c r="V76" s="1023"/>
      <c r="W76" s="1023"/>
      <c r="X76" s="1023"/>
      <c r="Y76" s="1023"/>
      <c r="Z76" s="1023"/>
      <c r="AA76" s="1477"/>
      <c r="AB76" s="463"/>
      <c r="AC76" s="463"/>
      <c r="AD76" s="463"/>
      <c r="AE76" s="463"/>
    </row>
    <row r="77" spans="1:31" s="1838" customFormat="1" ht="11.25" customHeight="1">
      <c r="A77" s="858"/>
      <c r="B77" s="1481"/>
      <c r="C77" s="1481"/>
      <c r="D77" s="260"/>
      <c r="K77" s="1023"/>
      <c r="L77" s="1481"/>
      <c r="M77" s="1481"/>
      <c r="N77" s="1023"/>
      <c r="O77" s="1023"/>
      <c r="P77" s="1023"/>
      <c r="Q77" s="1023"/>
      <c r="R77" s="1481"/>
      <c r="S77" s="1023"/>
      <c r="T77" s="1023"/>
      <c r="U77" s="441"/>
      <c r="V77" s="1023"/>
      <c r="W77" s="1023"/>
      <c r="X77" s="1023"/>
      <c r="Y77" s="1023"/>
      <c r="Z77" s="1023"/>
      <c r="AA77" s="1477"/>
      <c r="AB77" s="463"/>
      <c r="AC77" s="463"/>
      <c r="AD77" s="463"/>
      <c r="AE77" s="463"/>
    </row>
    <row r="78" spans="1:31" s="1838" customFormat="1" ht="11.25" customHeight="1">
      <c r="A78" s="858"/>
      <c r="B78" s="1481"/>
      <c r="C78" s="1481"/>
      <c r="D78" s="260"/>
      <c r="K78" s="1023"/>
      <c r="L78" s="1481"/>
      <c r="M78" s="1481"/>
      <c r="N78" s="1023"/>
      <c r="O78" s="1023"/>
      <c r="P78" s="1023"/>
      <c r="Q78" s="1023"/>
      <c r="R78" s="1481"/>
      <c r="S78" s="1023"/>
      <c r="T78" s="1023"/>
      <c r="U78" s="441"/>
      <c r="V78" s="1023"/>
      <c r="W78" s="1023"/>
      <c r="X78" s="1023"/>
      <c r="Y78" s="1023"/>
      <c r="Z78" s="1023"/>
      <c r="AA78" s="1477"/>
      <c r="AB78" s="463"/>
      <c r="AC78" s="463"/>
      <c r="AD78" s="463"/>
      <c r="AE78" s="463"/>
    </row>
    <row r="79" spans="1:31" s="1838" customFormat="1" ht="11.25" customHeight="1">
      <c r="A79" s="858"/>
      <c r="B79" s="1481"/>
      <c r="C79" s="1481"/>
      <c r="D79" s="260"/>
      <c r="K79" s="1023"/>
      <c r="L79" s="1481"/>
      <c r="M79" s="1481"/>
      <c r="N79" s="1023"/>
      <c r="O79" s="1023"/>
      <c r="P79" s="1023"/>
      <c r="Q79" s="1023"/>
      <c r="R79" s="1481"/>
      <c r="S79" s="1023"/>
      <c r="T79" s="1023"/>
      <c r="U79" s="441"/>
      <c r="V79" s="1023"/>
      <c r="W79" s="1023"/>
      <c r="X79" s="1023"/>
      <c r="Y79" s="1023"/>
      <c r="Z79" s="1023"/>
      <c r="AA79" s="1477"/>
      <c r="AB79" s="463"/>
      <c r="AC79" s="463"/>
      <c r="AD79" s="463"/>
      <c r="AE79" s="463"/>
    </row>
    <row r="80" spans="1:31" s="1838" customFormat="1" ht="11.25" customHeight="1">
      <c r="A80" s="858"/>
      <c r="B80" s="1481"/>
      <c r="C80" s="1481"/>
      <c r="D80" s="260"/>
      <c r="K80" s="1023"/>
      <c r="L80" s="1481"/>
      <c r="M80" s="1481"/>
      <c r="N80" s="1023"/>
      <c r="O80" s="1023"/>
      <c r="P80" s="1023"/>
      <c r="Q80" s="1023"/>
      <c r="R80" s="1481"/>
      <c r="S80" s="1023"/>
      <c r="T80" s="1023"/>
      <c r="U80" s="441"/>
      <c r="V80" s="1023"/>
      <c r="W80" s="1023"/>
      <c r="X80" s="1023"/>
      <c r="Y80" s="1023"/>
      <c r="Z80" s="1023"/>
      <c r="AA80" s="1477"/>
      <c r="AB80" s="463"/>
      <c r="AC80" s="463"/>
      <c r="AD80" s="463"/>
      <c r="AE80" s="463"/>
    </row>
    <row r="81" spans="1:31" s="1838" customFormat="1" ht="11.25" customHeight="1">
      <c r="A81" s="858"/>
      <c r="B81" s="1481"/>
      <c r="C81" s="1481"/>
      <c r="D81" s="260"/>
      <c r="K81" s="1023"/>
      <c r="L81" s="1481"/>
      <c r="M81" s="1481"/>
      <c r="N81" s="1023"/>
      <c r="O81" s="1023"/>
      <c r="P81" s="1023"/>
      <c r="Q81" s="1023"/>
      <c r="R81" s="1481"/>
      <c r="S81" s="1023"/>
      <c r="T81" s="1023"/>
      <c r="U81" s="441"/>
      <c r="V81" s="1023"/>
      <c r="W81" s="1023"/>
      <c r="X81" s="1023"/>
      <c r="Y81" s="1023"/>
      <c r="Z81" s="1023"/>
      <c r="AA81" s="1477"/>
      <c r="AB81" s="463"/>
      <c r="AC81" s="463"/>
      <c r="AD81" s="463"/>
      <c r="AE81" s="463"/>
    </row>
    <row r="82" spans="1:31" s="1838" customFormat="1" ht="11.25" customHeight="1">
      <c r="A82" s="858"/>
      <c r="B82" s="1481"/>
      <c r="C82" s="1481"/>
      <c r="D82" s="260"/>
      <c r="K82" s="1023"/>
      <c r="L82" s="1481"/>
      <c r="M82" s="1481"/>
      <c r="N82" s="1023"/>
      <c r="O82" s="1023"/>
      <c r="P82" s="1023"/>
      <c r="Q82" s="1023"/>
      <c r="R82" s="1481"/>
      <c r="S82" s="1023"/>
      <c r="T82" s="1023"/>
      <c r="U82" s="441"/>
      <c r="V82" s="1023"/>
      <c r="W82" s="1023"/>
      <c r="X82" s="1023"/>
      <c r="Y82" s="1023"/>
      <c r="Z82" s="1023"/>
      <c r="AA82" s="1477"/>
      <c r="AB82" s="463"/>
      <c r="AC82" s="463"/>
      <c r="AD82" s="463"/>
      <c r="AE82" s="463"/>
    </row>
    <row r="83" spans="1:31" s="1838" customFormat="1" ht="11.25" customHeight="1">
      <c r="A83" s="858"/>
      <c r="B83" s="1481"/>
      <c r="C83" s="1481"/>
      <c r="D83" s="260"/>
      <c r="K83" s="1023"/>
      <c r="L83" s="1481"/>
      <c r="M83" s="1481"/>
      <c r="N83" s="1023"/>
      <c r="O83" s="1023"/>
      <c r="P83" s="1023"/>
      <c r="Q83" s="1023"/>
      <c r="R83" s="1481"/>
      <c r="S83" s="1023"/>
      <c r="T83" s="1023"/>
      <c r="U83" s="441"/>
      <c r="V83" s="1023"/>
      <c r="W83" s="1023"/>
      <c r="X83" s="1023"/>
      <c r="Y83" s="1023"/>
      <c r="Z83" s="1023"/>
      <c r="AA83" s="1477"/>
      <c r="AB83" s="463"/>
      <c r="AC83" s="463"/>
      <c r="AD83" s="463"/>
      <c r="AE83" s="463"/>
    </row>
    <row r="84" spans="1:31" s="1838" customFormat="1" ht="11.25" customHeight="1">
      <c r="A84" s="858"/>
      <c r="B84" s="1481"/>
      <c r="C84" s="1481"/>
      <c r="D84" s="260"/>
      <c r="K84" s="1023"/>
      <c r="L84" s="1481"/>
      <c r="M84" s="1481"/>
      <c r="N84" s="1023"/>
      <c r="O84" s="1023"/>
      <c r="P84" s="1023"/>
      <c r="Q84" s="1023"/>
      <c r="R84" s="1481"/>
      <c r="S84" s="1023"/>
      <c r="T84" s="1023"/>
      <c r="U84" s="441"/>
      <c r="V84" s="1023"/>
      <c r="W84" s="1023"/>
      <c r="X84" s="1023"/>
      <c r="Y84" s="1023"/>
      <c r="Z84" s="1023"/>
      <c r="AA84" s="1477"/>
      <c r="AB84" s="463"/>
      <c r="AC84" s="463"/>
      <c r="AD84" s="463"/>
      <c r="AE84" s="463"/>
    </row>
    <row r="85" spans="1:31" s="1838" customFormat="1" ht="11.25" customHeight="1">
      <c r="A85" s="858"/>
      <c r="B85" s="1481"/>
      <c r="C85" s="1481"/>
      <c r="D85" s="260"/>
      <c r="K85" s="1023"/>
      <c r="L85" s="1481"/>
      <c r="M85" s="1481"/>
      <c r="N85" s="1023"/>
      <c r="O85" s="1023"/>
      <c r="P85" s="1023"/>
      <c r="Q85" s="1023"/>
      <c r="R85" s="1481"/>
      <c r="S85" s="1023"/>
      <c r="T85" s="1023"/>
      <c r="U85" s="441"/>
      <c r="V85" s="1023"/>
      <c r="W85" s="1023"/>
      <c r="X85" s="1023"/>
      <c r="Y85" s="1023"/>
      <c r="Z85" s="1023"/>
      <c r="AA85" s="1477"/>
      <c r="AB85" s="463"/>
      <c r="AC85" s="463"/>
      <c r="AD85" s="463"/>
      <c r="AE85" s="463"/>
    </row>
    <row r="86" spans="1:31" s="1838" customFormat="1" ht="11.25" customHeight="1">
      <c r="A86" s="858"/>
      <c r="B86" s="1481"/>
      <c r="C86" s="1481"/>
      <c r="D86" s="260"/>
      <c r="K86" s="1023"/>
      <c r="L86" s="1481"/>
      <c r="M86" s="1481"/>
      <c r="N86" s="1023"/>
      <c r="O86" s="1023"/>
      <c r="P86" s="1023"/>
      <c r="Q86" s="1023"/>
      <c r="R86" s="1481"/>
      <c r="S86" s="1023"/>
      <c r="T86" s="1023"/>
      <c r="U86" s="441"/>
      <c r="V86" s="1023"/>
      <c r="W86" s="1023"/>
      <c r="X86" s="1023"/>
      <c r="Y86" s="1023"/>
      <c r="Z86" s="1023"/>
      <c r="AA86" s="1477"/>
      <c r="AB86" s="463"/>
      <c r="AC86" s="463"/>
      <c r="AD86" s="463"/>
      <c r="AE86" s="463"/>
    </row>
    <row r="87" spans="1:31" s="1838" customFormat="1" ht="11.25" customHeight="1">
      <c r="A87" s="858"/>
      <c r="B87" s="1481"/>
      <c r="C87" s="1481"/>
      <c r="D87" s="260"/>
      <c r="K87" s="1023"/>
      <c r="L87" s="1481"/>
      <c r="M87" s="1481"/>
      <c r="N87" s="1023"/>
      <c r="O87" s="1023"/>
      <c r="P87" s="1023"/>
      <c r="Q87" s="1023"/>
      <c r="R87" s="1481"/>
      <c r="S87" s="1023"/>
      <c r="T87" s="1023"/>
      <c r="U87" s="441"/>
      <c r="V87" s="1023"/>
      <c r="W87" s="1023"/>
      <c r="X87" s="1023"/>
      <c r="Y87" s="1023"/>
      <c r="Z87" s="1023"/>
      <c r="AA87" s="1477"/>
      <c r="AB87" s="463"/>
      <c r="AC87" s="463"/>
      <c r="AD87" s="463"/>
      <c r="AE87" s="463"/>
    </row>
    <row r="88" spans="1:31" s="1838" customFormat="1" ht="11.25" customHeight="1">
      <c r="A88" s="858"/>
      <c r="B88" s="1481"/>
      <c r="C88" s="1481"/>
      <c r="D88" s="260"/>
      <c r="K88" s="1023"/>
      <c r="L88" s="1481"/>
      <c r="M88" s="1481"/>
      <c r="N88" s="1023"/>
      <c r="O88" s="1023"/>
      <c r="P88" s="1023"/>
      <c r="Q88" s="1023"/>
      <c r="R88" s="1481"/>
      <c r="S88" s="1023"/>
      <c r="T88" s="1023"/>
      <c r="U88" s="441"/>
      <c r="V88" s="1023"/>
      <c r="W88" s="1023"/>
      <c r="X88" s="1023"/>
      <c r="Y88" s="1023"/>
      <c r="Z88" s="1023"/>
      <c r="AA88" s="1477"/>
      <c r="AB88" s="463"/>
      <c r="AC88" s="463"/>
      <c r="AD88" s="463"/>
      <c r="AE88" s="463"/>
    </row>
    <row r="89" spans="1:31" s="1838" customFormat="1" ht="11.25" customHeight="1">
      <c r="A89" s="858"/>
      <c r="B89" s="1481"/>
      <c r="C89" s="1481"/>
      <c r="D89" s="260"/>
      <c r="K89" s="1023"/>
      <c r="L89" s="1481"/>
      <c r="M89" s="1481"/>
      <c r="N89" s="1023"/>
      <c r="O89" s="1023"/>
      <c r="P89" s="1023"/>
      <c r="Q89" s="1023"/>
      <c r="R89" s="1481"/>
      <c r="S89" s="1023"/>
      <c r="T89" s="1023"/>
      <c r="U89" s="441"/>
      <c r="V89" s="1023"/>
      <c r="W89" s="1023"/>
      <c r="X89" s="1023"/>
      <c r="Y89" s="1023"/>
      <c r="Z89" s="1023"/>
      <c r="AA89" s="1477"/>
      <c r="AB89" s="463"/>
      <c r="AC89" s="463"/>
      <c r="AD89" s="463"/>
      <c r="AE89" s="463"/>
    </row>
    <row r="90" spans="1:31" s="1838" customFormat="1" ht="11.25" customHeight="1">
      <c r="A90" s="858"/>
      <c r="B90" s="1481"/>
      <c r="C90" s="1481"/>
      <c r="D90" s="260"/>
      <c r="K90" s="1023"/>
      <c r="L90" s="1481"/>
      <c r="M90" s="1481"/>
      <c r="N90" s="1023"/>
      <c r="O90" s="1023"/>
      <c r="P90" s="1023"/>
      <c r="Q90" s="1023"/>
      <c r="R90" s="1481"/>
      <c r="S90" s="1023"/>
      <c r="T90" s="1023"/>
      <c r="U90" s="441"/>
      <c r="V90" s="1023"/>
      <c r="W90" s="1023"/>
      <c r="X90" s="1023"/>
      <c r="Y90" s="1023"/>
      <c r="Z90" s="1023"/>
      <c r="AA90" s="1477"/>
      <c r="AB90" s="463"/>
      <c r="AC90" s="463"/>
      <c r="AD90" s="463"/>
      <c r="AE90" s="463"/>
    </row>
    <row r="91" spans="1:31" s="1838" customFormat="1" ht="11.25" customHeight="1">
      <c r="A91" s="858"/>
      <c r="B91" s="1481"/>
      <c r="C91" s="1481"/>
      <c r="D91" s="260"/>
      <c r="K91" s="1023"/>
      <c r="L91" s="1481"/>
      <c r="M91" s="1481"/>
      <c r="N91" s="1023"/>
      <c r="O91" s="1023"/>
      <c r="P91" s="1023"/>
      <c r="Q91" s="1023"/>
      <c r="R91" s="1481"/>
      <c r="S91" s="1023"/>
      <c r="T91" s="1023"/>
      <c r="U91" s="441"/>
      <c r="V91" s="1023"/>
      <c r="W91" s="1023"/>
      <c r="X91" s="1023"/>
      <c r="Y91" s="1023"/>
      <c r="Z91" s="1023"/>
      <c r="AA91" s="1477"/>
      <c r="AB91" s="463"/>
      <c r="AC91" s="463"/>
      <c r="AD91" s="463"/>
      <c r="AE91" s="463"/>
    </row>
    <row r="92" spans="1:31" s="1838" customFormat="1" ht="11.25" customHeight="1">
      <c r="A92" s="858"/>
      <c r="B92" s="1481"/>
      <c r="C92" s="1481"/>
      <c r="D92" s="260"/>
      <c r="K92" s="1023"/>
      <c r="L92" s="1481"/>
      <c r="M92" s="1481"/>
      <c r="N92" s="1023"/>
      <c r="O92" s="1023"/>
      <c r="P92" s="1023"/>
      <c r="Q92" s="1023"/>
      <c r="R92" s="1481"/>
      <c r="S92" s="1023"/>
      <c r="T92" s="1023"/>
      <c r="U92" s="441"/>
      <c r="V92" s="1023"/>
      <c r="W92" s="1023"/>
      <c r="X92" s="1023"/>
      <c r="Y92" s="1023"/>
      <c r="Z92" s="1023"/>
      <c r="AA92" s="1477"/>
      <c r="AB92" s="463"/>
      <c r="AC92" s="463"/>
      <c r="AD92" s="463"/>
      <c r="AE92" s="463"/>
    </row>
    <row r="93" spans="1:31" s="1838" customFormat="1" ht="11.25" customHeight="1">
      <c r="A93" s="858"/>
      <c r="B93" s="1481"/>
      <c r="C93" s="1481"/>
      <c r="D93" s="260"/>
      <c r="K93" s="1023"/>
      <c r="L93" s="1481"/>
      <c r="M93" s="1481"/>
      <c r="N93" s="1023"/>
      <c r="O93" s="1023"/>
      <c r="P93" s="1023"/>
      <c r="Q93" s="1023"/>
      <c r="R93" s="1481"/>
      <c r="S93" s="1023"/>
      <c r="T93" s="1023"/>
      <c r="U93" s="441"/>
      <c r="V93" s="1023"/>
      <c r="W93" s="1023"/>
      <c r="X93" s="1023"/>
      <c r="Y93" s="1023"/>
      <c r="Z93" s="1023"/>
      <c r="AA93" s="1477"/>
      <c r="AB93" s="463"/>
      <c r="AC93" s="463"/>
      <c r="AD93" s="463"/>
      <c r="AE93" s="463"/>
    </row>
    <row r="94" spans="1:31" s="1838" customFormat="1" ht="11.25" customHeight="1">
      <c r="A94" s="858"/>
      <c r="B94" s="1481"/>
      <c r="C94" s="1481"/>
      <c r="D94" s="260"/>
      <c r="K94" s="1023"/>
      <c r="L94" s="1481"/>
      <c r="M94" s="1481"/>
      <c r="N94" s="1023"/>
      <c r="O94" s="1023"/>
      <c r="P94" s="1023"/>
      <c r="Q94" s="1023"/>
      <c r="R94" s="1481"/>
      <c r="S94" s="1023"/>
      <c r="T94" s="1023"/>
      <c r="U94" s="441"/>
      <c r="V94" s="1023"/>
      <c r="W94" s="1023"/>
      <c r="X94" s="1023"/>
      <c r="Y94" s="1023"/>
      <c r="Z94" s="1023"/>
      <c r="AA94" s="1477"/>
      <c r="AB94" s="463"/>
      <c r="AC94" s="463"/>
      <c r="AD94" s="463"/>
      <c r="AE94" s="463"/>
    </row>
    <row r="95" spans="1:31" s="1838" customFormat="1" ht="11.25" customHeight="1">
      <c r="A95" s="858"/>
      <c r="B95" s="1481"/>
      <c r="C95" s="1481"/>
      <c r="D95" s="260"/>
      <c r="K95" s="1023"/>
      <c r="L95" s="1481"/>
      <c r="M95" s="1481"/>
      <c r="N95" s="1023"/>
      <c r="O95" s="1023"/>
      <c r="P95" s="1023"/>
      <c r="Q95" s="1023"/>
      <c r="R95" s="1481"/>
      <c r="S95" s="1023"/>
      <c r="T95" s="1023"/>
      <c r="U95" s="441"/>
      <c r="V95" s="1023"/>
      <c r="W95" s="1023"/>
      <c r="X95" s="1023"/>
      <c r="Y95" s="1023"/>
      <c r="Z95" s="1023"/>
      <c r="AA95" s="1477"/>
      <c r="AB95" s="463"/>
      <c r="AC95" s="463"/>
      <c r="AD95" s="463"/>
      <c r="AE95" s="463"/>
    </row>
    <row r="96" spans="1:31" s="1838" customFormat="1" ht="11.25" customHeight="1">
      <c r="A96" s="858"/>
      <c r="B96" s="1481"/>
      <c r="C96" s="1481"/>
      <c r="D96" s="260"/>
      <c r="K96" s="1023"/>
      <c r="L96" s="1481"/>
      <c r="M96" s="1481"/>
      <c r="N96" s="1023"/>
      <c r="O96" s="1023"/>
      <c r="P96" s="1023"/>
      <c r="Q96" s="1023"/>
      <c r="R96" s="1481"/>
      <c r="S96" s="1023"/>
      <c r="T96" s="1023"/>
      <c r="U96" s="441"/>
      <c r="V96" s="1023"/>
      <c r="W96" s="1023"/>
      <c r="X96" s="1023"/>
      <c r="Y96" s="1023"/>
      <c r="Z96" s="1023"/>
      <c r="AA96" s="1477"/>
      <c r="AB96" s="463"/>
      <c r="AC96" s="463"/>
      <c r="AD96" s="463"/>
      <c r="AE96" s="463"/>
    </row>
    <row r="97" spans="1:31" s="1838" customFormat="1" ht="11.25" customHeight="1">
      <c r="A97" s="858"/>
      <c r="B97" s="1481"/>
      <c r="C97" s="1481"/>
      <c r="D97" s="260"/>
      <c r="K97" s="1023"/>
      <c r="L97" s="1481"/>
      <c r="M97" s="1481"/>
      <c r="N97" s="1023"/>
      <c r="O97" s="1023"/>
      <c r="P97" s="1023"/>
      <c r="Q97" s="1023"/>
      <c r="R97" s="1481"/>
      <c r="S97" s="1023"/>
      <c r="T97" s="1023"/>
      <c r="U97" s="441"/>
      <c r="V97" s="1023"/>
      <c r="W97" s="1023"/>
      <c r="X97" s="1023"/>
      <c r="Y97" s="1023"/>
      <c r="Z97" s="1023"/>
      <c r="AA97" s="1477"/>
      <c r="AB97" s="463"/>
      <c r="AC97" s="463"/>
      <c r="AD97" s="463"/>
      <c r="AE97" s="463"/>
    </row>
    <row r="98" spans="1:31" s="1838" customFormat="1" ht="11.25" customHeight="1">
      <c r="A98" s="858"/>
      <c r="B98" s="1481"/>
      <c r="C98" s="1481"/>
      <c r="D98" s="260"/>
      <c r="K98" s="1023"/>
      <c r="L98" s="1481"/>
      <c r="M98" s="1481"/>
      <c r="N98" s="1023"/>
      <c r="O98" s="1023"/>
      <c r="P98" s="1023"/>
      <c r="Q98" s="1023"/>
      <c r="R98" s="1481"/>
      <c r="S98" s="1023"/>
      <c r="T98" s="1023"/>
      <c r="U98" s="441"/>
      <c r="V98" s="1023"/>
      <c r="W98" s="1023"/>
      <c r="X98" s="1023"/>
      <c r="Y98" s="1023"/>
      <c r="Z98" s="1023"/>
      <c r="AA98" s="1477"/>
      <c r="AB98" s="463"/>
      <c r="AC98" s="463"/>
      <c r="AD98" s="463"/>
      <c r="AE98" s="463"/>
    </row>
    <row r="99" spans="1:31" s="1838" customFormat="1" ht="11.25" customHeight="1">
      <c r="A99" s="858"/>
      <c r="B99" s="1481"/>
      <c r="C99" s="1481"/>
      <c r="D99" s="260"/>
      <c r="K99" s="1023"/>
      <c r="L99" s="1481"/>
      <c r="M99" s="1481"/>
      <c r="N99" s="1023"/>
      <c r="O99" s="1023"/>
      <c r="P99" s="1023"/>
      <c r="Q99" s="1023"/>
      <c r="R99" s="1481"/>
      <c r="S99" s="1023"/>
      <c r="T99" s="1023"/>
      <c r="U99" s="441"/>
      <c r="V99" s="1023"/>
      <c r="W99" s="1023"/>
      <c r="X99" s="1023"/>
      <c r="Y99" s="1023"/>
      <c r="Z99" s="1023"/>
      <c r="AA99" s="1477"/>
      <c r="AB99" s="463"/>
      <c r="AC99" s="463"/>
      <c r="AD99" s="463"/>
      <c r="AE99" s="463"/>
    </row>
    <row r="100" spans="1:31" s="1838" customFormat="1" ht="11.25" customHeight="1">
      <c r="A100" s="858"/>
      <c r="B100" s="1481"/>
      <c r="C100" s="1481"/>
      <c r="D100" s="260"/>
      <c r="K100" s="1023"/>
      <c r="L100" s="1481"/>
      <c r="M100" s="1481"/>
      <c r="N100" s="1023"/>
      <c r="O100" s="1023"/>
      <c r="P100" s="1023"/>
      <c r="Q100" s="1023"/>
      <c r="R100" s="1481"/>
      <c r="S100" s="1023"/>
      <c r="T100" s="1023"/>
      <c r="U100" s="441"/>
      <c r="V100" s="1023"/>
      <c r="W100" s="1023"/>
      <c r="X100" s="1023"/>
      <c r="Y100" s="1023"/>
      <c r="Z100" s="1023"/>
      <c r="AA100" s="1477"/>
      <c r="AB100" s="463"/>
      <c r="AC100" s="463"/>
      <c r="AD100" s="463"/>
      <c r="AE100" s="463"/>
    </row>
    <row r="101" spans="1:31" s="1838" customFormat="1" ht="11.25" customHeight="1">
      <c r="A101" s="858"/>
      <c r="B101" s="1481"/>
      <c r="C101" s="1481"/>
      <c r="D101" s="260"/>
      <c r="K101" s="1023"/>
      <c r="L101" s="1481"/>
      <c r="M101" s="1481"/>
      <c r="N101" s="1023"/>
      <c r="O101" s="1023"/>
      <c r="P101" s="1023"/>
      <c r="Q101" s="1023"/>
      <c r="R101" s="1481"/>
      <c r="S101" s="1023"/>
      <c r="T101" s="1023"/>
      <c r="U101" s="441"/>
      <c r="V101" s="1023"/>
      <c r="W101" s="1023"/>
      <c r="X101" s="1023"/>
      <c r="Y101" s="1023"/>
      <c r="Z101" s="1023"/>
      <c r="AA101" s="1477"/>
      <c r="AB101" s="463"/>
      <c r="AC101" s="463"/>
      <c r="AD101" s="463"/>
      <c r="AE101" s="463"/>
    </row>
    <row r="102" spans="1:31" s="1838" customFormat="1" ht="11.25" customHeight="1">
      <c r="A102" s="858"/>
      <c r="B102" s="1481"/>
      <c r="C102" s="1481"/>
      <c r="D102" s="260"/>
      <c r="K102" s="1023"/>
      <c r="L102" s="1481"/>
      <c r="M102" s="1481"/>
      <c r="N102" s="1023"/>
      <c r="O102" s="1023"/>
      <c r="P102" s="1023"/>
      <c r="Q102" s="1023"/>
      <c r="R102" s="1481"/>
      <c r="S102" s="1023"/>
      <c r="T102" s="1023"/>
      <c r="U102" s="441"/>
      <c r="V102" s="1023"/>
      <c r="W102" s="1023"/>
      <c r="X102" s="1023"/>
      <c r="Y102" s="1023"/>
      <c r="Z102" s="1023"/>
      <c r="AA102" s="1477"/>
      <c r="AB102" s="463"/>
      <c r="AC102" s="463"/>
      <c r="AD102" s="463"/>
      <c r="AE102" s="463"/>
    </row>
    <row r="103" spans="1:31" s="1838" customFormat="1" ht="11.25" customHeight="1">
      <c r="A103" s="858"/>
      <c r="B103" s="1481"/>
      <c r="C103" s="1481"/>
      <c r="D103" s="260"/>
      <c r="K103" s="1023"/>
      <c r="L103" s="1481"/>
      <c r="M103" s="1481"/>
      <c r="N103" s="1023"/>
      <c r="O103" s="1023"/>
      <c r="P103" s="1023"/>
      <c r="Q103" s="1023"/>
      <c r="R103" s="1481"/>
      <c r="S103" s="1023"/>
      <c r="T103" s="1023"/>
      <c r="U103" s="441"/>
      <c r="V103" s="1023"/>
      <c r="W103" s="1023"/>
      <c r="X103" s="1023"/>
      <c r="Y103" s="1023"/>
      <c r="Z103" s="1023"/>
      <c r="AA103" s="1477"/>
      <c r="AB103" s="463"/>
      <c r="AC103" s="463"/>
      <c r="AD103" s="463"/>
      <c r="AE103" s="463"/>
    </row>
    <row r="104" spans="1:31" s="1838" customFormat="1" ht="11.25" customHeight="1">
      <c r="A104" s="858"/>
      <c r="B104" s="1481"/>
      <c r="C104" s="1481"/>
      <c r="D104" s="260"/>
      <c r="K104" s="1023"/>
      <c r="L104" s="1481"/>
      <c r="M104" s="1481"/>
      <c r="N104" s="1023"/>
      <c r="O104" s="1023"/>
      <c r="P104" s="1023"/>
      <c r="Q104" s="1023"/>
      <c r="R104" s="1481"/>
      <c r="S104" s="1023"/>
      <c r="T104" s="1023"/>
      <c r="U104" s="441"/>
      <c r="V104" s="1023"/>
      <c r="W104" s="1023"/>
      <c r="X104" s="1023"/>
      <c r="Y104" s="1023"/>
      <c r="Z104" s="1023"/>
      <c r="AA104" s="1477"/>
      <c r="AB104" s="463"/>
      <c r="AC104" s="463"/>
      <c r="AD104" s="463"/>
      <c r="AE104" s="463"/>
    </row>
    <row r="105" spans="1:31" s="1838" customFormat="1" ht="11.25" customHeight="1">
      <c r="A105" s="858"/>
      <c r="B105" s="1481"/>
      <c r="C105" s="1481"/>
      <c r="D105" s="260"/>
      <c r="K105" s="1023"/>
      <c r="L105" s="1481"/>
      <c r="M105" s="1481"/>
      <c r="N105" s="1023"/>
      <c r="O105" s="1023"/>
      <c r="P105" s="1023"/>
      <c r="Q105" s="1023"/>
      <c r="R105" s="1481"/>
      <c r="S105" s="1023"/>
      <c r="T105" s="1023"/>
      <c r="U105" s="441"/>
      <c r="V105" s="1023"/>
      <c r="W105" s="1023"/>
      <c r="X105" s="1023"/>
      <c r="Y105" s="1023"/>
      <c r="Z105" s="1023"/>
      <c r="AA105" s="1477"/>
      <c r="AB105" s="463"/>
      <c r="AC105" s="463"/>
      <c r="AD105" s="463"/>
      <c r="AE105" s="463"/>
    </row>
    <row r="106" spans="1:31" s="1838" customFormat="1" ht="11.25" customHeight="1">
      <c r="A106" s="858"/>
      <c r="B106" s="1481"/>
      <c r="C106" s="1481"/>
      <c r="D106" s="260"/>
      <c r="K106" s="1023"/>
      <c r="L106" s="1481"/>
      <c r="M106" s="1481"/>
      <c r="N106" s="1023"/>
      <c r="O106" s="1023"/>
      <c r="P106" s="1023"/>
      <c r="Q106" s="1023"/>
      <c r="R106" s="1481"/>
      <c r="S106" s="1023"/>
      <c r="T106" s="1023"/>
      <c r="U106" s="441"/>
      <c r="V106" s="1023"/>
      <c r="W106" s="1023"/>
      <c r="X106" s="1023"/>
      <c r="Y106" s="1023"/>
      <c r="Z106" s="1023"/>
      <c r="AA106" s="1477"/>
      <c r="AB106" s="463"/>
      <c r="AC106" s="463"/>
      <c r="AD106" s="463"/>
      <c r="AE106" s="463"/>
    </row>
    <row r="107" spans="1:31" s="1838" customFormat="1" ht="11.25" customHeight="1">
      <c r="A107" s="858"/>
      <c r="B107" s="1481"/>
      <c r="C107" s="1481"/>
      <c r="D107" s="260"/>
      <c r="K107" s="1023"/>
      <c r="L107" s="1481"/>
      <c r="M107" s="1481"/>
      <c r="N107" s="1023"/>
      <c r="O107" s="1023"/>
      <c r="P107" s="1023"/>
      <c r="Q107" s="1023"/>
      <c r="R107" s="1481"/>
      <c r="S107" s="1023"/>
      <c r="T107" s="1023"/>
      <c r="U107" s="441"/>
      <c r="V107" s="1023"/>
      <c r="W107" s="1023"/>
      <c r="X107" s="1023"/>
      <c r="Y107" s="1023"/>
      <c r="Z107" s="1023"/>
      <c r="AA107" s="1477"/>
      <c r="AB107" s="463"/>
      <c r="AC107" s="463"/>
      <c r="AD107" s="463"/>
      <c r="AE107" s="463"/>
    </row>
    <row r="108" spans="1:31" s="1838" customFormat="1" ht="11.25" customHeight="1">
      <c r="A108" s="858"/>
      <c r="B108" s="1481"/>
      <c r="C108" s="1481"/>
      <c r="D108" s="260"/>
      <c r="K108" s="1023"/>
      <c r="L108" s="1481"/>
      <c r="M108" s="1481"/>
      <c r="N108" s="1023"/>
      <c r="O108" s="1023"/>
      <c r="P108" s="1023"/>
      <c r="Q108" s="1023"/>
      <c r="R108" s="1481"/>
      <c r="S108" s="1023"/>
      <c r="T108" s="1023"/>
      <c r="U108" s="441"/>
      <c r="V108" s="1023"/>
      <c r="W108" s="1023"/>
      <c r="X108" s="1023"/>
      <c r="Y108" s="1023"/>
      <c r="Z108" s="1023"/>
      <c r="AA108" s="1477"/>
      <c r="AB108" s="463"/>
      <c r="AC108" s="463"/>
      <c r="AD108" s="463"/>
      <c r="AE108" s="463"/>
    </row>
    <row r="109" spans="1:31" s="1838" customFormat="1" ht="11.25" customHeight="1">
      <c r="A109" s="858"/>
      <c r="B109" s="1481"/>
      <c r="C109" s="1481"/>
      <c r="D109" s="260"/>
      <c r="K109" s="1023"/>
      <c r="L109" s="1481"/>
      <c r="M109" s="1481"/>
      <c r="N109" s="1023"/>
      <c r="O109" s="1023"/>
      <c r="P109" s="1023"/>
      <c r="Q109" s="1023"/>
      <c r="R109" s="1481"/>
      <c r="S109" s="1023"/>
      <c r="T109" s="1023"/>
      <c r="U109" s="441"/>
      <c r="V109" s="1023"/>
      <c r="W109" s="1023"/>
      <c r="X109" s="1023"/>
      <c r="Y109" s="1023"/>
      <c r="Z109" s="1023"/>
      <c r="AA109" s="1477"/>
      <c r="AB109" s="463"/>
      <c r="AC109" s="463"/>
      <c r="AD109" s="463"/>
      <c r="AE109" s="463"/>
    </row>
    <row r="110" spans="1:31" s="1838" customFormat="1" ht="11.25" customHeight="1">
      <c r="A110" s="858"/>
      <c r="B110" s="1481"/>
      <c r="C110" s="1481"/>
      <c r="D110" s="260"/>
      <c r="K110" s="1023"/>
      <c r="L110" s="1481"/>
      <c r="M110" s="1481"/>
      <c r="N110" s="1023"/>
      <c r="O110" s="1023"/>
      <c r="P110" s="1023"/>
      <c r="Q110" s="1023"/>
      <c r="R110" s="1481"/>
      <c r="S110" s="1023"/>
      <c r="T110" s="1023"/>
      <c r="U110" s="441"/>
      <c r="V110" s="1023"/>
      <c r="W110" s="1023"/>
      <c r="X110" s="1023"/>
      <c r="Y110" s="1023"/>
      <c r="Z110" s="1023"/>
      <c r="AA110" s="1477"/>
      <c r="AB110" s="463"/>
      <c r="AC110" s="463"/>
      <c r="AD110" s="463"/>
      <c r="AE110" s="463"/>
    </row>
    <row r="111" spans="1:31" s="1838" customFormat="1" ht="11.25" customHeight="1">
      <c r="A111" s="858"/>
      <c r="B111" s="1481"/>
      <c r="C111" s="1481"/>
      <c r="D111" s="260"/>
      <c r="K111" s="1023"/>
      <c r="L111" s="1481"/>
      <c r="M111" s="1481"/>
      <c r="N111" s="1023"/>
      <c r="O111" s="1023"/>
      <c r="P111" s="1023"/>
      <c r="Q111" s="1023"/>
      <c r="R111" s="1481"/>
      <c r="S111" s="1023"/>
      <c r="T111" s="1023"/>
      <c r="U111" s="441"/>
      <c r="V111" s="1023"/>
      <c r="W111" s="1023"/>
      <c r="X111" s="1023"/>
      <c r="Y111" s="1023"/>
      <c r="Z111" s="1023"/>
      <c r="AA111" s="1477"/>
      <c r="AB111" s="463"/>
      <c r="AC111" s="463"/>
      <c r="AD111" s="463"/>
      <c r="AE111" s="463"/>
    </row>
    <row r="112" spans="1:31" s="1838" customFormat="1" ht="11.25" customHeight="1">
      <c r="A112" s="858"/>
      <c r="B112" s="1481"/>
      <c r="C112" s="1481"/>
      <c r="D112" s="260"/>
      <c r="K112" s="1023"/>
      <c r="L112" s="1481"/>
      <c r="M112" s="1481"/>
      <c r="N112" s="1023"/>
      <c r="O112" s="1023"/>
      <c r="P112" s="1023"/>
      <c r="Q112" s="1023"/>
      <c r="R112" s="1481"/>
      <c r="S112" s="1023"/>
      <c r="T112" s="1023"/>
      <c r="U112" s="441"/>
      <c r="V112" s="1023"/>
      <c r="W112" s="1023"/>
      <c r="X112" s="1023"/>
      <c r="Y112" s="1023"/>
      <c r="Z112" s="1023"/>
      <c r="AA112" s="1477"/>
      <c r="AB112" s="463"/>
      <c r="AC112" s="463"/>
      <c r="AD112" s="463"/>
      <c r="AE112" s="463"/>
    </row>
    <row r="113" spans="1:31" s="1838" customFormat="1" ht="11.25" customHeight="1">
      <c r="A113" s="858"/>
      <c r="B113" s="1481"/>
      <c r="C113" s="1481"/>
      <c r="D113" s="260"/>
      <c r="K113" s="1023"/>
      <c r="L113" s="1481"/>
      <c r="M113" s="1481"/>
      <c r="N113" s="1023"/>
      <c r="O113" s="1023"/>
      <c r="P113" s="1023"/>
      <c r="Q113" s="1023"/>
      <c r="R113" s="1481"/>
      <c r="S113" s="1023"/>
      <c r="T113" s="1023"/>
      <c r="U113" s="441"/>
      <c r="V113" s="1023"/>
      <c r="W113" s="1023"/>
      <c r="X113" s="1023"/>
      <c r="Y113" s="1023"/>
      <c r="Z113" s="1023"/>
      <c r="AA113" s="1477"/>
      <c r="AB113" s="463"/>
      <c r="AC113" s="463"/>
      <c r="AD113" s="463"/>
      <c r="AE113" s="463"/>
    </row>
    <row r="114" spans="1:31" s="1838" customFormat="1" ht="11.25" customHeight="1">
      <c r="A114" s="858"/>
      <c r="B114" s="1481"/>
      <c r="C114" s="1481"/>
      <c r="D114" s="260"/>
      <c r="K114" s="1023"/>
      <c r="L114" s="1481"/>
      <c r="M114" s="1481"/>
      <c r="N114" s="1023"/>
      <c r="O114" s="1023"/>
      <c r="P114" s="1023"/>
      <c r="Q114" s="1023"/>
      <c r="R114" s="1481"/>
      <c r="S114" s="1023"/>
      <c r="T114" s="1023"/>
      <c r="U114" s="441"/>
      <c r="V114" s="1023"/>
      <c r="W114" s="1023"/>
      <c r="X114" s="1023"/>
      <c r="Y114" s="1023"/>
      <c r="Z114" s="1023"/>
      <c r="AA114" s="1477"/>
      <c r="AB114" s="463"/>
      <c r="AC114" s="463"/>
      <c r="AD114" s="463"/>
      <c r="AE114" s="463"/>
    </row>
    <row r="115" spans="1:31" s="1838" customFormat="1" ht="11.25" customHeight="1">
      <c r="A115" s="858"/>
      <c r="B115" s="1481"/>
      <c r="C115" s="1481"/>
      <c r="D115" s="260"/>
      <c r="K115" s="1023"/>
      <c r="L115" s="1481"/>
      <c r="M115" s="1481"/>
      <c r="N115" s="1023"/>
      <c r="O115" s="1023"/>
      <c r="P115" s="1023"/>
      <c r="Q115" s="1023"/>
      <c r="R115" s="1481"/>
      <c r="S115" s="1023"/>
      <c r="T115" s="1023"/>
      <c r="U115" s="441"/>
      <c r="V115" s="1023"/>
      <c r="W115" s="1023"/>
      <c r="X115" s="1023"/>
      <c r="Y115" s="1023"/>
      <c r="Z115" s="1023"/>
      <c r="AA115" s="1477"/>
      <c r="AB115" s="463"/>
      <c r="AC115" s="463"/>
      <c r="AD115" s="463"/>
      <c r="AE115" s="463"/>
    </row>
    <row r="116" spans="1:31" s="1838" customFormat="1" ht="11.25" customHeight="1">
      <c r="A116" s="858"/>
      <c r="B116" s="1481"/>
      <c r="C116" s="1481"/>
      <c r="D116" s="260"/>
      <c r="K116" s="1023"/>
      <c r="L116" s="1481"/>
      <c r="M116" s="1481"/>
      <c r="N116" s="1023"/>
      <c r="O116" s="1023"/>
      <c r="P116" s="1023"/>
      <c r="Q116" s="1023"/>
      <c r="R116" s="1481"/>
      <c r="S116" s="1023"/>
      <c r="T116" s="1023"/>
      <c r="U116" s="441"/>
      <c r="V116" s="1023"/>
      <c r="W116" s="1023"/>
      <c r="X116" s="1023"/>
      <c r="Y116" s="1023"/>
      <c r="Z116" s="1023"/>
      <c r="AA116" s="1477"/>
      <c r="AB116" s="463"/>
      <c r="AC116" s="463"/>
      <c r="AD116" s="463"/>
      <c r="AE116" s="463"/>
    </row>
    <row r="117" spans="1:31" s="1838" customFormat="1" ht="11.25" customHeight="1">
      <c r="A117" s="858"/>
      <c r="B117" s="1481"/>
      <c r="C117" s="1481"/>
      <c r="D117" s="260"/>
      <c r="K117" s="1023"/>
      <c r="L117" s="1481"/>
      <c r="M117" s="1481"/>
      <c r="N117" s="1023"/>
      <c r="O117" s="1023"/>
      <c r="P117" s="1023"/>
      <c r="Q117" s="1023"/>
      <c r="R117" s="1481"/>
      <c r="S117" s="1023"/>
      <c r="T117" s="1023"/>
      <c r="U117" s="441"/>
      <c r="V117" s="1023"/>
      <c r="W117" s="1023"/>
      <c r="X117" s="1023"/>
      <c r="Y117" s="1023"/>
      <c r="Z117" s="1023"/>
      <c r="AA117" s="1477"/>
      <c r="AB117" s="463"/>
      <c r="AC117" s="463"/>
      <c r="AD117" s="463"/>
      <c r="AE117" s="463"/>
    </row>
    <row r="118" spans="1:31" s="1838" customFormat="1" ht="11.25" customHeight="1">
      <c r="A118" s="858"/>
      <c r="B118" s="1481"/>
      <c r="C118" s="1481"/>
      <c r="D118" s="260"/>
      <c r="K118" s="1023"/>
      <c r="L118" s="1481"/>
      <c r="M118" s="1481"/>
      <c r="N118" s="1023"/>
      <c r="O118" s="1023"/>
      <c r="P118" s="1023"/>
      <c r="Q118" s="1023"/>
      <c r="R118" s="1481"/>
      <c r="S118" s="1023"/>
      <c r="T118" s="1023"/>
      <c r="U118" s="441"/>
      <c r="V118" s="1023"/>
      <c r="W118" s="1023"/>
      <c r="X118" s="1023"/>
      <c r="Y118" s="1023"/>
      <c r="Z118" s="1023"/>
      <c r="AA118" s="1477"/>
      <c r="AB118" s="463"/>
      <c r="AC118" s="463"/>
      <c r="AD118" s="463"/>
      <c r="AE118" s="463"/>
    </row>
    <row r="119" spans="1:31" s="1838" customFormat="1" ht="11.25" customHeight="1">
      <c r="A119" s="858"/>
      <c r="B119" s="1481"/>
      <c r="C119" s="1481"/>
      <c r="D119" s="260"/>
      <c r="K119" s="1023"/>
      <c r="L119" s="1481"/>
      <c r="M119" s="1481"/>
      <c r="N119" s="1023"/>
      <c r="O119" s="1023"/>
      <c r="P119" s="1023"/>
      <c r="Q119" s="1023"/>
      <c r="R119" s="1481"/>
      <c r="S119" s="1023"/>
      <c r="T119" s="1023"/>
      <c r="U119" s="441"/>
      <c r="V119" s="1023"/>
      <c r="W119" s="1023"/>
      <c r="X119" s="1023"/>
      <c r="Y119" s="1023"/>
      <c r="Z119" s="1023"/>
      <c r="AA119" s="1477"/>
      <c r="AB119" s="463"/>
      <c r="AC119" s="463"/>
      <c r="AD119" s="463"/>
      <c r="AE119" s="463"/>
    </row>
    <row r="120" spans="1:31" s="1838" customFormat="1" ht="11.25" customHeight="1">
      <c r="A120" s="858"/>
      <c r="B120" s="1481"/>
      <c r="C120" s="1481"/>
      <c r="D120" s="260"/>
      <c r="K120" s="1023"/>
      <c r="L120" s="1481"/>
      <c r="M120" s="1481"/>
      <c r="N120" s="1023"/>
      <c r="O120" s="1023"/>
      <c r="P120" s="1023"/>
      <c r="Q120" s="1023"/>
      <c r="R120" s="1481"/>
      <c r="S120" s="1023"/>
      <c r="T120" s="1023"/>
      <c r="U120" s="441"/>
      <c r="V120" s="1023"/>
      <c r="W120" s="1023"/>
      <c r="X120" s="1023"/>
      <c r="Y120" s="1023"/>
      <c r="Z120" s="1023"/>
      <c r="AA120" s="1477"/>
      <c r="AB120" s="463"/>
      <c r="AC120" s="463"/>
      <c r="AD120" s="463"/>
      <c r="AE120" s="463"/>
    </row>
    <row r="121" spans="1:31" s="1838" customFormat="1" ht="11.25" customHeight="1">
      <c r="A121" s="858"/>
      <c r="B121" s="1481"/>
      <c r="C121" s="1481"/>
      <c r="D121" s="260"/>
      <c r="K121" s="1023"/>
      <c r="L121" s="1481"/>
      <c r="M121" s="1481"/>
      <c r="N121" s="1023"/>
      <c r="O121" s="1023"/>
      <c r="P121" s="1023"/>
      <c r="Q121" s="1023"/>
      <c r="R121" s="1481"/>
      <c r="S121" s="1023"/>
      <c r="T121" s="1023"/>
      <c r="U121" s="441"/>
      <c r="V121" s="1023"/>
      <c r="W121" s="1023"/>
      <c r="X121" s="1023"/>
      <c r="Y121" s="1023"/>
      <c r="Z121" s="1023"/>
      <c r="AA121" s="1477"/>
      <c r="AB121" s="463"/>
      <c r="AC121" s="463"/>
      <c r="AD121" s="463"/>
      <c r="AE121" s="463"/>
    </row>
    <row r="122" spans="1:31" s="1838" customFormat="1" ht="11.25" customHeight="1">
      <c r="A122" s="858"/>
      <c r="B122" s="1481"/>
      <c r="C122" s="1481"/>
      <c r="D122" s="260"/>
      <c r="K122" s="1023"/>
      <c r="L122" s="1481"/>
      <c r="M122" s="1481"/>
      <c r="N122" s="1023"/>
      <c r="O122" s="1023"/>
      <c r="P122" s="1023"/>
      <c r="Q122" s="1023"/>
      <c r="R122" s="1481"/>
      <c r="S122" s="1023"/>
      <c r="T122" s="1023"/>
      <c r="U122" s="441"/>
      <c r="V122" s="1023"/>
      <c r="W122" s="1023"/>
      <c r="X122" s="1023"/>
      <c r="Y122" s="1023"/>
      <c r="Z122" s="1023"/>
      <c r="AA122" s="1477"/>
      <c r="AB122" s="463"/>
      <c r="AC122" s="463"/>
      <c r="AD122" s="463"/>
      <c r="AE122" s="463"/>
    </row>
    <row r="123" spans="1:31" s="1838" customFormat="1" ht="11.25" customHeight="1">
      <c r="A123" s="858"/>
      <c r="B123" s="1481"/>
      <c r="C123" s="1481"/>
      <c r="D123" s="260"/>
      <c r="K123" s="1023"/>
      <c r="L123" s="1481"/>
      <c r="M123" s="1481"/>
      <c r="N123" s="1023"/>
      <c r="O123" s="1023"/>
      <c r="P123" s="1023"/>
      <c r="Q123" s="1023"/>
      <c r="R123" s="1481"/>
      <c r="S123" s="1023"/>
      <c r="T123" s="1023"/>
      <c r="U123" s="441"/>
      <c r="V123" s="1023"/>
      <c r="W123" s="1023"/>
      <c r="X123" s="1023"/>
      <c r="Y123" s="1023"/>
      <c r="Z123" s="1023"/>
      <c r="AA123" s="1477"/>
      <c r="AB123" s="463"/>
      <c r="AC123" s="463"/>
      <c r="AD123" s="463"/>
      <c r="AE123" s="463"/>
    </row>
    <row r="124" spans="1:31" s="1838" customFormat="1" ht="11.25" customHeight="1">
      <c r="A124" s="858"/>
      <c r="B124" s="1481"/>
      <c r="C124" s="1481"/>
      <c r="D124" s="260"/>
      <c r="K124" s="1023"/>
      <c r="L124" s="1481"/>
      <c r="M124" s="1481"/>
      <c r="N124" s="1023"/>
      <c r="O124" s="1023"/>
      <c r="P124" s="1023"/>
      <c r="Q124" s="1023"/>
      <c r="R124" s="1481"/>
      <c r="S124" s="1023"/>
      <c r="T124" s="1023"/>
      <c r="U124" s="441"/>
      <c r="V124" s="1023"/>
      <c r="W124" s="1023"/>
      <c r="X124" s="1023"/>
      <c r="Y124" s="1023"/>
      <c r="Z124" s="1023"/>
      <c r="AA124" s="1477"/>
      <c r="AB124" s="463"/>
      <c r="AC124" s="463"/>
      <c r="AD124" s="463"/>
      <c r="AE124" s="463"/>
    </row>
    <row r="125" spans="1:31" s="1838" customFormat="1" ht="11.25" customHeight="1">
      <c r="A125" s="858"/>
      <c r="B125" s="1481"/>
      <c r="C125" s="1481"/>
      <c r="D125" s="260"/>
      <c r="K125" s="1023"/>
      <c r="L125" s="1481"/>
      <c r="M125" s="1481"/>
      <c r="N125" s="1023"/>
      <c r="O125" s="1023"/>
      <c r="P125" s="1023"/>
      <c r="Q125" s="1023"/>
      <c r="R125" s="1481"/>
      <c r="S125" s="1023"/>
      <c r="T125" s="1023"/>
      <c r="U125" s="441"/>
      <c r="V125" s="1023"/>
      <c r="W125" s="1023"/>
      <c r="X125" s="1023"/>
      <c r="Y125" s="1023"/>
      <c r="Z125" s="1023"/>
      <c r="AA125" s="1477"/>
      <c r="AB125" s="463"/>
      <c r="AC125" s="463"/>
      <c r="AD125" s="463"/>
      <c r="AE125" s="463"/>
    </row>
    <row r="126" spans="1:31" s="1838" customFormat="1" ht="11.25" customHeight="1">
      <c r="A126" s="858"/>
      <c r="B126" s="1481"/>
      <c r="C126" s="1481"/>
      <c r="D126" s="260"/>
      <c r="K126" s="1023"/>
      <c r="L126" s="1481"/>
      <c r="M126" s="1481"/>
      <c r="N126" s="1023"/>
      <c r="O126" s="1023"/>
      <c r="P126" s="1023"/>
      <c r="Q126" s="1023"/>
      <c r="R126" s="1481"/>
      <c r="S126" s="1023"/>
      <c r="T126" s="1023"/>
      <c r="U126" s="441"/>
      <c r="V126" s="1023"/>
      <c r="W126" s="1023"/>
      <c r="X126" s="1023"/>
      <c r="Y126" s="1023"/>
      <c r="Z126" s="1023"/>
      <c r="AA126" s="1477"/>
      <c r="AB126" s="463"/>
      <c r="AC126" s="463"/>
      <c r="AD126" s="463"/>
      <c r="AE126" s="463"/>
    </row>
    <row r="127" spans="1:31" s="1838" customFormat="1" ht="11.25" customHeight="1">
      <c r="A127" s="858"/>
      <c r="B127" s="1481"/>
      <c r="C127" s="1481"/>
      <c r="D127" s="260"/>
      <c r="K127" s="1023"/>
      <c r="L127" s="1481"/>
      <c r="M127" s="1481"/>
      <c r="N127" s="1023"/>
      <c r="O127" s="1023"/>
      <c r="P127" s="1023"/>
      <c r="Q127" s="1023"/>
      <c r="R127" s="1481"/>
      <c r="S127" s="1023"/>
      <c r="T127" s="1023"/>
      <c r="U127" s="441"/>
      <c r="V127" s="1023"/>
      <c r="W127" s="1023"/>
      <c r="X127" s="1023"/>
      <c r="Y127" s="1023"/>
      <c r="Z127" s="1023"/>
      <c r="AA127" s="1477"/>
      <c r="AB127" s="463"/>
      <c r="AC127" s="463"/>
      <c r="AD127" s="463"/>
      <c r="AE127" s="463"/>
    </row>
    <row r="128" spans="1:31" s="1838" customFormat="1" ht="11.25" customHeight="1">
      <c r="A128" s="858"/>
      <c r="B128" s="1481"/>
      <c r="C128" s="1481"/>
      <c r="D128" s="260"/>
      <c r="K128" s="1023"/>
      <c r="L128" s="1481"/>
      <c r="M128" s="1481"/>
      <c r="N128" s="1023"/>
      <c r="O128" s="1023"/>
      <c r="P128" s="1023"/>
      <c r="Q128" s="1023"/>
      <c r="R128" s="1481"/>
      <c r="S128" s="1023"/>
      <c r="T128" s="1023"/>
      <c r="U128" s="441"/>
      <c r="V128" s="1023"/>
      <c r="W128" s="1023"/>
      <c r="X128" s="1023"/>
      <c r="Y128" s="1023"/>
      <c r="Z128" s="1023"/>
      <c r="AA128" s="1477"/>
      <c r="AB128" s="463"/>
      <c r="AC128" s="463"/>
      <c r="AD128" s="463"/>
      <c r="AE128" s="463"/>
    </row>
    <row r="129" spans="1:31" s="1838" customFormat="1" ht="11.25" customHeight="1">
      <c r="A129" s="858"/>
      <c r="B129" s="1481"/>
      <c r="C129" s="1481"/>
      <c r="D129" s="260"/>
      <c r="K129" s="1023"/>
      <c r="L129" s="1481"/>
      <c r="M129" s="1481"/>
      <c r="N129" s="1023"/>
      <c r="O129" s="1023"/>
      <c r="P129" s="1023"/>
      <c r="Q129" s="1023"/>
      <c r="R129" s="1481"/>
      <c r="S129" s="1023"/>
      <c r="T129" s="1023"/>
      <c r="U129" s="441"/>
      <c r="V129" s="1023"/>
      <c r="W129" s="1023"/>
      <c r="X129" s="1023"/>
      <c r="Y129" s="1023"/>
      <c r="Z129" s="1023"/>
      <c r="AA129" s="1477"/>
      <c r="AB129" s="463"/>
      <c r="AC129" s="463"/>
      <c r="AD129" s="463"/>
      <c r="AE129" s="463"/>
    </row>
    <row r="130" spans="1:31" s="1838" customFormat="1" ht="11.25" customHeight="1">
      <c r="A130" s="858"/>
      <c r="B130" s="1481"/>
      <c r="C130" s="1481"/>
      <c r="D130" s="260"/>
      <c r="K130" s="1023"/>
      <c r="L130" s="1481"/>
      <c r="M130" s="1481"/>
      <c r="N130" s="1023"/>
      <c r="O130" s="1023"/>
      <c r="P130" s="1023"/>
      <c r="Q130" s="1023"/>
      <c r="R130" s="1481"/>
      <c r="S130" s="1023"/>
      <c r="T130" s="1023"/>
      <c r="U130" s="441"/>
      <c r="V130" s="1023"/>
      <c r="W130" s="1023"/>
      <c r="X130" s="1023"/>
      <c r="Y130" s="1023"/>
      <c r="Z130" s="1023"/>
      <c r="AA130" s="1477"/>
      <c r="AB130" s="463"/>
      <c r="AC130" s="463"/>
      <c r="AD130" s="463"/>
      <c r="AE130" s="463"/>
    </row>
    <row r="131" spans="1:31" s="1838" customFormat="1" ht="11.25" customHeight="1">
      <c r="A131" s="858"/>
      <c r="B131" s="1481"/>
      <c r="C131" s="1481"/>
      <c r="D131" s="260"/>
      <c r="K131" s="1023"/>
      <c r="L131" s="1481"/>
      <c r="M131" s="1481"/>
      <c r="N131" s="1023"/>
      <c r="O131" s="1023"/>
      <c r="P131" s="1023"/>
      <c r="Q131" s="1023"/>
      <c r="R131" s="1481"/>
      <c r="S131" s="1023"/>
      <c r="T131" s="1023"/>
      <c r="U131" s="441"/>
      <c r="V131" s="1023"/>
      <c r="W131" s="1023"/>
      <c r="X131" s="1023"/>
      <c r="Y131" s="1023"/>
      <c r="Z131" s="1023"/>
      <c r="AA131" s="1477"/>
      <c r="AB131" s="463"/>
      <c r="AC131" s="463"/>
      <c r="AD131" s="463"/>
      <c r="AE131" s="463"/>
    </row>
    <row r="132" spans="1:31" s="1838" customFormat="1" ht="11.25" customHeight="1">
      <c r="A132" s="858"/>
      <c r="B132" s="1481"/>
      <c r="C132" s="1481"/>
      <c r="D132" s="260"/>
      <c r="K132" s="1023"/>
      <c r="L132" s="1481"/>
      <c r="M132" s="1481"/>
      <c r="N132" s="1023"/>
      <c r="O132" s="1023"/>
      <c r="P132" s="1023"/>
      <c r="Q132" s="1023"/>
      <c r="R132" s="1481"/>
      <c r="S132" s="1023"/>
      <c r="T132" s="1023"/>
      <c r="U132" s="441"/>
      <c r="V132" s="1023"/>
      <c r="W132" s="1023"/>
      <c r="X132" s="1023"/>
      <c r="Y132" s="1023"/>
      <c r="Z132" s="1023"/>
      <c r="AA132" s="1477"/>
      <c r="AB132" s="463"/>
      <c r="AC132" s="463"/>
      <c r="AD132" s="463"/>
      <c r="AE132" s="463"/>
    </row>
    <row r="133" spans="1:31" s="1838" customFormat="1" ht="11.25" customHeight="1">
      <c r="A133" s="858"/>
      <c r="B133" s="1481"/>
      <c r="C133" s="1481"/>
      <c r="D133" s="260"/>
      <c r="K133" s="1023"/>
      <c r="L133" s="1481"/>
      <c r="M133" s="1481"/>
      <c r="N133" s="1023"/>
      <c r="O133" s="1023"/>
      <c r="P133" s="1023"/>
      <c r="Q133" s="1023"/>
      <c r="R133" s="1481"/>
      <c r="S133" s="1023"/>
      <c r="T133" s="1023"/>
      <c r="U133" s="441"/>
      <c r="V133" s="1023"/>
      <c r="W133" s="1023"/>
      <c r="X133" s="1023"/>
      <c r="Y133" s="1023"/>
      <c r="Z133" s="1023"/>
      <c r="AA133" s="1477"/>
      <c r="AB133" s="463"/>
      <c r="AC133" s="463"/>
      <c r="AD133" s="463"/>
      <c r="AE133" s="463"/>
    </row>
    <row r="134" spans="1:31" s="1838" customFormat="1" ht="11.25" customHeight="1">
      <c r="A134" s="858"/>
      <c r="B134" s="1481"/>
      <c r="C134" s="1481"/>
      <c r="D134" s="260"/>
      <c r="K134" s="1023"/>
      <c r="L134" s="1481"/>
      <c r="M134" s="1481"/>
      <c r="N134" s="1023"/>
      <c r="O134" s="1023"/>
      <c r="P134" s="1023"/>
      <c r="Q134" s="1023"/>
      <c r="R134" s="1481"/>
      <c r="S134" s="1023"/>
      <c r="T134" s="1023"/>
      <c r="U134" s="441"/>
      <c r="V134" s="1023"/>
      <c r="W134" s="1023"/>
      <c r="X134" s="1023"/>
      <c r="Y134" s="1023"/>
      <c r="Z134" s="1023"/>
      <c r="AA134" s="1477"/>
      <c r="AB134" s="463"/>
      <c r="AC134" s="463"/>
      <c r="AD134" s="463"/>
      <c r="AE134" s="463"/>
    </row>
    <row r="135" spans="1:31" s="1838" customFormat="1" ht="11.25" customHeight="1">
      <c r="A135" s="858"/>
      <c r="B135" s="1481"/>
      <c r="C135" s="1481"/>
      <c r="D135" s="260"/>
      <c r="K135" s="1023"/>
      <c r="L135" s="1481"/>
      <c r="M135" s="1481"/>
      <c r="N135" s="1023"/>
      <c r="O135" s="1023"/>
      <c r="P135" s="1023"/>
      <c r="Q135" s="1023"/>
      <c r="R135" s="1481"/>
      <c r="S135" s="1023"/>
      <c r="T135" s="1023"/>
      <c r="U135" s="441"/>
      <c r="V135" s="1023"/>
      <c r="W135" s="1023"/>
      <c r="X135" s="1023"/>
      <c r="Y135" s="1023"/>
      <c r="Z135" s="1023"/>
      <c r="AA135" s="1477"/>
      <c r="AB135" s="463"/>
      <c r="AC135" s="463"/>
      <c r="AD135" s="463"/>
      <c r="AE135" s="463"/>
    </row>
    <row r="136" spans="1:31" s="1838" customFormat="1" ht="11.25" customHeight="1">
      <c r="A136" s="858"/>
      <c r="B136" s="1481"/>
      <c r="C136" s="1481"/>
      <c r="D136" s="260"/>
      <c r="K136" s="1023"/>
      <c r="L136" s="1481"/>
      <c r="M136" s="1481"/>
      <c r="N136" s="1023"/>
      <c r="O136" s="1023"/>
      <c r="P136" s="1023"/>
      <c r="Q136" s="1023"/>
      <c r="R136" s="1481"/>
      <c r="S136" s="1023"/>
      <c r="T136" s="1023"/>
      <c r="U136" s="441"/>
      <c r="V136" s="1023"/>
      <c r="W136" s="1023"/>
      <c r="X136" s="1023"/>
      <c r="Y136" s="1023"/>
      <c r="Z136" s="1023"/>
      <c r="AA136" s="1477"/>
      <c r="AB136" s="463"/>
      <c r="AC136" s="463"/>
      <c r="AD136" s="463"/>
      <c r="AE136" s="463"/>
    </row>
    <row r="137" spans="1:31" s="1838" customFormat="1" ht="11.25" customHeight="1">
      <c r="A137" s="858"/>
      <c r="B137" s="1481"/>
      <c r="C137" s="1481"/>
      <c r="D137" s="260"/>
      <c r="K137" s="1023"/>
      <c r="L137" s="1481"/>
      <c r="M137" s="1481"/>
      <c r="N137" s="1023"/>
      <c r="O137" s="1023"/>
      <c r="P137" s="1023"/>
      <c r="Q137" s="1023"/>
      <c r="R137" s="1481"/>
      <c r="S137" s="1023"/>
      <c r="T137" s="1023"/>
      <c r="U137" s="441"/>
      <c r="V137" s="1023"/>
      <c r="W137" s="1023"/>
      <c r="X137" s="1023"/>
      <c r="Y137" s="1023"/>
      <c r="Z137" s="1023"/>
      <c r="AA137" s="1477"/>
      <c r="AB137" s="463"/>
      <c r="AC137" s="463"/>
      <c r="AD137" s="463"/>
      <c r="AE137" s="463"/>
    </row>
    <row r="138" spans="1:31" s="1838" customFormat="1" ht="11.25" customHeight="1">
      <c r="A138" s="858"/>
      <c r="B138" s="1481"/>
      <c r="C138" s="1481"/>
      <c r="D138" s="260"/>
      <c r="K138" s="1023"/>
      <c r="L138" s="1481"/>
      <c r="M138" s="1481"/>
      <c r="N138" s="1023"/>
      <c r="O138" s="1023"/>
      <c r="P138" s="1023"/>
      <c r="Q138" s="1023"/>
      <c r="R138" s="1481"/>
      <c r="S138" s="1023"/>
      <c r="T138" s="1023"/>
      <c r="U138" s="441"/>
      <c r="V138" s="1023"/>
      <c r="W138" s="1023"/>
      <c r="X138" s="1023"/>
      <c r="Y138" s="1023"/>
      <c r="Z138" s="1023"/>
      <c r="AA138" s="1477"/>
      <c r="AB138" s="463"/>
      <c r="AC138" s="463"/>
      <c r="AD138" s="463"/>
      <c r="AE138" s="463"/>
    </row>
    <row r="139" spans="1:31" s="1838" customFormat="1" ht="11.25" customHeight="1">
      <c r="A139" s="858"/>
      <c r="B139" s="1481"/>
      <c r="C139" s="1481"/>
      <c r="D139" s="260"/>
      <c r="K139" s="1023"/>
      <c r="L139" s="1481"/>
      <c r="M139" s="1481"/>
      <c r="N139" s="1023"/>
      <c r="O139" s="1023"/>
      <c r="P139" s="1023"/>
      <c r="Q139" s="1023"/>
      <c r="R139" s="1481"/>
      <c r="S139" s="1023"/>
      <c r="T139" s="1023"/>
      <c r="U139" s="441"/>
      <c r="V139" s="1023"/>
      <c r="W139" s="1023"/>
      <c r="X139" s="1023"/>
      <c r="Y139" s="1023"/>
      <c r="Z139" s="1023"/>
      <c r="AA139" s="1477"/>
      <c r="AB139" s="463"/>
      <c r="AC139" s="463"/>
      <c r="AD139" s="463"/>
      <c r="AE139" s="463"/>
    </row>
    <row r="140" spans="1:31" s="1838" customFormat="1" ht="11.25" customHeight="1">
      <c r="A140" s="858"/>
      <c r="B140" s="1481"/>
      <c r="C140" s="1481"/>
      <c r="D140" s="260"/>
      <c r="K140" s="1023"/>
      <c r="L140" s="1481"/>
      <c r="M140" s="1481"/>
      <c r="N140" s="1023"/>
      <c r="O140" s="1023"/>
      <c r="P140" s="1023"/>
      <c r="Q140" s="1023"/>
      <c r="R140" s="1481"/>
      <c r="S140" s="1023"/>
      <c r="T140" s="1023"/>
      <c r="U140" s="441"/>
      <c r="V140" s="1023"/>
      <c r="W140" s="1023"/>
      <c r="X140" s="1023"/>
      <c r="Y140" s="1023"/>
      <c r="Z140" s="1023"/>
      <c r="AA140" s="1477"/>
      <c r="AB140" s="463"/>
      <c r="AC140" s="463"/>
      <c r="AD140" s="463"/>
      <c r="AE140" s="463"/>
    </row>
    <row r="141" spans="1:31" s="1838" customFormat="1" ht="11.25" customHeight="1">
      <c r="A141" s="858"/>
      <c r="B141" s="1481"/>
      <c r="C141" s="1481"/>
      <c r="D141" s="260"/>
      <c r="K141" s="1023"/>
      <c r="L141" s="1481"/>
      <c r="M141" s="1481"/>
      <c r="N141" s="1023"/>
      <c r="O141" s="1023"/>
      <c r="P141" s="1023"/>
      <c r="Q141" s="1023"/>
      <c r="R141" s="1481"/>
      <c r="S141" s="1023"/>
      <c r="T141" s="1023"/>
      <c r="U141" s="441"/>
      <c r="V141" s="1023"/>
      <c r="W141" s="1023"/>
      <c r="X141" s="1023"/>
      <c r="Y141" s="1023"/>
      <c r="Z141" s="1023"/>
      <c r="AA141" s="1477"/>
      <c r="AB141" s="463"/>
      <c r="AC141" s="463"/>
      <c r="AD141" s="463"/>
      <c r="AE141" s="463"/>
    </row>
    <row r="142" spans="1:31" s="1838" customFormat="1" ht="11.25" customHeight="1">
      <c r="A142" s="858"/>
      <c r="B142" s="1481"/>
      <c r="C142" s="1481"/>
      <c r="D142" s="260"/>
      <c r="K142" s="1023"/>
      <c r="L142" s="1481"/>
      <c r="M142" s="1481"/>
      <c r="N142" s="1023"/>
      <c r="O142" s="1023"/>
      <c r="P142" s="1023"/>
      <c r="Q142" s="1023"/>
      <c r="R142" s="1481"/>
      <c r="S142" s="1023"/>
      <c r="T142" s="1023"/>
      <c r="U142" s="441"/>
      <c r="V142" s="1023"/>
      <c r="W142" s="1023"/>
      <c r="X142" s="1023"/>
      <c r="Y142" s="1023"/>
      <c r="Z142" s="1023"/>
      <c r="AA142" s="1477"/>
      <c r="AB142" s="463"/>
      <c r="AC142" s="463"/>
      <c r="AD142" s="463"/>
      <c r="AE142" s="463"/>
    </row>
    <row r="143" spans="1:31" s="1838" customFormat="1" ht="11.25" customHeight="1">
      <c r="A143" s="858"/>
      <c r="B143" s="1481"/>
      <c r="C143" s="1481"/>
      <c r="D143" s="260"/>
      <c r="K143" s="1023"/>
      <c r="L143" s="1481"/>
      <c r="M143" s="1481"/>
      <c r="N143" s="1023"/>
      <c r="O143" s="1023"/>
      <c r="P143" s="1023"/>
      <c r="Q143" s="1023"/>
      <c r="R143" s="1481"/>
      <c r="S143" s="1023"/>
      <c r="T143" s="1023"/>
      <c r="U143" s="441"/>
      <c r="V143" s="1023"/>
      <c r="W143" s="1023"/>
      <c r="X143" s="1023"/>
      <c r="Y143" s="1023"/>
      <c r="Z143" s="1023"/>
      <c r="AA143" s="1477"/>
      <c r="AB143" s="463"/>
      <c r="AC143" s="463"/>
      <c r="AD143" s="463"/>
      <c r="AE143" s="463"/>
    </row>
    <row r="144" spans="1:31" s="1838" customFormat="1" ht="11.25" customHeight="1">
      <c r="A144" s="858"/>
      <c r="B144" s="1481"/>
      <c r="C144" s="1481"/>
      <c r="D144" s="260"/>
      <c r="K144" s="1023"/>
      <c r="L144" s="1481"/>
      <c r="M144" s="1481"/>
      <c r="N144" s="1023"/>
      <c r="O144" s="1023"/>
      <c r="P144" s="1023"/>
      <c r="Q144" s="1023"/>
      <c r="R144" s="1481"/>
      <c r="S144" s="1023"/>
      <c r="T144" s="1023"/>
      <c r="U144" s="441"/>
      <c r="V144" s="1023"/>
      <c r="W144" s="1023"/>
      <c r="X144" s="1023"/>
      <c r="Y144" s="1023"/>
      <c r="Z144" s="1023"/>
      <c r="AA144" s="1477"/>
      <c r="AB144" s="463"/>
      <c r="AC144" s="463"/>
      <c r="AD144" s="463"/>
      <c r="AE144" s="463"/>
    </row>
    <row r="145" spans="1:31" s="1838" customFormat="1" ht="11.25" customHeight="1">
      <c r="A145" s="858"/>
      <c r="B145" s="1481"/>
      <c r="C145" s="1481"/>
      <c r="D145" s="260"/>
      <c r="K145" s="1023"/>
      <c r="L145" s="1481"/>
      <c r="M145" s="1481"/>
      <c r="N145" s="1023"/>
      <c r="O145" s="1023"/>
      <c r="P145" s="1023"/>
      <c r="Q145" s="1023"/>
      <c r="R145" s="1481"/>
      <c r="S145" s="1023"/>
      <c r="T145" s="1023"/>
      <c r="U145" s="441"/>
      <c r="V145" s="1023"/>
      <c r="W145" s="1023"/>
      <c r="X145" s="1023"/>
      <c r="Y145" s="1023"/>
      <c r="Z145" s="1023"/>
      <c r="AA145" s="1477"/>
      <c r="AB145" s="463"/>
      <c r="AC145" s="463"/>
      <c r="AD145" s="463"/>
      <c r="AE145" s="463"/>
    </row>
    <row r="146" spans="1:31" s="1838" customFormat="1" ht="11.25" customHeight="1">
      <c r="A146" s="858"/>
      <c r="B146" s="1481"/>
      <c r="C146" s="1481"/>
      <c r="D146" s="260"/>
      <c r="K146" s="1023"/>
      <c r="L146" s="1481"/>
      <c r="M146" s="1481"/>
      <c r="N146" s="1023"/>
      <c r="O146" s="1023"/>
      <c r="P146" s="1023"/>
      <c r="Q146" s="1023"/>
      <c r="R146" s="1481"/>
      <c r="S146" s="1023"/>
      <c r="T146" s="1023"/>
      <c r="U146" s="441"/>
      <c r="V146" s="1023"/>
      <c r="W146" s="1023"/>
      <c r="X146" s="1023"/>
      <c r="Y146" s="1023"/>
      <c r="Z146" s="1023"/>
      <c r="AA146" s="1477"/>
      <c r="AB146" s="463"/>
      <c r="AC146" s="463"/>
      <c r="AD146" s="463"/>
      <c r="AE146" s="463"/>
    </row>
    <row r="147" spans="1:31" s="1838" customFormat="1" ht="11.25" customHeight="1">
      <c r="A147" s="858"/>
      <c r="B147" s="1481"/>
      <c r="C147" s="1481"/>
      <c r="D147" s="260"/>
      <c r="K147" s="1023"/>
      <c r="L147" s="1481"/>
      <c r="M147" s="1481"/>
      <c r="N147" s="1023"/>
      <c r="O147" s="1023"/>
      <c r="P147" s="1023"/>
      <c r="Q147" s="1023"/>
      <c r="R147" s="1481"/>
      <c r="S147" s="1023"/>
      <c r="T147" s="1023"/>
      <c r="U147" s="441"/>
      <c r="V147" s="1023"/>
      <c r="W147" s="1023"/>
      <c r="X147" s="1023"/>
      <c r="Y147" s="1023"/>
      <c r="Z147" s="1023"/>
      <c r="AA147" s="1477"/>
      <c r="AB147" s="463"/>
      <c r="AC147" s="463"/>
      <c r="AD147" s="463"/>
      <c r="AE147" s="463"/>
    </row>
    <row r="148" spans="1:31" s="1838" customFormat="1" ht="11.25" customHeight="1">
      <c r="A148" s="858"/>
      <c r="B148" s="1481"/>
      <c r="C148" s="1481"/>
      <c r="D148" s="260"/>
      <c r="K148" s="1023"/>
      <c r="L148" s="1481"/>
      <c r="M148" s="1481"/>
      <c r="N148" s="1023"/>
      <c r="O148" s="1023"/>
      <c r="P148" s="1023"/>
      <c r="Q148" s="1023"/>
      <c r="R148" s="1481"/>
      <c r="S148" s="1023"/>
      <c r="T148" s="1023"/>
      <c r="U148" s="441"/>
      <c r="V148" s="1023"/>
      <c r="W148" s="1023"/>
      <c r="X148" s="1023"/>
      <c r="Y148" s="1023"/>
      <c r="Z148" s="1023"/>
      <c r="AA148" s="1477"/>
      <c r="AB148" s="463"/>
      <c r="AC148" s="463"/>
      <c r="AD148" s="463"/>
      <c r="AE148" s="463"/>
    </row>
    <row r="149" spans="1:31" s="1838" customFormat="1" ht="11.25" customHeight="1">
      <c r="A149" s="858"/>
      <c r="B149" s="1481"/>
      <c r="C149" s="1481"/>
      <c r="D149" s="260"/>
      <c r="K149" s="1023"/>
      <c r="L149" s="1481"/>
      <c r="M149" s="1481"/>
      <c r="N149" s="1023"/>
      <c r="O149" s="1023"/>
      <c r="P149" s="1023"/>
      <c r="Q149" s="1023"/>
      <c r="R149" s="1481"/>
      <c r="S149" s="1023"/>
      <c r="T149" s="1023"/>
      <c r="U149" s="441"/>
      <c r="V149" s="1023"/>
      <c r="W149" s="1023"/>
      <c r="X149" s="1023"/>
      <c r="Y149" s="1023"/>
      <c r="Z149" s="1023"/>
      <c r="AA149" s="1477"/>
      <c r="AB149" s="463"/>
      <c r="AC149" s="463"/>
      <c r="AD149" s="463"/>
      <c r="AE149" s="463"/>
    </row>
    <row r="150" spans="1:31" s="1838" customFormat="1" ht="11.25" customHeight="1">
      <c r="A150" s="858"/>
      <c r="B150" s="1481"/>
      <c r="C150" s="1481"/>
      <c r="D150" s="260"/>
      <c r="K150" s="1023"/>
      <c r="L150" s="1481"/>
      <c r="M150" s="1481"/>
      <c r="N150" s="1023"/>
      <c r="O150" s="1023"/>
      <c r="P150" s="1023"/>
      <c r="Q150" s="1023"/>
      <c r="R150" s="1481"/>
      <c r="S150" s="1023"/>
      <c r="T150" s="1023"/>
      <c r="U150" s="441"/>
      <c r="V150" s="1023"/>
      <c r="W150" s="1023"/>
      <c r="X150" s="1023"/>
      <c r="Y150" s="1023"/>
      <c r="Z150" s="1023"/>
      <c r="AA150" s="1477"/>
      <c r="AB150" s="463"/>
      <c r="AC150" s="463"/>
      <c r="AD150" s="463"/>
      <c r="AE150" s="463"/>
    </row>
    <row r="151" spans="1:31" s="1838" customFormat="1" ht="11.25" customHeight="1">
      <c r="A151" s="858"/>
      <c r="B151" s="1481"/>
      <c r="C151" s="1481"/>
      <c r="D151" s="260"/>
      <c r="K151" s="1023"/>
      <c r="L151" s="1481"/>
      <c r="M151" s="1481"/>
      <c r="N151" s="1023"/>
      <c r="O151" s="1023"/>
      <c r="P151" s="1023"/>
      <c r="Q151" s="1023"/>
      <c r="R151" s="1481"/>
      <c r="S151" s="1023"/>
      <c r="T151" s="1023"/>
      <c r="U151" s="441"/>
      <c r="V151" s="1023"/>
      <c r="W151" s="1023"/>
      <c r="X151" s="1023"/>
      <c r="Y151" s="1023"/>
      <c r="Z151" s="1023"/>
      <c r="AA151" s="1477"/>
      <c r="AB151" s="463"/>
      <c r="AC151" s="463"/>
      <c r="AD151" s="463"/>
      <c r="AE151" s="463"/>
    </row>
    <row r="152" spans="1:31" s="1838" customFormat="1" ht="11.25" customHeight="1">
      <c r="A152" s="858"/>
      <c r="B152" s="1481"/>
      <c r="C152" s="1481"/>
      <c r="D152" s="260"/>
      <c r="K152" s="1023"/>
      <c r="L152" s="1481"/>
      <c r="M152" s="1481"/>
      <c r="N152" s="1023"/>
      <c r="O152" s="1023"/>
      <c r="P152" s="1023"/>
      <c r="Q152" s="1023"/>
      <c r="R152" s="1481"/>
      <c r="S152" s="1023"/>
      <c r="T152" s="1023"/>
      <c r="U152" s="441"/>
      <c r="V152" s="1023"/>
      <c r="W152" s="1023"/>
      <c r="X152" s="1023"/>
      <c r="Y152" s="1023"/>
      <c r="Z152" s="1023"/>
      <c r="AA152" s="1477"/>
      <c r="AB152" s="463"/>
      <c r="AC152" s="463"/>
      <c r="AD152" s="463"/>
      <c r="AE152" s="463"/>
    </row>
    <row r="153" spans="1:31" s="1838" customFormat="1" ht="11.25" customHeight="1">
      <c r="A153" s="858"/>
      <c r="B153" s="1481"/>
      <c r="C153" s="1481"/>
      <c r="D153" s="260"/>
      <c r="K153" s="1023"/>
      <c r="L153" s="1481"/>
      <c r="M153" s="1481"/>
      <c r="N153" s="1023"/>
      <c r="O153" s="1023"/>
      <c r="P153" s="1023"/>
      <c r="Q153" s="1023"/>
      <c r="R153" s="1481"/>
      <c r="S153" s="1023"/>
      <c r="T153" s="1023"/>
      <c r="U153" s="441"/>
      <c r="V153" s="1023"/>
      <c r="W153" s="1023"/>
      <c r="X153" s="1023"/>
      <c r="Y153" s="1023"/>
      <c r="Z153" s="1023"/>
      <c r="AA153" s="1477"/>
      <c r="AB153" s="463"/>
      <c r="AC153" s="463"/>
      <c r="AD153" s="463"/>
      <c r="AE153" s="463"/>
    </row>
    <row r="154" spans="1:31" s="1838" customFormat="1" ht="11.25" customHeight="1">
      <c r="A154" s="858"/>
      <c r="B154" s="1481"/>
      <c r="C154" s="1481"/>
      <c r="D154" s="260"/>
      <c r="K154" s="1023"/>
      <c r="L154" s="1481"/>
      <c r="M154" s="1481"/>
      <c r="N154" s="1023"/>
      <c r="O154" s="1023"/>
      <c r="P154" s="1023"/>
      <c r="Q154" s="1023"/>
      <c r="R154" s="1481"/>
      <c r="S154" s="1023"/>
      <c r="T154" s="1023"/>
      <c r="U154" s="441"/>
      <c r="V154" s="1023"/>
      <c r="W154" s="1023"/>
      <c r="X154" s="1023"/>
      <c r="Y154" s="1023"/>
      <c r="Z154" s="1023"/>
      <c r="AA154" s="1477"/>
      <c r="AB154" s="463"/>
      <c r="AC154" s="463"/>
      <c r="AD154" s="463"/>
      <c r="AE154" s="463"/>
    </row>
    <row r="155" spans="1:31" s="1838" customFormat="1" ht="11.25" customHeight="1">
      <c r="A155" s="858"/>
      <c r="B155" s="1481"/>
      <c r="C155" s="1481"/>
      <c r="D155" s="260"/>
      <c r="K155" s="1023"/>
      <c r="L155" s="1481"/>
      <c r="M155" s="1481"/>
      <c r="N155" s="1023"/>
      <c r="O155" s="1023"/>
      <c r="P155" s="1023"/>
      <c r="Q155" s="1023"/>
      <c r="R155" s="1481"/>
      <c r="S155" s="1023"/>
      <c r="T155" s="1023"/>
      <c r="U155" s="441"/>
      <c r="V155" s="1023"/>
      <c r="W155" s="1023"/>
      <c r="X155" s="1023"/>
      <c r="Y155" s="1023"/>
      <c r="Z155" s="1023"/>
      <c r="AA155" s="1477"/>
      <c r="AB155" s="463"/>
      <c r="AC155" s="463"/>
      <c r="AD155" s="463"/>
      <c r="AE155" s="463"/>
    </row>
    <row r="156" spans="1:31" s="1838" customFormat="1" ht="11.25" customHeight="1">
      <c r="A156" s="858"/>
      <c r="B156" s="1481"/>
      <c r="C156" s="1481"/>
      <c r="D156" s="260"/>
      <c r="K156" s="1023"/>
      <c r="L156" s="1481"/>
      <c r="M156" s="1481"/>
      <c r="N156" s="1023"/>
      <c r="O156" s="1023"/>
      <c r="P156" s="1023"/>
      <c r="Q156" s="1023"/>
      <c r="R156" s="1481"/>
      <c r="S156" s="1023"/>
      <c r="T156" s="1023"/>
      <c r="U156" s="441"/>
      <c r="V156" s="1023"/>
      <c r="W156" s="1023"/>
      <c r="X156" s="1023"/>
      <c r="Y156" s="1023"/>
      <c r="Z156" s="1023"/>
      <c r="AA156" s="1477"/>
      <c r="AB156" s="463"/>
      <c r="AC156" s="463"/>
      <c r="AD156" s="463"/>
      <c r="AE156" s="463"/>
    </row>
    <row r="157" spans="1:31" s="1838" customFormat="1" ht="11.25" customHeight="1">
      <c r="A157" s="858"/>
      <c r="B157" s="1481"/>
      <c r="C157" s="1481"/>
      <c r="D157" s="260"/>
      <c r="K157" s="1023"/>
      <c r="L157" s="1481"/>
      <c r="M157" s="1481"/>
      <c r="N157" s="1023"/>
      <c r="O157" s="1023"/>
      <c r="P157" s="1023"/>
      <c r="Q157" s="1023"/>
      <c r="R157" s="1481"/>
      <c r="S157" s="1023"/>
      <c r="T157" s="1023"/>
      <c r="U157" s="441"/>
      <c r="V157" s="1023"/>
      <c r="W157" s="1023"/>
      <c r="X157" s="1023"/>
      <c r="Y157" s="1023"/>
      <c r="Z157" s="1023"/>
      <c r="AA157" s="1477"/>
      <c r="AB157" s="463"/>
      <c r="AC157" s="463"/>
      <c r="AD157" s="463"/>
      <c r="AE157" s="463"/>
    </row>
    <row r="158" spans="1:31" s="1838" customFormat="1" ht="11.25" customHeight="1">
      <c r="A158" s="858"/>
      <c r="B158" s="1481"/>
      <c r="C158" s="1481"/>
      <c r="D158" s="260"/>
      <c r="K158" s="1023"/>
      <c r="L158" s="1481"/>
      <c r="M158" s="1481"/>
      <c r="N158" s="1023"/>
      <c r="O158" s="1023"/>
      <c r="P158" s="1023"/>
      <c r="Q158" s="1023"/>
      <c r="R158" s="1481"/>
      <c r="S158" s="1023"/>
      <c r="T158" s="1023"/>
      <c r="U158" s="441"/>
      <c r="V158" s="1023"/>
      <c r="W158" s="1023"/>
      <c r="X158" s="1023"/>
      <c r="Y158" s="1023"/>
      <c r="Z158" s="1023"/>
      <c r="AA158" s="1477"/>
      <c r="AB158" s="463"/>
      <c r="AC158" s="463"/>
      <c r="AD158" s="463"/>
      <c r="AE158" s="463"/>
    </row>
    <row r="159" spans="1:31" s="1838" customFormat="1" ht="11.25" customHeight="1">
      <c r="A159" s="858"/>
      <c r="B159" s="1481"/>
      <c r="C159" s="1481"/>
      <c r="D159" s="260"/>
      <c r="K159" s="1023"/>
      <c r="L159" s="1481"/>
      <c r="M159" s="1481"/>
      <c r="N159" s="1023"/>
      <c r="O159" s="1023"/>
      <c r="P159" s="1023"/>
      <c r="Q159" s="1023"/>
      <c r="R159" s="1481"/>
      <c r="S159" s="1023"/>
      <c r="T159" s="1023"/>
      <c r="U159" s="441"/>
      <c r="V159" s="1023"/>
      <c r="W159" s="1023"/>
      <c r="X159" s="1023"/>
      <c r="Y159" s="1023"/>
      <c r="Z159" s="1023"/>
      <c r="AA159" s="1477"/>
      <c r="AB159" s="463"/>
      <c r="AC159" s="463"/>
      <c r="AD159" s="463"/>
      <c r="AE159" s="463"/>
    </row>
    <row r="160" spans="1:31" s="1838" customFormat="1" ht="11.25" customHeight="1">
      <c r="A160" s="858"/>
      <c r="B160" s="1481"/>
      <c r="C160" s="1481"/>
      <c r="D160" s="260"/>
      <c r="K160" s="1023"/>
      <c r="L160" s="1481"/>
      <c r="M160" s="1481"/>
      <c r="N160" s="1023"/>
      <c r="O160" s="1023"/>
      <c r="P160" s="1023"/>
      <c r="Q160" s="1023"/>
      <c r="R160" s="1481"/>
      <c r="S160" s="1023"/>
      <c r="T160" s="1023"/>
      <c r="U160" s="441"/>
      <c r="V160" s="1023"/>
      <c r="W160" s="1023"/>
      <c r="X160" s="1023"/>
      <c r="Y160" s="1023"/>
      <c r="Z160" s="1023"/>
      <c r="AA160" s="1477"/>
      <c r="AB160" s="463"/>
      <c r="AC160" s="463"/>
      <c r="AD160" s="463"/>
      <c r="AE160" s="463"/>
    </row>
    <row r="161" spans="1:31" s="1838" customFormat="1" ht="11.25" customHeight="1">
      <c r="A161" s="858"/>
      <c r="B161" s="1481"/>
      <c r="C161" s="1481"/>
      <c r="D161" s="260"/>
      <c r="K161" s="1023"/>
      <c r="L161" s="1481"/>
      <c r="M161" s="1481"/>
      <c r="N161" s="1023"/>
      <c r="O161" s="1023"/>
      <c r="P161" s="1023"/>
      <c r="Q161" s="1023"/>
      <c r="R161" s="1481"/>
      <c r="S161" s="1023"/>
      <c r="T161" s="1023"/>
      <c r="U161" s="441"/>
      <c r="V161" s="1023"/>
      <c r="W161" s="1023"/>
      <c r="X161" s="1023"/>
      <c r="Y161" s="1023"/>
      <c r="Z161" s="1023"/>
      <c r="AA161" s="1477"/>
      <c r="AB161" s="463"/>
      <c r="AC161" s="463"/>
      <c r="AD161" s="463"/>
      <c r="AE161" s="463"/>
    </row>
    <row r="162" spans="1:31" s="1838" customFormat="1" ht="11.25" customHeight="1">
      <c r="A162" s="858"/>
      <c r="B162" s="1481"/>
      <c r="C162" s="1481"/>
      <c r="D162" s="260"/>
      <c r="K162" s="1023"/>
      <c r="L162" s="1481"/>
      <c r="M162" s="1481"/>
      <c r="N162" s="1023"/>
      <c r="O162" s="1023"/>
      <c r="P162" s="1023"/>
      <c r="Q162" s="1023"/>
      <c r="R162" s="1481"/>
      <c r="S162" s="1023"/>
      <c r="T162" s="1023"/>
      <c r="U162" s="441"/>
      <c r="V162" s="1023"/>
      <c r="W162" s="1023"/>
      <c r="X162" s="1023"/>
      <c r="Y162" s="1023"/>
      <c r="Z162" s="1023"/>
      <c r="AA162" s="1477"/>
      <c r="AB162" s="463"/>
      <c r="AC162" s="463"/>
      <c r="AD162" s="463"/>
      <c r="AE162" s="463"/>
    </row>
    <row r="163" spans="1:31" s="1838" customFormat="1" ht="11.25" customHeight="1">
      <c r="A163" s="858"/>
      <c r="B163" s="1481"/>
      <c r="C163" s="1481"/>
      <c r="D163" s="260"/>
      <c r="K163" s="1023"/>
      <c r="L163" s="1481"/>
      <c r="M163" s="1481"/>
      <c r="N163" s="1023"/>
      <c r="O163" s="1023"/>
      <c r="P163" s="1023"/>
      <c r="Q163" s="1023"/>
      <c r="R163" s="1481"/>
      <c r="S163" s="1023"/>
      <c r="T163" s="1023"/>
      <c r="U163" s="441"/>
      <c r="V163" s="1023"/>
      <c r="W163" s="1023"/>
      <c r="X163" s="1023"/>
      <c r="Y163" s="1023"/>
      <c r="Z163" s="1023"/>
      <c r="AA163" s="1477"/>
      <c r="AB163" s="463"/>
      <c r="AC163" s="463"/>
      <c r="AD163" s="463"/>
      <c r="AE163" s="463"/>
    </row>
    <row r="164" spans="1:31" s="1838" customFormat="1" ht="11.25" customHeight="1">
      <c r="A164" s="858"/>
      <c r="B164" s="1481"/>
      <c r="C164" s="1481"/>
      <c r="D164" s="260"/>
      <c r="K164" s="1023"/>
      <c r="L164" s="1481"/>
      <c r="M164" s="1481"/>
      <c r="N164" s="1023"/>
      <c r="O164" s="1023"/>
      <c r="P164" s="1023"/>
      <c r="Q164" s="1023"/>
      <c r="R164" s="1481"/>
      <c r="S164" s="1023"/>
      <c r="T164" s="1023"/>
      <c r="U164" s="441"/>
      <c r="V164" s="1023"/>
      <c r="W164" s="1023"/>
      <c r="X164" s="1023"/>
      <c r="Y164" s="1023"/>
      <c r="Z164" s="1023"/>
      <c r="AA164" s="1477"/>
      <c r="AB164" s="463"/>
      <c r="AC164" s="463"/>
      <c r="AD164" s="463"/>
      <c r="AE164" s="463"/>
    </row>
    <row r="165" spans="1:31" s="1838" customFormat="1" ht="11.25" customHeight="1">
      <c r="A165" s="858"/>
      <c r="B165" s="1481"/>
      <c r="C165" s="1481"/>
      <c r="D165" s="260"/>
      <c r="K165" s="1023"/>
      <c r="L165" s="1481"/>
      <c r="M165" s="1481"/>
      <c r="N165" s="1023"/>
      <c r="O165" s="1023"/>
      <c r="P165" s="1023"/>
      <c r="Q165" s="1023"/>
      <c r="R165" s="1481"/>
      <c r="S165" s="1023"/>
      <c r="T165" s="1023"/>
      <c r="U165" s="441"/>
      <c r="V165" s="1023"/>
      <c r="W165" s="1023"/>
      <c r="X165" s="1023"/>
      <c r="Y165" s="1023"/>
      <c r="Z165" s="1023"/>
      <c r="AA165" s="1477"/>
      <c r="AB165" s="463"/>
      <c r="AC165" s="463"/>
      <c r="AD165" s="463"/>
      <c r="AE165" s="463"/>
    </row>
    <row r="166" spans="1:31" s="1838" customFormat="1" ht="11.25" customHeight="1">
      <c r="A166" s="858"/>
      <c r="B166" s="1481"/>
      <c r="C166" s="1481"/>
      <c r="D166" s="260"/>
      <c r="K166" s="1023"/>
      <c r="L166" s="1481"/>
      <c r="M166" s="1481"/>
      <c r="N166" s="1023"/>
      <c r="O166" s="1023"/>
      <c r="P166" s="1023"/>
      <c r="Q166" s="1023"/>
      <c r="R166" s="1481"/>
      <c r="S166" s="1023"/>
      <c r="T166" s="1023"/>
      <c r="U166" s="441"/>
      <c r="V166" s="1023"/>
      <c r="W166" s="1023"/>
      <c r="X166" s="1023"/>
      <c r="Y166" s="1023"/>
      <c r="Z166" s="1023"/>
      <c r="AA166" s="1477"/>
      <c r="AB166" s="463"/>
      <c r="AC166" s="463"/>
      <c r="AD166" s="463"/>
      <c r="AE166" s="463"/>
    </row>
    <row r="167" spans="1:31" s="1838" customFormat="1" ht="11.25" customHeight="1">
      <c r="A167" s="858"/>
      <c r="B167" s="1481"/>
      <c r="C167" s="1481"/>
      <c r="D167" s="260"/>
      <c r="K167" s="1023"/>
      <c r="L167" s="1481"/>
      <c r="M167" s="1481"/>
      <c r="N167" s="1023"/>
      <c r="O167" s="1023"/>
      <c r="P167" s="1023"/>
      <c r="Q167" s="1023"/>
      <c r="R167" s="1481"/>
      <c r="S167" s="1023"/>
      <c r="T167" s="1023"/>
      <c r="U167" s="441"/>
      <c r="V167" s="1023"/>
      <c r="W167" s="1023"/>
      <c r="X167" s="1023"/>
      <c r="Y167" s="1023"/>
      <c r="Z167" s="1023"/>
      <c r="AA167" s="1477"/>
      <c r="AB167" s="463"/>
      <c r="AC167" s="463"/>
      <c r="AD167" s="463"/>
      <c r="AE167" s="463"/>
    </row>
    <row r="168" spans="1:31" s="1838" customFormat="1" ht="11.25" customHeight="1">
      <c r="A168" s="858"/>
      <c r="B168" s="1481"/>
      <c r="C168" s="1481"/>
      <c r="D168" s="260"/>
      <c r="K168" s="1023"/>
      <c r="L168" s="1481"/>
      <c r="M168" s="1481"/>
      <c r="N168" s="1023"/>
      <c r="O168" s="1023"/>
      <c r="P168" s="1023"/>
      <c r="Q168" s="1023"/>
      <c r="R168" s="1481"/>
      <c r="S168" s="1023"/>
      <c r="T168" s="1023"/>
      <c r="U168" s="441"/>
      <c r="V168" s="1023"/>
      <c r="W168" s="1023"/>
      <c r="X168" s="1023"/>
      <c r="Y168" s="1023"/>
      <c r="Z168" s="1023"/>
      <c r="AA168" s="1477"/>
      <c r="AB168" s="463"/>
      <c r="AC168" s="463"/>
      <c r="AD168" s="463"/>
      <c r="AE168" s="463"/>
    </row>
    <row r="169" spans="1:31" s="1838" customFormat="1" ht="11.25" customHeight="1">
      <c r="A169" s="858"/>
      <c r="B169" s="1481"/>
      <c r="C169" s="1481"/>
      <c r="D169" s="260"/>
      <c r="K169" s="1023"/>
      <c r="L169" s="1481"/>
      <c r="M169" s="1481"/>
      <c r="N169" s="1023"/>
      <c r="O169" s="1023"/>
      <c r="P169" s="1023"/>
      <c r="Q169" s="1023"/>
      <c r="R169" s="1481"/>
      <c r="S169" s="1023"/>
      <c r="T169" s="1023"/>
      <c r="U169" s="441"/>
      <c r="V169" s="1023"/>
      <c r="W169" s="1023"/>
      <c r="X169" s="1023"/>
      <c r="Y169" s="1023"/>
      <c r="Z169" s="1023"/>
      <c r="AA169" s="1477"/>
      <c r="AB169" s="463"/>
      <c r="AC169" s="463"/>
      <c r="AD169" s="463"/>
      <c r="AE169" s="463"/>
    </row>
    <row r="170" spans="1:31" s="1838" customFormat="1" ht="11.25" customHeight="1">
      <c r="A170" s="858"/>
      <c r="B170" s="1481"/>
      <c r="C170" s="1481"/>
      <c r="D170" s="260"/>
      <c r="K170" s="1023"/>
      <c r="L170" s="1481"/>
      <c r="M170" s="1481"/>
      <c r="N170" s="1023"/>
      <c r="O170" s="1023"/>
      <c r="P170" s="1023"/>
      <c r="Q170" s="1023"/>
      <c r="R170" s="1481"/>
      <c r="S170" s="1023"/>
      <c r="T170" s="1023"/>
      <c r="U170" s="441"/>
      <c r="V170" s="1023"/>
      <c r="W170" s="1023"/>
      <c r="X170" s="1023"/>
      <c r="Y170" s="1023"/>
      <c r="Z170" s="1023"/>
      <c r="AA170" s="1477"/>
      <c r="AB170" s="463"/>
      <c r="AC170" s="463"/>
      <c r="AD170" s="463"/>
      <c r="AE170" s="463"/>
    </row>
    <row r="171" spans="1:31" s="1838" customFormat="1" ht="11.25" customHeight="1">
      <c r="A171" s="858"/>
      <c r="B171" s="1481"/>
      <c r="C171" s="1481"/>
      <c r="D171" s="260"/>
      <c r="K171" s="1023"/>
      <c r="L171" s="1481"/>
      <c r="M171" s="1481"/>
      <c r="N171" s="1023"/>
      <c r="O171" s="1023"/>
      <c r="P171" s="1023"/>
      <c r="Q171" s="1023"/>
      <c r="R171" s="1481"/>
      <c r="S171" s="1023"/>
      <c r="T171" s="1023"/>
      <c r="U171" s="441"/>
      <c r="V171" s="1023"/>
      <c r="W171" s="1023"/>
      <c r="X171" s="1023"/>
      <c r="Y171" s="1023"/>
      <c r="Z171" s="1023"/>
      <c r="AA171" s="1477"/>
      <c r="AB171" s="463"/>
      <c r="AC171" s="463"/>
      <c r="AD171" s="463"/>
      <c r="AE171" s="463"/>
    </row>
    <row r="172" spans="1:31" s="1838" customFormat="1" ht="11.25" customHeight="1">
      <c r="A172" s="858"/>
      <c r="B172" s="1481"/>
      <c r="C172" s="1481"/>
      <c r="D172" s="260"/>
      <c r="K172" s="1023"/>
      <c r="L172" s="1481"/>
      <c r="M172" s="1481"/>
      <c r="N172" s="1023"/>
      <c r="O172" s="1023"/>
      <c r="P172" s="1023"/>
      <c r="Q172" s="1023"/>
      <c r="R172" s="1481"/>
      <c r="S172" s="1023"/>
      <c r="T172" s="1023"/>
      <c r="U172" s="441"/>
      <c r="V172" s="1023"/>
      <c r="W172" s="1023"/>
      <c r="X172" s="1023"/>
      <c r="Y172" s="1023"/>
      <c r="Z172" s="1023"/>
      <c r="AA172" s="1477"/>
      <c r="AB172" s="463"/>
      <c r="AC172" s="463"/>
      <c r="AD172" s="463"/>
      <c r="AE172" s="463"/>
    </row>
    <row r="173" spans="1:31" s="1838" customFormat="1" ht="11.25" customHeight="1">
      <c r="A173" s="858"/>
      <c r="B173" s="1481"/>
      <c r="C173" s="1481"/>
      <c r="D173" s="260"/>
      <c r="K173" s="1023"/>
      <c r="L173" s="1481"/>
      <c r="M173" s="1481"/>
      <c r="N173" s="1023"/>
      <c r="O173" s="1023"/>
      <c r="P173" s="1023"/>
      <c r="Q173" s="1023"/>
      <c r="R173" s="1481"/>
      <c r="S173" s="1023"/>
      <c r="T173" s="1023"/>
      <c r="U173" s="441"/>
      <c r="V173" s="1023"/>
      <c r="W173" s="1023"/>
      <c r="X173" s="1023"/>
      <c r="Y173" s="1023"/>
      <c r="Z173" s="1023"/>
      <c r="AA173" s="1477"/>
      <c r="AB173" s="463"/>
      <c r="AC173" s="463"/>
      <c r="AD173" s="463"/>
      <c r="AE173" s="463"/>
    </row>
    <row r="174" spans="1:31" s="1838" customFormat="1" ht="11.25" customHeight="1">
      <c r="A174" s="858"/>
      <c r="B174" s="1481"/>
      <c r="C174" s="1481"/>
      <c r="D174" s="260"/>
      <c r="K174" s="1023"/>
      <c r="L174" s="1481"/>
      <c r="M174" s="1481"/>
      <c r="N174" s="1023"/>
      <c r="O174" s="1023"/>
      <c r="P174" s="1023"/>
      <c r="Q174" s="1023"/>
      <c r="R174" s="1481"/>
      <c r="S174" s="1023"/>
      <c r="T174" s="1023"/>
      <c r="U174" s="441"/>
      <c r="V174" s="1023"/>
      <c r="W174" s="1023"/>
      <c r="X174" s="1023"/>
      <c r="Y174" s="1023"/>
      <c r="Z174" s="1023"/>
      <c r="AA174" s="1477"/>
      <c r="AB174" s="463"/>
      <c r="AC174" s="463"/>
      <c r="AD174" s="463"/>
      <c r="AE174" s="463"/>
    </row>
    <row r="175" spans="1:31" s="1838" customFormat="1" ht="11.25" customHeight="1">
      <c r="A175" s="858"/>
      <c r="B175" s="1481"/>
      <c r="C175" s="1481"/>
      <c r="D175" s="260"/>
      <c r="K175" s="1023"/>
      <c r="L175" s="1481"/>
      <c r="M175" s="1481"/>
      <c r="N175" s="1023"/>
      <c r="O175" s="1023"/>
      <c r="P175" s="1023"/>
      <c r="Q175" s="1023"/>
      <c r="R175" s="1481"/>
      <c r="S175" s="1023"/>
      <c r="T175" s="1023"/>
      <c r="U175" s="441"/>
      <c r="V175" s="1023"/>
      <c r="W175" s="1023"/>
      <c r="X175" s="1023"/>
      <c r="Y175" s="1023"/>
      <c r="Z175" s="1023"/>
      <c r="AA175" s="1477"/>
      <c r="AB175" s="463"/>
      <c r="AC175" s="463"/>
      <c r="AD175" s="463"/>
      <c r="AE175" s="463"/>
    </row>
    <row r="176" spans="1:31" s="1838" customFormat="1" ht="11.25" customHeight="1">
      <c r="A176" s="858"/>
      <c r="B176" s="1481"/>
      <c r="C176" s="1481"/>
      <c r="D176" s="260"/>
      <c r="K176" s="1023"/>
      <c r="L176" s="1481"/>
      <c r="M176" s="1481"/>
      <c r="N176" s="1023"/>
      <c r="O176" s="1023"/>
      <c r="P176" s="1023"/>
      <c r="Q176" s="1023"/>
      <c r="R176" s="1481"/>
      <c r="S176" s="1023"/>
      <c r="T176" s="1023"/>
      <c r="U176" s="441"/>
      <c r="V176" s="1023"/>
      <c r="W176" s="1023"/>
      <c r="X176" s="1023"/>
      <c r="Y176" s="1023"/>
      <c r="Z176" s="1023"/>
      <c r="AA176" s="1477"/>
      <c r="AB176" s="463"/>
      <c r="AC176" s="463"/>
      <c r="AD176" s="463"/>
      <c r="AE176" s="463"/>
    </row>
    <row r="177" spans="1:31" s="1838" customFormat="1" ht="11.25" customHeight="1">
      <c r="A177" s="858"/>
      <c r="B177" s="1481"/>
      <c r="C177" s="1481"/>
      <c r="D177" s="260"/>
      <c r="K177" s="1023"/>
      <c r="L177" s="1481"/>
      <c r="M177" s="1481"/>
      <c r="N177" s="1023"/>
      <c r="O177" s="1023"/>
      <c r="P177" s="1023"/>
      <c r="Q177" s="1023"/>
      <c r="R177" s="1481"/>
      <c r="S177" s="1023"/>
      <c r="T177" s="1023"/>
      <c r="U177" s="441"/>
      <c r="V177" s="1023"/>
      <c r="W177" s="1023"/>
      <c r="X177" s="1023"/>
      <c r="Y177" s="1023"/>
      <c r="Z177" s="1023"/>
      <c r="AA177" s="1477"/>
      <c r="AB177" s="463"/>
      <c r="AC177" s="463"/>
      <c r="AD177" s="463"/>
      <c r="AE177" s="463"/>
    </row>
    <row r="178" spans="1:31" s="1838" customFormat="1" ht="11.25" customHeight="1">
      <c r="A178" s="858"/>
      <c r="B178" s="1481"/>
      <c r="C178" s="1481"/>
      <c r="D178" s="260"/>
      <c r="K178" s="1023"/>
      <c r="L178" s="1481"/>
      <c r="M178" s="1481"/>
      <c r="N178" s="1023"/>
      <c r="O178" s="1023"/>
      <c r="P178" s="1023"/>
      <c r="Q178" s="1023"/>
      <c r="R178" s="1481"/>
      <c r="S178" s="1023"/>
      <c r="T178" s="1023"/>
      <c r="U178" s="441"/>
      <c r="V178" s="1023"/>
      <c r="W178" s="1023"/>
      <c r="X178" s="1023"/>
      <c r="Y178" s="1023"/>
      <c r="Z178" s="1023"/>
      <c r="AA178" s="1477"/>
      <c r="AB178" s="463"/>
      <c r="AC178" s="463"/>
      <c r="AD178" s="463"/>
      <c r="AE178" s="463"/>
    </row>
    <row r="179" spans="1:31" s="1838" customFormat="1" ht="11.25" customHeight="1">
      <c r="A179" s="858"/>
      <c r="B179" s="1481"/>
      <c r="C179" s="1481"/>
      <c r="D179" s="260"/>
      <c r="K179" s="1023"/>
      <c r="L179" s="1481"/>
      <c r="M179" s="1481"/>
      <c r="N179" s="1023"/>
      <c r="O179" s="1023"/>
      <c r="P179" s="1023"/>
      <c r="Q179" s="1023"/>
      <c r="R179" s="1481"/>
      <c r="S179" s="1023"/>
      <c r="T179" s="1023"/>
      <c r="U179" s="441"/>
      <c r="V179" s="1023"/>
      <c r="W179" s="1023"/>
      <c r="X179" s="1023"/>
      <c r="Y179" s="1023"/>
      <c r="Z179" s="1023"/>
      <c r="AA179" s="1477"/>
      <c r="AB179" s="463"/>
      <c r="AC179" s="463"/>
      <c r="AD179" s="463"/>
      <c r="AE179" s="463"/>
    </row>
    <row r="180" spans="1:31" s="1838" customFormat="1" ht="11.25" customHeight="1">
      <c r="A180" s="858"/>
      <c r="B180" s="1481"/>
      <c r="C180" s="1481"/>
      <c r="D180" s="260"/>
      <c r="K180" s="1023"/>
      <c r="L180" s="1481"/>
      <c r="M180" s="1481"/>
      <c r="N180" s="1023"/>
      <c r="O180" s="1023"/>
      <c r="P180" s="1023"/>
      <c r="Q180" s="1023"/>
      <c r="R180" s="1481"/>
      <c r="S180" s="1023"/>
      <c r="T180" s="1023"/>
      <c r="U180" s="441"/>
      <c r="V180" s="1023"/>
      <c r="W180" s="1023"/>
      <c r="X180" s="1023"/>
      <c r="Y180" s="1023"/>
      <c r="Z180" s="1023"/>
      <c r="AA180" s="1477"/>
      <c r="AB180" s="463"/>
      <c r="AC180" s="463"/>
      <c r="AD180" s="463"/>
      <c r="AE180" s="463"/>
    </row>
    <row r="181" spans="1:31" s="1838" customFormat="1" ht="11.25" customHeight="1">
      <c r="A181" s="858"/>
      <c r="B181" s="1481"/>
      <c r="C181" s="1481"/>
      <c r="D181" s="260"/>
      <c r="K181" s="1023"/>
      <c r="L181" s="1481"/>
      <c r="M181" s="1481"/>
      <c r="N181" s="1023"/>
      <c r="O181" s="1023"/>
      <c r="P181" s="1023"/>
      <c r="Q181" s="1023"/>
      <c r="R181" s="1481"/>
      <c r="S181" s="1023"/>
      <c r="T181" s="1023"/>
      <c r="U181" s="441"/>
      <c r="V181" s="1023"/>
      <c r="W181" s="1023"/>
      <c r="X181" s="1023"/>
      <c r="Y181" s="1023"/>
      <c r="Z181" s="1023"/>
      <c r="AA181" s="1477"/>
      <c r="AB181" s="463"/>
      <c r="AC181" s="463"/>
      <c r="AD181" s="463"/>
      <c r="AE181" s="463"/>
    </row>
    <row r="182" spans="1:31" s="1838" customFormat="1" ht="11.25" customHeight="1">
      <c r="A182" s="858"/>
      <c r="B182" s="1481"/>
      <c r="C182" s="1481"/>
      <c r="D182" s="260"/>
      <c r="K182" s="1023"/>
      <c r="L182" s="1481"/>
      <c r="M182" s="1481"/>
      <c r="N182" s="1023"/>
      <c r="O182" s="1023"/>
      <c r="P182" s="1023"/>
      <c r="Q182" s="1023"/>
      <c r="R182" s="1481"/>
      <c r="S182" s="1023"/>
      <c r="T182" s="1023"/>
      <c r="U182" s="441"/>
      <c r="V182" s="1023"/>
      <c r="W182" s="1023"/>
      <c r="X182" s="1023"/>
      <c r="Y182" s="1023"/>
      <c r="Z182" s="1023"/>
      <c r="AA182" s="1477"/>
      <c r="AB182" s="463"/>
      <c r="AC182" s="463"/>
      <c r="AD182" s="463"/>
      <c r="AE182" s="463"/>
    </row>
    <row r="183" spans="1:31" s="1838" customFormat="1" ht="11.25" customHeight="1">
      <c r="A183" s="858"/>
      <c r="B183" s="1481"/>
      <c r="C183" s="1481"/>
      <c r="D183" s="260"/>
      <c r="K183" s="1023"/>
      <c r="L183" s="1481"/>
      <c r="M183" s="1481"/>
      <c r="N183" s="1023"/>
      <c r="O183" s="1023"/>
      <c r="P183" s="1023"/>
      <c r="Q183" s="1023"/>
      <c r="R183" s="1481"/>
      <c r="S183" s="1023"/>
      <c r="T183" s="1023"/>
      <c r="U183" s="441"/>
      <c r="V183" s="1023"/>
      <c r="W183" s="1023"/>
      <c r="X183" s="1023"/>
      <c r="Y183" s="1023"/>
      <c r="Z183" s="1023"/>
      <c r="AA183" s="1477"/>
      <c r="AB183" s="463"/>
      <c r="AC183" s="463"/>
      <c r="AD183" s="463"/>
      <c r="AE183" s="463"/>
    </row>
    <row r="184" spans="1:31" s="1838" customFormat="1" ht="11.25" customHeight="1">
      <c r="A184" s="858"/>
      <c r="B184" s="1481"/>
      <c r="C184" s="1481"/>
      <c r="D184" s="260"/>
      <c r="K184" s="1023"/>
      <c r="L184" s="1481"/>
      <c r="M184" s="1481"/>
      <c r="N184" s="1023"/>
      <c r="O184" s="1023"/>
      <c r="P184" s="1023"/>
      <c r="Q184" s="1023"/>
      <c r="R184" s="1481"/>
      <c r="S184" s="1023"/>
      <c r="T184" s="1023"/>
      <c r="U184" s="441"/>
      <c r="V184" s="1023"/>
      <c r="W184" s="1023"/>
      <c r="X184" s="1023"/>
      <c r="Y184" s="1023"/>
      <c r="Z184" s="1023"/>
      <c r="AA184" s="1477"/>
      <c r="AB184" s="463"/>
      <c r="AC184" s="463"/>
      <c r="AD184" s="463"/>
      <c r="AE184" s="463"/>
    </row>
    <row r="185" spans="1:31" s="1838" customFormat="1" ht="11.25" customHeight="1">
      <c r="A185" s="858"/>
      <c r="B185" s="1481"/>
      <c r="C185" s="1481"/>
      <c r="D185" s="260"/>
      <c r="K185" s="1023"/>
      <c r="L185" s="1481"/>
      <c r="M185" s="1481"/>
      <c r="N185" s="1023"/>
      <c r="O185" s="1023"/>
      <c r="P185" s="1023"/>
      <c r="Q185" s="1023"/>
      <c r="R185" s="1481"/>
      <c r="S185" s="1023"/>
      <c r="T185" s="1023"/>
      <c r="U185" s="441"/>
      <c r="V185" s="1023"/>
      <c r="W185" s="1023"/>
      <c r="X185" s="1023"/>
      <c r="Y185" s="1023"/>
      <c r="Z185" s="1023"/>
      <c r="AA185" s="1477"/>
      <c r="AB185" s="463"/>
      <c r="AC185" s="463"/>
      <c r="AD185" s="463"/>
      <c r="AE185" s="463"/>
    </row>
    <row r="186" spans="1:31" s="1838" customFormat="1" ht="11.25" customHeight="1">
      <c r="A186" s="858"/>
      <c r="B186" s="1481"/>
      <c r="C186" s="1481"/>
      <c r="D186" s="260"/>
      <c r="K186" s="1023"/>
      <c r="L186" s="1481"/>
      <c r="M186" s="1481"/>
      <c r="N186" s="1023"/>
      <c r="O186" s="1023"/>
      <c r="P186" s="1023"/>
      <c r="Q186" s="1023"/>
      <c r="R186" s="1481"/>
      <c r="S186" s="1023"/>
      <c r="T186" s="1023"/>
      <c r="U186" s="441"/>
      <c r="V186" s="1023"/>
      <c r="W186" s="1023"/>
      <c r="X186" s="1023"/>
      <c r="Y186" s="1023"/>
      <c r="Z186" s="1023"/>
      <c r="AA186" s="1477"/>
      <c r="AB186" s="463"/>
      <c r="AC186" s="463"/>
      <c r="AD186" s="463"/>
      <c r="AE186" s="463"/>
    </row>
    <row r="187" spans="1:31" s="1838" customFormat="1" ht="11.25" customHeight="1">
      <c r="A187" s="858"/>
      <c r="B187" s="1481"/>
      <c r="C187" s="1481"/>
      <c r="D187" s="260"/>
      <c r="K187" s="1023"/>
      <c r="L187" s="1481"/>
      <c r="M187" s="1481"/>
      <c r="N187" s="1023"/>
      <c r="O187" s="1023"/>
      <c r="P187" s="1023"/>
      <c r="Q187" s="1023"/>
      <c r="R187" s="1481"/>
      <c r="S187" s="1023"/>
      <c r="T187" s="1023"/>
      <c r="U187" s="441"/>
      <c r="V187" s="1023"/>
      <c r="W187" s="1023"/>
      <c r="X187" s="1023"/>
      <c r="Y187" s="1023"/>
      <c r="Z187" s="1023"/>
      <c r="AA187" s="1477"/>
      <c r="AB187" s="463"/>
      <c r="AC187" s="463"/>
      <c r="AD187" s="463"/>
      <c r="AE187" s="463"/>
    </row>
    <row r="188" spans="1:31" s="1838" customFormat="1" ht="11.25" customHeight="1">
      <c r="A188" s="858"/>
      <c r="B188" s="1481"/>
      <c r="C188" s="1481"/>
      <c r="D188" s="260"/>
      <c r="K188" s="1023"/>
      <c r="L188" s="1481"/>
      <c r="M188" s="1481"/>
      <c r="N188" s="1023"/>
      <c r="O188" s="1023"/>
      <c r="P188" s="1023"/>
      <c r="Q188" s="1023"/>
      <c r="R188" s="1481"/>
      <c r="S188" s="1023"/>
      <c r="T188" s="1023"/>
      <c r="U188" s="441"/>
      <c r="V188" s="1023"/>
      <c r="W188" s="1023"/>
      <c r="X188" s="1023"/>
      <c r="Y188" s="1023"/>
      <c r="Z188" s="1023"/>
      <c r="AA188" s="1477"/>
      <c r="AB188" s="463"/>
      <c r="AC188" s="463"/>
      <c r="AD188" s="463"/>
      <c r="AE188" s="463"/>
    </row>
    <row r="189" spans="1:31" s="1838" customFormat="1" ht="11.25" customHeight="1">
      <c r="A189" s="858"/>
      <c r="B189" s="1481"/>
      <c r="C189" s="1481"/>
      <c r="D189" s="260"/>
      <c r="K189" s="1023"/>
      <c r="L189" s="1481"/>
      <c r="M189" s="1481"/>
      <c r="N189" s="1023"/>
      <c r="O189" s="1023"/>
      <c r="P189" s="1023"/>
      <c r="Q189" s="1023"/>
      <c r="R189" s="1481"/>
      <c r="S189" s="1023"/>
      <c r="T189" s="1023"/>
      <c r="U189" s="441"/>
      <c r="V189" s="1023"/>
      <c r="W189" s="1023"/>
      <c r="X189" s="1023"/>
      <c r="Y189" s="1023"/>
      <c r="Z189" s="1023"/>
      <c r="AA189" s="1477"/>
      <c r="AB189" s="463"/>
      <c r="AC189" s="463"/>
      <c r="AD189" s="463"/>
      <c r="AE189" s="463"/>
    </row>
    <row r="190" spans="1:31" s="1838" customFormat="1" ht="11.25" customHeight="1">
      <c r="A190" s="858"/>
      <c r="B190" s="1481"/>
      <c r="C190" s="1481"/>
      <c r="D190" s="260"/>
      <c r="K190" s="1023"/>
      <c r="L190" s="1481"/>
      <c r="M190" s="1481"/>
      <c r="N190" s="1023"/>
      <c r="O190" s="1023"/>
      <c r="P190" s="1023"/>
      <c r="Q190" s="1023"/>
      <c r="R190" s="1481"/>
      <c r="S190" s="1023"/>
      <c r="T190" s="1023"/>
      <c r="U190" s="441"/>
      <c r="V190" s="1023"/>
      <c r="W190" s="1023"/>
      <c r="X190" s="1023"/>
      <c r="Y190" s="1023"/>
      <c r="Z190" s="1023"/>
      <c r="AA190" s="1477"/>
      <c r="AB190" s="463"/>
      <c r="AC190" s="463"/>
      <c r="AD190" s="463"/>
      <c r="AE190" s="463"/>
    </row>
    <row r="191" spans="1:31" s="1838" customFormat="1" ht="11.25" customHeight="1">
      <c r="A191" s="858"/>
      <c r="B191" s="1481"/>
      <c r="C191" s="1481"/>
      <c r="D191" s="260"/>
      <c r="K191" s="1023"/>
      <c r="L191" s="1481"/>
      <c r="M191" s="1481"/>
      <c r="N191" s="1023"/>
      <c r="O191" s="1023"/>
      <c r="P191" s="1023"/>
      <c r="Q191" s="1023"/>
      <c r="R191" s="1481"/>
      <c r="S191" s="1023"/>
      <c r="T191" s="1023"/>
      <c r="U191" s="441"/>
      <c r="V191" s="1023"/>
      <c r="W191" s="1023"/>
      <c r="X191" s="1023"/>
      <c r="Y191" s="1023"/>
      <c r="Z191" s="1023"/>
      <c r="AA191" s="1477"/>
      <c r="AB191" s="463"/>
      <c r="AC191" s="463"/>
      <c r="AD191" s="463"/>
      <c r="AE191" s="463"/>
    </row>
    <row r="192" spans="1:31" s="1838" customFormat="1" ht="11.25" customHeight="1">
      <c r="A192" s="858"/>
      <c r="B192" s="1481"/>
      <c r="C192" s="1481"/>
      <c r="D192" s="260"/>
      <c r="K192" s="1023"/>
      <c r="L192" s="1481"/>
      <c r="M192" s="1481"/>
      <c r="N192" s="1023"/>
      <c r="O192" s="1023"/>
      <c r="P192" s="1023"/>
      <c r="Q192" s="1023"/>
      <c r="R192" s="1481"/>
      <c r="S192" s="1023"/>
      <c r="T192" s="1023"/>
      <c r="U192" s="441"/>
      <c r="V192" s="1023"/>
      <c r="W192" s="1023"/>
      <c r="X192" s="1023"/>
      <c r="Y192" s="1023"/>
      <c r="Z192" s="1023"/>
      <c r="AA192" s="1477"/>
      <c r="AB192" s="463"/>
      <c r="AC192" s="463"/>
      <c r="AD192" s="463"/>
      <c r="AE192" s="463"/>
    </row>
    <row r="193" spans="1:31" s="1838" customFormat="1" ht="11.25" customHeight="1">
      <c r="A193" s="858"/>
      <c r="B193" s="1481"/>
      <c r="C193" s="1481"/>
      <c r="D193" s="260"/>
      <c r="K193" s="1023"/>
      <c r="L193" s="1481"/>
      <c r="M193" s="1481"/>
      <c r="N193" s="1023"/>
      <c r="O193" s="1023"/>
      <c r="P193" s="1023"/>
      <c r="Q193" s="1023"/>
      <c r="R193" s="1481"/>
      <c r="S193" s="1023"/>
      <c r="T193" s="1023"/>
      <c r="U193" s="441"/>
      <c r="V193" s="1023"/>
      <c r="W193" s="1023"/>
      <c r="X193" s="1023"/>
      <c r="Y193" s="1023"/>
      <c r="Z193" s="1023"/>
      <c r="AA193" s="1477"/>
      <c r="AB193" s="463"/>
      <c r="AC193" s="463"/>
      <c r="AD193" s="463"/>
      <c r="AE193" s="463"/>
    </row>
    <row r="194" spans="1:31" s="1838" customFormat="1" ht="11.25" customHeight="1">
      <c r="A194" s="858"/>
      <c r="B194" s="1481"/>
      <c r="C194" s="1481"/>
      <c r="D194" s="260"/>
      <c r="K194" s="1023"/>
      <c r="L194" s="1481"/>
      <c r="M194" s="1481"/>
      <c r="N194" s="1023"/>
      <c r="O194" s="1023"/>
      <c r="P194" s="1023"/>
      <c r="Q194" s="1023"/>
      <c r="R194" s="1481"/>
      <c r="S194" s="1023"/>
      <c r="T194" s="1023"/>
      <c r="U194" s="441"/>
      <c r="V194" s="1023"/>
      <c r="W194" s="1023"/>
      <c r="X194" s="1023"/>
      <c r="Y194" s="1023"/>
      <c r="Z194" s="1023"/>
      <c r="AA194" s="1477"/>
      <c r="AB194" s="463"/>
      <c r="AC194" s="463"/>
      <c r="AD194" s="463"/>
      <c r="AE194" s="463"/>
    </row>
    <row r="195" spans="1:31" s="1838" customFormat="1" ht="11.25" customHeight="1">
      <c r="A195" s="858"/>
      <c r="B195" s="1481"/>
      <c r="C195" s="1481"/>
      <c r="D195" s="260"/>
      <c r="K195" s="1023"/>
      <c r="L195" s="1481"/>
      <c r="M195" s="1481"/>
      <c r="N195" s="1023"/>
      <c r="O195" s="1023"/>
      <c r="P195" s="1023"/>
      <c r="Q195" s="1023"/>
      <c r="R195" s="1481"/>
      <c r="S195" s="1023"/>
      <c r="T195" s="1023"/>
      <c r="U195" s="441"/>
      <c r="V195" s="1023"/>
      <c r="W195" s="1023"/>
      <c r="X195" s="1023"/>
      <c r="Y195" s="1023"/>
      <c r="Z195" s="1023"/>
      <c r="AA195" s="1477"/>
      <c r="AB195" s="463"/>
      <c r="AC195" s="463"/>
      <c r="AD195" s="463"/>
      <c r="AE195" s="463"/>
    </row>
    <row r="196" spans="1:31" s="1838" customFormat="1" ht="11.25" customHeight="1">
      <c r="A196" s="858"/>
      <c r="B196" s="1481"/>
      <c r="C196" s="1481"/>
      <c r="D196" s="260"/>
      <c r="K196" s="1023"/>
      <c r="L196" s="1481"/>
      <c r="M196" s="1481"/>
      <c r="N196" s="1023"/>
      <c r="O196" s="1023"/>
      <c r="P196" s="1023"/>
      <c r="Q196" s="1023"/>
      <c r="R196" s="1481"/>
      <c r="S196" s="1023"/>
      <c r="T196" s="1023"/>
      <c r="U196" s="441"/>
      <c r="V196" s="1023"/>
      <c r="W196" s="1023"/>
      <c r="X196" s="1023"/>
      <c r="Y196" s="1023"/>
      <c r="Z196" s="1023"/>
      <c r="AA196" s="1477"/>
      <c r="AB196" s="463"/>
      <c r="AC196" s="463"/>
      <c r="AD196" s="463"/>
      <c r="AE196" s="463"/>
    </row>
    <row r="197" spans="1:31" s="1838" customFormat="1" ht="11.25" customHeight="1">
      <c r="A197" s="858"/>
      <c r="B197" s="1481"/>
      <c r="C197" s="1481"/>
      <c r="D197" s="260"/>
      <c r="K197" s="1023"/>
      <c r="L197" s="1481"/>
      <c r="M197" s="1481"/>
      <c r="N197" s="1023"/>
      <c r="O197" s="1023"/>
      <c r="P197" s="1023"/>
      <c r="Q197" s="1023"/>
      <c r="R197" s="1481"/>
      <c r="S197" s="1023"/>
      <c r="T197" s="1023"/>
      <c r="U197" s="441"/>
      <c r="V197" s="1023"/>
      <c r="W197" s="1023"/>
      <c r="X197" s="1023"/>
      <c r="Y197" s="1023"/>
      <c r="Z197" s="1023"/>
      <c r="AA197" s="1477"/>
      <c r="AB197" s="463"/>
      <c r="AC197" s="463"/>
      <c r="AD197" s="463"/>
      <c r="AE197" s="463"/>
    </row>
    <row r="198" spans="1:31" s="1838" customFormat="1" ht="11.25" customHeight="1">
      <c r="A198" s="858"/>
      <c r="B198" s="1481"/>
      <c r="C198" s="1481"/>
      <c r="D198" s="260"/>
      <c r="K198" s="1023"/>
      <c r="L198" s="1481"/>
      <c r="M198" s="1481"/>
      <c r="N198" s="1023"/>
      <c r="O198" s="1023"/>
      <c r="P198" s="1023"/>
      <c r="Q198" s="1023"/>
      <c r="R198" s="1481"/>
      <c r="S198" s="1023"/>
      <c r="T198" s="1023"/>
      <c r="U198" s="441"/>
      <c r="V198" s="1023"/>
      <c r="W198" s="1023"/>
      <c r="X198" s="1023"/>
      <c r="Y198" s="1023"/>
      <c r="Z198" s="1023"/>
      <c r="AA198" s="1477"/>
      <c r="AB198" s="463"/>
      <c r="AC198" s="463"/>
      <c r="AD198" s="463"/>
      <c r="AE198" s="463"/>
    </row>
    <row r="199" spans="1:31" s="1838" customFormat="1" ht="11.25" customHeight="1">
      <c r="A199" s="858"/>
      <c r="B199" s="1481"/>
      <c r="C199" s="1481"/>
      <c r="D199" s="260"/>
      <c r="K199" s="1023"/>
      <c r="L199" s="1481"/>
      <c r="M199" s="1481"/>
      <c r="N199" s="1023"/>
      <c r="O199" s="1023"/>
      <c r="P199" s="1023"/>
      <c r="Q199" s="1023"/>
      <c r="R199" s="1481"/>
      <c r="S199" s="1023"/>
      <c r="T199" s="1023"/>
      <c r="U199" s="441"/>
      <c r="V199" s="1023"/>
      <c r="W199" s="1023"/>
      <c r="X199" s="1023"/>
      <c r="Y199" s="1023"/>
      <c r="Z199" s="1023"/>
      <c r="AA199" s="1477"/>
      <c r="AB199" s="463"/>
      <c r="AC199" s="463"/>
      <c r="AD199" s="463"/>
      <c r="AE199" s="463"/>
    </row>
    <row r="200" spans="1:31" s="1838" customFormat="1" ht="11.25" customHeight="1">
      <c r="A200" s="858"/>
      <c r="B200" s="1481"/>
      <c r="C200" s="1481"/>
      <c r="D200" s="260"/>
      <c r="K200" s="1023"/>
      <c r="L200" s="1481"/>
      <c r="M200" s="1481"/>
      <c r="N200" s="1023"/>
      <c r="O200" s="1023"/>
      <c r="P200" s="1023"/>
      <c r="Q200" s="1023"/>
      <c r="R200" s="1481"/>
      <c r="S200" s="1023"/>
      <c r="T200" s="1023"/>
      <c r="U200" s="441"/>
      <c r="V200" s="1023"/>
      <c r="W200" s="1023"/>
      <c r="X200" s="1023"/>
      <c r="Y200" s="1023"/>
      <c r="Z200" s="1023"/>
      <c r="AA200" s="1477"/>
      <c r="AB200" s="463"/>
      <c r="AC200" s="463"/>
      <c r="AD200" s="463"/>
      <c r="AE200" s="463"/>
    </row>
    <row r="201" spans="1:31" s="1838" customFormat="1" ht="11.25" customHeight="1">
      <c r="A201" s="858"/>
      <c r="B201" s="1481"/>
      <c r="C201" s="1481"/>
      <c r="D201" s="260"/>
      <c r="K201" s="1023"/>
      <c r="L201" s="1481"/>
      <c r="M201" s="1481"/>
      <c r="N201" s="1023"/>
      <c r="O201" s="1023"/>
      <c r="P201" s="1023"/>
      <c r="Q201" s="1023"/>
      <c r="R201" s="1481"/>
      <c r="S201" s="1023"/>
      <c r="T201" s="1023"/>
      <c r="U201" s="441"/>
      <c r="V201" s="1023"/>
      <c r="W201" s="1023"/>
      <c r="X201" s="1023"/>
      <c r="Y201" s="1023"/>
      <c r="Z201" s="1023"/>
      <c r="AA201" s="1477"/>
      <c r="AB201" s="463"/>
      <c r="AC201" s="463"/>
      <c r="AD201" s="463"/>
      <c r="AE201" s="463"/>
    </row>
    <row r="202" spans="1:31" s="1838" customFormat="1" ht="11.25" customHeight="1">
      <c r="A202" s="858"/>
      <c r="B202" s="1481"/>
      <c r="C202" s="1481"/>
      <c r="D202" s="260"/>
      <c r="K202" s="1023"/>
      <c r="L202" s="1481"/>
      <c r="M202" s="1481"/>
      <c r="N202" s="1023"/>
      <c r="O202" s="1023"/>
      <c r="P202" s="1023"/>
      <c r="Q202" s="1023"/>
      <c r="R202" s="1481"/>
      <c r="S202" s="1023"/>
      <c r="T202" s="1023"/>
      <c r="U202" s="441"/>
      <c r="V202" s="1023"/>
      <c r="W202" s="1023"/>
      <c r="X202" s="1023"/>
      <c r="Y202" s="1023"/>
      <c r="Z202" s="1023"/>
      <c r="AA202" s="1477"/>
      <c r="AB202" s="463"/>
      <c r="AC202" s="463"/>
      <c r="AD202" s="463"/>
      <c r="AE202" s="463"/>
    </row>
    <row r="203" spans="1:31" s="1838" customFormat="1" ht="11.25" customHeight="1">
      <c r="A203" s="858"/>
      <c r="B203" s="1481"/>
      <c r="C203" s="1481"/>
      <c r="D203" s="260"/>
      <c r="K203" s="1023"/>
      <c r="L203" s="1481"/>
      <c r="M203" s="1481"/>
      <c r="N203" s="1023"/>
      <c r="O203" s="1023"/>
      <c r="P203" s="1023"/>
      <c r="Q203" s="1023"/>
      <c r="R203" s="1481"/>
      <c r="S203" s="1023"/>
      <c r="T203" s="1023"/>
      <c r="U203" s="441"/>
      <c r="V203" s="1023"/>
      <c r="W203" s="1023"/>
      <c r="X203" s="1023"/>
      <c r="Y203" s="1023"/>
      <c r="Z203" s="1023"/>
      <c r="AA203" s="1477"/>
      <c r="AB203" s="463"/>
      <c r="AC203" s="463"/>
      <c r="AD203" s="463"/>
      <c r="AE203" s="463"/>
    </row>
    <row r="204" spans="1:31" s="1838" customFormat="1" ht="11.25" customHeight="1">
      <c r="A204" s="858"/>
      <c r="B204" s="1481"/>
      <c r="C204" s="1481"/>
      <c r="D204" s="260"/>
      <c r="K204" s="1023"/>
      <c r="L204" s="1481"/>
      <c r="M204" s="1481"/>
      <c r="N204" s="1023"/>
      <c r="O204" s="1023"/>
      <c r="P204" s="1023"/>
      <c r="Q204" s="1023"/>
      <c r="R204" s="1481"/>
      <c r="S204" s="1023"/>
      <c r="T204" s="1023"/>
      <c r="U204" s="441"/>
      <c r="V204" s="1023"/>
      <c r="W204" s="1023"/>
      <c r="X204" s="1023"/>
      <c r="Y204" s="1023"/>
      <c r="Z204" s="1023"/>
      <c r="AA204" s="1477"/>
      <c r="AB204" s="463"/>
      <c r="AC204" s="463"/>
      <c r="AD204" s="463"/>
      <c r="AE204" s="463"/>
    </row>
    <row r="208" spans="1:31" ht="11.25" customHeight="1">
      <c r="A208" s="861"/>
      <c r="B208" s="1476"/>
      <c r="D208" s="1476"/>
      <c r="K208" s="1476"/>
      <c r="N208" s="1476"/>
      <c r="O208" s="1476"/>
      <c r="P208" s="1476"/>
      <c r="Q208" s="1476"/>
      <c r="S208" s="1476"/>
      <c r="T208" s="1476"/>
      <c r="U208" s="1476"/>
      <c r="V208" s="1476"/>
      <c r="W208" s="1476"/>
      <c r="X208" s="1476"/>
      <c r="Y208" s="1476"/>
      <c r="Z208" s="1476"/>
      <c r="AA208" s="1476"/>
      <c r="AB208" s="1476"/>
      <c r="AC208" s="1476"/>
      <c r="AD208" s="1476"/>
      <c r="AE208" s="1476"/>
    </row>
    <row r="209" spans="1:31" ht="11.25" customHeight="1">
      <c r="A209" s="861"/>
      <c r="B209" s="1476"/>
      <c r="D209" s="1476"/>
      <c r="K209" s="1476"/>
      <c r="N209" s="1476"/>
      <c r="O209" s="1476"/>
      <c r="P209" s="1476"/>
      <c r="Q209" s="1476"/>
      <c r="S209" s="1476"/>
      <c r="T209" s="1476"/>
      <c r="U209" s="1476"/>
      <c r="V209" s="1476"/>
      <c r="W209" s="1476"/>
      <c r="X209" s="1476"/>
      <c r="Y209" s="1476"/>
      <c r="Z209" s="1476"/>
      <c r="AA209" s="1476"/>
      <c r="AB209" s="1476"/>
      <c r="AC209" s="1476"/>
      <c r="AD209" s="1476"/>
      <c r="AE209" s="1476"/>
    </row>
    <row r="210" spans="1:31" ht="11.25" customHeight="1">
      <c r="A210" s="861"/>
      <c r="B210" s="1476"/>
      <c r="D210" s="1476"/>
      <c r="K210" s="1476"/>
      <c r="N210" s="1476"/>
      <c r="O210" s="1476"/>
      <c r="P210" s="1476"/>
      <c r="Q210" s="1476"/>
      <c r="S210" s="1476"/>
      <c r="T210" s="1476"/>
      <c r="U210" s="1476"/>
      <c r="V210" s="1476"/>
      <c r="W210" s="1476"/>
      <c r="X210" s="1476"/>
      <c r="Y210" s="1476"/>
      <c r="Z210" s="1476"/>
      <c r="AA210" s="1476"/>
      <c r="AB210" s="1476"/>
      <c r="AC210" s="1476"/>
      <c r="AD210" s="1476"/>
      <c r="AE210" s="1476"/>
    </row>
    <row r="211" spans="1:31" ht="11.25" customHeight="1">
      <c r="A211" s="861"/>
      <c r="B211" s="1476"/>
      <c r="D211" s="1476"/>
      <c r="K211" s="1476"/>
      <c r="N211" s="1476"/>
      <c r="O211" s="1476"/>
      <c r="P211" s="1476"/>
      <c r="Q211" s="1476"/>
      <c r="S211" s="1476"/>
      <c r="T211" s="1476"/>
      <c r="U211" s="1476"/>
      <c r="V211" s="1476"/>
      <c r="W211" s="1476"/>
      <c r="X211" s="1476"/>
      <c r="Y211" s="1476"/>
      <c r="Z211" s="1476"/>
      <c r="AA211" s="1476"/>
      <c r="AB211" s="1476"/>
      <c r="AC211" s="1476"/>
      <c r="AD211" s="1476"/>
      <c r="AE211" s="1476"/>
    </row>
    <row r="212" spans="1:31" ht="11.25" customHeight="1">
      <c r="A212" s="861"/>
      <c r="B212" s="1476"/>
      <c r="D212" s="1476"/>
      <c r="K212" s="1476"/>
      <c r="N212" s="1476"/>
      <c r="O212" s="1476"/>
      <c r="P212" s="1476"/>
      <c r="Q212" s="1476"/>
      <c r="S212" s="1476"/>
      <c r="T212" s="1476"/>
      <c r="U212" s="1476"/>
      <c r="V212" s="1476"/>
      <c r="W212" s="1476"/>
      <c r="X212" s="1476"/>
      <c r="Y212" s="1476"/>
      <c r="Z212" s="1476"/>
      <c r="AA212" s="1476"/>
      <c r="AB212" s="1476"/>
      <c r="AC212" s="1476"/>
      <c r="AD212" s="1476"/>
      <c r="AE212" s="1476"/>
    </row>
    <row r="213" spans="1:31" ht="11.25" customHeight="1">
      <c r="A213" s="861"/>
      <c r="B213" s="1476"/>
      <c r="D213" s="1476"/>
      <c r="K213" s="1476"/>
      <c r="N213" s="1476"/>
      <c r="O213" s="1476"/>
      <c r="P213" s="1476"/>
      <c r="Q213" s="1476"/>
      <c r="S213" s="1476"/>
      <c r="T213" s="1476"/>
      <c r="U213" s="1476"/>
      <c r="V213" s="1476"/>
      <c r="W213" s="1476"/>
      <c r="X213" s="1476"/>
      <c r="Y213" s="1476"/>
      <c r="Z213" s="1476"/>
      <c r="AA213" s="1476"/>
      <c r="AB213" s="1476"/>
      <c r="AC213" s="1476"/>
      <c r="AD213" s="1476"/>
      <c r="AE213" s="1476"/>
    </row>
    <row r="214" spans="1:31" ht="11.25" customHeight="1">
      <c r="A214" s="861"/>
      <c r="B214" s="1476"/>
      <c r="D214" s="1476"/>
      <c r="K214" s="1476"/>
      <c r="N214" s="1476"/>
      <c r="O214" s="1476"/>
      <c r="P214" s="1476"/>
      <c r="Q214" s="1476"/>
      <c r="S214" s="1476"/>
      <c r="T214" s="1476"/>
      <c r="U214" s="1476"/>
      <c r="V214" s="1476"/>
      <c r="W214" s="1476"/>
      <c r="X214" s="1476"/>
      <c r="Y214" s="1476"/>
      <c r="Z214" s="1476"/>
      <c r="AA214" s="1476"/>
      <c r="AB214" s="1476"/>
      <c r="AC214" s="1476"/>
      <c r="AD214" s="1476"/>
      <c r="AE214" s="1476"/>
    </row>
    <row r="215" spans="1:31" ht="11.25" customHeight="1">
      <c r="A215" s="861"/>
      <c r="B215" s="1476"/>
      <c r="D215" s="1476"/>
      <c r="K215" s="1476"/>
      <c r="N215" s="1476"/>
      <c r="O215" s="1476"/>
      <c r="P215" s="1476"/>
      <c r="Q215" s="1476"/>
      <c r="S215" s="1476"/>
      <c r="T215" s="1476"/>
      <c r="U215" s="1476"/>
      <c r="V215" s="1476"/>
      <c r="W215" s="1476"/>
      <c r="X215" s="1476"/>
      <c r="Y215" s="1476"/>
      <c r="Z215" s="1476"/>
      <c r="AA215" s="1476"/>
      <c r="AB215" s="1476"/>
      <c r="AC215" s="1476"/>
      <c r="AD215" s="1476"/>
      <c r="AE215" s="1476"/>
    </row>
    <row r="216" spans="1:31" ht="11.25" customHeight="1">
      <c r="A216" s="861"/>
      <c r="B216" s="1476"/>
      <c r="D216" s="1476"/>
      <c r="K216" s="1476"/>
      <c r="N216" s="1476"/>
      <c r="O216" s="1476"/>
      <c r="P216" s="1476"/>
      <c r="Q216" s="1476"/>
      <c r="S216" s="1476"/>
      <c r="T216" s="1476"/>
      <c r="U216" s="1476"/>
      <c r="V216" s="1476"/>
      <c r="W216" s="1476"/>
      <c r="X216" s="1476"/>
      <c r="Y216" s="1476"/>
      <c r="Z216" s="1476"/>
      <c r="AA216" s="1476"/>
      <c r="AB216" s="1476"/>
      <c r="AC216" s="1476"/>
      <c r="AD216" s="1476"/>
      <c r="AE216" s="1476"/>
    </row>
    <row r="217" spans="1:31" ht="11.25" customHeight="1">
      <c r="A217" s="861"/>
      <c r="B217" s="1476"/>
      <c r="D217" s="1476"/>
      <c r="K217" s="1476"/>
      <c r="N217" s="1476"/>
      <c r="O217" s="1476"/>
      <c r="P217" s="1476"/>
      <c r="Q217" s="1476"/>
      <c r="S217" s="1476"/>
      <c r="T217" s="1476"/>
      <c r="U217" s="1476"/>
      <c r="V217" s="1476"/>
      <c r="W217" s="1476"/>
      <c r="X217" s="1476"/>
      <c r="Y217" s="1476"/>
      <c r="Z217" s="1476"/>
      <c r="AA217" s="1476"/>
      <c r="AB217" s="1476"/>
      <c r="AC217" s="1476"/>
      <c r="AD217" s="1476"/>
      <c r="AE217" s="1476"/>
    </row>
    <row r="218" spans="1:31" ht="11.25" customHeight="1">
      <c r="A218" s="861"/>
      <c r="B218" s="1476"/>
      <c r="D218" s="1476"/>
      <c r="K218" s="1476"/>
      <c r="N218" s="1476"/>
      <c r="O218" s="1476"/>
      <c r="P218" s="1476"/>
      <c r="Q218" s="1476"/>
      <c r="S218" s="1476"/>
      <c r="T218" s="1476"/>
      <c r="U218" s="1476"/>
      <c r="V218" s="1476"/>
      <c r="W218" s="1476"/>
      <c r="X218" s="1476"/>
      <c r="Y218" s="1476"/>
      <c r="Z218" s="1476"/>
      <c r="AA218" s="1476"/>
      <c r="AB218" s="1476"/>
      <c r="AC218" s="1476"/>
      <c r="AD218" s="1476"/>
      <c r="AE218" s="1476"/>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2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2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xr:uid="{00000000-0002-0000-22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2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2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0B643-25A5-309B-526B-BAD4C1E3388E}">
  <sheetPr>
    <tabColor theme="9" tint="-0.249977111117893"/>
  </sheetPr>
  <dimension ref="A1:AE209"/>
  <sheetViews>
    <sheetView showGridLines="0" topLeftCell="D5" zoomScale="90" workbookViewId="0"/>
  </sheetViews>
  <sheetFormatPr defaultColWidth="9.140625" defaultRowHeight="11.25" customHeight="1"/>
  <cols>
    <col min="1" max="1" width="10.7109375" style="1845" hidden="1" customWidth="1"/>
    <col min="2" max="2" width="16.85546875" style="1903" hidden="1" customWidth="1"/>
    <col min="3" max="3" width="5.5703125" style="1866" hidden="1" customWidth="1"/>
    <col min="4" max="4" width="3.7109375" style="1910" customWidth="1"/>
    <col min="5" max="5" width="7.7109375" style="1910" customWidth="1"/>
    <col min="6" max="6" width="54.5703125" style="1910" customWidth="1"/>
    <col min="7" max="7" width="10.42578125" style="1910" customWidth="1"/>
    <col min="8" max="8" width="40.7109375" style="1910" hidden="1" customWidth="1"/>
    <col min="9" max="9" width="40.7109375" style="1910" customWidth="1"/>
    <col min="10" max="10" width="102.85546875" style="1910" customWidth="1"/>
    <col min="11" max="11" width="9.7109375" style="1903" customWidth="1"/>
    <col min="12" max="12" width="5.28515625" style="1866" customWidth="1"/>
    <col min="13" max="13" width="3.7109375" style="1866" customWidth="1"/>
    <col min="14" max="17" width="3.7109375" style="1903" customWidth="1"/>
    <col min="18" max="18" width="10.5703125" style="1866" customWidth="1"/>
    <col min="19" max="19" width="34.7109375" style="1903" customWidth="1"/>
    <col min="20" max="20" width="9.42578125" style="1903" customWidth="1"/>
    <col min="21" max="21" width="9.140625" style="1858"/>
    <col min="22" max="26" width="9.140625" style="1903"/>
    <col min="27" max="31" width="9.140625" style="1926"/>
  </cols>
  <sheetData>
    <row r="1" spans="1:31" s="1903" customFormat="1" ht="11.25" hidden="1" customHeight="1">
      <c r="A1" s="858"/>
      <c r="C1" s="1481"/>
      <c r="D1" s="434"/>
      <c r="H1" s="1023">
        <v>4</v>
      </c>
      <c r="I1" s="1023">
        <v>4</v>
      </c>
      <c r="L1" s="1481"/>
      <c r="M1" s="1481"/>
      <c r="R1" s="1481"/>
    </row>
    <row r="2" spans="1:31" s="1903" customFormat="1" ht="22.5" hidden="1" customHeight="1">
      <c r="A2" s="858"/>
      <c r="C2" s="1481"/>
      <c r="D2" s="435"/>
      <c r="E2" s="1503"/>
      <c r="F2" s="437"/>
      <c r="G2" s="1502" t="s">
        <v>817</v>
      </c>
      <c r="H2" s="438"/>
      <c r="I2" s="438"/>
      <c r="J2" s="439" t="s">
        <v>820</v>
      </c>
      <c r="K2" s="440"/>
      <c r="L2" s="1481"/>
      <c r="M2" s="1481"/>
      <c r="R2" s="1481"/>
      <c r="U2" s="441"/>
      <c r="AA2" s="1477"/>
      <c r="AB2" s="1477"/>
      <c r="AC2" s="1477"/>
      <c r="AD2" s="1477"/>
      <c r="AE2" s="1477"/>
    </row>
    <row r="3" spans="1:31" ht="11.25" hidden="1" customHeight="1"/>
    <row r="4" spans="1:31" s="1926" customFormat="1" ht="11.25" hidden="1" customHeight="1">
      <c r="A4" s="858"/>
      <c r="B4" s="1023"/>
      <c r="C4" s="1481"/>
      <c r="D4" s="271"/>
      <c r="J4" s="1477">
        <v>4</v>
      </c>
      <c r="K4" s="1023"/>
      <c r="L4" s="1481"/>
      <c r="M4" s="1481"/>
      <c r="N4" s="1023"/>
      <c r="O4" s="1023"/>
      <c r="P4" s="1023"/>
      <c r="Q4" s="1023"/>
      <c r="R4" s="1481"/>
      <c r="S4" s="1023"/>
      <c r="T4" s="1023"/>
      <c r="U4" s="441"/>
      <c r="V4" s="1023"/>
      <c r="W4" s="1023"/>
      <c r="X4" s="1023"/>
      <c r="Y4" s="1023"/>
      <c r="Z4" s="1023"/>
    </row>
    <row r="6" spans="1:31" ht="32.25" customHeight="1">
      <c r="E6" s="3509" t="s">
        <v>1046</v>
      </c>
      <c r="F6" s="3509"/>
      <c r="G6" s="3509"/>
      <c r="H6" s="3509"/>
      <c r="I6" s="3509"/>
      <c r="J6" s="453"/>
    </row>
    <row r="7" spans="1:31" ht="24" customHeight="1">
      <c r="E7" s="3480" t="str">
        <f>IF(org=0,"Не определено",org)</f>
        <v>АО "Орелгортеплоэнерго"</v>
      </c>
      <c r="F7" s="3480"/>
      <c r="G7" s="3480"/>
      <c r="H7" s="3480"/>
      <c r="I7" s="3480"/>
    </row>
    <row r="8" spans="1:31" ht="11.25" customHeight="1">
      <c r="E8" s="1000"/>
      <c r="F8" s="1000"/>
      <c r="G8" s="1000"/>
      <c r="H8" s="1000"/>
      <c r="I8" s="1000"/>
    </row>
    <row r="9" spans="1:31" s="1866" customFormat="1" ht="0.75" customHeight="1">
      <c r="A9" s="1030"/>
      <c r="D9" s="1487"/>
      <c r="H9" s="765"/>
      <c r="I9" s="765" t="s">
        <v>115</v>
      </c>
    </row>
    <row r="10" spans="1:31" ht="11.25" customHeight="1">
      <c r="E10" s="601"/>
      <c r="F10" s="3607" t="s">
        <v>102</v>
      </c>
      <c r="G10" s="3608"/>
      <c r="H10" s="1504" t="str">
        <f>IF(H9="","",INDEX(DIFFERENTIATION_UNMERGE_VD,MATCH(H9,DIFFERENTIATION_ID_DIFF,0)))</f>
        <v/>
      </c>
      <c r="I10" s="1504" t="str">
        <f>IF(I9="","",INDEX(DIFFERENTIATION_UNMERGE_VD,MATCH(I9,DIFFERENTIATION_ID_DIFF,0)))</f>
        <v>Производство тепловой энергии. Некомбинированная выработка</v>
      </c>
      <c r="J10" s="3401"/>
    </row>
    <row r="11" spans="1:31" ht="11.25" customHeight="1">
      <c r="E11" s="601"/>
      <c r="F11" s="3607" t="s">
        <v>829</v>
      </c>
      <c r="G11" s="3608"/>
      <c r="H11" s="1504" t="str">
        <f>IF(H9="","",INDEX(DIFFERENTIATION_UNMERGE_AREA,MATCH(H9,DIFFERENTIATION_ID_DIFF,0)))</f>
        <v/>
      </c>
      <c r="I11" s="1504" t="str">
        <f>IF(I9="","",INDEX(DIFFERENTIATION_UNMERGE_AREA,MATCH(I9,DIFFERENTIATION_ID_DIFF,0)))</f>
        <v>Территория 1</v>
      </c>
      <c r="J11" s="3401"/>
    </row>
    <row r="12" spans="1:31" ht="11.25" hidden="1" customHeight="1">
      <c r="E12" s="1507"/>
      <c r="F12" s="3624" t="s">
        <v>830</v>
      </c>
      <c r="G12" s="3625"/>
      <c r="H12" s="1508" t="str">
        <f>IF(H9="","",INDEX(DIFFERENTIATION_UNMERGE_SYSTEM,MATCH(H9,DIFFERENTIATION_ID_DIFF,0)))</f>
        <v/>
      </c>
      <c r="I12" s="1508" t="str">
        <f>IF(I9="","",INDEX(DIFFERENTIATION_UNMERGE_SYSTEM,MATCH(I9,DIFFERENTIATION_ID_DIFF,0)))</f>
        <v>Авиационная, 1</v>
      </c>
      <c r="J12" s="3401"/>
    </row>
    <row r="13" spans="1:31" ht="11.25" customHeight="1">
      <c r="E13" s="3609" t="s">
        <v>560</v>
      </c>
      <c r="F13" s="3610"/>
      <c r="G13" s="3610"/>
      <c r="H13" s="1501"/>
      <c r="I13" s="1501"/>
      <c r="J13" s="3401"/>
    </row>
    <row r="14" spans="1:31" ht="22.5" customHeight="1">
      <c r="E14" s="1502" t="s">
        <v>85</v>
      </c>
      <c r="F14" s="1505" t="s">
        <v>562</v>
      </c>
      <c r="G14" s="1505" t="s">
        <v>831</v>
      </c>
      <c r="H14" s="1505" t="s">
        <v>563</v>
      </c>
      <c r="I14" s="1505" t="s">
        <v>563</v>
      </c>
      <c r="J14" s="3401"/>
    </row>
    <row r="15" spans="1:31" ht="18.75" customHeight="1">
      <c r="D15" s="1483"/>
      <c r="E15" s="1475" t="s">
        <v>106</v>
      </c>
      <c r="F15" s="597" t="s">
        <v>1047</v>
      </c>
      <c r="G15" s="1502" t="s">
        <v>817</v>
      </c>
      <c r="H15" s="454"/>
      <c r="I15" s="454"/>
      <c r="J15" s="201" t="s">
        <v>1048</v>
      </c>
      <c r="K15" s="440" t="s">
        <v>976</v>
      </c>
    </row>
    <row r="16" spans="1:31" ht="22.5" customHeight="1">
      <c r="D16" s="1483"/>
      <c r="E16" s="1475" t="s">
        <v>107</v>
      </c>
      <c r="F16" s="1510" t="s">
        <v>1049</v>
      </c>
      <c r="G16" s="1502" t="s">
        <v>817</v>
      </c>
      <c r="H16" s="455">
        <f>SUM(H17,H20:H27)</f>
        <v>0</v>
      </c>
      <c r="I16" s="455">
        <f>SUM(I17,I20:I27)</f>
        <v>0</v>
      </c>
      <c r="J16" s="201" t="s">
        <v>1050</v>
      </c>
      <c r="K16" s="440" t="s">
        <v>976</v>
      </c>
    </row>
    <row r="17" spans="1:31" ht="33.75" customHeight="1">
      <c r="D17" s="1483"/>
      <c r="E17" s="1509" t="s">
        <v>979</v>
      </c>
      <c r="F17" s="1512" t="s">
        <v>1051</v>
      </c>
      <c r="G17" s="1499" t="s">
        <v>817</v>
      </c>
      <c r="H17" s="454"/>
      <c r="I17" s="454"/>
      <c r="J17" s="201" t="s">
        <v>1052</v>
      </c>
      <c r="K17" s="440"/>
    </row>
    <row r="18" spans="1:31" ht="18.75" customHeight="1">
      <c r="D18" s="1483"/>
      <c r="E18" s="1509" t="s">
        <v>982</v>
      </c>
      <c r="F18" s="1513" t="s">
        <v>1053</v>
      </c>
      <c r="G18" s="1499" t="s">
        <v>817</v>
      </c>
      <c r="H18" s="454"/>
      <c r="I18" s="454"/>
      <c r="J18" s="201"/>
      <c r="K18" s="440"/>
    </row>
    <row r="19" spans="1:31" ht="22.5" customHeight="1">
      <c r="D19" s="1483"/>
      <c r="E19" s="1509" t="s">
        <v>985</v>
      </c>
      <c r="F19" s="1513" t="s">
        <v>1054</v>
      </c>
      <c r="G19" s="1499" t="s">
        <v>817</v>
      </c>
      <c r="H19" s="454"/>
      <c r="I19" s="454"/>
      <c r="J19" s="201"/>
      <c r="K19" s="440"/>
    </row>
    <row r="20" spans="1:31" ht="33.75" customHeight="1">
      <c r="D20" s="1483"/>
      <c r="E20" s="1509" t="s">
        <v>567</v>
      </c>
      <c r="F20" s="1512" t="s">
        <v>1055</v>
      </c>
      <c r="G20" s="1499" t="s">
        <v>817</v>
      </c>
      <c r="H20" s="454"/>
      <c r="I20" s="454"/>
      <c r="J20" s="201"/>
      <c r="K20" s="440"/>
    </row>
    <row r="21" spans="1:31" ht="33.75" customHeight="1">
      <c r="D21" s="1483"/>
      <c r="E21" s="1509" t="s">
        <v>570</v>
      </c>
      <c r="F21" s="1512" t="s">
        <v>1056</v>
      </c>
      <c r="G21" s="1499" t="s">
        <v>817</v>
      </c>
      <c r="H21" s="454"/>
      <c r="I21" s="454"/>
      <c r="J21" s="201"/>
      <c r="K21" s="440"/>
    </row>
    <row r="22" spans="1:31" ht="56.25" customHeight="1">
      <c r="D22" s="1483"/>
      <c r="E22" s="1509" t="s">
        <v>999</v>
      </c>
      <c r="F22" s="1512" t="s">
        <v>1057</v>
      </c>
      <c r="G22" s="1499" t="s">
        <v>817</v>
      </c>
      <c r="H22" s="454"/>
      <c r="I22" s="454"/>
      <c r="J22" s="201"/>
      <c r="K22" s="440"/>
    </row>
    <row r="23" spans="1:31" ht="33.75" customHeight="1">
      <c r="D23" s="1483"/>
      <c r="E23" s="1509" t="s">
        <v>1006</v>
      </c>
      <c r="F23" s="1512" t="s">
        <v>1058</v>
      </c>
      <c r="G23" s="1499" t="s">
        <v>817</v>
      </c>
      <c r="H23" s="454"/>
      <c r="I23" s="454"/>
      <c r="J23" s="201"/>
      <c r="K23" s="440"/>
    </row>
    <row r="24" spans="1:31" ht="33.75" customHeight="1">
      <c r="D24" s="1483"/>
      <c r="E24" s="1509" t="s">
        <v>1008</v>
      </c>
      <c r="F24" s="1512" t="s">
        <v>1059</v>
      </c>
      <c r="G24" s="1499" t="s">
        <v>817</v>
      </c>
      <c r="H24" s="454"/>
      <c r="I24" s="454"/>
      <c r="J24" s="201"/>
      <c r="K24" s="440"/>
    </row>
    <row r="25" spans="1:31" ht="22.5" customHeight="1">
      <c r="D25" s="1483"/>
      <c r="E25" s="1509" t="s">
        <v>1010</v>
      </c>
      <c r="F25" s="1512" t="s">
        <v>1060</v>
      </c>
      <c r="G25" s="1499" t="s">
        <v>817</v>
      </c>
      <c r="H25" s="454"/>
      <c r="I25" s="454"/>
      <c r="J25" s="201"/>
      <c r="K25" s="440"/>
    </row>
    <row r="26" spans="1:31" ht="67.5" customHeight="1">
      <c r="D26" s="1483"/>
      <c r="E26" s="1509" t="s">
        <v>1012</v>
      </c>
      <c r="F26" s="1512" t="s">
        <v>1061</v>
      </c>
      <c r="G26" s="1499" t="s">
        <v>817</v>
      </c>
      <c r="H26" s="454"/>
      <c r="I26" s="454"/>
      <c r="J26" s="201"/>
      <c r="K26" s="440"/>
    </row>
    <row r="27" spans="1:31" s="1903" customFormat="1" ht="22.5" customHeight="1">
      <c r="A27" s="858"/>
      <c r="C27" s="1481"/>
      <c r="D27" s="1483"/>
      <c r="E27" s="1474" t="s">
        <v>1016</v>
      </c>
      <c r="F27" s="1473" t="s">
        <v>1062</v>
      </c>
      <c r="G27" s="1500" t="s">
        <v>817</v>
      </c>
      <c r="H27" s="476">
        <f>SUM(H28:H29)</f>
        <v>0</v>
      </c>
      <c r="I27" s="476">
        <f>SUM(I28:I29)</f>
        <v>0</v>
      </c>
      <c r="J27" s="201" t="s">
        <v>1014</v>
      </c>
      <c r="K27" s="440"/>
      <c r="L27" s="1481"/>
      <c r="M27" s="1481"/>
      <c r="R27" s="1481"/>
      <c r="U27" s="441"/>
      <c r="AA27" s="1477"/>
      <c r="AB27" s="1477"/>
      <c r="AC27" s="1477"/>
      <c r="AD27" s="1477"/>
      <c r="AE27" s="1477"/>
    </row>
    <row r="28" spans="1:31" s="1866" customFormat="1" ht="0.75" customHeight="1">
      <c r="A28" s="1030"/>
      <c r="D28" s="445"/>
      <c r="E28" s="683" t="str">
        <f>E27&amp;".0"</f>
        <v>2.9.0</v>
      </c>
      <c r="F28" s="862"/>
      <c r="G28" s="448"/>
      <c r="H28" s="863"/>
      <c r="I28" s="863"/>
      <c r="J28" s="864"/>
    </row>
    <row r="29" spans="1:31" s="1903" customFormat="1" ht="18.75" customHeight="1">
      <c r="A29" s="858"/>
      <c r="C29" s="1481"/>
      <c r="D29" s="1478"/>
      <c r="E29" s="467"/>
      <c r="F29" s="1511" t="s">
        <v>842</v>
      </c>
      <c r="G29" s="469"/>
      <c r="H29" s="470"/>
      <c r="I29" s="470"/>
      <c r="J29" s="212" t="s">
        <v>1015</v>
      </c>
      <c r="K29" s="440"/>
      <c r="L29" s="1481"/>
      <c r="M29" s="1481"/>
      <c r="R29" s="1481"/>
      <c r="U29" s="441"/>
      <c r="AA29" s="1477"/>
      <c r="AB29" s="1477"/>
      <c r="AC29" s="1477"/>
      <c r="AD29" s="1477"/>
      <c r="AE29" s="1477"/>
    </row>
    <row r="30" spans="1:31" s="1903" customFormat="1" ht="22.5" customHeight="1">
      <c r="A30" s="858"/>
      <c r="C30" s="1481"/>
      <c r="D30" s="1483"/>
      <c r="E30" s="1509" t="s">
        <v>87</v>
      </c>
      <c r="F30" s="1506" t="s">
        <v>1063</v>
      </c>
      <c r="G30" s="1499" t="s">
        <v>817</v>
      </c>
      <c r="H30" s="454"/>
      <c r="I30" s="454"/>
      <c r="J30" s="201"/>
      <c r="K30" s="440"/>
      <c r="L30" s="1481"/>
      <c r="M30" s="1481"/>
      <c r="R30" s="1481"/>
      <c r="U30" s="441"/>
      <c r="AA30" s="1477"/>
      <c r="AB30" s="1477"/>
      <c r="AC30" s="1477"/>
      <c r="AD30" s="1477"/>
      <c r="AE30" s="1477"/>
    </row>
    <row r="31" spans="1:31" s="1903" customFormat="1" ht="33.75" customHeight="1">
      <c r="A31" s="858"/>
      <c r="C31" s="1481"/>
      <c r="D31" s="472"/>
      <c r="E31" s="1509" t="s">
        <v>88</v>
      </c>
      <c r="F31" s="1506" t="s">
        <v>1064</v>
      </c>
      <c r="G31" s="1499" t="s">
        <v>817</v>
      </c>
      <c r="H31" s="454"/>
      <c r="I31" s="454"/>
      <c r="J31" s="201" t="s">
        <v>1065</v>
      </c>
      <c r="K31" s="440"/>
      <c r="L31" s="1481"/>
      <c r="M31" s="1481"/>
      <c r="R31" s="1481"/>
      <c r="U31" s="441"/>
      <c r="AA31" s="1477"/>
      <c r="AB31" s="1477"/>
      <c r="AC31" s="1477"/>
      <c r="AD31" s="1477"/>
      <c r="AE31" s="1477"/>
    </row>
    <row r="32" spans="1:31" s="1903" customFormat="1" ht="22.5" customHeight="1">
      <c r="A32" s="858"/>
      <c r="C32" s="1481"/>
      <c r="D32" s="1483"/>
      <c r="E32" s="1509" t="s">
        <v>1024</v>
      </c>
      <c r="F32" s="581" t="s">
        <v>1028</v>
      </c>
      <c r="G32" s="1499" t="s">
        <v>817</v>
      </c>
      <c r="H32" s="454"/>
      <c r="I32" s="454"/>
      <c r="J32" s="201" t="s">
        <v>1066</v>
      </c>
      <c r="K32" s="440"/>
      <c r="L32" s="1481"/>
      <c r="M32" s="1481"/>
      <c r="R32" s="1481"/>
      <c r="U32" s="441"/>
      <c r="AA32" s="1477"/>
      <c r="AB32" s="1477"/>
      <c r="AC32" s="1477"/>
      <c r="AD32" s="1477"/>
      <c r="AE32" s="1477"/>
    </row>
    <row r="33" spans="1:31" s="1903" customFormat="1" ht="22.5" customHeight="1">
      <c r="A33" s="858"/>
      <c r="C33" s="1481"/>
      <c r="D33" s="1483"/>
      <c r="E33" s="1509" t="s">
        <v>1067</v>
      </c>
      <c r="F33" s="581" t="s">
        <v>1068</v>
      </c>
      <c r="G33" s="1499" t="s">
        <v>817</v>
      </c>
      <c r="H33" s="454"/>
      <c r="I33" s="454"/>
      <c r="J33" s="201" t="s">
        <v>1069</v>
      </c>
      <c r="K33" s="440"/>
      <c r="L33" s="1481"/>
      <c r="M33" s="1481"/>
      <c r="R33" s="1481"/>
      <c r="U33" s="441"/>
      <c r="AA33" s="1477"/>
      <c r="AB33" s="1477"/>
      <c r="AC33" s="1477"/>
      <c r="AD33" s="1477"/>
      <c r="AE33" s="1477"/>
    </row>
    <row r="34" spans="1:31" s="1903" customFormat="1" ht="22.5" customHeight="1">
      <c r="A34" s="858"/>
      <c r="C34" s="1481"/>
      <c r="D34" s="1483"/>
      <c r="E34" s="1509" t="s">
        <v>1070</v>
      </c>
      <c r="F34" s="581" t="s">
        <v>1034</v>
      </c>
      <c r="G34" s="1499" t="s">
        <v>817</v>
      </c>
      <c r="H34" s="454"/>
      <c r="I34" s="454"/>
      <c r="J34" s="201" t="s">
        <v>1071</v>
      </c>
      <c r="K34" s="440"/>
      <c r="L34" s="1481"/>
      <c r="M34" s="1481"/>
      <c r="R34" s="1481"/>
      <c r="U34" s="441"/>
      <c r="AA34" s="1477"/>
      <c r="AB34" s="1477"/>
      <c r="AC34" s="1477"/>
      <c r="AD34" s="1477"/>
      <c r="AE34" s="1477"/>
    </row>
    <row r="35" spans="1:31" s="1903" customFormat="1" ht="33.75" customHeight="1">
      <c r="A35" s="858"/>
      <c r="C35" s="1481" t="s">
        <v>853</v>
      </c>
      <c r="D35" s="1483"/>
      <c r="E35" s="1509" t="s">
        <v>108</v>
      </c>
      <c r="F35" s="1506" t="s">
        <v>1036</v>
      </c>
      <c r="G35" s="1502" t="s">
        <v>566</v>
      </c>
      <c r="H35" s="308"/>
      <c r="I35" s="308"/>
      <c r="J35" s="201" t="s">
        <v>1072</v>
      </c>
      <c r="K35" s="440"/>
      <c r="L35" s="1481"/>
      <c r="M35" s="1481"/>
      <c r="R35" s="1481"/>
      <c r="U35" s="441"/>
      <c r="AA35" s="1477"/>
      <c r="AB35" s="1477"/>
      <c r="AC35" s="1477"/>
      <c r="AD35" s="1477"/>
      <c r="AE35" s="1477"/>
    </row>
    <row r="36" spans="1:31" s="1903" customFormat="1" ht="22.5" customHeight="1">
      <c r="A36" s="858"/>
      <c r="C36" s="1481"/>
      <c r="D36" s="1483"/>
      <c r="E36" s="1509" t="s">
        <v>89</v>
      </c>
      <c r="F36" s="1506" t="s">
        <v>1073</v>
      </c>
      <c r="G36" s="1499" t="s">
        <v>1040</v>
      </c>
      <c r="H36" s="442"/>
      <c r="I36" s="442"/>
      <c r="J36" s="201" t="s">
        <v>1041</v>
      </c>
      <c r="K36" s="440"/>
      <c r="L36" s="1481"/>
      <c r="M36" s="1481"/>
      <c r="R36" s="1481"/>
      <c r="U36" s="441"/>
      <c r="AA36" s="1477"/>
      <c r="AB36" s="1477"/>
      <c r="AC36" s="1477"/>
      <c r="AD36" s="1477"/>
      <c r="AE36" s="1477"/>
    </row>
    <row r="37" spans="1:31" s="1903" customFormat="1" ht="22.5" customHeight="1">
      <c r="A37" s="858"/>
      <c r="C37" s="1481"/>
      <c r="D37" s="1483"/>
      <c r="E37" s="1509" t="s">
        <v>90</v>
      </c>
      <c r="F37" s="1506" t="s">
        <v>1074</v>
      </c>
      <c r="G37" s="1499" t="s">
        <v>1043</v>
      </c>
      <c r="H37" s="442"/>
      <c r="I37" s="442"/>
      <c r="J37" s="201" t="s">
        <v>1044</v>
      </c>
      <c r="K37" s="440"/>
      <c r="L37" s="1481"/>
      <c r="M37" s="1481"/>
      <c r="R37" s="1481"/>
      <c r="U37" s="441"/>
      <c r="AA37" s="1477"/>
      <c r="AB37" s="1477"/>
      <c r="AC37" s="1477"/>
      <c r="AD37" s="1477"/>
      <c r="AE37" s="1477"/>
    </row>
    <row r="38" spans="1:31" ht="11.25" customHeight="1">
      <c r="D38" s="1483"/>
    </row>
    <row r="39" spans="1:31" ht="26.25" customHeight="1">
      <c r="D39" s="1483"/>
      <c r="E39" s="1119" t="s">
        <v>1075</v>
      </c>
      <c r="F39" s="3527" t="s">
        <v>1076</v>
      </c>
      <c r="G39" s="3527"/>
      <c r="H39" s="3527"/>
      <c r="I39" s="3527"/>
      <c r="J39" s="3527"/>
    </row>
    <row r="40" spans="1:31" s="1838" customFormat="1" ht="37.5" customHeight="1">
      <c r="A40" s="858"/>
      <c r="B40" s="1481"/>
      <c r="C40" s="1481"/>
      <c r="D40" s="260"/>
      <c r="F40" s="3527" t="s">
        <v>1077</v>
      </c>
      <c r="G40" s="3527"/>
      <c r="H40" s="3527"/>
      <c r="I40" s="3527"/>
      <c r="J40" s="3527"/>
      <c r="K40" s="1023"/>
      <c r="L40" s="1481"/>
      <c r="M40" s="1481"/>
      <c r="N40" s="1023"/>
      <c r="O40" s="1023"/>
      <c r="P40" s="1023"/>
      <c r="Q40" s="1023"/>
      <c r="R40" s="1481"/>
      <c r="S40" s="1023"/>
      <c r="T40" s="1023"/>
      <c r="U40" s="441"/>
      <c r="V40" s="1023"/>
      <c r="W40" s="1023"/>
      <c r="X40" s="1023"/>
      <c r="Y40" s="1023"/>
      <c r="Z40" s="1023"/>
      <c r="AA40" s="1477"/>
      <c r="AB40" s="463"/>
      <c r="AC40" s="463"/>
      <c r="AD40" s="463"/>
      <c r="AE40" s="463"/>
    </row>
    <row r="41" spans="1:31" s="1838" customFormat="1" ht="11.25" customHeight="1">
      <c r="A41" s="858"/>
      <c r="B41" s="1481"/>
      <c r="C41" s="1481"/>
      <c r="D41" s="260"/>
      <c r="K41" s="1023"/>
      <c r="L41" s="1481"/>
      <c r="M41" s="1481"/>
      <c r="N41" s="1023"/>
      <c r="O41" s="1023"/>
      <c r="P41" s="1023"/>
      <c r="Q41" s="1023"/>
      <c r="R41" s="1481"/>
      <c r="S41" s="1023"/>
      <c r="T41" s="1023"/>
      <c r="U41" s="441"/>
      <c r="V41" s="1023"/>
      <c r="W41" s="1023"/>
      <c r="X41" s="1023"/>
      <c r="Y41" s="1023"/>
      <c r="Z41" s="1023"/>
      <c r="AA41" s="1477"/>
      <c r="AB41" s="463"/>
      <c r="AC41" s="463"/>
      <c r="AD41" s="463"/>
      <c r="AE41" s="463"/>
    </row>
    <row r="42" spans="1:31" s="1838" customFormat="1" ht="11.25" customHeight="1">
      <c r="A42" s="858"/>
      <c r="B42" s="1481"/>
      <c r="C42" s="1481"/>
      <c r="D42" s="260"/>
      <c r="K42" s="1023"/>
      <c r="L42" s="1481"/>
      <c r="M42" s="1481"/>
      <c r="N42" s="1023"/>
      <c r="O42" s="1023"/>
      <c r="P42" s="1023"/>
      <c r="Q42" s="1023"/>
      <c r="R42" s="1481"/>
      <c r="S42" s="1023"/>
      <c r="T42" s="1023"/>
      <c r="U42" s="441"/>
      <c r="V42" s="1023"/>
      <c r="W42" s="1023"/>
      <c r="X42" s="1023"/>
      <c r="Y42" s="1023"/>
      <c r="Z42" s="1023"/>
      <c r="AA42" s="1477"/>
      <c r="AB42" s="463"/>
      <c r="AC42" s="463"/>
      <c r="AD42" s="463"/>
      <c r="AE42" s="463"/>
    </row>
    <row r="43" spans="1:31" s="1838" customFormat="1" ht="11.25" customHeight="1">
      <c r="A43" s="858"/>
      <c r="B43" s="1481"/>
      <c r="C43" s="1481"/>
      <c r="D43" s="260"/>
      <c r="H43" s="463"/>
      <c r="I43" s="463"/>
      <c r="K43" s="1023"/>
      <c r="L43" s="1481"/>
      <c r="M43" s="1481"/>
      <c r="N43" s="1023"/>
      <c r="O43" s="1023"/>
      <c r="P43" s="1023"/>
      <c r="Q43" s="1023"/>
      <c r="R43" s="1481"/>
      <c r="S43" s="1023"/>
      <c r="T43" s="1023"/>
      <c r="U43" s="441"/>
      <c r="V43" s="1023"/>
      <c r="W43" s="1023"/>
      <c r="X43" s="1023"/>
      <c r="Y43" s="1023"/>
      <c r="Z43" s="1023"/>
      <c r="AA43" s="1477"/>
      <c r="AB43" s="463"/>
      <c r="AC43" s="463"/>
      <c r="AD43" s="463"/>
      <c r="AE43" s="463"/>
    </row>
    <row r="44" spans="1:31" s="1838" customFormat="1" ht="11.25" customHeight="1">
      <c r="A44" s="858"/>
      <c r="B44" s="1481"/>
      <c r="C44" s="1481"/>
      <c r="D44" s="260"/>
      <c r="K44" s="1023"/>
      <c r="L44" s="1481"/>
      <c r="M44" s="1481"/>
      <c r="N44" s="1023"/>
      <c r="O44" s="1023"/>
      <c r="P44" s="1023"/>
      <c r="Q44" s="1023"/>
      <c r="R44" s="1481"/>
      <c r="S44" s="1023"/>
      <c r="T44" s="1023"/>
      <c r="U44" s="441"/>
      <c r="V44" s="1023"/>
      <c r="W44" s="1023"/>
      <c r="X44" s="1023"/>
      <c r="Y44" s="1023"/>
      <c r="Z44" s="1023"/>
      <c r="AA44" s="1477"/>
      <c r="AB44" s="463"/>
      <c r="AC44" s="463"/>
      <c r="AD44" s="463"/>
      <c r="AE44" s="463"/>
    </row>
    <row r="45" spans="1:31" s="1838" customFormat="1" ht="11.25" customHeight="1">
      <c r="A45" s="858"/>
      <c r="B45" s="1481"/>
      <c r="C45" s="1481"/>
      <c r="D45" s="260"/>
      <c r="K45" s="1023"/>
      <c r="L45" s="1481"/>
      <c r="M45" s="1481"/>
      <c r="N45" s="1023"/>
      <c r="O45" s="1023"/>
      <c r="P45" s="1023"/>
      <c r="Q45" s="1023"/>
      <c r="R45" s="1481"/>
      <c r="S45" s="1023"/>
      <c r="T45" s="1023"/>
      <c r="U45" s="441"/>
      <c r="V45" s="1023"/>
      <c r="W45" s="1023"/>
      <c r="X45" s="1023"/>
      <c r="Y45" s="1023"/>
      <c r="Z45" s="1023"/>
      <c r="AA45" s="1477"/>
      <c r="AB45" s="463"/>
      <c r="AC45" s="463"/>
      <c r="AD45" s="463"/>
      <c r="AE45" s="463"/>
    </row>
    <row r="46" spans="1:31" s="1838" customFormat="1" ht="11.25" customHeight="1">
      <c r="A46" s="858"/>
      <c r="B46" s="1481"/>
      <c r="C46" s="1481"/>
      <c r="D46" s="260"/>
      <c r="K46" s="1023"/>
      <c r="L46" s="1481"/>
      <c r="M46" s="1481"/>
      <c r="N46" s="1023"/>
      <c r="O46" s="1023"/>
      <c r="P46" s="1023"/>
      <c r="Q46" s="1023"/>
      <c r="R46" s="1481"/>
      <c r="S46" s="1023"/>
      <c r="T46" s="1023"/>
      <c r="U46" s="441"/>
      <c r="V46" s="1023"/>
      <c r="W46" s="1023"/>
      <c r="X46" s="1023"/>
      <c r="Y46" s="1023"/>
      <c r="Z46" s="1023"/>
      <c r="AA46" s="1477"/>
      <c r="AB46" s="463"/>
      <c r="AC46" s="463"/>
      <c r="AD46" s="463"/>
      <c r="AE46" s="463"/>
    </row>
    <row r="47" spans="1:31" s="1838" customFormat="1" ht="11.25" customHeight="1">
      <c r="A47" s="858"/>
      <c r="B47" s="1481"/>
      <c r="C47" s="1481"/>
      <c r="D47" s="260"/>
      <c r="K47" s="1023"/>
      <c r="L47" s="1481"/>
      <c r="M47" s="1481"/>
      <c r="N47" s="1023"/>
      <c r="O47" s="1023"/>
      <c r="P47" s="1023"/>
      <c r="Q47" s="1023"/>
      <c r="R47" s="1481"/>
      <c r="S47" s="1023"/>
      <c r="T47" s="1023"/>
      <c r="U47" s="441"/>
      <c r="V47" s="1023"/>
      <c r="W47" s="1023"/>
      <c r="X47" s="1023"/>
      <c r="Y47" s="1023"/>
      <c r="Z47" s="1023"/>
      <c r="AA47" s="1477"/>
      <c r="AB47" s="463"/>
      <c r="AC47" s="463"/>
      <c r="AD47" s="463"/>
      <c r="AE47" s="463"/>
    </row>
    <row r="48" spans="1:31" s="1838" customFormat="1" ht="11.25" customHeight="1">
      <c r="A48" s="858"/>
      <c r="B48" s="1481"/>
      <c r="C48" s="1481"/>
      <c r="D48" s="260"/>
      <c r="K48" s="1023"/>
      <c r="L48" s="1481"/>
      <c r="M48" s="1481"/>
      <c r="N48" s="1023"/>
      <c r="O48" s="1023"/>
      <c r="P48" s="1023"/>
      <c r="Q48" s="1023"/>
      <c r="R48" s="1481"/>
      <c r="S48" s="1023"/>
      <c r="T48" s="1023"/>
      <c r="U48" s="441"/>
      <c r="V48" s="1023"/>
      <c r="W48" s="1023"/>
      <c r="X48" s="1023"/>
      <c r="Y48" s="1023"/>
      <c r="Z48" s="1023"/>
      <c r="AA48" s="1477"/>
      <c r="AB48" s="463"/>
      <c r="AC48" s="463"/>
      <c r="AD48" s="463"/>
      <c r="AE48" s="463"/>
    </row>
    <row r="49" spans="1:31" s="1838" customFormat="1" ht="11.25" customHeight="1">
      <c r="A49" s="858"/>
      <c r="B49" s="1481"/>
      <c r="C49" s="1481"/>
      <c r="D49" s="260"/>
      <c r="K49" s="1023"/>
      <c r="L49" s="1481"/>
      <c r="M49" s="1481"/>
      <c r="N49" s="1023"/>
      <c r="O49" s="1023"/>
      <c r="P49" s="1023"/>
      <c r="Q49" s="1023"/>
      <c r="R49" s="1481"/>
      <c r="S49" s="1023"/>
      <c r="T49" s="1023"/>
      <c r="U49" s="441"/>
      <c r="V49" s="1023"/>
      <c r="W49" s="1023"/>
      <c r="X49" s="1023"/>
      <c r="Y49" s="1023"/>
      <c r="Z49" s="1023"/>
      <c r="AA49" s="1477"/>
      <c r="AB49" s="463"/>
      <c r="AC49" s="463"/>
      <c r="AD49" s="463"/>
      <c r="AE49" s="463"/>
    </row>
    <row r="50" spans="1:31" s="1838" customFormat="1" ht="11.25" customHeight="1">
      <c r="A50" s="858"/>
      <c r="B50" s="1481"/>
      <c r="C50" s="1481"/>
      <c r="D50" s="260"/>
      <c r="K50" s="1023"/>
      <c r="L50" s="1481"/>
      <c r="M50" s="1481"/>
      <c r="N50" s="1023"/>
      <c r="O50" s="1023"/>
      <c r="P50" s="1023"/>
      <c r="Q50" s="1023"/>
      <c r="R50" s="1481"/>
      <c r="S50" s="1023"/>
      <c r="T50" s="1023"/>
      <c r="U50" s="441"/>
      <c r="V50" s="1023"/>
      <c r="W50" s="1023"/>
      <c r="X50" s="1023"/>
      <c r="Y50" s="1023"/>
      <c r="Z50" s="1023"/>
      <c r="AA50" s="1477"/>
      <c r="AB50" s="463"/>
      <c r="AC50" s="463"/>
      <c r="AD50" s="463"/>
      <c r="AE50" s="463"/>
    </row>
    <row r="51" spans="1:31" s="1838" customFormat="1" ht="11.25" customHeight="1">
      <c r="A51" s="858"/>
      <c r="B51" s="1481"/>
      <c r="C51" s="1481"/>
      <c r="D51" s="260"/>
      <c r="K51" s="1023"/>
      <c r="L51" s="1481"/>
      <c r="M51" s="1481"/>
      <c r="N51" s="1023"/>
      <c r="O51" s="1023"/>
      <c r="P51" s="1023"/>
      <c r="Q51" s="1023"/>
      <c r="R51" s="1481"/>
      <c r="S51" s="1023"/>
      <c r="T51" s="1023"/>
      <c r="U51" s="441"/>
      <c r="V51" s="1023"/>
      <c r="W51" s="1023"/>
      <c r="X51" s="1023"/>
      <c r="Y51" s="1023"/>
      <c r="Z51" s="1023"/>
      <c r="AA51" s="1477"/>
      <c r="AB51" s="463"/>
      <c r="AC51" s="463"/>
      <c r="AD51" s="463"/>
      <c r="AE51" s="463"/>
    </row>
    <row r="52" spans="1:31" s="1838" customFormat="1" ht="11.25" customHeight="1">
      <c r="A52" s="858"/>
      <c r="B52" s="1481"/>
      <c r="C52" s="1481"/>
      <c r="D52" s="260"/>
      <c r="K52" s="1023"/>
      <c r="L52" s="1481"/>
      <c r="M52" s="1481"/>
      <c r="N52" s="1023"/>
      <c r="O52" s="1023"/>
      <c r="P52" s="1023"/>
      <c r="Q52" s="1023"/>
      <c r="R52" s="1481"/>
      <c r="S52" s="1023"/>
      <c r="T52" s="1023"/>
      <c r="U52" s="441"/>
      <c r="V52" s="1023"/>
      <c r="W52" s="1023"/>
      <c r="X52" s="1023"/>
      <c r="Y52" s="1023"/>
      <c r="Z52" s="1023"/>
      <c r="AA52" s="1477"/>
      <c r="AB52" s="463"/>
      <c r="AC52" s="463"/>
      <c r="AD52" s="463"/>
      <c r="AE52" s="463"/>
    </row>
    <row r="53" spans="1:31" s="1838" customFormat="1" ht="11.25" customHeight="1">
      <c r="A53" s="858"/>
      <c r="B53" s="1481"/>
      <c r="C53" s="1481"/>
      <c r="D53" s="260"/>
      <c r="K53" s="1023"/>
      <c r="L53" s="1481"/>
      <c r="M53" s="1481"/>
      <c r="N53" s="1023"/>
      <c r="O53" s="1023"/>
      <c r="P53" s="1023"/>
      <c r="Q53" s="1023"/>
      <c r="R53" s="1481"/>
      <c r="S53" s="1023"/>
      <c r="T53" s="1023"/>
      <c r="U53" s="441"/>
      <c r="V53" s="1023"/>
      <c r="W53" s="1023"/>
      <c r="X53" s="1023"/>
      <c r="Y53" s="1023"/>
      <c r="Z53" s="1023"/>
      <c r="AA53" s="1477"/>
      <c r="AB53" s="463"/>
      <c r="AC53" s="463"/>
      <c r="AD53" s="463"/>
      <c r="AE53" s="463"/>
    </row>
    <row r="54" spans="1:31" s="1838" customFormat="1" ht="11.25" customHeight="1">
      <c r="A54" s="858"/>
      <c r="B54" s="1481"/>
      <c r="C54" s="1481"/>
      <c r="D54" s="260"/>
      <c r="K54" s="1023"/>
      <c r="L54" s="1481"/>
      <c r="M54" s="1481"/>
      <c r="N54" s="1023"/>
      <c r="O54" s="1023"/>
      <c r="P54" s="1023"/>
      <c r="Q54" s="1023"/>
      <c r="R54" s="1481"/>
      <c r="S54" s="1023"/>
      <c r="T54" s="1023"/>
      <c r="U54" s="441"/>
      <c r="V54" s="1023"/>
      <c r="W54" s="1023"/>
      <c r="X54" s="1023"/>
      <c r="Y54" s="1023"/>
      <c r="Z54" s="1023"/>
      <c r="AA54" s="1477"/>
      <c r="AB54" s="463"/>
      <c r="AC54" s="463"/>
      <c r="AD54" s="463"/>
      <c r="AE54" s="463"/>
    </row>
    <row r="55" spans="1:31" s="1838" customFormat="1" ht="11.25" customHeight="1">
      <c r="A55" s="858"/>
      <c r="B55" s="1481"/>
      <c r="C55" s="1481"/>
      <c r="D55" s="260"/>
      <c r="K55" s="1023"/>
      <c r="L55" s="1481"/>
      <c r="M55" s="1481"/>
      <c r="N55" s="1023"/>
      <c r="O55" s="1023"/>
      <c r="P55" s="1023"/>
      <c r="Q55" s="1023"/>
      <c r="R55" s="1481"/>
      <c r="S55" s="1023"/>
      <c r="T55" s="1023"/>
      <c r="U55" s="441"/>
      <c r="V55" s="1023"/>
      <c r="W55" s="1023"/>
      <c r="X55" s="1023"/>
      <c r="Y55" s="1023"/>
      <c r="Z55" s="1023"/>
      <c r="AA55" s="1477"/>
      <c r="AB55" s="463"/>
      <c r="AC55" s="463"/>
      <c r="AD55" s="463"/>
      <c r="AE55" s="463"/>
    </row>
    <row r="56" spans="1:31" s="1838" customFormat="1" ht="11.25" customHeight="1">
      <c r="A56" s="858"/>
      <c r="B56" s="1481"/>
      <c r="C56" s="1481"/>
      <c r="D56" s="260"/>
      <c r="K56" s="1023"/>
      <c r="L56" s="1481"/>
      <c r="M56" s="1481"/>
      <c r="N56" s="1023"/>
      <c r="O56" s="1023"/>
      <c r="P56" s="1023"/>
      <c r="Q56" s="1023"/>
      <c r="R56" s="1481"/>
      <c r="S56" s="1023"/>
      <c r="T56" s="1023"/>
      <c r="U56" s="441"/>
      <c r="V56" s="1023"/>
      <c r="W56" s="1023"/>
      <c r="X56" s="1023"/>
      <c r="Y56" s="1023"/>
      <c r="Z56" s="1023"/>
      <c r="AA56" s="1477"/>
      <c r="AB56" s="463"/>
      <c r="AC56" s="463"/>
      <c r="AD56" s="463"/>
      <c r="AE56" s="463"/>
    </row>
    <row r="57" spans="1:31" s="1838" customFormat="1" ht="11.25" customHeight="1">
      <c r="A57" s="858"/>
      <c r="B57" s="1481"/>
      <c r="C57" s="1481"/>
      <c r="D57" s="260"/>
      <c r="K57" s="1023"/>
      <c r="L57" s="1481"/>
      <c r="M57" s="1481"/>
      <c r="N57" s="1023"/>
      <c r="O57" s="1023"/>
      <c r="P57" s="1023"/>
      <c r="Q57" s="1023"/>
      <c r="R57" s="1481"/>
      <c r="S57" s="1023"/>
      <c r="T57" s="1023"/>
      <c r="U57" s="441"/>
      <c r="V57" s="1023"/>
      <c r="W57" s="1023"/>
      <c r="X57" s="1023"/>
      <c r="Y57" s="1023"/>
      <c r="Z57" s="1023"/>
      <c r="AA57" s="1477"/>
      <c r="AB57" s="463"/>
      <c r="AC57" s="463"/>
      <c r="AD57" s="463"/>
      <c r="AE57" s="463"/>
    </row>
    <row r="58" spans="1:31" s="1838" customFormat="1" ht="11.25" customHeight="1">
      <c r="A58" s="858"/>
      <c r="B58" s="1481"/>
      <c r="C58" s="1481"/>
      <c r="D58" s="260"/>
      <c r="K58" s="1023"/>
      <c r="L58" s="1481"/>
      <c r="M58" s="1481"/>
      <c r="N58" s="1023"/>
      <c r="O58" s="1023"/>
      <c r="P58" s="1023"/>
      <c r="Q58" s="1023"/>
      <c r="R58" s="1481"/>
      <c r="S58" s="1023"/>
      <c r="T58" s="1023"/>
      <c r="U58" s="441"/>
      <c r="V58" s="1023"/>
      <c r="W58" s="1023"/>
      <c r="X58" s="1023"/>
      <c r="Y58" s="1023"/>
      <c r="Z58" s="1023"/>
      <c r="AA58" s="1477"/>
      <c r="AB58" s="463"/>
      <c r="AC58" s="463"/>
      <c r="AD58" s="463"/>
      <c r="AE58" s="463"/>
    </row>
    <row r="59" spans="1:31" s="1838" customFormat="1" ht="11.25" customHeight="1">
      <c r="A59" s="858"/>
      <c r="B59" s="1481"/>
      <c r="C59" s="1481"/>
      <c r="D59" s="260"/>
      <c r="K59" s="1023"/>
      <c r="L59" s="1481"/>
      <c r="M59" s="1481"/>
      <c r="N59" s="1023"/>
      <c r="O59" s="1023"/>
      <c r="P59" s="1023"/>
      <c r="Q59" s="1023"/>
      <c r="R59" s="1481"/>
      <c r="S59" s="1023"/>
      <c r="T59" s="1023"/>
      <c r="U59" s="441"/>
      <c r="V59" s="1023"/>
      <c r="W59" s="1023"/>
      <c r="X59" s="1023"/>
      <c r="Y59" s="1023"/>
      <c r="Z59" s="1023"/>
      <c r="AA59" s="1477"/>
      <c r="AB59" s="463"/>
      <c r="AC59" s="463"/>
      <c r="AD59" s="463"/>
      <c r="AE59" s="463"/>
    </row>
    <row r="60" spans="1:31" s="1838" customFormat="1" ht="11.25" customHeight="1">
      <c r="A60" s="858"/>
      <c r="B60" s="1481"/>
      <c r="C60" s="1481"/>
      <c r="D60" s="260"/>
      <c r="K60" s="1023"/>
      <c r="L60" s="1481"/>
      <c r="M60" s="1481"/>
      <c r="N60" s="1023"/>
      <c r="O60" s="1023"/>
      <c r="P60" s="1023"/>
      <c r="Q60" s="1023"/>
      <c r="R60" s="1481"/>
      <c r="S60" s="1023"/>
      <c r="T60" s="1023"/>
      <c r="U60" s="441"/>
      <c r="V60" s="1023"/>
      <c r="W60" s="1023"/>
      <c r="X60" s="1023"/>
      <c r="Y60" s="1023"/>
      <c r="Z60" s="1023"/>
      <c r="AA60" s="1477"/>
      <c r="AB60" s="463"/>
      <c r="AC60" s="463"/>
      <c r="AD60" s="463"/>
      <c r="AE60" s="463"/>
    </row>
    <row r="61" spans="1:31" s="1838" customFormat="1" ht="11.25" customHeight="1">
      <c r="A61" s="858"/>
      <c r="B61" s="1481"/>
      <c r="C61" s="1481"/>
      <c r="D61" s="260"/>
      <c r="K61" s="1023"/>
      <c r="L61" s="1481"/>
      <c r="M61" s="1481"/>
      <c r="N61" s="1023"/>
      <c r="O61" s="1023"/>
      <c r="P61" s="1023"/>
      <c r="Q61" s="1023"/>
      <c r="R61" s="1481"/>
      <c r="S61" s="1023"/>
      <c r="T61" s="1023"/>
      <c r="U61" s="441"/>
      <c r="V61" s="1023"/>
      <c r="W61" s="1023"/>
      <c r="X61" s="1023"/>
      <c r="Y61" s="1023"/>
      <c r="Z61" s="1023"/>
      <c r="AA61" s="1477"/>
      <c r="AB61" s="463"/>
      <c r="AC61" s="463"/>
      <c r="AD61" s="463"/>
      <c r="AE61" s="463"/>
    </row>
    <row r="62" spans="1:31" s="1838" customFormat="1" ht="11.25" customHeight="1">
      <c r="A62" s="858"/>
      <c r="B62" s="1481"/>
      <c r="C62" s="1481"/>
      <c r="D62" s="260"/>
      <c r="K62" s="1023"/>
      <c r="L62" s="1481"/>
      <c r="M62" s="1481"/>
      <c r="N62" s="1023"/>
      <c r="O62" s="1023"/>
      <c r="P62" s="1023"/>
      <c r="Q62" s="1023"/>
      <c r="R62" s="1481"/>
      <c r="S62" s="1023"/>
      <c r="T62" s="1023"/>
      <c r="U62" s="441"/>
      <c r="V62" s="1023"/>
      <c r="W62" s="1023"/>
      <c r="X62" s="1023"/>
      <c r="Y62" s="1023"/>
      <c r="Z62" s="1023"/>
      <c r="AA62" s="1477"/>
      <c r="AB62" s="463"/>
      <c r="AC62" s="463"/>
      <c r="AD62" s="463"/>
      <c r="AE62" s="463"/>
    </row>
    <row r="63" spans="1:31" s="1838" customFormat="1" ht="11.25" customHeight="1">
      <c r="A63" s="858"/>
      <c r="B63" s="1481"/>
      <c r="C63" s="1481"/>
      <c r="D63" s="260"/>
      <c r="K63" s="1023"/>
      <c r="L63" s="1481"/>
      <c r="M63" s="1481"/>
      <c r="N63" s="1023"/>
      <c r="O63" s="1023"/>
      <c r="P63" s="1023"/>
      <c r="Q63" s="1023"/>
      <c r="R63" s="1481"/>
      <c r="S63" s="1023"/>
      <c r="T63" s="1023"/>
      <c r="U63" s="441"/>
      <c r="V63" s="1023"/>
      <c r="W63" s="1023"/>
      <c r="X63" s="1023"/>
      <c r="Y63" s="1023"/>
      <c r="Z63" s="1023"/>
      <c r="AA63" s="1477"/>
      <c r="AB63" s="463"/>
      <c r="AC63" s="463"/>
      <c r="AD63" s="463"/>
      <c r="AE63" s="463"/>
    </row>
    <row r="64" spans="1:31" s="1838" customFormat="1" ht="11.25" customHeight="1">
      <c r="A64" s="858"/>
      <c r="B64" s="1481"/>
      <c r="C64" s="1481"/>
      <c r="D64" s="260"/>
      <c r="K64" s="1023"/>
      <c r="L64" s="1481"/>
      <c r="M64" s="1481"/>
      <c r="N64" s="1023"/>
      <c r="O64" s="1023"/>
      <c r="P64" s="1023"/>
      <c r="Q64" s="1023"/>
      <c r="R64" s="1481"/>
      <c r="S64" s="1023"/>
      <c r="T64" s="1023"/>
      <c r="U64" s="441"/>
      <c r="V64" s="1023"/>
      <c r="W64" s="1023"/>
      <c r="X64" s="1023"/>
      <c r="Y64" s="1023"/>
      <c r="Z64" s="1023"/>
      <c r="AA64" s="1477"/>
      <c r="AB64" s="463"/>
      <c r="AC64" s="463"/>
      <c r="AD64" s="463"/>
      <c r="AE64" s="463"/>
    </row>
    <row r="65" spans="1:31" s="1838" customFormat="1" ht="11.25" customHeight="1">
      <c r="A65" s="858"/>
      <c r="B65" s="1481"/>
      <c r="C65" s="1481"/>
      <c r="D65" s="260"/>
      <c r="K65" s="1023"/>
      <c r="L65" s="1481"/>
      <c r="M65" s="1481"/>
      <c r="N65" s="1023"/>
      <c r="O65" s="1023"/>
      <c r="P65" s="1023"/>
      <c r="Q65" s="1023"/>
      <c r="R65" s="1481"/>
      <c r="S65" s="1023"/>
      <c r="T65" s="1023"/>
      <c r="U65" s="441"/>
      <c r="V65" s="1023"/>
      <c r="W65" s="1023"/>
      <c r="X65" s="1023"/>
      <c r="Y65" s="1023"/>
      <c r="Z65" s="1023"/>
      <c r="AA65" s="1477"/>
      <c r="AB65" s="463"/>
      <c r="AC65" s="463"/>
      <c r="AD65" s="463"/>
      <c r="AE65" s="463"/>
    </row>
    <row r="66" spans="1:31" s="1838" customFormat="1" ht="11.25" customHeight="1">
      <c r="A66" s="858"/>
      <c r="B66" s="1481"/>
      <c r="C66" s="1481"/>
      <c r="D66" s="260"/>
      <c r="K66" s="1023"/>
      <c r="L66" s="1481"/>
      <c r="M66" s="1481"/>
      <c r="N66" s="1023"/>
      <c r="O66" s="1023"/>
      <c r="P66" s="1023"/>
      <c r="Q66" s="1023"/>
      <c r="R66" s="1481"/>
      <c r="S66" s="1023"/>
      <c r="T66" s="1023"/>
      <c r="U66" s="441"/>
      <c r="V66" s="1023"/>
      <c r="W66" s="1023"/>
      <c r="X66" s="1023"/>
      <c r="Y66" s="1023"/>
      <c r="Z66" s="1023"/>
      <c r="AA66" s="1477"/>
      <c r="AB66" s="463"/>
      <c r="AC66" s="463"/>
      <c r="AD66" s="463"/>
      <c r="AE66" s="463"/>
    </row>
    <row r="67" spans="1:31" s="1838" customFormat="1" ht="11.25" customHeight="1">
      <c r="A67" s="858"/>
      <c r="B67" s="1481"/>
      <c r="C67" s="1481"/>
      <c r="D67" s="260"/>
      <c r="K67" s="1023"/>
      <c r="L67" s="1481"/>
      <c r="M67" s="1481"/>
      <c r="N67" s="1023"/>
      <c r="O67" s="1023"/>
      <c r="P67" s="1023"/>
      <c r="Q67" s="1023"/>
      <c r="R67" s="1481"/>
      <c r="S67" s="1023"/>
      <c r="T67" s="1023"/>
      <c r="U67" s="441"/>
      <c r="V67" s="1023"/>
      <c r="W67" s="1023"/>
      <c r="X67" s="1023"/>
      <c r="Y67" s="1023"/>
      <c r="Z67" s="1023"/>
      <c r="AA67" s="1477"/>
      <c r="AB67" s="463"/>
      <c r="AC67" s="463"/>
      <c r="AD67" s="463"/>
      <c r="AE67" s="463"/>
    </row>
    <row r="68" spans="1:31" s="1838" customFormat="1" ht="11.25" customHeight="1">
      <c r="A68" s="858"/>
      <c r="B68" s="1481"/>
      <c r="C68" s="1481"/>
      <c r="D68" s="260"/>
      <c r="K68" s="1023"/>
      <c r="L68" s="1481"/>
      <c r="M68" s="1481"/>
      <c r="N68" s="1023"/>
      <c r="O68" s="1023"/>
      <c r="P68" s="1023"/>
      <c r="Q68" s="1023"/>
      <c r="R68" s="1481"/>
      <c r="S68" s="1023"/>
      <c r="T68" s="1023"/>
      <c r="U68" s="441"/>
      <c r="V68" s="1023"/>
      <c r="W68" s="1023"/>
      <c r="X68" s="1023"/>
      <c r="Y68" s="1023"/>
      <c r="Z68" s="1023"/>
      <c r="AA68" s="1477"/>
      <c r="AB68" s="463"/>
      <c r="AC68" s="463"/>
      <c r="AD68" s="463"/>
      <c r="AE68" s="463"/>
    </row>
    <row r="69" spans="1:31" s="1838" customFormat="1" ht="11.25" customHeight="1">
      <c r="A69" s="858"/>
      <c r="B69" s="1481"/>
      <c r="C69" s="1481"/>
      <c r="D69" s="260"/>
      <c r="K69" s="1023"/>
      <c r="L69" s="1481"/>
      <c r="M69" s="1481"/>
      <c r="N69" s="1023"/>
      <c r="O69" s="1023"/>
      <c r="P69" s="1023"/>
      <c r="Q69" s="1023"/>
      <c r="R69" s="1481"/>
      <c r="S69" s="1023"/>
      <c r="T69" s="1023"/>
      <c r="U69" s="441"/>
      <c r="V69" s="1023"/>
      <c r="W69" s="1023"/>
      <c r="X69" s="1023"/>
      <c r="Y69" s="1023"/>
      <c r="Z69" s="1023"/>
      <c r="AA69" s="1477"/>
      <c r="AB69" s="463"/>
      <c r="AC69" s="463"/>
      <c r="AD69" s="463"/>
      <c r="AE69" s="463"/>
    </row>
    <row r="70" spans="1:31" s="1838" customFormat="1" ht="11.25" customHeight="1">
      <c r="A70" s="858"/>
      <c r="B70" s="1481"/>
      <c r="C70" s="1481"/>
      <c r="D70" s="260"/>
      <c r="K70" s="1023"/>
      <c r="L70" s="1481"/>
      <c r="M70" s="1481"/>
      <c r="N70" s="1023"/>
      <c r="O70" s="1023"/>
      <c r="P70" s="1023"/>
      <c r="Q70" s="1023"/>
      <c r="R70" s="1481"/>
      <c r="S70" s="1023"/>
      <c r="T70" s="1023"/>
      <c r="U70" s="441"/>
      <c r="V70" s="1023"/>
      <c r="W70" s="1023"/>
      <c r="X70" s="1023"/>
      <c r="Y70" s="1023"/>
      <c r="Z70" s="1023"/>
      <c r="AA70" s="1477"/>
      <c r="AB70" s="463"/>
      <c r="AC70" s="463"/>
      <c r="AD70" s="463"/>
      <c r="AE70" s="463"/>
    </row>
    <row r="71" spans="1:31" s="1838" customFormat="1" ht="11.25" customHeight="1">
      <c r="A71" s="858"/>
      <c r="B71" s="1481"/>
      <c r="C71" s="1481"/>
      <c r="D71" s="260"/>
      <c r="K71" s="1023"/>
      <c r="L71" s="1481"/>
      <c r="M71" s="1481"/>
      <c r="N71" s="1023"/>
      <c r="O71" s="1023"/>
      <c r="P71" s="1023"/>
      <c r="Q71" s="1023"/>
      <c r="R71" s="1481"/>
      <c r="S71" s="1023"/>
      <c r="T71" s="1023"/>
      <c r="U71" s="441"/>
      <c r="V71" s="1023"/>
      <c r="W71" s="1023"/>
      <c r="X71" s="1023"/>
      <c r="Y71" s="1023"/>
      <c r="Z71" s="1023"/>
      <c r="AA71" s="1477"/>
      <c r="AB71" s="463"/>
      <c r="AC71" s="463"/>
      <c r="AD71" s="463"/>
      <c r="AE71" s="463"/>
    </row>
    <row r="72" spans="1:31" s="1838" customFormat="1" ht="11.25" customHeight="1">
      <c r="A72" s="858"/>
      <c r="B72" s="1481"/>
      <c r="C72" s="1481"/>
      <c r="D72" s="260"/>
      <c r="K72" s="1023"/>
      <c r="L72" s="1481"/>
      <c r="M72" s="1481"/>
      <c r="N72" s="1023"/>
      <c r="O72" s="1023"/>
      <c r="P72" s="1023"/>
      <c r="Q72" s="1023"/>
      <c r="R72" s="1481"/>
      <c r="S72" s="1023"/>
      <c r="T72" s="1023"/>
      <c r="U72" s="441"/>
      <c r="V72" s="1023"/>
      <c r="W72" s="1023"/>
      <c r="X72" s="1023"/>
      <c r="Y72" s="1023"/>
      <c r="Z72" s="1023"/>
      <c r="AA72" s="1477"/>
      <c r="AB72" s="463"/>
      <c r="AC72" s="463"/>
      <c r="AD72" s="463"/>
      <c r="AE72" s="463"/>
    </row>
    <row r="73" spans="1:31" s="1838" customFormat="1" ht="11.25" customHeight="1">
      <c r="A73" s="858"/>
      <c r="B73" s="1481"/>
      <c r="C73" s="1481"/>
      <c r="D73" s="260"/>
      <c r="K73" s="1023"/>
      <c r="L73" s="1481"/>
      <c r="M73" s="1481"/>
      <c r="N73" s="1023"/>
      <c r="O73" s="1023"/>
      <c r="P73" s="1023"/>
      <c r="Q73" s="1023"/>
      <c r="R73" s="1481"/>
      <c r="S73" s="1023"/>
      <c r="T73" s="1023"/>
      <c r="U73" s="441"/>
      <c r="V73" s="1023"/>
      <c r="W73" s="1023"/>
      <c r="X73" s="1023"/>
      <c r="Y73" s="1023"/>
      <c r="Z73" s="1023"/>
      <c r="AA73" s="1477"/>
      <c r="AB73" s="463"/>
      <c r="AC73" s="463"/>
      <c r="AD73" s="463"/>
      <c r="AE73" s="463"/>
    </row>
    <row r="74" spans="1:31" s="1838" customFormat="1" ht="11.25" customHeight="1">
      <c r="A74" s="858"/>
      <c r="B74" s="1481"/>
      <c r="C74" s="1481"/>
      <c r="D74" s="260"/>
      <c r="K74" s="1023"/>
      <c r="L74" s="1481"/>
      <c r="M74" s="1481"/>
      <c r="N74" s="1023"/>
      <c r="O74" s="1023"/>
      <c r="P74" s="1023"/>
      <c r="Q74" s="1023"/>
      <c r="R74" s="1481"/>
      <c r="S74" s="1023"/>
      <c r="T74" s="1023"/>
      <c r="U74" s="441"/>
      <c r="V74" s="1023"/>
      <c r="W74" s="1023"/>
      <c r="X74" s="1023"/>
      <c r="Y74" s="1023"/>
      <c r="Z74" s="1023"/>
      <c r="AA74" s="1477"/>
      <c r="AB74" s="463"/>
      <c r="AC74" s="463"/>
      <c r="AD74" s="463"/>
      <c r="AE74" s="463"/>
    </row>
    <row r="75" spans="1:31" s="1838" customFormat="1" ht="11.25" customHeight="1">
      <c r="A75" s="858"/>
      <c r="B75" s="1481"/>
      <c r="C75" s="1481"/>
      <c r="D75" s="260"/>
      <c r="K75" s="1023"/>
      <c r="L75" s="1481"/>
      <c r="M75" s="1481"/>
      <c r="N75" s="1023"/>
      <c r="O75" s="1023"/>
      <c r="P75" s="1023"/>
      <c r="Q75" s="1023"/>
      <c r="R75" s="1481"/>
      <c r="S75" s="1023"/>
      <c r="T75" s="1023"/>
      <c r="U75" s="441"/>
      <c r="V75" s="1023"/>
      <c r="W75" s="1023"/>
      <c r="X75" s="1023"/>
      <c r="Y75" s="1023"/>
      <c r="Z75" s="1023"/>
      <c r="AA75" s="1477"/>
      <c r="AB75" s="463"/>
      <c r="AC75" s="463"/>
      <c r="AD75" s="463"/>
      <c r="AE75" s="463"/>
    </row>
    <row r="76" spans="1:31" s="1838" customFormat="1" ht="11.25" customHeight="1">
      <c r="A76" s="858"/>
      <c r="B76" s="1481"/>
      <c r="C76" s="1481"/>
      <c r="D76" s="260"/>
      <c r="K76" s="1023"/>
      <c r="L76" s="1481"/>
      <c r="M76" s="1481"/>
      <c r="N76" s="1023"/>
      <c r="O76" s="1023"/>
      <c r="P76" s="1023"/>
      <c r="Q76" s="1023"/>
      <c r="R76" s="1481"/>
      <c r="S76" s="1023"/>
      <c r="T76" s="1023"/>
      <c r="U76" s="441"/>
      <c r="V76" s="1023"/>
      <c r="W76" s="1023"/>
      <c r="X76" s="1023"/>
      <c r="Y76" s="1023"/>
      <c r="Z76" s="1023"/>
      <c r="AA76" s="1477"/>
      <c r="AB76" s="463"/>
      <c r="AC76" s="463"/>
      <c r="AD76" s="463"/>
      <c r="AE76" s="463"/>
    </row>
    <row r="77" spans="1:31" s="1838" customFormat="1" ht="11.25" customHeight="1">
      <c r="A77" s="858"/>
      <c r="B77" s="1481"/>
      <c r="C77" s="1481"/>
      <c r="D77" s="260"/>
      <c r="K77" s="1023"/>
      <c r="L77" s="1481"/>
      <c r="M77" s="1481"/>
      <c r="N77" s="1023"/>
      <c r="O77" s="1023"/>
      <c r="P77" s="1023"/>
      <c r="Q77" s="1023"/>
      <c r="R77" s="1481"/>
      <c r="S77" s="1023"/>
      <c r="T77" s="1023"/>
      <c r="U77" s="441"/>
      <c r="V77" s="1023"/>
      <c r="W77" s="1023"/>
      <c r="X77" s="1023"/>
      <c r="Y77" s="1023"/>
      <c r="Z77" s="1023"/>
      <c r="AA77" s="1477"/>
      <c r="AB77" s="463"/>
      <c r="AC77" s="463"/>
      <c r="AD77" s="463"/>
      <c r="AE77" s="463"/>
    </row>
    <row r="78" spans="1:31" s="1838" customFormat="1" ht="11.25" customHeight="1">
      <c r="A78" s="858"/>
      <c r="B78" s="1481"/>
      <c r="C78" s="1481"/>
      <c r="D78" s="260"/>
      <c r="K78" s="1023"/>
      <c r="L78" s="1481"/>
      <c r="M78" s="1481"/>
      <c r="N78" s="1023"/>
      <c r="O78" s="1023"/>
      <c r="P78" s="1023"/>
      <c r="Q78" s="1023"/>
      <c r="R78" s="1481"/>
      <c r="S78" s="1023"/>
      <c r="T78" s="1023"/>
      <c r="U78" s="441"/>
      <c r="V78" s="1023"/>
      <c r="W78" s="1023"/>
      <c r="X78" s="1023"/>
      <c r="Y78" s="1023"/>
      <c r="Z78" s="1023"/>
      <c r="AA78" s="1477"/>
      <c r="AB78" s="463"/>
      <c r="AC78" s="463"/>
      <c r="AD78" s="463"/>
      <c r="AE78" s="463"/>
    </row>
    <row r="79" spans="1:31" s="1838" customFormat="1" ht="11.25" customHeight="1">
      <c r="A79" s="858"/>
      <c r="B79" s="1481"/>
      <c r="C79" s="1481"/>
      <c r="D79" s="260"/>
      <c r="K79" s="1023"/>
      <c r="L79" s="1481"/>
      <c r="M79" s="1481"/>
      <c r="N79" s="1023"/>
      <c r="O79" s="1023"/>
      <c r="P79" s="1023"/>
      <c r="Q79" s="1023"/>
      <c r="R79" s="1481"/>
      <c r="S79" s="1023"/>
      <c r="T79" s="1023"/>
      <c r="U79" s="441"/>
      <c r="V79" s="1023"/>
      <c r="W79" s="1023"/>
      <c r="X79" s="1023"/>
      <c r="Y79" s="1023"/>
      <c r="Z79" s="1023"/>
      <c r="AA79" s="1477"/>
      <c r="AB79" s="463"/>
      <c r="AC79" s="463"/>
      <c r="AD79" s="463"/>
      <c r="AE79" s="463"/>
    </row>
    <row r="80" spans="1:31" s="1838" customFormat="1" ht="11.25" customHeight="1">
      <c r="A80" s="858"/>
      <c r="B80" s="1481"/>
      <c r="C80" s="1481"/>
      <c r="D80" s="260"/>
      <c r="K80" s="1023"/>
      <c r="L80" s="1481"/>
      <c r="M80" s="1481"/>
      <c r="N80" s="1023"/>
      <c r="O80" s="1023"/>
      <c r="P80" s="1023"/>
      <c r="Q80" s="1023"/>
      <c r="R80" s="1481"/>
      <c r="S80" s="1023"/>
      <c r="T80" s="1023"/>
      <c r="U80" s="441"/>
      <c r="V80" s="1023"/>
      <c r="W80" s="1023"/>
      <c r="X80" s="1023"/>
      <c r="Y80" s="1023"/>
      <c r="Z80" s="1023"/>
      <c r="AA80" s="1477"/>
      <c r="AB80" s="463"/>
      <c r="AC80" s="463"/>
      <c r="AD80" s="463"/>
      <c r="AE80" s="463"/>
    </row>
    <row r="81" spans="1:31" s="1838" customFormat="1" ht="11.25" customHeight="1">
      <c r="A81" s="858"/>
      <c r="B81" s="1481"/>
      <c r="C81" s="1481"/>
      <c r="D81" s="260"/>
      <c r="K81" s="1023"/>
      <c r="L81" s="1481"/>
      <c r="M81" s="1481"/>
      <c r="N81" s="1023"/>
      <c r="O81" s="1023"/>
      <c r="P81" s="1023"/>
      <c r="Q81" s="1023"/>
      <c r="R81" s="1481"/>
      <c r="S81" s="1023"/>
      <c r="T81" s="1023"/>
      <c r="U81" s="441"/>
      <c r="V81" s="1023"/>
      <c r="W81" s="1023"/>
      <c r="X81" s="1023"/>
      <c r="Y81" s="1023"/>
      <c r="Z81" s="1023"/>
      <c r="AA81" s="1477"/>
      <c r="AB81" s="463"/>
      <c r="AC81" s="463"/>
      <c r="AD81" s="463"/>
      <c r="AE81" s="463"/>
    </row>
    <row r="82" spans="1:31" s="1838" customFormat="1" ht="11.25" customHeight="1">
      <c r="A82" s="858"/>
      <c r="B82" s="1481"/>
      <c r="C82" s="1481"/>
      <c r="D82" s="260"/>
      <c r="K82" s="1023"/>
      <c r="L82" s="1481"/>
      <c r="M82" s="1481"/>
      <c r="N82" s="1023"/>
      <c r="O82" s="1023"/>
      <c r="P82" s="1023"/>
      <c r="Q82" s="1023"/>
      <c r="R82" s="1481"/>
      <c r="S82" s="1023"/>
      <c r="T82" s="1023"/>
      <c r="U82" s="441"/>
      <c r="V82" s="1023"/>
      <c r="W82" s="1023"/>
      <c r="X82" s="1023"/>
      <c r="Y82" s="1023"/>
      <c r="Z82" s="1023"/>
      <c r="AA82" s="1477"/>
      <c r="AB82" s="463"/>
      <c r="AC82" s="463"/>
      <c r="AD82" s="463"/>
      <c r="AE82" s="463"/>
    </row>
    <row r="83" spans="1:31" s="1838" customFormat="1" ht="11.25" customHeight="1">
      <c r="A83" s="858"/>
      <c r="B83" s="1481"/>
      <c r="C83" s="1481"/>
      <c r="D83" s="260"/>
      <c r="K83" s="1023"/>
      <c r="L83" s="1481"/>
      <c r="M83" s="1481"/>
      <c r="N83" s="1023"/>
      <c r="O83" s="1023"/>
      <c r="P83" s="1023"/>
      <c r="Q83" s="1023"/>
      <c r="R83" s="1481"/>
      <c r="S83" s="1023"/>
      <c r="T83" s="1023"/>
      <c r="U83" s="441"/>
      <c r="V83" s="1023"/>
      <c r="W83" s="1023"/>
      <c r="X83" s="1023"/>
      <c r="Y83" s="1023"/>
      <c r="Z83" s="1023"/>
      <c r="AA83" s="1477"/>
      <c r="AB83" s="463"/>
      <c r="AC83" s="463"/>
      <c r="AD83" s="463"/>
      <c r="AE83" s="463"/>
    </row>
    <row r="84" spans="1:31" s="1838" customFormat="1" ht="11.25" customHeight="1">
      <c r="A84" s="858"/>
      <c r="B84" s="1481"/>
      <c r="C84" s="1481"/>
      <c r="D84" s="260"/>
      <c r="K84" s="1023"/>
      <c r="L84" s="1481"/>
      <c r="M84" s="1481"/>
      <c r="N84" s="1023"/>
      <c r="O84" s="1023"/>
      <c r="P84" s="1023"/>
      <c r="Q84" s="1023"/>
      <c r="R84" s="1481"/>
      <c r="S84" s="1023"/>
      <c r="T84" s="1023"/>
      <c r="U84" s="441"/>
      <c r="V84" s="1023"/>
      <c r="W84" s="1023"/>
      <c r="X84" s="1023"/>
      <c r="Y84" s="1023"/>
      <c r="Z84" s="1023"/>
      <c r="AA84" s="1477"/>
      <c r="AB84" s="463"/>
      <c r="AC84" s="463"/>
      <c r="AD84" s="463"/>
      <c r="AE84" s="463"/>
    </row>
    <row r="85" spans="1:31" s="1838" customFormat="1" ht="11.25" customHeight="1">
      <c r="A85" s="858"/>
      <c r="B85" s="1481"/>
      <c r="C85" s="1481"/>
      <c r="D85" s="260"/>
      <c r="K85" s="1023"/>
      <c r="L85" s="1481"/>
      <c r="M85" s="1481"/>
      <c r="N85" s="1023"/>
      <c r="O85" s="1023"/>
      <c r="P85" s="1023"/>
      <c r="Q85" s="1023"/>
      <c r="R85" s="1481"/>
      <c r="S85" s="1023"/>
      <c r="T85" s="1023"/>
      <c r="U85" s="441"/>
      <c r="V85" s="1023"/>
      <c r="W85" s="1023"/>
      <c r="X85" s="1023"/>
      <c r="Y85" s="1023"/>
      <c r="Z85" s="1023"/>
      <c r="AA85" s="1477"/>
      <c r="AB85" s="463"/>
      <c r="AC85" s="463"/>
      <c r="AD85" s="463"/>
      <c r="AE85" s="463"/>
    </row>
    <row r="86" spans="1:31" s="1838" customFormat="1" ht="11.25" customHeight="1">
      <c r="A86" s="858"/>
      <c r="B86" s="1481"/>
      <c r="C86" s="1481"/>
      <c r="D86" s="260"/>
      <c r="K86" s="1023"/>
      <c r="L86" s="1481"/>
      <c r="M86" s="1481"/>
      <c r="N86" s="1023"/>
      <c r="O86" s="1023"/>
      <c r="P86" s="1023"/>
      <c r="Q86" s="1023"/>
      <c r="R86" s="1481"/>
      <c r="S86" s="1023"/>
      <c r="T86" s="1023"/>
      <c r="U86" s="441"/>
      <c r="V86" s="1023"/>
      <c r="W86" s="1023"/>
      <c r="X86" s="1023"/>
      <c r="Y86" s="1023"/>
      <c r="Z86" s="1023"/>
      <c r="AA86" s="1477"/>
      <c r="AB86" s="463"/>
      <c r="AC86" s="463"/>
      <c r="AD86" s="463"/>
      <c r="AE86" s="463"/>
    </row>
    <row r="87" spans="1:31" s="1838" customFormat="1" ht="11.25" customHeight="1">
      <c r="A87" s="858"/>
      <c r="B87" s="1481"/>
      <c r="C87" s="1481"/>
      <c r="D87" s="260"/>
      <c r="K87" s="1023"/>
      <c r="L87" s="1481"/>
      <c r="M87" s="1481"/>
      <c r="N87" s="1023"/>
      <c r="O87" s="1023"/>
      <c r="P87" s="1023"/>
      <c r="Q87" s="1023"/>
      <c r="R87" s="1481"/>
      <c r="S87" s="1023"/>
      <c r="T87" s="1023"/>
      <c r="U87" s="441"/>
      <c r="V87" s="1023"/>
      <c r="W87" s="1023"/>
      <c r="X87" s="1023"/>
      <c r="Y87" s="1023"/>
      <c r="Z87" s="1023"/>
      <c r="AA87" s="1477"/>
      <c r="AB87" s="463"/>
      <c r="AC87" s="463"/>
      <c r="AD87" s="463"/>
      <c r="AE87" s="463"/>
    </row>
    <row r="88" spans="1:31" s="1838" customFormat="1" ht="11.25" customHeight="1">
      <c r="A88" s="858"/>
      <c r="B88" s="1481"/>
      <c r="C88" s="1481"/>
      <c r="D88" s="260"/>
      <c r="K88" s="1023"/>
      <c r="L88" s="1481"/>
      <c r="M88" s="1481"/>
      <c r="N88" s="1023"/>
      <c r="O88" s="1023"/>
      <c r="P88" s="1023"/>
      <c r="Q88" s="1023"/>
      <c r="R88" s="1481"/>
      <c r="S88" s="1023"/>
      <c r="T88" s="1023"/>
      <c r="U88" s="441"/>
      <c r="V88" s="1023"/>
      <c r="W88" s="1023"/>
      <c r="X88" s="1023"/>
      <c r="Y88" s="1023"/>
      <c r="Z88" s="1023"/>
      <c r="AA88" s="1477"/>
      <c r="AB88" s="463"/>
      <c r="AC88" s="463"/>
      <c r="AD88" s="463"/>
      <c r="AE88" s="463"/>
    </row>
    <row r="89" spans="1:31" s="1838" customFormat="1" ht="11.25" customHeight="1">
      <c r="A89" s="858"/>
      <c r="B89" s="1481"/>
      <c r="C89" s="1481"/>
      <c r="D89" s="260"/>
      <c r="K89" s="1023"/>
      <c r="L89" s="1481"/>
      <c r="M89" s="1481"/>
      <c r="N89" s="1023"/>
      <c r="O89" s="1023"/>
      <c r="P89" s="1023"/>
      <c r="Q89" s="1023"/>
      <c r="R89" s="1481"/>
      <c r="S89" s="1023"/>
      <c r="T89" s="1023"/>
      <c r="U89" s="441"/>
      <c r="V89" s="1023"/>
      <c r="W89" s="1023"/>
      <c r="X89" s="1023"/>
      <c r="Y89" s="1023"/>
      <c r="Z89" s="1023"/>
      <c r="AA89" s="1477"/>
      <c r="AB89" s="463"/>
      <c r="AC89" s="463"/>
      <c r="AD89" s="463"/>
      <c r="AE89" s="463"/>
    </row>
    <row r="90" spans="1:31" s="1838" customFormat="1" ht="11.25" customHeight="1">
      <c r="A90" s="858"/>
      <c r="B90" s="1481"/>
      <c r="C90" s="1481"/>
      <c r="D90" s="260"/>
      <c r="K90" s="1023"/>
      <c r="L90" s="1481"/>
      <c r="M90" s="1481"/>
      <c r="N90" s="1023"/>
      <c r="O90" s="1023"/>
      <c r="P90" s="1023"/>
      <c r="Q90" s="1023"/>
      <c r="R90" s="1481"/>
      <c r="S90" s="1023"/>
      <c r="T90" s="1023"/>
      <c r="U90" s="441"/>
      <c r="V90" s="1023"/>
      <c r="W90" s="1023"/>
      <c r="X90" s="1023"/>
      <c r="Y90" s="1023"/>
      <c r="Z90" s="1023"/>
      <c r="AA90" s="1477"/>
      <c r="AB90" s="463"/>
      <c r="AC90" s="463"/>
      <c r="AD90" s="463"/>
      <c r="AE90" s="463"/>
    </row>
    <row r="91" spans="1:31" s="1838" customFormat="1" ht="11.25" customHeight="1">
      <c r="A91" s="858"/>
      <c r="B91" s="1481"/>
      <c r="C91" s="1481"/>
      <c r="D91" s="260"/>
      <c r="K91" s="1023"/>
      <c r="L91" s="1481"/>
      <c r="M91" s="1481"/>
      <c r="N91" s="1023"/>
      <c r="O91" s="1023"/>
      <c r="P91" s="1023"/>
      <c r="Q91" s="1023"/>
      <c r="R91" s="1481"/>
      <c r="S91" s="1023"/>
      <c r="T91" s="1023"/>
      <c r="U91" s="441"/>
      <c r="V91" s="1023"/>
      <c r="W91" s="1023"/>
      <c r="X91" s="1023"/>
      <c r="Y91" s="1023"/>
      <c r="Z91" s="1023"/>
      <c r="AA91" s="1477"/>
      <c r="AB91" s="463"/>
      <c r="AC91" s="463"/>
      <c r="AD91" s="463"/>
      <c r="AE91" s="463"/>
    </row>
    <row r="92" spans="1:31" s="1838" customFormat="1" ht="11.25" customHeight="1">
      <c r="A92" s="858"/>
      <c r="B92" s="1481"/>
      <c r="C92" s="1481"/>
      <c r="D92" s="260"/>
      <c r="K92" s="1023"/>
      <c r="L92" s="1481"/>
      <c r="M92" s="1481"/>
      <c r="N92" s="1023"/>
      <c r="O92" s="1023"/>
      <c r="P92" s="1023"/>
      <c r="Q92" s="1023"/>
      <c r="R92" s="1481"/>
      <c r="S92" s="1023"/>
      <c r="T92" s="1023"/>
      <c r="U92" s="441"/>
      <c r="V92" s="1023"/>
      <c r="W92" s="1023"/>
      <c r="X92" s="1023"/>
      <c r="Y92" s="1023"/>
      <c r="Z92" s="1023"/>
      <c r="AA92" s="1477"/>
      <c r="AB92" s="463"/>
      <c r="AC92" s="463"/>
      <c r="AD92" s="463"/>
      <c r="AE92" s="463"/>
    </row>
    <row r="93" spans="1:31" s="1838" customFormat="1" ht="11.25" customHeight="1">
      <c r="A93" s="858"/>
      <c r="B93" s="1481"/>
      <c r="C93" s="1481"/>
      <c r="D93" s="260"/>
      <c r="K93" s="1023"/>
      <c r="L93" s="1481"/>
      <c r="M93" s="1481"/>
      <c r="N93" s="1023"/>
      <c r="O93" s="1023"/>
      <c r="P93" s="1023"/>
      <c r="Q93" s="1023"/>
      <c r="R93" s="1481"/>
      <c r="S93" s="1023"/>
      <c r="T93" s="1023"/>
      <c r="U93" s="441"/>
      <c r="V93" s="1023"/>
      <c r="W93" s="1023"/>
      <c r="X93" s="1023"/>
      <c r="Y93" s="1023"/>
      <c r="Z93" s="1023"/>
      <c r="AA93" s="1477"/>
      <c r="AB93" s="463"/>
      <c r="AC93" s="463"/>
      <c r="AD93" s="463"/>
      <c r="AE93" s="463"/>
    </row>
    <row r="94" spans="1:31" s="1838" customFormat="1" ht="11.25" customHeight="1">
      <c r="A94" s="858"/>
      <c r="B94" s="1481"/>
      <c r="C94" s="1481"/>
      <c r="D94" s="260"/>
      <c r="K94" s="1023"/>
      <c r="L94" s="1481"/>
      <c r="M94" s="1481"/>
      <c r="N94" s="1023"/>
      <c r="O94" s="1023"/>
      <c r="P94" s="1023"/>
      <c r="Q94" s="1023"/>
      <c r="R94" s="1481"/>
      <c r="S94" s="1023"/>
      <c r="T94" s="1023"/>
      <c r="U94" s="441"/>
      <c r="V94" s="1023"/>
      <c r="W94" s="1023"/>
      <c r="X94" s="1023"/>
      <c r="Y94" s="1023"/>
      <c r="Z94" s="1023"/>
      <c r="AA94" s="1477"/>
      <c r="AB94" s="463"/>
      <c r="AC94" s="463"/>
      <c r="AD94" s="463"/>
      <c r="AE94" s="463"/>
    </row>
    <row r="95" spans="1:31" s="1838" customFormat="1" ht="11.25" customHeight="1">
      <c r="A95" s="858"/>
      <c r="B95" s="1481"/>
      <c r="C95" s="1481"/>
      <c r="D95" s="260"/>
      <c r="K95" s="1023"/>
      <c r="L95" s="1481"/>
      <c r="M95" s="1481"/>
      <c r="N95" s="1023"/>
      <c r="O95" s="1023"/>
      <c r="P95" s="1023"/>
      <c r="Q95" s="1023"/>
      <c r="R95" s="1481"/>
      <c r="S95" s="1023"/>
      <c r="T95" s="1023"/>
      <c r="U95" s="441"/>
      <c r="V95" s="1023"/>
      <c r="W95" s="1023"/>
      <c r="X95" s="1023"/>
      <c r="Y95" s="1023"/>
      <c r="Z95" s="1023"/>
      <c r="AA95" s="1477"/>
      <c r="AB95" s="463"/>
      <c r="AC95" s="463"/>
      <c r="AD95" s="463"/>
      <c r="AE95" s="463"/>
    </row>
    <row r="96" spans="1:31" s="1838" customFormat="1" ht="11.25" customHeight="1">
      <c r="A96" s="858"/>
      <c r="B96" s="1481"/>
      <c r="C96" s="1481"/>
      <c r="D96" s="260"/>
      <c r="K96" s="1023"/>
      <c r="L96" s="1481"/>
      <c r="M96" s="1481"/>
      <c r="N96" s="1023"/>
      <c r="O96" s="1023"/>
      <c r="P96" s="1023"/>
      <c r="Q96" s="1023"/>
      <c r="R96" s="1481"/>
      <c r="S96" s="1023"/>
      <c r="T96" s="1023"/>
      <c r="U96" s="441"/>
      <c r="V96" s="1023"/>
      <c r="W96" s="1023"/>
      <c r="X96" s="1023"/>
      <c r="Y96" s="1023"/>
      <c r="Z96" s="1023"/>
      <c r="AA96" s="1477"/>
      <c r="AB96" s="463"/>
      <c r="AC96" s="463"/>
      <c r="AD96" s="463"/>
      <c r="AE96" s="463"/>
    </row>
    <row r="97" spans="1:31" s="1838" customFormat="1" ht="11.25" customHeight="1">
      <c r="A97" s="858"/>
      <c r="B97" s="1481"/>
      <c r="C97" s="1481"/>
      <c r="D97" s="260"/>
      <c r="K97" s="1023"/>
      <c r="L97" s="1481"/>
      <c r="M97" s="1481"/>
      <c r="N97" s="1023"/>
      <c r="O97" s="1023"/>
      <c r="P97" s="1023"/>
      <c r="Q97" s="1023"/>
      <c r="R97" s="1481"/>
      <c r="S97" s="1023"/>
      <c r="T97" s="1023"/>
      <c r="U97" s="441"/>
      <c r="V97" s="1023"/>
      <c r="W97" s="1023"/>
      <c r="X97" s="1023"/>
      <c r="Y97" s="1023"/>
      <c r="Z97" s="1023"/>
      <c r="AA97" s="1477"/>
      <c r="AB97" s="463"/>
      <c r="AC97" s="463"/>
      <c r="AD97" s="463"/>
      <c r="AE97" s="463"/>
    </row>
    <row r="98" spans="1:31" s="1838" customFormat="1" ht="11.25" customHeight="1">
      <c r="A98" s="858"/>
      <c r="B98" s="1481"/>
      <c r="C98" s="1481"/>
      <c r="D98" s="260"/>
      <c r="K98" s="1023"/>
      <c r="L98" s="1481"/>
      <c r="M98" s="1481"/>
      <c r="N98" s="1023"/>
      <c r="O98" s="1023"/>
      <c r="P98" s="1023"/>
      <c r="Q98" s="1023"/>
      <c r="R98" s="1481"/>
      <c r="S98" s="1023"/>
      <c r="T98" s="1023"/>
      <c r="U98" s="441"/>
      <c r="V98" s="1023"/>
      <c r="W98" s="1023"/>
      <c r="X98" s="1023"/>
      <c r="Y98" s="1023"/>
      <c r="Z98" s="1023"/>
      <c r="AA98" s="1477"/>
      <c r="AB98" s="463"/>
      <c r="AC98" s="463"/>
      <c r="AD98" s="463"/>
      <c r="AE98" s="463"/>
    </row>
    <row r="99" spans="1:31" s="1838" customFormat="1" ht="11.25" customHeight="1">
      <c r="A99" s="858"/>
      <c r="B99" s="1481"/>
      <c r="C99" s="1481"/>
      <c r="D99" s="260"/>
      <c r="K99" s="1023"/>
      <c r="L99" s="1481"/>
      <c r="M99" s="1481"/>
      <c r="N99" s="1023"/>
      <c r="O99" s="1023"/>
      <c r="P99" s="1023"/>
      <c r="Q99" s="1023"/>
      <c r="R99" s="1481"/>
      <c r="S99" s="1023"/>
      <c r="T99" s="1023"/>
      <c r="U99" s="441"/>
      <c r="V99" s="1023"/>
      <c r="W99" s="1023"/>
      <c r="X99" s="1023"/>
      <c r="Y99" s="1023"/>
      <c r="Z99" s="1023"/>
      <c r="AA99" s="1477"/>
      <c r="AB99" s="463"/>
      <c r="AC99" s="463"/>
      <c r="AD99" s="463"/>
      <c r="AE99" s="463"/>
    </row>
    <row r="100" spans="1:31" s="1838" customFormat="1" ht="11.25" customHeight="1">
      <c r="A100" s="858"/>
      <c r="B100" s="1481"/>
      <c r="C100" s="1481"/>
      <c r="D100" s="260"/>
      <c r="K100" s="1023"/>
      <c r="L100" s="1481"/>
      <c r="M100" s="1481"/>
      <c r="N100" s="1023"/>
      <c r="O100" s="1023"/>
      <c r="P100" s="1023"/>
      <c r="Q100" s="1023"/>
      <c r="R100" s="1481"/>
      <c r="S100" s="1023"/>
      <c r="T100" s="1023"/>
      <c r="U100" s="441"/>
      <c r="V100" s="1023"/>
      <c r="W100" s="1023"/>
      <c r="X100" s="1023"/>
      <c r="Y100" s="1023"/>
      <c r="Z100" s="1023"/>
      <c r="AA100" s="1477"/>
      <c r="AB100" s="463"/>
      <c r="AC100" s="463"/>
      <c r="AD100" s="463"/>
      <c r="AE100" s="463"/>
    </row>
    <row r="101" spans="1:31" s="1838" customFormat="1" ht="11.25" customHeight="1">
      <c r="A101" s="858"/>
      <c r="B101" s="1481"/>
      <c r="C101" s="1481"/>
      <c r="D101" s="260"/>
      <c r="K101" s="1023"/>
      <c r="L101" s="1481"/>
      <c r="M101" s="1481"/>
      <c r="N101" s="1023"/>
      <c r="O101" s="1023"/>
      <c r="P101" s="1023"/>
      <c r="Q101" s="1023"/>
      <c r="R101" s="1481"/>
      <c r="S101" s="1023"/>
      <c r="T101" s="1023"/>
      <c r="U101" s="441"/>
      <c r="V101" s="1023"/>
      <c r="W101" s="1023"/>
      <c r="X101" s="1023"/>
      <c r="Y101" s="1023"/>
      <c r="Z101" s="1023"/>
      <c r="AA101" s="1477"/>
      <c r="AB101" s="463"/>
      <c r="AC101" s="463"/>
      <c r="AD101" s="463"/>
      <c r="AE101" s="463"/>
    </row>
    <row r="102" spans="1:31" s="1838" customFormat="1" ht="11.25" customHeight="1">
      <c r="A102" s="858"/>
      <c r="B102" s="1481"/>
      <c r="C102" s="1481"/>
      <c r="D102" s="260"/>
      <c r="K102" s="1023"/>
      <c r="L102" s="1481"/>
      <c r="M102" s="1481"/>
      <c r="N102" s="1023"/>
      <c r="O102" s="1023"/>
      <c r="P102" s="1023"/>
      <c r="Q102" s="1023"/>
      <c r="R102" s="1481"/>
      <c r="S102" s="1023"/>
      <c r="T102" s="1023"/>
      <c r="U102" s="441"/>
      <c r="V102" s="1023"/>
      <c r="W102" s="1023"/>
      <c r="X102" s="1023"/>
      <c r="Y102" s="1023"/>
      <c r="Z102" s="1023"/>
      <c r="AA102" s="1477"/>
      <c r="AB102" s="463"/>
      <c r="AC102" s="463"/>
      <c r="AD102" s="463"/>
      <c r="AE102" s="463"/>
    </row>
    <row r="103" spans="1:31" s="1838" customFormat="1" ht="11.25" customHeight="1">
      <c r="A103" s="858"/>
      <c r="B103" s="1481"/>
      <c r="C103" s="1481"/>
      <c r="D103" s="260"/>
      <c r="K103" s="1023"/>
      <c r="L103" s="1481"/>
      <c r="M103" s="1481"/>
      <c r="N103" s="1023"/>
      <c r="O103" s="1023"/>
      <c r="P103" s="1023"/>
      <c r="Q103" s="1023"/>
      <c r="R103" s="1481"/>
      <c r="S103" s="1023"/>
      <c r="T103" s="1023"/>
      <c r="U103" s="441"/>
      <c r="V103" s="1023"/>
      <c r="W103" s="1023"/>
      <c r="X103" s="1023"/>
      <c r="Y103" s="1023"/>
      <c r="Z103" s="1023"/>
      <c r="AA103" s="1477"/>
      <c r="AB103" s="463"/>
      <c r="AC103" s="463"/>
      <c r="AD103" s="463"/>
      <c r="AE103" s="463"/>
    </row>
    <row r="104" spans="1:31" s="1838" customFormat="1" ht="11.25" customHeight="1">
      <c r="A104" s="858"/>
      <c r="B104" s="1481"/>
      <c r="C104" s="1481"/>
      <c r="D104" s="260"/>
      <c r="K104" s="1023"/>
      <c r="L104" s="1481"/>
      <c r="M104" s="1481"/>
      <c r="N104" s="1023"/>
      <c r="O104" s="1023"/>
      <c r="P104" s="1023"/>
      <c r="Q104" s="1023"/>
      <c r="R104" s="1481"/>
      <c r="S104" s="1023"/>
      <c r="T104" s="1023"/>
      <c r="U104" s="441"/>
      <c r="V104" s="1023"/>
      <c r="W104" s="1023"/>
      <c r="X104" s="1023"/>
      <c r="Y104" s="1023"/>
      <c r="Z104" s="1023"/>
      <c r="AA104" s="1477"/>
      <c r="AB104" s="463"/>
      <c r="AC104" s="463"/>
      <c r="AD104" s="463"/>
      <c r="AE104" s="463"/>
    </row>
    <row r="105" spans="1:31" s="1838" customFormat="1" ht="11.25" customHeight="1">
      <c r="A105" s="858"/>
      <c r="B105" s="1481"/>
      <c r="C105" s="1481"/>
      <c r="D105" s="260"/>
      <c r="K105" s="1023"/>
      <c r="L105" s="1481"/>
      <c r="M105" s="1481"/>
      <c r="N105" s="1023"/>
      <c r="O105" s="1023"/>
      <c r="P105" s="1023"/>
      <c r="Q105" s="1023"/>
      <c r="R105" s="1481"/>
      <c r="S105" s="1023"/>
      <c r="T105" s="1023"/>
      <c r="U105" s="441"/>
      <c r="V105" s="1023"/>
      <c r="W105" s="1023"/>
      <c r="X105" s="1023"/>
      <c r="Y105" s="1023"/>
      <c r="Z105" s="1023"/>
      <c r="AA105" s="1477"/>
      <c r="AB105" s="463"/>
      <c r="AC105" s="463"/>
      <c r="AD105" s="463"/>
      <c r="AE105" s="463"/>
    </row>
    <row r="106" spans="1:31" s="1838" customFormat="1" ht="11.25" customHeight="1">
      <c r="A106" s="858"/>
      <c r="B106" s="1481"/>
      <c r="C106" s="1481"/>
      <c r="D106" s="260"/>
      <c r="K106" s="1023"/>
      <c r="L106" s="1481"/>
      <c r="M106" s="1481"/>
      <c r="N106" s="1023"/>
      <c r="O106" s="1023"/>
      <c r="P106" s="1023"/>
      <c r="Q106" s="1023"/>
      <c r="R106" s="1481"/>
      <c r="S106" s="1023"/>
      <c r="T106" s="1023"/>
      <c r="U106" s="441"/>
      <c r="V106" s="1023"/>
      <c r="W106" s="1023"/>
      <c r="X106" s="1023"/>
      <c r="Y106" s="1023"/>
      <c r="Z106" s="1023"/>
      <c r="AA106" s="1477"/>
      <c r="AB106" s="463"/>
      <c r="AC106" s="463"/>
      <c r="AD106" s="463"/>
      <c r="AE106" s="463"/>
    </row>
    <row r="107" spans="1:31" s="1838" customFormat="1" ht="11.25" customHeight="1">
      <c r="A107" s="858"/>
      <c r="B107" s="1481"/>
      <c r="C107" s="1481"/>
      <c r="D107" s="260"/>
      <c r="K107" s="1023"/>
      <c r="L107" s="1481"/>
      <c r="M107" s="1481"/>
      <c r="N107" s="1023"/>
      <c r="O107" s="1023"/>
      <c r="P107" s="1023"/>
      <c r="Q107" s="1023"/>
      <c r="R107" s="1481"/>
      <c r="S107" s="1023"/>
      <c r="T107" s="1023"/>
      <c r="U107" s="441"/>
      <c r="V107" s="1023"/>
      <c r="W107" s="1023"/>
      <c r="X107" s="1023"/>
      <c r="Y107" s="1023"/>
      <c r="Z107" s="1023"/>
      <c r="AA107" s="1477"/>
      <c r="AB107" s="463"/>
      <c r="AC107" s="463"/>
      <c r="AD107" s="463"/>
      <c r="AE107" s="463"/>
    </row>
    <row r="108" spans="1:31" s="1838" customFormat="1" ht="11.25" customHeight="1">
      <c r="A108" s="858"/>
      <c r="B108" s="1481"/>
      <c r="C108" s="1481"/>
      <c r="D108" s="260"/>
      <c r="K108" s="1023"/>
      <c r="L108" s="1481"/>
      <c r="M108" s="1481"/>
      <c r="N108" s="1023"/>
      <c r="O108" s="1023"/>
      <c r="P108" s="1023"/>
      <c r="Q108" s="1023"/>
      <c r="R108" s="1481"/>
      <c r="S108" s="1023"/>
      <c r="T108" s="1023"/>
      <c r="U108" s="441"/>
      <c r="V108" s="1023"/>
      <c r="W108" s="1023"/>
      <c r="X108" s="1023"/>
      <c r="Y108" s="1023"/>
      <c r="Z108" s="1023"/>
      <c r="AA108" s="1477"/>
      <c r="AB108" s="463"/>
      <c r="AC108" s="463"/>
      <c r="AD108" s="463"/>
      <c r="AE108" s="463"/>
    </row>
    <row r="109" spans="1:31" s="1838" customFormat="1" ht="11.25" customHeight="1">
      <c r="A109" s="858"/>
      <c r="B109" s="1481"/>
      <c r="C109" s="1481"/>
      <c r="D109" s="260"/>
      <c r="K109" s="1023"/>
      <c r="L109" s="1481"/>
      <c r="M109" s="1481"/>
      <c r="N109" s="1023"/>
      <c r="O109" s="1023"/>
      <c r="P109" s="1023"/>
      <c r="Q109" s="1023"/>
      <c r="R109" s="1481"/>
      <c r="S109" s="1023"/>
      <c r="T109" s="1023"/>
      <c r="U109" s="441"/>
      <c r="V109" s="1023"/>
      <c r="W109" s="1023"/>
      <c r="X109" s="1023"/>
      <c r="Y109" s="1023"/>
      <c r="Z109" s="1023"/>
      <c r="AA109" s="1477"/>
      <c r="AB109" s="463"/>
      <c r="AC109" s="463"/>
      <c r="AD109" s="463"/>
      <c r="AE109" s="463"/>
    </row>
    <row r="110" spans="1:31" s="1838" customFormat="1" ht="11.25" customHeight="1">
      <c r="A110" s="858"/>
      <c r="B110" s="1481"/>
      <c r="C110" s="1481"/>
      <c r="D110" s="260"/>
      <c r="K110" s="1023"/>
      <c r="L110" s="1481"/>
      <c r="M110" s="1481"/>
      <c r="N110" s="1023"/>
      <c r="O110" s="1023"/>
      <c r="P110" s="1023"/>
      <c r="Q110" s="1023"/>
      <c r="R110" s="1481"/>
      <c r="S110" s="1023"/>
      <c r="T110" s="1023"/>
      <c r="U110" s="441"/>
      <c r="V110" s="1023"/>
      <c r="W110" s="1023"/>
      <c r="X110" s="1023"/>
      <c r="Y110" s="1023"/>
      <c r="Z110" s="1023"/>
      <c r="AA110" s="1477"/>
      <c r="AB110" s="463"/>
      <c r="AC110" s="463"/>
      <c r="AD110" s="463"/>
      <c r="AE110" s="463"/>
    </row>
    <row r="111" spans="1:31" s="1838" customFormat="1" ht="11.25" customHeight="1">
      <c r="A111" s="858"/>
      <c r="B111" s="1481"/>
      <c r="C111" s="1481"/>
      <c r="D111" s="260"/>
      <c r="K111" s="1023"/>
      <c r="L111" s="1481"/>
      <c r="M111" s="1481"/>
      <c r="N111" s="1023"/>
      <c r="O111" s="1023"/>
      <c r="P111" s="1023"/>
      <c r="Q111" s="1023"/>
      <c r="R111" s="1481"/>
      <c r="S111" s="1023"/>
      <c r="T111" s="1023"/>
      <c r="U111" s="441"/>
      <c r="V111" s="1023"/>
      <c r="W111" s="1023"/>
      <c r="X111" s="1023"/>
      <c r="Y111" s="1023"/>
      <c r="Z111" s="1023"/>
      <c r="AA111" s="1477"/>
      <c r="AB111" s="463"/>
      <c r="AC111" s="463"/>
      <c r="AD111" s="463"/>
      <c r="AE111" s="463"/>
    </row>
    <row r="112" spans="1:31" s="1838" customFormat="1" ht="11.25" customHeight="1">
      <c r="A112" s="858"/>
      <c r="B112" s="1481"/>
      <c r="C112" s="1481"/>
      <c r="D112" s="260"/>
      <c r="K112" s="1023"/>
      <c r="L112" s="1481"/>
      <c r="M112" s="1481"/>
      <c r="N112" s="1023"/>
      <c r="O112" s="1023"/>
      <c r="P112" s="1023"/>
      <c r="Q112" s="1023"/>
      <c r="R112" s="1481"/>
      <c r="S112" s="1023"/>
      <c r="T112" s="1023"/>
      <c r="U112" s="441"/>
      <c r="V112" s="1023"/>
      <c r="W112" s="1023"/>
      <c r="X112" s="1023"/>
      <c r="Y112" s="1023"/>
      <c r="Z112" s="1023"/>
      <c r="AA112" s="1477"/>
      <c r="AB112" s="463"/>
      <c r="AC112" s="463"/>
      <c r="AD112" s="463"/>
      <c r="AE112" s="463"/>
    </row>
    <row r="113" spans="1:31" s="1838" customFormat="1" ht="11.25" customHeight="1">
      <c r="A113" s="858"/>
      <c r="B113" s="1481"/>
      <c r="C113" s="1481"/>
      <c r="D113" s="260"/>
      <c r="K113" s="1023"/>
      <c r="L113" s="1481"/>
      <c r="M113" s="1481"/>
      <c r="N113" s="1023"/>
      <c r="O113" s="1023"/>
      <c r="P113" s="1023"/>
      <c r="Q113" s="1023"/>
      <c r="R113" s="1481"/>
      <c r="S113" s="1023"/>
      <c r="T113" s="1023"/>
      <c r="U113" s="441"/>
      <c r="V113" s="1023"/>
      <c r="W113" s="1023"/>
      <c r="X113" s="1023"/>
      <c r="Y113" s="1023"/>
      <c r="Z113" s="1023"/>
      <c r="AA113" s="1477"/>
      <c r="AB113" s="463"/>
      <c r="AC113" s="463"/>
      <c r="AD113" s="463"/>
      <c r="AE113" s="463"/>
    </row>
    <row r="114" spans="1:31" s="1838" customFormat="1" ht="11.25" customHeight="1">
      <c r="A114" s="858"/>
      <c r="B114" s="1481"/>
      <c r="C114" s="1481"/>
      <c r="D114" s="260"/>
      <c r="K114" s="1023"/>
      <c r="L114" s="1481"/>
      <c r="M114" s="1481"/>
      <c r="N114" s="1023"/>
      <c r="O114" s="1023"/>
      <c r="P114" s="1023"/>
      <c r="Q114" s="1023"/>
      <c r="R114" s="1481"/>
      <c r="S114" s="1023"/>
      <c r="T114" s="1023"/>
      <c r="U114" s="441"/>
      <c r="V114" s="1023"/>
      <c r="W114" s="1023"/>
      <c r="X114" s="1023"/>
      <c r="Y114" s="1023"/>
      <c r="Z114" s="1023"/>
      <c r="AA114" s="1477"/>
      <c r="AB114" s="463"/>
      <c r="AC114" s="463"/>
      <c r="AD114" s="463"/>
      <c r="AE114" s="463"/>
    </row>
    <row r="115" spans="1:31" s="1838" customFormat="1" ht="11.25" customHeight="1">
      <c r="A115" s="858"/>
      <c r="B115" s="1481"/>
      <c r="C115" s="1481"/>
      <c r="D115" s="260"/>
      <c r="K115" s="1023"/>
      <c r="L115" s="1481"/>
      <c r="M115" s="1481"/>
      <c r="N115" s="1023"/>
      <c r="O115" s="1023"/>
      <c r="P115" s="1023"/>
      <c r="Q115" s="1023"/>
      <c r="R115" s="1481"/>
      <c r="S115" s="1023"/>
      <c r="T115" s="1023"/>
      <c r="U115" s="441"/>
      <c r="V115" s="1023"/>
      <c r="W115" s="1023"/>
      <c r="X115" s="1023"/>
      <c r="Y115" s="1023"/>
      <c r="Z115" s="1023"/>
      <c r="AA115" s="1477"/>
      <c r="AB115" s="463"/>
      <c r="AC115" s="463"/>
      <c r="AD115" s="463"/>
      <c r="AE115" s="463"/>
    </row>
    <row r="116" spans="1:31" s="1838" customFormat="1" ht="11.25" customHeight="1">
      <c r="A116" s="858"/>
      <c r="B116" s="1481"/>
      <c r="C116" s="1481"/>
      <c r="D116" s="260"/>
      <c r="K116" s="1023"/>
      <c r="L116" s="1481"/>
      <c r="M116" s="1481"/>
      <c r="N116" s="1023"/>
      <c r="O116" s="1023"/>
      <c r="P116" s="1023"/>
      <c r="Q116" s="1023"/>
      <c r="R116" s="1481"/>
      <c r="S116" s="1023"/>
      <c r="T116" s="1023"/>
      <c r="U116" s="441"/>
      <c r="V116" s="1023"/>
      <c r="W116" s="1023"/>
      <c r="X116" s="1023"/>
      <c r="Y116" s="1023"/>
      <c r="Z116" s="1023"/>
      <c r="AA116" s="1477"/>
      <c r="AB116" s="463"/>
      <c r="AC116" s="463"/>
      <c r="AD116" s="463"/>
      <c r="AE116" s="463"/>
    </row>
    <row r="117" spans="1:31" s="1838" customFormat="1" ht="11.25" customHeight="1">
      <c r="A117" s="858"/>
      <c r="B117" s="1481"/>
      <c r="C117" s="1481"/>
      <c r="D117" s="260"/>
      <c r="K117" s="1023"/>
      <c r="L117" s="1481"/>
      <c r="M117" s="1481"/>
      <c r="N117" s="1023"/>
      <c r="O117" s="1023"/>
      <c r="P117" s="1023"/>
      <c r="Q117" s="1023"/>
      <c r="R117" s="1481"/>
      <c r="S117" s="1023"/>
      <c r="T117" s="1023"/>
      <c r="U117" s="441"/>
      <c r="V117" s="1023"/>
      <c r="W117" s="1023"/>
      <c r="X117" s="1023"/>
      <c r="Y117" s="1023"/>
      <c r="Z117" s="1023"/>
      <c r="AA117" s="1477"/>
      <c r="AB117" s="463"/>
      <c r="AC117" s="463"/>
      <c r="AD117" s="463"/>
      <c r="AE117" s="463"/>
    </row>
    <row r="118" spans="1:31" s="1838" customFormat="1" ht="11.25" customHeight="1">
      <c r="A118" s="858"/>
      <c r="B118" s="1481"/>
      <c r="C118" s="1481"/>
      <c r="D118" s="260"/>
      <c r="K118" s="1023"/>
      <c r="L118" s="1481"/>
      <c r="M118" s="1481"/>
      <c r="N118" s="1023"/>
      <c r="O118" s="1023"/>
      <c r="P118" s="1023"/>
      <c r="Q118" s="1023"/>
      <c r="R118" s="1481"/>
      <c r="S118" s="1023"/>
      <c r="T118" s="1023"/>
      <c r="U118" s="441"/>
      <c r="V118" s="1023"/>
      <c r="W118" s="1023"/>
      <c r="X118" s="1023"/>
      <c r="Y118" s="1023"/>
      <c r="Z118" s="1023"/>
      <c r="AA118" s="1477"/>
      <c r="AB118" s="463"/>
      <c r="AC118" s="463"/>
      <c r="AD118" s="463"/>
      <c r="AE118" s="463"/>
    </row>
    <row r="119" spans="1:31" s="1838" customFormat="1" ht="11.25" customHeight="1">
      <c r="A119" s="858"/>
      <c r="B119" s="1481"/>
      <c r="C119" s="1481"/>
      <c r="D119" s="260"/>
      <c r="K119" s="1023"/>
      <c r="L119" s="1481"/>
      <c r="M119" s="1481"/>
      <c r="N119" s="1023"/>
      <c r="O119" s="1023"/>
      <c r="P119" s="1023"/>
      <c r="Q119" s="1023"/>
      <c r="R119" s="1481"/>
      <c r="S119" s="1023"/>
      <c r="T119" s="1023"/>
      <c r="U119" s="441"/>
      <c r="V119" s="1023"/>
      <c r="W119" s="1023"/>
      <c r="X119" s="1023"/>
      <c r="Y119" s="1023"/>
      <c r="Z119" s="1023"/>
      <c r="AA119" s="1477"/>
      <c r="AB119" s="463"/>
      <c r="AC119" s="463"/>
      <c r="AD119" s="463"/>
      <c r="AE119" s="463"/>
    </row>
    <row r="120" spans="1:31" s="1838" customFormat="1" ht="11.25" customHeight="1">
      <c r="A120" s="858"/>
      <c r="B120" s="1481"/>
      <c r="C120" s="1481"/>
      <c r="D120" s="260"/>
      <c r="K120" s="1023"/>
      <c r="L120" s="1481"/>
      <c r="M120" s="1481"/>
      <c r="N120" s="1023"/>
      <c r="O120" s="1023"/>
      <c r="P120" s="1023"/>
      <c r="Q120" s="1023"/>
      <c r="R120" s="1481"/>
      <c r="S120" s="1023"/>
      <c r="T120" s="1023"/>
      <c r="U120" s="441"/>
      <c r="V120" s="1023"/>
      <c r="W120" s="1023"/>
      <c r="X120" s="1023"/>
      <c r="Y120" s="1023"/>
      <c r="Z120" s="1023"/>
      <c r="AA120" s="1477"/>
      <c r="AB120" s="463"/>
      <c r="AC120" s="463"/>
      <c r="AD120" s="463"/>
      <c r="AE120" s="463"/>
    </row>
    <row r="121" spans="1:31" s="1838" customFormat="1" ht="11.25" customHeight="1">
      <c r="A121" s="858"/>
      <c r="B121" s="1481"/>
      <c r="C121" s="1481"/>
      <c r="D121" s="260"/>
      <c r="K121" s="1023"/>
      <c r="L121" s="1481"/>
      <c r="M121" s="1481"/>
      <c r="N121" s="1023"/>
      <c r="O121" s="1023"/>
      <c r="P121" s="1023"/>
      <c r="Q121" s="1023"/>
      <c r="R121" s="1481"/>
      <c r="S121" s="1023"/>
      <c r="T121" s="1023"/>
      <c r="U121" s="441"/>
      <c r="V121" s="1023"/>
      <c r="W121" s="1023"/>
      <c r="X121" s="1023"/>
      <c r="Y121" s="1023"/>
      <c r="Z121" s="1023"/>
      <c r="AA121" s="1477"/>
      <c r="AB121" s="463"/>
      <c r="AC121" s="463"/>
      <c r="AD121" s="463"/>
      <c r="AE121" s="463"/>
    </row>
    <row r="122" spans="1:31" s="1838" customFormat="1" ht="11.25" customHeight="1">
      <c r="A122" s="858"/>
      <c r="B122" s="1481"/>
      <c r="C122" s="1481"/>
      <c r="D122" s="260"/>
      <c r="K122" s="1023"/>
      <c r="L122" s="1481"/>
      <c r="M122" s="1481"/>
      <c r="N122" s="1023"/>
      <c r="O122" s="1023"/>
      <c r="P122" s="1023"/>
      <c r="Q122" s="1023"/>
      <c r="R122" s="1481"/>
      <c r="S122" s="1023"/>
      <c r="T122" s="1023"/>
      <c r="U122" s="441"/>
      <c r="V122" s="1023"/>
      <c r="W122" s="1023"/>
      <c r="X122" s="1023"/>
      <c r="Y122" s="1023"/>
      <c r="Z122" s="1023"/>
      <c r="AA122" s="1477"/>
      <c r="AB122" s="463"/>
      <c r="AC122" s="463"/>
      <c r="AD122" s="463"/>
      <c r="AE122" s="463"/>
    </row>
    <row r="123" spans="1:31" s="1838" customFormat="1" ht="11.25" customHeight="1">
      <c r="A123" s="858"/>
      <c r="B123" s="1481"/>
      <c r="C123" s="1481"/>
      <c r="D123" s="260"/>
      <c r="K123" s="1023"/>
      <c r="L123" s="1481"/>
      <c r="M123" s="1481"/>
      <c r="N123" s="1023"/>
      <c r="O123" s="1023"/>
      <c r="P123" s="1023"/>
      <c r="Q123" s="1023"/>
      <c r="R123" s="1481"/>
      <c r="S123" s="1023"/>
      <c r="T123" s="1023"/>
      <c r="U123" s="441"/>
      <c r="V123" s="1023"/>
      <c r="W123" s="1023"/>
      <c r="X123" s="1023"/>
      <c r="Y123" s="1023"/>
      <c r="Z123" s="1023"/>
      <c r="AA123" s="1477"/>
      <c r="AB123" s="463"/>
      <c r="AC123" s="463"/>
      <c r="AD123" s="463"/>
      <c r="AE123" s="463"/>
    </row>
    <row r="124" spans="1:31" s="1838" customFormat="1" ht="11.25" customHeight="1">
      <c r="A124" s="858"/>
      <c r="B124" s="1481"/>
      <c r="C124" s="1481"/>
      <c r="D124" s="260"/>
      <c r="K124" s="1023"/>
      <c r="L124" s="1481"/>
      <c r="M124" s="1481"/>
      <c r="N124" s="1023"/>
      <c r="O124" s="1023"/>
      <c r="P124" s="1023"/>
      <c r="Q124" s="1023"/>
      <c r="R124" s="1481"/>
      <c r="S124" s="1023"/>
      <c r="T124" s="1023"/>
      <c r="U124" s="441"/>
      <c r="V124" s="1023"/>
      <c r="W124" s="1023"/>
      <c r="X124" s="1023"/>
      <c r="Y124" s="1023"/>
      <c r="Z124" s="1023"/>
      <c r="AA124" s="1477"/>
      <c r="AB124" s="463"/>
      <c r="AC124" s="463"/>
      <c r="AD124" s="463"/>
      <c r="AE124" s="463"/>
    </row>
    <row r="125" spans="1:31" s="1838" customFormat="1" ht="11.25" customHeight="1">
      <c r="A125" s="858"/>
      <c r="B125" s="1481"/>
      <c r="C125" s="1481"/>
      <c r="D125" s="260"/>
      <c r="K125" s="1023"/>
      <c r="L125" s="1481"/>
      <c r="M125" s="1481"/>
      <c r="N125" s="1023"/>
      <c r="O125" s="1023"/>
      <c r="P125" s="1023"/>
      <c r="Q125" s="1023"/>
      <c r="R125" s="1481"/>
      <c r="S125" s="1023"/>
      <c r="T125" s="1023"/>
      <c r="U125" s="441"/>
      <c r="V125" s="1023"/>
      <c r="W125" s="1023"/>
      <c r="X125" s="1023"/>
      <c r="Y125" s="1023"/>
      <c r="Z125" s="1023"/>
      <c r="AA125" s="1477"/>
      <c r="AB125" s="463"/>
      <c r="AC125" s="463"/>
      <c r="AD125" s="463"/>
      <c r="AE125" s="463"/>
    </row>
    <row r="126" spans="1:31" s="1838" customFormat="1" ht="11.25" customHeight="1">
      <c r="A126" s="858"/>
      <c r="B126" s="1481"/>
      <c r="C126" s="1481"/>
      <c r="D126" s="260"/>
      <c r="K126" s="1023"/>
      <c r="L126" s="1481"/>
      <c r="M126" s="1481"/>
      <c r="N126" s="1023"/>
      <c r="O126" s="1023"/>
      <c r="P126" s="1023"/>
      <c r="Q126" s="1023"/>
      <c r="R126" s="1481"/>
      <c r="S126" s="1023"/>
      <c r="T126" s="1023"/>
      <c r="U126" s="441"/>
      <c r="V126" s="1023"/>
      <c r="W126" s="1023"/>
      <c r="X126" s="1023"/>
      <c r="Y126" s="1023"/>
      <c r="Z126" s="1023"/>
      <c r="AA126" s="1477"/>
      <c r="AB126" s="463"/>
      <c r="AC126" s="463"/>
      <c r="AD126" s="463"/>
      <c r="AE126" s="463"/>
    </row>
    <row r="127" spans="1:31" s="1838" customFormat="1" ht="11.25" customHeight="1">
      <c r="A127" s="858"/>
      <c r="B127" s="1481"/>
      <c r="C127" s="1481"/>
      <c r="D127" s="260"/>
      <c r="K127" s="1023"/>
      <c r="L127" s="1481"/>
      <c r="M127" s="1481"/>
      <c r="N127" s="1023"/>
      <c r="O127" s="1023"/>
      <c r="P127" s="1023"/>
      <c r="Q127" s="1023"/>
      <c r="R127" s="1481"/>
      <c r="S127" s="1023"/>
      <c r="T127" s="1023"/>
      <c r="U127" s="441"/>
      <c r="V127" s="1023"/>
      <c r="W127" s="1023"/>
      <c r="X127" s="1023"/>
      <c r="Y127" s="1023"/>
      <c r="Z127" s="1023"/>
      <c r="AA127" s="1477"/>
      <c r="AB127" s="463"/>
      <c r="AC127" s="463"/>
      <c r="AD127" s="463"/>
      <c r="AE127" s="463"/>
    </row>
    <row r="128" spans="1:31" s="1838" customFormat="1" ht="11.25" customHeight="1">
      <c r="A128" s="858"/>
      <c r="B128" s="1481"/>
      <c r="C128" s="1481"/>
      <c r="D128" s="260"/>
      <c r="K128" s="1023"/>
      <c r="L128" s="1481"/>
      <c r="M128" s="1481"/>
      <c r="N128" s="1023"/>
      <c r="O128" s="1023"/>
      <c r="P128" s="1023"/>
      <c r="Q128" s="1023"/>
      <c r="R128" s="1481"/>
      <c r="S128" s="1023"/>
      <c r="T128" s="1023"/>
      <c r="U128" s="441"/>
      <c r="V128" s="1023"/>
      <c r="W128" s="1023"/>
      <c r="X128" s="1023"/>
      <c r="Y128" s="1023"/>
      <c r="Z128" s="1023"/>
      <c r="AA128" s="1477"/>
      <c r="AB128" s="463"/>
      <c r="AC128" s="463"/>
      <c r="AD128" s="463"/>
      <c r="AE128" s="463"/>
    </row>
    <row r="129" spans="1:31" s="1838" customFormat="1" ht="11.25" customHeight="1">
      <c r="A129" s="858"/>
      <c r="B129" s="1481"/>
      <c r="C129" s="1481"/>
      <c r="D129" s="260"/>
      <c r="K129" s="1023"/>
      <c r="L129" s="1481"/>
      <c r="M129" s="1481"/>
      <c r="N129" s="1023"/>
      <c r="O129" s="1023"/>
      <c r="P129" s="1023"/>
      <c r="Q129" s="1023"/>
      <c r="R129" s="1481"/>
      <c r="S129" s="1023"/>
      <c r="T129" s="1023"/>
      <c r="U129" s="441"/>
      <c r="V129" s="1023"/>
      <c r="W129" s="1023"/>
      <c r="X129" s="1023"/>
      <c r="Y129" s="1023"/>
      <c r="Z129" s="1023"/>
      <c r="AA129" s="1477"/>
      <c r="AB129" s="463"/>
      <c r="AC129" s="463"/>
      <c r="AD129" s="463"/>
      <c r="AE129" s="463"/>
    </row>
    <row r="130" spans="1:31" s="1838" customFormat="1" ht="11.25" customHeight="1">
      <c r="A130" s="858"/>
      <c r="B130" s="1481"/>
      <c r="C130" s="1481"/>
      <c r="D130" s="260"/>
      <c r="K130" s="1023"/>
      <c r="L130" s="1481"/>
      <c r="M130" s="1481"/>
      <c r="N130" s="1023"/>
      <c r="O130" s="1023"/>
      <c r="P130" s="1023"/>
      <c r="Q130" s="1023"/>
      <c r="R130" s="1481"/>
      <c r="S130" s="1023"/>
      <c r="T130" s="1023"/>
      <c r="U130" s="441"/>
      <c r="V130" s="1023"/>
      <c r="W130" s="1023"/>
      <c r="X130" s="1023"/>
      <c r="Y130" s="1023"/>
      <c r="Z130" s="1023"/>
      <c r="AA130" s="1477"/>
      <c r="AB130" s="463"/>
      <c r="AC130" s="463"/>
      <c r="AD130" s="463"/>
      <c r="AE130" s="463"/>
    </row>
    <row r="131" spans="1:31" s="1838" customFormat="1" ht="11.25" customHeight="1">
      <c r="A131" s="858"/>
      <c r="B131" s="1481"/>
      <c r="C131" s="1481"/>
      <c r="D131" s="260"/>
      <c r="K131" s="1023"/>
      <c r="L131" s="1481"/>
      <c r="M131" s="1481"/>
      <c r="N131" s="1023"/>
      <c r="O131" s="1023"/>
      <c r="P131" s="1023"/>
      <c r="Q131" s="1023"/>
      <c r="R131" s="1481"/>
      <c r="S131" s="1023"/>
      <c r="T131" s="1023"/>
      <c r="U131" s="441"/>
      <c r="V131" s="1023"/>
      <c r="W131" s="1023"/>
      <c r="X131" s="1023"/>
      <c r="Y131" s="1023"/>
      <c r="Z131" s="1023"/>
      <c r="AA131" s="1477"/>
      <c r="AB131" s="463"/>
      <c r="AC131" s="463"/>
      <c r="AD131" s="463"/>
      <c r="AE131" s="463"/>
    </row>
    <row r="132" spans="1:31" s="1838" customFormat="1" ht="11.25" customHeight="1">
      <c r="A132" s="858"/>
      <c r="B132" s="1481"/>
      <c r="C132" s="1481"/>
      <c r="D132" s="260"/>
      <c r="K132" s="1023"/>
      <c r="L132" s="1481"/>
      <c r="M132" s="1481"/>
      <c r="N132" s="1023"/>
      <c r="O132" s="1023"/>
      <c r="P132" s="1023"/>
      <c r="Q132" s="1023"/>
      <c r="R132" s="1481"/>
      <c r="S132" s="1023"/>
      <c r="T132" s="1023"/>
      <c r="U132" s="441"/>
      <c r="V132" s="1023"/>
      <c r="W132" s="1023"/>
      <c r="X132" s="1023"/>
      <c r="Y132" s="1023"/>
      <c r="Z132" s="1023"/>
      <c r="AA132" s="1477"/>
      <c r="AB132" s="463"/>
      <c r="AC132" s="463"/>
      <c r="AD132" s="463"/>
      <c r="AE132" s="463"/>
    </row>
    <row r="133" spans="1:31" s="1838" customFormat="1" ht="11.25" customHeight="1">
      <c r="A133" s="858"/>
      <c r="B133" s="1481"/>
      <c r="C133" s="1481"/>
      <c r="D133" s="260"/>
      <c r="K133" s="1023"/>
      <c r="L133" s="1481"/>
      <c r="M133" s="1481"/>
      <c r="N133" s="1023"/>
      <c r="O133" s="1023"/>
      <c r="P133" s="1023"/>
      <c r="Q133" s="1023"/>
      <c r="R133" s="1481"/>
      <c r="S133" s="1023"/>
      <c r="T133" s="1023"/>
      <c r="U133" s="441"/>
      <c r="V133" s="1023"/>
      <c r="W133" s="1023"/>
      <c r="X133" s="1023"/>
      <c r="Y133" s="1023"/>
      <c r="Z133" s="1023"/>
      <c r="AA133" s="1477"/>
      <c r="AB133" s="463"/>
      <c r="AC133" s="463"/>
      <c r="AD133" s="463"/>
      <c r="AE133" s="463"/>
    </row>
    <row r="134" spans="1:31" s="1838" customFormat="1" ht="11.25" customHeight="1">
      <c r="A134" s="858"/>
      <c r="B134" s="1481"/>
      <c r="C134" s="1481"/>
      <c r="D134" s="260"/>
      <c r="K134" s="1023"/>
      <c r="L134" s="1481"/>
      <c r="M134" s="1481"/>
      <c r="N134" s="1023"/>
      <c r="O134" s="1023"/>
      <c r="P134" s="1023"/>
      <c r="Q134" s="1023"/>
      <c r="R134" s="1481"/>
      <c r="S134" s="1023"/>
      <c r="T134" s="1023"/>
      <c r="U134" s="441"/>
      <c r="V134" s="1023"/>
      <c r="W134" s="1023"/>
      <c r="X134" s="1023"/>
      <c r="Y134" s="1023"/>
      <c r="Z134" s="1023"/>
      <c r="AA134" s="1477"/>
      <c r="AB134" s="463"/>
      <c r="AC134" s="463"/>
      <c r="AD134" s="463"/>
      <c r="AE134" s="463"/>
    </row>
    <row r="135" spans="1:31" s="1838" customFormat="1" ht="11.25" customHeight="1">
      <c r="A135" s="858"/>
      <c r="B135" s="1481"/>
      <c r="C135" s="1481"/>
      <c r="D135" s="260"/>
      <c r="K135" s="1023"/>
      <c r="L135" s="1481"/>
      <c r="M135" s="1481"/>
      <c r="N135" s="1023"/>
      <c r="O135" s="1023"/>
      <c r="P135" s="1023"/>
      <c r="Q135" s="1023"/>
      <c r="R135" s="1481"/>
      <c r="S135" s="1023"/>
      <c r="T135" s="1023"/>
      <c r="U135" s="441"/>
      <c r="V135" s="1023"/>
      <c r="W135" s="1023"/>
      <c r="X135" s="1023"/>
      <c r="Y135" s="1023"/>
      <c r="Z135" s="1023"/>
      <c r="AA135" s="1477"/>
      <c r="AB135" s="463"/>
      <c r="AC135" s="463"/>
      <c r="AD135" s="463"/>
      <c r="AE135" s="463"/>
    </row>
    <row r="136" spans="1:31" s="1838" customFormat="1" ht="11.25" customHeight="1">
      <c r="A136" s="858"/>
      <c r="B136" s="1481"/>
      <c r="C136" s="1481"/>
      <c r="D136" s="260"/>
      <c r="K136" s="1023"/>
      <c r="L136" s="1481"/>
      <c r="M136" s="1481"/>
      <c r="N136" s="1023"/>
      <c r="O136" s="1023"/>
      <c r="P136" s="1023"/>
      <c r="Q136" s="1023"/>
      <c r="R136" s="1481"/>
      <c r="S136" s="1023"/>
      <c r="T136" s="1023"/>
      <c r="U136" s="441"/>
      <c r="V136" s="1023"/>
      <c r="W136" s="1023"/>
      <c r="X136" s="1023"/>
      <c r="Y136" s="1023"/>
      <c r="Z136" s="1023"/>
      <c r="AA136" s="1477"/>
      <c r="AB136" s="463"/>
      <c r="AC136" s="463"/>
      <c r="AD136" s="463"/>
      <c r="AE136" s="463"/>
    </row>
    <row r="137" spans="1:31" s="1838" customFormat="1" ht="11.25" customHeight="1">
      <c r="A137" s="858"/>
      <c r="B137" s="1481"/>
      <c r="C137" s="1481"/>
      <c r="D137" s="260"/>
      <c r="K137" s="1023"/>
      <c r="L137" s="1481"/>
      <c r="M137" s="1481"/>
      <c r="N137" s="1023"/>
      <c r="O137" s="1023"/>
      <c r="P137" s="1023"/>
      <c r="Q137" s="1023"/>
      <c r="R137" s="1481"/>
      <c r="S137" s="1023"/>
      <c r="T137" s="1023"/>
      <c r="U137" s="441"/>
      <c r="V137" s="1023"/>
      <c r="W137" s="1023"/>
      <c r="X137" s="1023"/>
      <c r="Y137" s="1023"/>
      <c r="Z137" s="1023"/>
      <c r="AA137" s="1477"/>
      <c r="AB137" s="463"/>
      <c r="AC137" s="463"/>
      <c r="AD137" s="463"/>
      <c r="AE137" s="463"/>
    </row>
    <row r="138" spans="1:31" s="1838" customFormat="1" ht="11.25" customHeight="1">
      <c r="A138" s="858"/>
      <c r="B138" s="1481"/>
      <c r="C138" s="1481"/>
      <c r="D138" s="260"/>
      <c r="K138" s="1023"/>
      <c r="L138" s="1481"/>
      <c r="M138" s="1481"/>
      <c r="N138" s="1023"/>
      <c r="O138" s="1023"/>
      <c r="P138" s="1023"/>
      <c r="Q138" s="1023"/>
      <c r="R138" s="1481"/>
      <c r="S138" s="1023"/>
      <c r="T138" s="1023"/>
      <c r="U138" s="441"/>
      <c r="V138" s="1023"/>
      <c r="W138" s="1023"/>
      <c r="X138" s="1023"/>
      <c r="Y138" s="1023"/>
      <c r="Z138" s="1023"/>
      <c r="AA138" s="1477"/>
      <c r="AB138" s="463"/>
      <c r="AC138" s="463"/>
      <c r="AD138" s="463"/>
      <c r="AE138" s="463"/>
    </row>
    <row r="139" spans="1:31" s="1838" customFormat="1" ht="11.25" customHeight="1">
      <c r="A139" s="858"/>
      <c r="B139" s="1481"/>
      <c r="C139" s="1481"/>
      <c r="D139" s="260"/>
      <c r="K139" s="1023"/>
      <c r="L139" s="1481"/>
      <c r="M139" s="1481"/>
      <c r="N139" s="1023"/>
      <c r="O139" s="1023"/>
      <c r="P139" s="1023"/>
      <c r="Q139" s="1023"/>
      <c r="R139" s="1481"/>
      <c r="S139" s="1023"/>
      <c r="T139" s="1023"/>
      <c r="U139" s="441"/>
      <c r="V139" s="1023"/>
      <c r="W139" s="1023"/>
      <c r="X139" s="1023"/>
      <c r="Y139" s="1023"/>
      <c r="Z139" s="1023"/>
      <c r="AA139" s="1477"/>
      <c r="AB139" s="463"/>
      <c r="AC139" s="463"/>
      <c r="AD139" s="463"/>
      <c r="AE139" s="463"/>
    </row>
    <row r="140" spans="1:31" s="1838" customFormat="1" ht="11.25" customHeight="1">
      <c r="A140" s="858"/>
      <c r="B140" s="1481"/>
      <c r="C140" s="1481"/>
      <c r="D140" s="260"/>
      <c r="K140" s="1023"/>
      <c r="L140" s="1481"/>
      <c r="M140" s="1481"/>
      <c r="N140" s="1023"/>
      <c r="O140" s="1023"/>
      <c r="P140" s="1023"/>
      <c r="Q140" s="1023"/>
      <c r="R140" s="1481"/>
      <c r="S140" s="1023"/>
      <c r="T140" s="1023"/>
      <c r="U140" s="441"/>
      <c r="V140" s="1023"/>
      <c r="W140" s="1023"/>
      <c r="X140" s="1023"/>
      <c r="Y140" s="1023"/>
      <c r="Z140" s="1023"/>
      <c r="AA140" s="1477"/>
      <c r="AB140" s="463"/>
      <c r="AC140" s="463"/>
      <c r="AD140" s="463"/>
      <c r="AE140" s="463"/>
    </row>
    <row r="141" spans="1:31" s="1838" customFormat="1" ht="11.25" customHeight="1">
      <c r="A141" s="858"/>
      <c r="B141" s="1481"/>
      <c r="C141" s="1481"/>
      <c r="D141" s="260"/>
      <c r="K141" s="1023"/>
      <c r="L141" s="1481"/>
      <c r="M141" s="1481"/>
      <c r="N141" s="1023"/>
      <c r="O141" s="1023"/>
      <c r="P141" s="1023"/>
      <c r="Q141" s="1023"/>
      <c r="R141" s="1481"/>
      <c r="S141" s="1023"/>
      <c r="T141" s="1023"/>
      <c r="U141" s="441"/>
      <c r="V141" s="1023"/>
      <c r="W141" s="1023"/>
      <c r="X141" s="1023"/>
      <c r="Y141" s="1023"/>
      <c r="Z141" s="1023"/>
      <c r="AA141" s="1477"/>
      <c r="AB141" s="463"/>
      <c r="AC141" s="463"/>
      <c r="AD141" s="463"/>
      <c r="AE141" s="463"/>
    </row>
    <row r="142" spans="1:31" s="1838" customFormat="1" ht="11.25" customHeight="1">
      <c r="A142" s="858"/>
      <c r="B142" s="1481"/>
      <c r="C142" s="1481"/>
      <c r="D142" s="260"/>
      <c r="K142" s="1023"/>
      <c r="L142" s="1481"/>
      <c r="M142" s="1481"/>
      <c r="N142" s="1023"/>
      <c r="O142" s="1023"/>
      <c r="P142" s="1023"/>
      <c r="Q142" s="1023"/>
      <c r="R142" s="1481"/>
      <c r="S142" s="1023"/>
      <c r="T142" s="1023"/>
      <c r="U142" s="441"/>
      <c r="V142" s="1023"/>
      <c r="W142" s="1023"/>
      <c r="X142" s="1023"/>
      <c r="Y142" s="1023"/>
      <c r="Z142" s="1023"/>
      <c r="AA142" s="1477"/>
      <c r="AB142" s="463"/>
      <c r="AC142" s="463"/>
      <c r="AD142" s="463"/>
      <c r="AE142" s="463"/>
    </row>
    <row r="143" spans="1:31" s="1838" customFormat="1" ht="11.25" customHeight="1">
      <c r="A143" s="858"/>
      <c r="B143" s="1481"/>
      <c r="C143" s="1481"/>
      <c r="D143" s="260"/>
      <c r="K143" s="1023"/>
      <c r="L143" s="1481"/>
      <c r="M143" s="1481"/>
      <c r="N143" s="1023"/>
      <c r="O143" s="1023"/>
      <c r="P143" s="1023"/>
      <c r="Q143" s="1023"/>
      <c r="R143" s="1481"/>
      <c r="S143" s="1023"/>
      <c r="T143" s="1023"/>
      <c r="U143" s="441"/>
      <c r="V143" s="1023"/>
      <c r="W143" s="1023"/>
      <c r="X143" s="1023"/>
      <c r="Y143" s="1023"/>
      <c r="Z143" s="1023"/>
      <c r="AA143" s="1477"/>
      <c r="AB143" s="463"/>
      <c r="AC143" s="463"/>
      <c r="AD143" s="463"/>
      <c r="AE143" s="463"/>
    </row>
    <row r="144" spans="1:31" s="1838" customFormat="1" ht="11.25" customHeight="1">
      <c r="A144" s="858"/>
      <c r="B144" s="1481"/>
      <c r="C144" s="1481"/>
      <c r="D144" s="260"/>
      <c r="K144" s="1023"/>
      <c r="L144" s="1481"/>
      <c r="M144" s="1481"/>
      <c r="N144" s="1023"/>
      <c r="O144" s="1023"/>
      <c r="P144" s="1023"/>
      <c r="Q144" s="1023"/>
      <c r="R144" s="1481"/>
      <c r="S144" s="1023"/>
      <c r="T144" s="1023"/>
      <c r="U144" s="441"/>
      <c r="V144" s="1023"/>
      <c r="W144" s="1023"/>
      <c r="X144" s="1023"/>
      <c r="Y144" s="1023"/>
      <c r="Z144" s="1023"/>
      <c r="AA144" s="1477"/>
      <c r="AB144" s="463"/>
      <c r="AC144" s="463"/>
      <c r="AD144" s="463"/>
      <c r="AE144" s="463"/>
    </row>
    <row r="145" spans="1:31" s="1838" customFormat="1" ht="11.25" customHeight="1">
      <c r="A145" s="858"/>
      <c r="B145" s="1481"/>
      <c r="C145" s="1481"/>
      <c r="D145" s="260"/>
      <c r="K145" s="1023"/>
      <c r="L145" s="1481"/>
      <c r="M145" s="1481"/>
      <c r="N145" s="1023"/>
      <c r="O145" s="1023"/>
      <c r="P145" s="1023"/>
      <c r="Q145" s="1023"/>
      <c r="R145" s="1481"/>
      <c r="S145" s="1023"/>
      <c r="T145" s="1023"/>
      <c r="U145" s="441"/>
      <c r="V145" s="1023"/>
      <c r="W145" s="1023"/>
      <c r="X145" s="1023"/>
      <c r="Y145" s="1023"/>
      <c r="Z145" s="1023"/>
      <c r="AA145" s="1477"/>
      <c r="AB145" s="463"/>
      <c r="AC145" s="463"/>
      <c r="AD145" s="463"/>
      <c r="AE145" s="463"/>
    </row>
    <row r="146" spans="1:31" s="1838" customFormat="1" ht="11.25" customHeight="1">
      <c r="A146" s="858"/>
      <c r="B146" s="1481"/>
      <c r="C146" s="1481"/>
      <c r="D146" s="260"/>
      <c r="K146" s="1023"/>
      <c r="L146" s="1481"/>
      <c r="M146" s="1481"/>
      <c r="N146" s="1023"/>
      <c r="O146" s="1023"/>
      <c r="P146" s="1023"/>
      <c r="Q146" s="1023"/>
      <c r="R146" s="1481"/>
      <c r="S146" s="1023"/>
      <c r="T146" s="1023"/>
      <c r="U146" s="441"/>
      <c r="V146" s="1023"/>
      <c r="W146" s="1023"/>
      <c r="X146" s="1023"/>
      <c r="Y146" s="1023"/>
      <c r="Z146" s="1023"/>
      <c r="AA146" s="1477"/>
      <c r="AB146" s="463"/>
      <c r="AC146" s="463"/>
      <c r="AD146" s="463"/>
      <c r="AE146" s="463"/>
    </row>
    <row r="147" spans="1:31" s="1838" customFormat="1" ht="11.25" customHeight="1">
      <c r="A147" s="858"/>
      <c r="B147" s="1481"/>
      <c r="C147" s="1481"/>
      <c r="D147" s="260"/>
      <c r="K147" s="1023"/>
      <c r="L147" s="1481"/>
      <c r="M147" s="1481"/>
      <c r="N147" s="1023"/>
      <c r="O147" s="1023"/>
      <c r="P147" s="1023"/>
      <c r="Q147" s="1023"/>
      <c r="R147" s="1481"/>
      <c r="S147" s="1023"/>
      <c r="T147" s="1023"/>
      <c r="U147" s="441"/>
      <c r="V147" s="1023"/>
      <c r="W147" s="1023"/>
      <c r="X147" s="1023"/>
      <c r="Y147" s="1023"/>
      <c r="Z147" s="1023"/>
      <c r="AA147" s="1477"/>
      <c r="AB147" s="463"/>
      <c r="AC147" s="463"/>
      <c r="AD147" s="463"/>
      <c r="AE147" s="463"/>
    </row>
    <row r="148" spans="1:31" s="1838" customFormat="1" ht="11.25" customHeight="1">
      <c r="A148" s="858"/>
      <c r="B148" s="1481"/>
      <c r="C148" s="1481"/>
      <c r="D148" s="260"/>
      <c r="K148" s="1023"/>
      <c r="L148" s="1481"/>
      <c r="M148" s="1481"/>
      <c r="N148" s="1023"/>
      <c r="O148" s="1023"/>
      <c r="P148" s="1023"/>
      <c r="Q148" s="1023"/>
      <c r="R148" s="1481"/>
      <c r="S148" s="1023"/>
      <c r="T148" s="1023"/>
      <c r="U148" s="441"/>
      <c r="V148" s="1023"/>
      <c r="W148" s="1023"/>
      <c r="X148" s="1023"/>
      <c r="Y148" s="1023"/>
      <c r="Z148" s="1023"/>
      <c r="AA148" s="1477"/>
      <c r="AB148" s="463"/>
      <c r="AC148" s="463"/>
      <c r="AD148" s="463"/>
      <c r="AE148" s="463"/>
    </row>
    <row r="149" spans="1:31" s="1838" customFormat="1" ht="11.25" customHeight="1">
      <c r="A149" s="858"/>
      <c r="B149" s="1481"/>
      <c r="C149" s="1481"/>
      <c r="D149" s="260"/>
      <c r="K149" s="1023"/>
      <c r="L149" s="1481"/>
      <c r="M149" s="1481"/>
      <c r="N149" s="1023"/>
      <c r="O149" s="1023"/>
      <c r="P149" s="1023"/>
      <c r="Q149" s="1023"/>
      <c r="R149" s="1481"/>
      <c r="S149" s="1023"/>
      <c r="T149" s="1023"/>
      <c r="U149" s="441"/>
      <c r="V149" s="1023"/>
      <c r="W149" s="1023"/>
      <c r="X149" s="1023"/>
      <c r="Y149" s="1023"/>
      <c r="Z149" s="1023"/>
      <c r="AA149" s="1477"/>
      <c r="AB149" s="463"/>
      <c r="AC149" s="463"/>
      <c r="AD149" s="463"/>
      <c r="AE149" s="463"/>
    </row>
    <row r="150" spans="1:31" s="1838" customFormat="1" ht="11.25" customHeight="1">
      <c r="A150" s="858"/>
      <c r="B150" s="1481"/>
      <c r="C150" s="1481"/>
      <c r="D150" s="260"/>
      <c r="K150" s="1023"/>
      <c r="L150" s="1481"/>
      <c r="M150" s="1481"/>
      <c r="N150" s="1023"/>
      <c r="O150" s="1023"/>
      <c r="P150" s="1023"/>
      <c r="Q150" s="1023"/>
      <c r="R150" s="1481"/>
      <c r="S150" s="1023"/>
      <c r="T150" s="1023"/>
      <c r="U150" s="441"/>
      <c r="V150" s="1023"/>
      <c r="W150" s="1023"/>
      <c r="X150" s="1023"/>
      <c r="Y150" s="1023"/>
      <c r="Z150" s="1023"/>
      <c r="AA150" s="1477"/>
      <c r="AB150" s="463"/>
      <c r="AC150" s="463"/>
      <c r="AD150" s="463"/>
      <c r="AE150" s="463"/>
    </row>
    <row r="151" spans="1:31" s="1838" customFormat="1" ht="11.25" customHeight="1">
      <c r="A151" s="858"/>
      <c r="B151" s="1481"/>
      <c r="C151" s="1481"/>
      <c r="D151" s="260"/>
      <c r="K151" s="1023"/>
      <c r="L151" s="1481"/>
      <c r="M151" s="1481"/>
      <c r="N151" s="1023"/>
      <c r="O151" s="1023"/>
      <c r="P151" s="1023"/>
      <c r="Q151" s="1023"/>
      <c r="R151" s="1481"/>
      <c r="S151" s="1023"/>
      <c r="T151" s="1023"/>
      <c r="U151" s="441"/>
      <c r="V151" s="1023"/>
      <c r="W151" s="1023"/>
      <c r="X151" s="1023"/>
      <c r="Y151" s="1023"/>
      <c r="Z151" s="1023"/>
      <c r="AA151" s="1477"/>
      <c r="AB151" s="463"/>
      <c r="AC151" s="463"/>
      <c r="AD151" s="463"/>
      <c r="AE151" s="463"/>
    </row>
    <row r="152" spans="1:31" s="1838" customFormat="1" ht="11.25" customHeight="1">
      <c r="A152" s="858"/>
      <c r="B152" s="1481"/>
      <c r="C152" s="1481"/>
      <c r="D152" s="260"/>
      <c r="K152" s="1023"/>
      <c r="L152" s="1481"/>
      <c r="M152" s="1481"/>
      <c r="N152" s="1023"/>
      <c r="O152" s="1023"/>
      <c r="P152" s="1023"/>
      <c r="Q152" s="1023"/>
      <c r="R152" s="1481"/>
      <c r="S152" s="1023"/>
      <c r="T152" s="1023"/>
      <c r="U152" s="441"/>
      <c r="V152" s="1023"/>
      <c r="W152" s="1023"/>
      <c r="X152" s="1023"/>
      <c r="Y152" s="1023"/>
      <c r="Z152" s="1023"/>
      <c r="AA152" s="1477"/>
      <c r="AB152" s="463"/>
      <c r="AC152" s="463"/>
      <c r="AD152" s="463"/>
      <c r="AE152" s="463"/>
    </row>
    <row r="153" spans="1:31" s="1838" customFormat="1" ht="11.25" customHeight="1">
      <c r="A153" s="858"/>
      <c r="B153" s="1481"/>
      <c r="C153" s="1481"/>
      <c r="D153" s="260"/>
      <c r="K153" s="1023"/>
      <c r="L153" s="1481"/>
      <c r="M153" s="1481"/>
      <c r="N153" s="1023"/>
      <c r="O153" s="1023"/>
      <c r="P153" s="1023"/>
      <c r="Q153" s="1023"/>
      <c r="R153" s="1481"/>
      <c r="S153" s="1023"/>
      <c r="T153" s="1023"/>
      <c r="U153" s="441"/>
      <c r="V153" s="1023"/>
      <c r="W153" s="1023"/>
      <c r="X153" s="1023"/>
      <c r="Y153" s="1023"/>
      <c r="Z153" s="1023"/>
      <c r="AA153" s="1477"/>
      <c r="AB153" s="463"/>
      <c r="AC153" s="463"/>
      <c r="AD153" s="463"/>
      <c r="AE153" s="463"/>
    </row>
    <row r="154" spans="1:31" s="1838" customFormat="1" ht="11.25" customHeight="1">
      <c r="A154" s="858"/>
      <c r="B154" s="1481"/>
      <c r="C154" s="1481"/>
      <c r="D154" s="260"/>
      <c r="K154" s="1023"/>
      <c r="L154" s="1481"/>
      <c r="M154" s="1481"/>
      <c r="N154" s="1023"/>
      <c r="O154" s="1023"/>
      <c r="P154" s="1023"/>
      <c r="Q154" s="1023"/>
      <c r="R154" s="1481"/>
      <c r="S154" s="1023"/>
      <c r="T154" s="1023"/>
      <c r="U154" s="441"/>
      <c r="V154" s="1023"/>
      <c r="W154" s="1023"/>
      <c r="X154" s="1023"/>
      <c r="Y154" s="1023"/>
      <c r="Z154" s="1023"/>
      <c r="AA154" s="1477"/>
      <c r="AB154" s="463"/>
      <c r="AC154" s="463"/>
      <c r="AD154" s="463"/>
      <c r="AE154" s="463"/>
    </row>
    <row r="155" spans="1:31" s="1838" customFormat="1" ht="11.25" customHeight="1">
      <c r="A155" s="858"/>
      <c r="B155" s="1481"/>
      <c r="C155" s="1481"/>
      <c r="D155" s="260"/>
      <c r="K155" s="1023"/>
      <c r="L155" s="1481"/>
      <c r="M155" s="1481"/>
      <c r="N155" s="1023"/>
      <c r="O155" s="1023"/>
      <c r="P155" s="1023"/>
      <c r="Q155" s="1023"/>
      <c r="R155" s="1481"/>
      <c r="S155" s="1023"/>
      <c r="T155" s="1023"/>
      <c r="U155" s="441"/>
      <c r="V155" s="1023"/>
      <c r="W155" s="1023"/>
      <c r="X155" s="1023"/>
      <c r="Y155" s="1023"/>
      <c r="Z155" s="1023"/>
      <c r="AA155" s="1477"/>
      <c r="AB155" s="463"/>
      <c r="AC155" s="463"/>
      <c r="AD155" s="463"/>
      <c r="AE155" s="463"/>
    </row>
    <row r="156" spans="1:31" s="1838" customFormat="1" ht="11.25" customHeight="1">
      <c r="A156" s="858"/>
      <c r="B156" s="1481"/>
      <c r="C156" s="1481"/>
      <c r="D156" s="260"/>
      <c r="K156" s="1023"/>
      <c r="L156" s="1481"/>
      <c r="M156" s="1481"/>
      <c r="N156" s="1023"/>
      <c r="O156" s="1023"/>
      <c r="P156" s="1023"/>
      <c r="Q156" s="1023"/>
      <c r="R156" s="1481"/>
      <c r="S156" s="1023"/>
      <c r="T156" s="1023"/>
      <c r="U156" s="441"/>
      <c r="V156" s="1023"/>
      <c r="W156" s="1023"/>
      <c r="X156" s="1023"/>
      <c r="Y156" s="1023"/>
      <c r="Z156" s="1023"/>
      <c r="AA156" s="1477"/>
      <c r="AB156" s="463"/>
      <c r="AC156" s="463"/>
      <c r="AD156" s="463"/>
      <c r="AE156" s="463"/>
    </row>
    <row r="157" spans="1:31" s="1838" customFormat="1" ht="11.25" customHeight="1">
      <c r="A157" s="858"/>
      <c r="B157" s="1481"/>
      <c r="C157" s="1481"/>
      <c r="D157" s="260"/>
      <c r="K157" s="1023"/>
      <c r="L157" s="1481"/>
      <c r="M157" s="1481"/>
      <c r="N157" s="1023"/>
      <c r="O157" s="1023"/>
      <c r="P157" s="1023"/>
      <c r="Q157" s="1023"/>
      <c r="R157" s="1481"/>
      <c r="S157" s="1023"/>
      <c r="T157" s="1023"/>
      <c r="U157" s="441"/>
      <c r="V157" s="1023"/>
      <c r="W157" s="1023"/>
      <c r="X157" s="1023"/>
      <c r="Y157" s="1023"/>
      <c r="Z157" s="1023"/>
      <c r="AA157" s="1477"/>
      <c r="AB157" s="463"/>
      <c r="AC157" s="463"/>
      <c r="AD157" s="463"/>
      <c r="AE157" s="463"/>
    </row>
    <row r="158" spans="1:31" s="1838" customFormat="1" ht="11.25" customHeight="1">
      <c r="A158" s="858"/>
      <c r="B158" s="1481"/>
      <c r="C158" s="1481"/>
      <c r="D158" s="260"/>
      <c r="K158" s="1023"/>
      <c r="L158" s="1481"/>
      <c r="M158" s="1481"/>
      <c r="N158" s="1023"/>
      <c r="O158" s="1023"/>
      <c r="P158" s="1023"/>
      <c r="Q158" s="1023"/>
      <c r="R158" s="1481"/>
      <c r="S158" s="1023"/>
      <c r="T158" s="1023"/>
      <c r="U158" s="441"/>
      <c r="V158" s="1023"/>
      <c r="W158" s="1023"/>
      <c r="X158" s="1023"/>
      <c r="Y158" s="1023"/>
      <c r="Z158" s="1023"/>
      <c r="AA158" s="1477"/>
      <c r="AB158" s="463"/>
      <c r="AC158" s="463"/>
      <c r="AD158" s="463"/>
      <c r="AE158" s="463"/>
    </row>
    <row r="159" spans="1:31" s="1838" customFormat="1" ht="11.25" customHeight="1">
      <c r="A159" s="858"/>
      <c r="B159" s="1481"/>
      <c r="C159" s="1481"/>
      <c r="D159" s="260"/>
      <c r="K159" s="1023"/>
      <c r="L159" s="1481"/>
      <c r="M159" s="1481"/>
      <c r="N159" s="1023"/>
      <c r="O159" s="1023"/>
      <c r="P159" s="1023"/>
      <c r="Q159" s="1023"/>
      <c r="R159" s="1481"/>
      <c r="S159" s="1023"/>
      <c r="T159" s="1023"/>
      <c r="U159" s="441"/>
      <c r="V159" s="1023"/>
      <c r="W159" s="1023"/>
      <c r="X159" s="1023"/>
      <c r="Y159" s="1023"/>
      <c r="Z159" s="1023"/>
      <c r="AA159" s="1477"/>
      <c r="AB159" s="463"/>
      <c r="AC159" s="463"/>
      <c r="AD159" s="463"/>
      <c r="AE159" s="463"/>
    </row>
    <row r="160" spans="1:31" s="1838" customFormat="1" ht="11.25" customHeight="1">
      <c r="A160" s="858"/>
      <c r="B160" s="1481"/>
      <c r="C160" s="1481"/>
      <c r="D160" s="260"/>
      <c r="K160" s="1023"/>
      <c r="L160" s="1481"/>
      <c r="M160" s="1481"/>
      <c r="N160" s="1023"/>
      <c r="O160" s="1023"/>
      <c r="P160" s="1023"/>
      <c r="Q160" s="1023"/>
      <c r="R160" s="1481"/>
      <c r="S160" s="1023"/>
      <c r="T160" s="1023"/>
      <c r="U160" s="441"/>
      <c r="V160" s="1023"/>
      <c r="W160" s="1023"/>
      <c r="X160" s="1023"/>
      <c r="Y160" s="1023"/>
      <c r="Z160" s="1023"/>
      <c r="AA160" s="1477"/>
      <c r="AB160" s="463"/>
      <c r="AC160" s="463"/>
      <c r="AD160" s="463"/>
      <c r="AE160" s="463"/>
    </row>
    <row r="161" spans="1:31" s="1838" customFormat="1" ht="11.25" customHeight="1">
      <c r="A161" s="858"/>
      <c r="B161" s="1481"/>
      <c r="C161" s="1481"/>
      <c r="D161" s="260"/>
      <c r="K161" s="1023"/>
      <c r="L161" s="1481"/>
      <c r="M161" s="1481"/>
      <c r="N161" s="1023"/>
      <c r="O161" s="1023"/>
      <c r="P161" s="1023"/>
      <c r="Q161" s="1023"/>
      <c r="R161" s="1481"/>
      <c r="S161" s="1023"/>
      <c r="T161" s="1023"/>
      <c r="U161" s="441"/>
      <c r="V161" s="1023"/>
      <c r="W161" s="1023"/>
      <c r="X161" s="1023"/>
      <c r="Y161" s="1023"/>
      <c r="Z161" s="1023"/>
      <c r="AA161" s="1477"/>
      <c r="AB161" s="463"/>
      <c r="AC161" s="463"/>
      <c r="AD161" s="463"/>
      <c r="AE161" s="463"/>
    </row>
    <row r="162" spans="1:31" s="1838" customFormat="1" ht="11.25" customHeight="1">
      <c r="A162" s="858"/>
      <c r="B162" s="1481"/>
      <c r="C162" s="1481"/>
      <c r="D162" s="260"/>
      <c r="K162" s="1023"/>
      <c r="L162" s="1481"/>
      <c r="M162" s="1481"/>
      <c r="N162" s="1023"/>
      <c r="O162" s="1023"/>
      <c r="P162" s="1023"/>
      <c r="Q162" s="1023"/>
      <c r="R162" s="1481"/>
      <c r="S162" s="1023"/>
      <c r="T162" s="1023"/>
      <c r="U162" s="441"/>
      <c r="V162" s="1023"/>
      <c r="W162" s="1023"/>
      <c r="X162" s="1023"/>
      <c r="Y162" s="1023"/>
      <c r="Z162" s="1023"/>
      <c r="AA162" s="1477"/>
      <c r="AB162" s="463"/>
      <c r="AC162" s="463"/>
      <c r="AD162" s="463"/>
      <c r="AE162" s="463"/>
    </row>
    <row r="163" spans="1:31" s="1838" customFormat="1" ht="11.25" customHeight="1">
      <c r="A163" s="858"/>
      <c r="B163" s="1481"/>
      <c r="C163" s="1481"/>
      <c r="D163" s="260"/>
      <c r="K163" s="1023"/>
      <c r="L163" s="1481"/>
      <c r="M163" s="1481"/>
      <c r="N163" s="1023"/>
      <c r="O163" s="1023"/>
      <c r="P163" s="1023"/>
      <c r="Q163" s="1023"/>
      <c r="R163" s="1481"/>
      <c r="S163" s="1023"/>
      <c r="T163" s="1023"/>
      <c r="U163" s="441"/>
      <c r="V163" s="1023"/>
      <c r="W163" s="1023"/>
      <c r="X163" s="1023"/>
      <c r="Y163" s="1023"/>
      <c r="Z163" s="1023"/>
      <c r="AA163" s="1477"/>
      <c r="AB163" s="463"/>
      <c r="AC163" s="463"/>
      <c r="AD163" s="463"/>
      <c r="AE163" s="463"/>
    </row>
    <row r="164" spans="1:31" s="1838" customFormat="1" ht="11.25" customHeight="1">
      <c r="A164" s="858"/>
      <c r="B164" s="1481"/>
      <c r="C164" s="1481"/>
      <c r="D164" s="260"/>
      <c r="K164" s="1023"/>
      <c r="L164" s="1481"/>
      <c r="M164" s="1481"/>
      <c r="N164" s="1023"/>
      <c r="O164" s="1023"/>
      <c r="P164" s="1023"/>
      <c r="Q164" s="1023"/>
      <c r="R164" s="1481"/>
      <c r="S164" s="1023"/>
      <c r="T164" s="1023"/>
      <c r="U164" s="441"/>
      <c r="V164" s="1023"/>
      <c r="W164" s="1023"/>
      <c r="X164" s="1023"/>
      <c r="Y164" s="1023"/>
      <c r="Z164" s="1023"/>
      <c r="AA164" s="1477"/>
      <c r="AB164" s="463"/>
      <c r="AC164" s="463"/>
      <c r="AD164" s="463"/>
      <c r="AE164" s="463"/>
    </row>
    <row r="165" spans="1:31" s="1838" customFormat="1" ht="11.25" customHeight="1">
      <c r="A165" s="858"/>
      <c r="B165" s="1481"/>
      <c r="C165" s="1481"/>
      <c r="D165" s="260"/>
      <c r="K165" s="1023"/>
      <c r="L165" s="1481"/>
      <c r="M165" s="1481"/>
      <c r="N165" s="1023"/>
      <c r="O165" s="1023"/>
      <c r="P165" s="1023"/>
      <c r="Q165" s="1023"/>
      <c r="R165" s="1481"/>
      <c r="S165" s="1023"/>
      <c r="T165" s="1023"/>
      <c r="U165" s="441"/>
      <c r="V165" s="1023"/>
      <c r="W165" s="1023"/>
      <c r="X165" s="1023"/>
      <c r="Y165" s="1023"/>
      <c r="Z165" s="1023"/>
      <c r="AA165" s="1477"/>
      <c r="AB165" s="463"/>
      <c r="AC165" s="463"/>
      <c r="AD165" s="463"/>
      <c r="AE165" s="463"/>
    </row>
    <row r="166" spans="1:31" s="1838" customFormat="1" ht="11.25" customHeight="1">
      <c r="A166" s="858"/>
      <c r="B166" s="1481"/>
      <c r="C166" s="1481"/>
      <c r="D166" s="260"/>
      <c r="K166" s="1023"/>
      <c r="L166" s="1481"/>
      <c r="M166" s="1481"/>
      <c r="N166" s="1023"/>
      <c r="O166" s="1023"/>
      <c r="P166" s="1023"/>
      <c r="Q166" s="1023"/>
      <c r="R166" s="1481"/>
      <c r="S166" s="1023"/>
      <c r="T166" s="1023"/>
      <c r="U166" s="441"/>
      <c r="V166" s="1023"/>
      <c r="W166" s="1023"/>
      <c r="X166" s="1023"/>
      <c r="Y166" s="1023"/>
      <c r="Z166" s="1023"/>
      <c r="AA166" s="1477"/>
      <c r="AB166" s="463"/>
      <c r="AC166" s="463"/>
      <c r="AD166" s="463"/>
      <c r="AE166" s="463"/>
    </row>
    <row r="167" spans="1:31" s="1838" customFormat="1" ht="11.25" customHeight="1">
      <c r="A167" s="858"/>
      <c r="B167" s="1481"/>
      <c r="C167" s="1481"/>
      <c r="D167" s="260"/>
      <c r="K167" s="1023"/>
      <c r="L167" s="1481"/>
      <c r="M167" s="1481"/>
      <c r="N167" s="1023"/>
      <c r="O167" s="1023"/>
      <c r="P167" s="1023"/>
      <c r="Q167" s="1023"/>
      <c r="R167" s="1481"/>
      <c r="S167" s="1023"/>
      <c r="T167" s="1023"/>
      <c r="U167" s="441"/>
      <c r="V167" s="1023"/>
      <c r="W167" s="1023"/>
      <c r="X167" s="1023"/>
      <c r="Y167" s="1023"/>
      <c r="Z167" s="1023"/>
      <c r="AA167" s="1477"/>
      <c r="AB167" s="463"/>
      <c r="AC167" s="463"/>
      <c r="AD167" s="463"/>
      <c r="AE167" s="463"/>
    </row>
    <row r="168" spans="1:31" s="1838" customFormat="1" ht="11.25" customHeight="1">
      <c r="A168" s="858"/>
      <c r="B168" s="1481"/>
      <c r="C168" s="1481"/>
      <c r="D168" s="260"/>
      <c r="K168" s="1023"/>
      <c r="L168" s="1481"/>
      <c r="M168" s="1481"/>
      <c r="N168" s="1023"/>
      <c r="O168" s="1023"/>
      <c r="P168" s="1023"/>
      <c r="Q168" s="1023"/>
      <c r="R168" s="1481"/>
      <c r="S168" s="1023"/>
      <c r="T168" s="1023"/>
      <c r="U168" s="441"/>
      <c r="V168" s="1023"/>
      <c r="W168" s="1023"/>
      <c r="X168" s="1023"/>
      <c r="Y168" s="1023"/>
      <c r="Z168" s="1023"/>
      <c r="AA168" s="1477"/>
      <c r="AB168" s="463"/>
      <c r="AC168" s="463"/>
      <c r="AD168" s="463"/>
      <c r="AE168" s="463"/>
    </row>
    <row r="169" spans="1:31" s="1838" customFormat="1" ht="11.25" customHeight="1">
      <c r="A169" s="858"/>
      <c r="B169" s="1481"/>
      <c r="C169" s="1481"/>
      <c r="D169" s="260"/>
      <c r="K169" s="1023"/>
      <c r="L169" s="1481"/>
      <c r="M169" s="1481"/>
      <c r="N169" s="1023"/>
      <c r="O169" s="1023"/>
      <c r="P169" s="1023"/>
      <c r="Q169" s="1023"/>
      <c r="R169" s="1481"/>
      <c r="S169" s="1023"/>
      <c r="T169" s="1023"/>
      <c r="U169" s="441"/>
      <c r="V169" s="1023"/>
      <c r="W169" s="1023"/>
      <c r="X169" s="1023"/>
      <c r="Y169" s="1023"/>
      <c r="Z169" s="1023"/>
      <c r="AA169" s="1477"/>
      <c r="AB169" s="463"/>
      <c r="AC169" s="463"/>
      <c r="AD169" s="463"/>
      <c r="AE169" s="463"/>
    </row>
    <row r="170" spans="1:31" s="1838" customFormat="1" ht="11.25" customHeight="1">
      <c r="A170" s="858"/>
      <c r="B170" s="1481"/>
      <c r="C170" s="1481"/>
      <c r="D170" s="260"/>
      <c r="K170" s="1023"/>
      <c r="L170" s="1481"/>
      <c r="M170" s="1481"/>
      <c r="N170" s="1023"/>
      <c r="O170" s="1023"/>
      <c r="P170" s="1023"/>
      <c r="Q170" s="1023"/>
      <c r="R170" s="1481"/>
      <c r="S170" s="1023"/>
      <c r="T170" s="1023"/>
      <c r="U170" s="441"/>
      <c r="V170" s="1023"/>
      <c r="W170" s="1023"/>
      <c r="X170" s="1023"/>
      <c r="Y170" s="1023"/>
      <c r="Z170" s="1023"/>
      <c r="AA170" s="1477"/>
      <c r="AB170" s="463"/>
      <c r="AC170" s="463"/>
      <c r="AD170" s="463"/>
      <c r="AE170" s="463"/>
    </row>
    <row r="171" spans="1:31" s="1838" customFormat="1" ht="11.25" customHeight="1">
      <c r="A171" s="858"/>
      <c r="B171" s="1481"/>
      <c r="C171" s="1481"/>
      <c r="D171" s="260"/>
      <c r="K171" s="1023"/>
      <c r="L171" s="1481"/>
      <c r="M171" s="1481"/>
      <c r="N171" s="1023"/>
      <c r="O171" s="1023"/>
      <c r="P171" s="1023"/>
      <c r="Q171" s="1023"/>
      <c r="R171" s="1481"/>
      <c r="S171" s="1023"/>
      <c r="T171" s="1023"/>
      <c r="U171" s="441"/>
      <c r="V171" s="1023"/>
      <c r="W171" s="1023"/>
      <c r="X171" s="1023"/>
      <c r="Y171" s="1023"/>
      <c r="Z171" s="1023"/>
      <c r="AA171" s="1477"/>
      <c r="AB171" s="463"/>
      <c r="AC171" s="463"/>
      <c r="AD171" s="463"/>
      <c r="AE171" s="463"/>
    </row>
    <row r="172" spans="1:31" s="1838" customFormat="1" ht="11.25" customHeight="1">
      <c r="A172" s="858"/>
      <c r="B172" s="1481"/>
      <c r="C172" s="1481"/>
      <c r="D172" s="260"/>
      <c r="K172" s="1023"/>
      <c r="L172" s="1481"/>
      <c r="M172" s="1481"/>
      <c r="N172" s="1023"/>
      <c r="O172" s="1023"/>
      <c r="P172" s="1023"/>
      <c r="Q172" s="1023"/>
      <c r="R172" s="1481"/>
      <c r="S172" s="1023"/>
      <c r="T172" s="1023"/>
      <c r="U172" s="441"/>
      <c r="V172" s="1023"/>
      <c r="W172" s="1023"/>
      <c r="X172" s="1023"/>
      <c r="Y172" s="1023"/>
      <c r="Z172" s="1023"/>
      <c r="AA172" s="1477"/>
      <c r="AB172" s="463"/>
      <c r="AC172" s="463"/>
      <c r="AD172" s="463"/>
      <c r="AE172" s="463"/>
    </row>
    <row r="173" spans="1:31" s="1838" customFormat="1" ht="11.25" customHeight="1">
      <c r="A173" s="858"/>
      <c r="B173" s="1481"/>
      <c r="C173" s="1481"/>
      <c r="D173" s="260"/>
      <c r="K173" s="1023"/>
      <c r="L173" s="1481"/>
      <c r="M173" s="1481"/>
      <c r="N173" s="1023"/>
      <c r="O173" s="1023"/>
      <c r="P173" s="1023"/>
      <c r="Q173" s="1023"/>
      <c r="R173" s="1481"/>
      <c r="S173" s="1023"/>
      <c r="T173" s="1023"/>
      <c r="U173" s="441"/>
      <c r="V173" s="1023"/>
      <c r="W173" s="1023"/>
      <c r="X173" s="1023"/>
      <c r="Y173" s="1023"/>
      <c r="Z173" s="1023"/>
      <c r="AA173" s="1477"/>
      <c r="AB173" s="463"/>
      <c r="AC173" s="463"/>
      <c r="AD173" s="463"/>
      <c r="AE173" s="463"/>
    </row>
    <row r="174" spans="1:31" s="1838" customFormat="1" ht="11.25" customHeight="1">
      <c r="A174" s="858"/>
      <c r="B174" s="1481"/>
      <c r="C174" s="1481"/>
      <c r="D174" s="260"/>
      <c r="K174" s="1023"/>
      <c r="L174" s="1481"/>
      <c r="M174" s="1481"/>
      <c r="N174" s="1023"/>
      <c r="O174" s="1023"/>
      <c r="P174" s="1023"/>
      <c r="Q174" s="1023"/>
      <c r="R174" s="1481"/>
      <c r="S174" s="1023"/>
      <c r="T174" s="1023"/>
      <c r="U174" s="441"/>
      <c r="V174" s="1023"/>
      <c r="W174" s="1023"/>
      <c r="X174" s="1023"/>
      <c r="Y174" s="1023"/>
      <c r="Z174" s="1023"/>
      <c r="AA174" s="1477"/>
      <c r="AB174" s="463"/>
      <c r="AC174" s="463"/>
      <c r="AD174" s="463"/>
      <c r="AE174" s="463"/>
    </row>
    <row r="175" spans="1:31" s="1838" customFormat="1" ht="11.25" customHeight="1">
      <c r="A175" s="858"/>
      <c r="B175" s="1481"/>
      <c r="C175" s="1481"/>
      <c r="D175" s="260"/>
      <c r="K175" s="1023"/>
      <c r="L175" s="1481"/>
      <c r="M175" s="1481"/>
      <c r="N175" s="1023"/>
      <c r="O175" s="1023"/>
      <c r="P175" s="1023"/>
      <c r="Q175" s="1023"/>
      <c r="R175" s="1481"/>
      <c r="S175" s="1023"/>
      <c r="T175" s="1023"/>
      <c r="U175" s="441"/>
      <c r="V175" s="1023"/>
      <c r="W175" s="1023"/>
      <c r="X175" s="1023"/>
      <c r="Y175" s="1023"/>
      <c r="Z175" s="1023"/>
      <c r="AA175" s="1477"/>
      <c r="AB175" s="463"/>
      <c r="AC175" s="463"/>
      <c r="AD175" s="463"/>
      <c r="AE175" s="463"/>
    </row>
    <row r="176" spans="1:31" s="1838" customFormat="1" ht="11.25" customHeight="1">
      <c r="A176" s="858"/>
      <c r="B176" s="1481"/>
      <c r="C176" s="1481"/>
      <c r="D176" s="260"/>
      <c r="K176" s="1023"/>
      <c r="L176" s="1481"/>
      <c r="M176" s="1481"/>
      <c r="N176" s="1023"/>
      <c r="O176" s="1023"/>
      <c r="P176" s="1023"/>
      <c r="Q176" s="1023"/>
      <c r="R176" s="1481"/>
      <c r="S176" s="1023"/>
      <c r="T176" s="1023"/>
      <c r="U176" s="441"/>
      <c r="V176" s="1023"/>
      <c r="W176" s="1023"/>
      <c r="X176" s="1023"/>
      <c r="Y176" s="1023"/>
      <c r="Z176" s="1023"/>
      <c r="AA176" s="1477"/>
      <c r="AB176" s="463"/>
      <c r="AC176" s="463"/>
      <c r="AD176" s="463"/>
      <c r="AE176" s="463"/>
    </row>
    <row r="177" spans="1:31" s="1838" customFormat="1" ht="11.25" customHeight="1">
      <c r="A177" s="858"/>
      <c r="B177" s="1481"/>
      <c r="C177" s="1481"/>
      <c r="D177" s="260"/>
      <c r="K177" s="1023"/>
      <c r="L177" s="1481"/>
      <c r="M177" s="1481"/>
      <c r="N177" s="1023"/>
      <c r="O177" s="1023"/>
      <c r="P177" s="1023"/>
      <c r="Q177" s="1023"/>
      <c r="R177" s="1481"/>
      <c r="S177" s="1023"/>
      <c r="T177" s="1023"/>
      <c r="U177" s="441"/>
      <c r="V177" s="1023"/>
      <c r="W177" s="1023"/>
      <c r="X177" s="1023"/>
      <c r="Y177" s="1023"/>
      <c r="Z177" s="1023"/>
      <c r="AA177" s="1477"/>
      <c r="AB177" s="463"/>
      <c r="AC177" s="463"/>
      <c r="AD177" s="463"/>
      <c r="AE177" s="463"/>
    </row>
    <row r="178" spans="1:31" s="1838" customFormat="1" ht="11.25" customHeight="1">
      <c r="A178" s="858"/>
      <c r="B178" s="1481"/>
      <c r="C178" s="1481"/>
      <c r="D178" s="260"/>
      <c r="K178" s="1023"/>
      <c r="L178" s="1481"/>
      <c r="M178" s="1481"/>
      <c r="N178" s="1023"/>
      <c r="O178" s="1023"/>
      <c r="P178" s="1023"/>
      <c r="Q178" s="1023"/>
      <c r="R178" s="1481"/>
      <c r="S178" s="1023"/>
      <c r="T178" s="1023"/>
      <c r="U178" s="441"/>
      <c r="V178" s="1023"/>
      <c r="W178" s="1023"/>
      <c r="X178" s="1023"/>
      <c r="Y178" s="1023"/>
      <c r="Z178" s="1023"/>
      <c r="AA178" s="1477"/>
      <c r="AB178" s="463"/>
      <c r="AC178" s="463"/>
      <c r="AD178" s="463"/>
      <c r="AE178" s="463"/>
    </row>
    <row r="179" spans="1:31" s="1838" customFormat="1" ht="11.25" customHeight="1">
      <c r="A179" s="858"/>
      <c r="B179" s="1481"/>
      <c r="C179" s="1481"/>
      <c r="D179" s="260"/>
      <c r="K179" s="1023"/>
      <c r="L179" s="1481"/>
      <c r="M179" s="1481"/>
      <c r="N179" s="1023"/>
      <c r="O179" s="1023"/>
      <c r="P179" s="1023"/>
      <c r="Q179" s="1023"/>
      <c r="R179" s="1481"/>
      <c r="S179" s="1023"/>
      <c r="T179" s="1023"/>
      <c r="U179" s="441"/>
      <c r="V179" s="1023"/>
      <c r="W179" s="1023"/>
      <c r="X179" s="1023"/>
      <c r="Y179" s="1023"/>
      <c r="Z179" s="1023"/>
      <c r="AA179" s="1477"/>
      <c r="AB179" s="463"/>
      <c r="AC179" s="463"/>
      <c r="AD179" s="463"/>
      <c r="AE179" s="463"/>
    </row>
    <row r="180" spans="1:31" s="1838" customFormat="1" ht="11.25" customHeight="1">
      <c r="A180" s="858"/>
      <c r="B180" s="1481"/>
      <c r="C180" s="1481"/>
      <c r="D180" s="260"/>
      <c r="K180" s="1023"/>
      <c r="L180" s="1481"/>
      <c r="M180" s="1481"/>
      <c r="N180" s="1023"/>
      <c r="O180" s="1023"/>
      <c r="P180" s="1023"/>
      <c r="Q180" s="1023"/>
      <c r="R180" s="1481"/>
      <c r="S180" s="1023"/>
      <c r="T180" s="1023"/>
      <c r="U180" s="441"/>
      <c r="V180" s="1023"/>
      <c r="W180" s="1023"/>
      <c r="X180" s="1023"/>
      <c r="Y180" s="1023"/>
      <c r="Z180" s="1023"/>
      <c r="AA180" s="1477"/>
      <c r="AB180" s="463"/>
      <c r="AC180" s="463"/>
      <c r="AD180" s="463"/>
      <c r="AE180" s="463"/>
    </row>
    <row r="181" spans="1:31" s="1838" customFormat="1" ht="11.25" customHeight="1">
      <c r="A181" s="858"/>
      <c r="B181" s="1481"/>
      <c r="C181" s="1481"/>
      <c r="D181" s="260"/>
      <c r="K181" s="1023"/>
      <c r="L181" s="1481"/>
      <c r="M181" s="1481"/>
      <c r="N181" s="1023"/>
      <c r="O181" s="1023"/>
      <c r="P181" s="1023"/>
      <c r="Q181" s="1023"/>
      <c r="R181" s="1481"/>
      <c r="S181" s="1023"/>
      <c r="T181" s="1023"/>
      <c r="U181" s="441"/>
      <c r="V181" s="1023"/>
      <c r="W181" s="1023"/>
      <c r="X181" s="1023"/>
      <c r="Y181" s="1023"/>
      <c r="Z181" s="1023"/>
      <c r="AA181" s="1477"/>
      <c r="AB181" s="463"/>
      <c r="AC181" s="463"/>
      <c r="AD181" s="463"/>
      <c r="AE181" s="463"/>
    </row>
    <row r="182" spans="1:31" s="1838" customFormat="1" ht="11.25" customHeight="1">
      <c r="A182" s="858"/>
      <c r="B182" s="1481"/>
      <c r="C182" s="1481"/>
      <c r="D182" s="260"/>
      <c r="K182" s="1023"/>
      <c r="L182" s="1481"/>
      <c r="M182" s="1481"/>
      <c r="N182" s="1023"/>
      <c r="O182" s="1023"/>
      <c r="P182" s="1023"/>
      <c r="Q182" s="1023"/>
      <c r="R182" s="1481"/>
      <c r="S182" s="1023"/>
      <c r="T182" s="1023"/>
      <c r="U182" s="441"/>
      <c r="V182" s="1023"/>
      <c r="W182" s="1023"/>
      <c r="X182" s="1023"/>
      <c r="Y182" s="1023"/>
      <c r="Z182" s="1023"/>
      <c r="AA182" s="1477"/>
      <c r="AB182" s="463"/>
      <c r="AC182" s="463"/>
      <c r="AD182" s="463"/>
      <c r="AE182" s="463"/>
    </row>
    <row r="183" spans="1:31" s="1838" customFormat="1" ht="11.25" customHeight="1">
      <c r="A183" s="858"/>
      <c r="B183" s="1481"/>
      <c r="C183" s="1481"/>
      <c r="D183" s="260"/>
      <c r="K183" s="1023"/>
      <c r="L183" s="1481"/>
      <c r="M183" s="1481"/>
      <c r="N183" s="1023"/>
      <c r="O183" s="1023"/>
      <c r="P183" s="1023"/>
      <c r="Q183" s="1023"/>
      <c r="R183" s="1481"/>
      <c r="S183" s="1023"/>
      <c r="T183" s="1023"/>
      <c r="U183" s="441"/>
      <c r="V183" s="1023"/>
      <c r="W183" s="1023"/>
      <c r="X183" s="1023"/>
      <c r="Y183" s="1023"/>
      <c r="Z183" s="1023"/>
      <c r="AA183" s="1477"/>
      <c r="AB183" s="463"/>
      <c r="AC183" s="463"/>
      <c r="AD183" s="463"/>
      <c r="AE183" s="463"/>
    </row>
    <row r="184" spans="1:31" s="1838" customFormat="1" ht="11.25" customHeight="1">
      <c r="A184" s="858"/>
      <c r="B184" s="1481"/>
      <c r="C184" s="1481"/>
      <c r="D184" s="260"/>
      <c r="K184" s="1023"/>
      <c r="L184" s="1481"/>
      <c r="M184" s="1481"/>
      <c r="N184" s="1023"/>
      <c r="O184" s="1023"/>
      <c r="P184" s="1023"/>
      <c r="Q184" s="1023"/>
      <c r="R184" s="1481"/>
      <c r="S184" s="1023"/>
      <c r="T184" s="1023"/>
      <c r="U184" s="441"/>
      <c r="V184" s="1023"/>
      <c r="W184" s="1023"/>
      <c r="X184" s="1023"/>
      <c r="Y184" s="1023"/>
      <c r="Z184" s="1023"/>
      <c r="AA184" s="1477"/>
      <c r="AB184" s="463"/>
      <c r="AC184" s="463"/>
      <c r="AD184" s="463"/>
      <c r="AE184" s="463"/>
    </row>
    <row r="185" spans="1:31" s="1838" customFormat="1" ht="11.25" customHeight="1">
      <c r="A185" s="858"/>
      <c r="B185" s="1481"/>
      <c r="C185" s="1481"/>
      <c r="D185" s="260"/>
      <c r="K185" s="1023"/>
      <c r="L185" s="1481"/>
      <c r="M185" s="1481"/>
      <c r="N185" s="1023"/>
      <c r="O185" s="1023"/>
      <c r="P185" s="1023"/>
      <c r="Q185" s="1023"/>
      <c r="R185" s="1481"/>
      <c r="S185" s="1023"/>
      <c r="T185" s="1023"/>
      <c r="U185" s="441"/>
      <c r="V185" s="1023"/>
      <c r="W185" s="1023"/>
      <c r="X185" s="1023"/>
      <c r="Y185" s="1023"/>
      <c r="Z185" s="1023"/>
      <c r="AA185" s="1477"/>
      <c r="AB185" s="463"/>
      <c r="AC185" s="463"/>
      <c r="AD185" s="463"/>
      <c r="AE185" s="463"/>
    </row>
    <row r="186" spans="1:31" s="1838" customFormat="1" ht="11.25" customHeight="1">
      <c r="A186" s="858"/>
      <c r="B186" s="1481"/>
      <c r="C186" s="1481"/>
      <c r="D186" s="260"/>
      <c r="K186" s="1023"/>
      <c r="L186" s="1481"/>
      <c r="M186" s="1481"/>
      <c r="N186" s="1023"/>
      <c r="O186" s="1023"/>
      <c r="P186" s="1023"/>
      <c r="Q186" s="1023"/>
      <c r="R186" s="1481"/>
      <c r="S186" s="1023"/>
      <c r="T186" s="1023"/>
      <c r="U186" s="441"/>
      <c r="V186" s="1023"/>
      <c r="W186" s="1023"/>
      <c r="X186" s="1023"/>
      <c r="Y186" s="1023"/>
      <c r="Z186" s="1023"/>
      <c r="AA186" s="1477"/>
      <c r="AB186" s="463"/>
      <c r="AC186" s="463"/>
      <c r="AD186" s="463"/>
      <c r="AE186" s="463"/>
    </row>
    <row r="187" spans="1:31" s="1838" customFormat="1" ht="11.25" customHeight="1">
      <c r="A187" s="858"/>
      <c r="B187" s="1481"/>
      <c r="C187" s="1481"/>
      <c r="D187" s="260"/>
      <c r="K187" s="1023"/>
      <c r="L187" s="1481"/>
      <c r="M187" s="1481"/>
      <c r="N187" s="1023"/>
      <c r="O187" s="1023"/>
      <c r="P187" s="1023"/>
      <c r="Q187" s="1023"/>
      <c r="R187" s="1481"/>
      <c r="S187" s="1023"/>
      <c r="T187" s="1023"/>
      <c r="U187" s="441"/>
      <c r="V187" s="1023"/>
      <c r="W187" s="1023"/>
      <c r="X187" s="1023"/>
      <c r="Y187" s="1023"/>
      <c r="Z187" s="1023"/>
      <c r="AA187" s="1477"/>
      <c r="AB187" s="463"/>
      <c r="AC187" s="463"/>
      <c r="AD187" s="463"/>
      <c r="AE187" s="463"/>
    </row>
    <row r="188" spans="1:31" s="1838" customFormat="1" ht="11.25" customHeight="1">
      <c r="A188" s="858"/>
      <c r="B188" s="1481"/>
      <c r="C188" s="1481"/>
      <c r="D188" s="260"/>
      <c r="K188" s="1023"/>
      <c r="L188" s="1481"/>
      <c r="M188" s="1481"/>
      <c r="N188" s="1023"/>
      <c r="O188" s="1023"/>
      <c r="P188" s="1023"/>
      <c r="Q188" s="1023"/>
      <c r="R188" s="1481"/>
      <c r="S188" s="1023"/>
      <c r="T188" s="1023"/>
      <c r="U188" s="441"/>
      <c r="V188" s="1023"/>
      <c r="W188" s="1023"/>
      <c r="X188" s="1023"/>
      <c r="Y188" s="1023"/>
      <c r="Z188" s="1023"/>
      <c r="AA188" s="1477"/>
      <c r="AB188" s="463"/>
      <c r="AC188" s="463"/>
      <c r="AD188" s="463"/>
      <c r="AE188" s="463"/>
    </row>
    <row r="189" spans="1:31" s="1838" customFormat="1" ht="11.25" customHeight="1">
      <c r="A189" s="858"/>
      <c r="B189" s="1481"/>
      <c r="C189" s="1481"/>
      <c r="D189" s="260"/>
      <c r="K189" s="1023"/>
      <c r="L189" s="1481"/>
      <c r="M189" s="1481"/>
      <c r="N189" s="1023"/>
      <c r="O189" s="1023"/>
      <c r="P189" s="1023"/>
      <c r="Q189" s="1023"/>
      <c r="R189" s="1481"/>
      <c r="S189" s="1023"/>
      <c r="T189" s="1023"/>
      <c r="U189" s="441"/>
      <c r="V189" s="1023"/>
      <c r="W189" s="1023"/>
      <c r="X189" s="1023"/>
      <c r="Y189" s="1023"/>
      <c r="Z189" s="1023"/>
      <c r="AA189" s="1477"/>
      <c r="AB189" s="463"/>
      <c r="AC189" s="463"/>
      <c r="AD189" s="463"/>
      <c r="AE189" s="463"/>
    </row>
    <row r="190" spans="1:31" s="1838" customFormat="1" ht="11.25" customHeight="1">
      <c r="A190" s="858"/>
      <c r="B190" s="1481"/>
      <c r="C190" s="1481"/>
      <c r="D190" s="260"/>
      <c r="K190" s="1023"/>
      <c r="L190" s="1481"/>
      <c r="M190" s="1481"/>
      <c r="N190" s="1023"/>
      <c r="O190" s="1023"/>
      <c r="P190" s="1023"/>
      <c r="Q190" s="1023"/>
      <c r="R190" s="1481"/>
      <c r="S190" s="1023"/>
      <c r="T190" s="1023"/>
      <c r="U190" s="441"/>
      <c r="V190" s="1023"/>
      <c r="W190" s="1023"/>
      <c r="X190" s="1023"/>
      <c r="Y190" s="1023"/>
      <c r="Z190" s="1023"/>
      <c r="AA190" s="1477"/>
      <c r="AB190" s="463"/>
      <c r="AC190" s="463"/>
      <c r="AD190" s="463"/>
      <c r="AE190" s="463"/>
    </row>
    <row r="191" spans="1:31" s="1838" customFormat="1" ht="11.25" customHeight="1">
      <c r="A191" s="858"/>
      <c r="B191" s="1481"/>
      <c r="C191" s="1481"/>
      <c r="D191" s="260"/>
      <c r="K191" s="1023"/>
      <c r="L191" s="1481"/>
      <c r="M191" s="1481"/>
      <c r="N191" s="1023"/>
      <c r="O191" s="1023"/>
      <c r="P191" s="1023"/>
      <c r="Q191" s="1023"/>
      <c r="R191" s="1481"/>
      <c r="S191" s="1023"/>
      <c r="T191" s="1023"/>
      <c r="U191" s="441"/>
      <c r="V191" s="1023"/>
      <c r="W191" s="1023"/>
      <c r="X191" s="1023"/>
      <c r="Y191" s="1023"/>
      <c r="Z191" s="1023"/>
      <c r="AA191" s="1477"/>
      <c r="AB191" s="463"/>
      <c r="AC191" s="463"/>
      <c r="AD191" s="463"/>
      <c r="AE191" s="463"/>
    </row>
    <row r="192" spans="1:31" s="1838" customFormat="1" ht="11.25" customHeight="1">
      <c r="A192" s="858"/>
      <c r="B192" s="1481"/>
      <c r="C192" s="1481"/>
      <c r="D192" s="260"/>
      <c r="K192" s="1023"/>
      <c r="L192" s="1481"/>
      <c r="M192" s="1481"/>
      <c r="N192" s="1023"/>
      <c r="O192" s="1023"/>
      <c r="P192" s="1023"/>
      <c r="Q192" s="1023"/>
      <c r="R192" s="1481"/>
      <c r="S192" s="1023"/>
      <c r="T192" s="1023"/>
      <c r="U192" s="441"/>
      <c r="V192" s="1023"/>
      <c r="W192" s="1023"/>
      <c r="X192" s="1023"/>
      <c r="Y192" s="1023"/>
      <c r="Z192" s="1023"/>
      <c r="AA192" s="1477"/>
      <c r="AB192" s="463"/>
      <c r="AC192" s="463"/>
      <c r="AD192" s="463"/>
      <c r="AE192" s="463"/>
    </row>
    <row r="193" spans="1:31" s="1838" customFormat="1" ht="11.25" customHeight="1">
      <c r="A193" s="858"/>
      <c r="B193" s="1481"/>
      <c r="C193" s="1481"/>
      <c r="D193" s="260"/>
      <c r="K193" s="1023"/>
      <c r="L193" s="1481"/>
      <c r="M193" s="1481"/>
      <c r="N193" s="1023"/>
      <c r="O193" s="1023"/>
      <c r="P193" s="1023"/>
      <c r="Q193" s="1023"/>
      <c r="R193" s="1481"/>
      <c r="S193" s="1023"/>
      <c r="T193" s="1023"/>
      <c r="U193" s="441"/>
      <c r="V193" s="1023"/>
      <c r="W193" s="1023"/>
      <c r="X193" s="1023"/>
      <c r="Y193" s="1023"/>
      <c r="Z193" s="1023"/>
      <c r="AA193" s="1477"/>
      <c r="AB193" s="463"/>
      <c r="AC193" s="463"/>
      <c r="AD193" s="463"/>
      <c r="AE193" s="463"/>
    </row>
    <row r="194" spans="1:31" s="1838" customFormat="1" ht="11.25" customHeight="1">
      <c r="A194" s="858"/>
      <c r="B194" s="1481"/>
      <c r="C194" s="1481"/>
      <c r="D194" s="260"/>
      <c r="K194" s="1023"/>
      <c r="L194" s="1481"/>
      <c r="M194" s="1481"/>
      <c r="N194" s="1023"/>
      <c r="O194" s="1023"/>
      <c r="P194" s="1023"/>
      <c r="Q194" s="1023"/>
      <c r="R194" s="1481"/>
      <c r="S194" s="1023"/>
      <c r="T194" s="1023"/>
      <c r="U194" s="441"/>
      <c r="V194" s="1023"/>
      <c r="W194" s="1023"/>
      <c r="X194" s="1023"/>
      <c r="Y194" s="1023"/>
      <c r="Z194" s="1023"/>
      <c r="AA194" s="1477"/>
      <c r="AB194" s="463"/>
      <c r="AC194" s="463"/>
      <c r="AD194" s="463"/>
      <c r="AE194" s="463"/>
    </row>
    <row r="195" spans="1:31" s="1838" customFormat="1" ht="11.25" customHeight="1">
      <c r="A195" s="858"/>
      <c r="B195" s="1481"/>
      <c r="C195" s="1481"/>
      <c r="D195" s="260"/>
      <c r="K195" s="1023"/>
      <c r="L195" s="1481"/>
      <c r="M195" s="1481"/>
      <c r="N195" s="1023"/>
      <c r="O195" s="1023"/>
      <c r="P195" s="1023"/>
      <c r="Q195" s="1023"/>
      <c r="R195" s="1481"/>
      <c r="S195" s="1023"/>
      <c r="T195" s="1023"/>
      <c r="U195" s="441"/>
      <c r="V195" s="1023"/>
      <c r="W195" s="1023"/>
      <c r="X195" s="1023"/>
      <c r="Y195" s="1023"/>
      <c r="Z195" s="1023"/>
      <c r="AA195" s="1477"/>
      <c r="AB195" s="463"/>
      <c r="AC195" s="463"/>
      <c r="AD195" s="463"/>
      <c r="AE195" s="463"/>
    </row>
    <row r="199" spans="1:31" ht="11.25" customHeight="1">
      <c r="A199" s="861"/>
      <c r="B199" s="1476"/>
      <c r="D199" s="1476"/>
      <c r="K199" s="1476"/>
      <c r="N199" s="1476"/>
      <c r="O199" s="1476"/>
      <c r="P199" s="1476"/>
      <c r="Q199" s="1476"/>
      <c r="S199" s="1476"/>
      <c r="T199" s="1476"/>
      <c r="U199" s="1476"/>
      <c r="V199" s="1476"/>
      <c r="W199" s="1476"/>
      <c r="X199" s="1476"/>
      <c r="Y199" s="1476"/>
      <c r="Z199" s="1476"/>
      <c r="AA199" s="1476"/>
      <c r="AB199" s="1476"/>
      <c r="AC199" s="1476"/>
      <c r="AD199" s="1476"/>
      <c r="AE199" s="1476"/>
    </row>
    <row r="200" spans="1:31" ht="11.25" customHeight="1">
      <c r="A200" s="861"/>
      <c r="B200" s="1476"/>
      <c r="D200" s="1476"/>
      <c r="K200" s="1476"/>
      <c r="N200" s="1476"/>
      <c r="O200" s="1476"/>
      <c r="P200" s="1476"/>
      <c r="Q200" s="1476"/>
      <c r="S200" s="1476"/>
      <c r="T200" s="1476"/>
      <c r="U200" s="1476"/>
      <c r="V200" s="1476"/>
      <c r="W200" s="1476"/>
      <c r="X200" s="1476"/>
      <c r="Y200" s="1476"/>
      <c r="Z200" s="1476"/>
      <c r="AA200" s="1476"/>
      <c r="AB200" s="1476"/>
      <c r="AC200" s="1476"/>
      <c r="AD200" s="1476"/>
      <c r="AE200" s="1476"/>
    </row>
    <row r="201" spans="1:31" ht="11.25" customHeight="1">
      <c r="A201" s="861"/>
      <c r="B201" s="1476"/>
      <c r="D201" s="1476"/>
      <c r="K201" s="1476"/>
      <c r="N201" s="1476"/>
      <c r="O201" s="1476"/>
      <c r="P201" s="1476"/>
      <c r="Q201" s="1476"/>
      <c r="S201" s="1476"/>
      <c r="T201" s="1476"/>
      <c r="U201" s="1476"/>
      <c r="V201" s="1476"/>
      <c r="W201" s="1476"/>
      <c r="X201" s="1476"/>
      <c r="Y201" s="1476"/>
      <c r="Z201" s="1476"/>
      <c r="AA201" s="1476"/>
      <c r="AB201" s="1476"/>
      <c r="AC201" s="1476"/>
      <c r="AD201" s="1476"/>
      <c r="AE201" s="1476"/>
    </row>
    <row r="202" spans="1:31" ht="11.25" customHeight="1">
      <c r="A202" s="861"/>
      <c r="B202" s="1476"/>
      <c r="D202" s="1476"/>
      <c r="K202" s="1476"/>
      <c r="N202" s="1476"/>
      <c r="O202" s="1476"/>
      <c r="P202" s="1476"/>
      <c r="Q202" s="1476"/>
      <c r="S202" s="1476"/>
      <c r="T202" s="1476"/>
      <c r="U202" s="1476"/>
      <c r="V202" s="1476"/>
      <c r="W202" s="1476"/>
      <c r="X202" s="1476"/>
      <c r="Y202" s="1476"/>
      <c r="Z202" s="1476"/>
      <c r="AA202" s="1476"/>
      <c r="AB202" s="1476"/>
      <c r="AC202" s="1476"/>
      <c r="AD202" s="1476"/>
      <c r="AE202" s="1476"/>
    </row>
    <row r="203" spans="1:31" ht="11.25" customHeight="1">
      <c r="A203" s="861"/>
      <c r="B203" s="1476"/>
      <c r="D203" s="1476"/>
      <c r="K203" s="1476"/>
      <c r="N203" s="1476"/>
      <c r="O203" s="1476"/>
      <c r="P203" s="1476"/>
      <c r="Q203" s="1476"/>
      <c r="S203" s="1476"/>
      <c r="T203" s="1476"/>
      <c r="U203" s="1476"/>
      <c r="V203" s="1476"/>
      <c r="W203" s="1476"/>
      <c r="X203" s="1476"/>
      <c r="Y203" s="1476"/>
      <c r="Z203" s="1476"/>
      <c r="AA203" s="1476"/>
      <c r="AB203" s="1476"/>
      <c r="AC203" s="1476"/>
      <c r="AD203" s="1476"/>
      <c r="AE203" s="1476"/>
    </row>
    <row r="204" spans="1:31" ht="11.25" customHeight="1">
      <c r="A204" s="861"/>
      <c r="B204" s="1476"/>
      <c r="D204" s="1476"/>
      <c r="K204" s="1476"/>
      <c r="N204" s="1476"/>
      <c r="O204" s="1476"/>
      <c r="P204" s="1476"/>
      <c r="Q204" s="1476"/>
      <c r="S204" s="1476"/>
      <c r="T204" s="1476"/>
      <c r="U204" s="1476"/>
      <c r="V204" s="1476"/>
      <c r="W204" s="1476"/>
      <c r="X204" s="1476"/>
      <c r="Y204" s="1476"/>
      <c r="Z204" s="1476"/>
      <c r="AA204" s="1476"/>
      <c r="AB204" s="1476"/>
      <c r="AC204" s="1476"/>
      <c r="AD204" s="1476"/>
      <c r="AE204" s="1476"/>
    </row>
    <row r="205" spans="1:31" ht="11.25" customHeight="1">
      <c r="A205" s="861"/>
      <c r="B205" s="1476"/>
      <c r="D205" s="1476"/>
      <c r="K205" s="1476"/>
      <c r="N205" s="1476"/>
      <c r="O205" s="1476"/>
      <c r="P205" s="1476"/>
      <c r="Q205" s="1476"/>
      <c r="S205" s="1476"/>
      <c r="T205" s="1476"/>
      <c r="U205" s="1476"/>
      <c r="V205" s="1476"/>
      <c r="W205" s="1476"/>
      <c r="X205" s="1476"/>
      <c r="Y205" s="1476"/>
      <c r="Z205" s="1476"/>
      <c r="AA205" s="1476"/>
      <c r="AB205" s="1476"/>
      <c r="AC205" s="1476"/>
      <c r="AD205" s="1476"/>
      <c r="AE205" s="1476"/>
    </row>
    <row r="206" spans="1:31" ht="11.25" customHeight="1">
      <c r="A206" s="861"/>
      <c r="B206" s="1476"/>
      <c r="D206" s="1476"/>
      <c r="K206" s="1476"/>
      <c r="N206" s="1476"/>
      <c r="O206" s="1476"/>
      <c r="P206" s="1476"/>
      <c r="Q206" s="1476"/>
      <c r="S206" s="1476"/>
      <c r="T206" s="1476"/>
      <c r="U206" s="1476"/>
      <c r="V206" s="1476"/>
      <c r="W206" s="1476"/>
      <c r="X206" s="1476"/>
      <c r="Y206" s="1476"/>
      <c r="Z206" s="1476"/>
      <c r="AA206" s="1476"/>
      <c r="AB206" s="1476"/>
      <c r="AC206" s="1476"/>
      <c r="AD206" s="1476"/>
      <c r="AE206" s="1476"/>
    </row>
    <row r="207" spans="1:31" ht="11.25" customHeight="1">
      <c r="A207" s="861"/>
      <c r="B207" s="1476"/>
      <c r="D207" s="1476"/>
      <c r="K207" s="1476"/>
      <c r="N207" s="1476"/>
      <c r="O207" s="1476"/>
      <c r="P207" s="1476"/>
      <c r="Q207" s="1476"/>
      <c r="S207" s="1476"/>
      <c r="T207" s="1476"/>
      <c r="U207" s="1476"/>
      <c r="V207" s="1476"/>
      <c r="W207" s="1476"/>
      <c r="X207" s="1476"/>
      <c r="Y207" s="1476"/>
      <c r="Z207" s="1476"/>
      <c r="AA207" s="1476"/>
      <c r="AB207" s="1476"/>
      <c r="AC207" s="1476"/>
      <c r="AD207" s="1476"/>
      <c r="AE207" s="1476"/>
    </row>
    <row r="208" spans="1:31" ht="11.25" customHeight="1">
      <c r="A208" s="861"/>
      <c r="B208" s="1476"/>
      <c r="D208" s="1476"/>
      <c r="K208" s="1476"/>
      <c r="N208" s="1476"/>
      <c r="O208" s="1476"/>
      <c r="P208" s="1476"/>
      <c r="Q208" s="1476"/>
      <c r="S208" s="1476"/>
      <c r="T208" s="1476"/>
      <c r="U208" s="1476"/>
      <c r="V208" s="1476"/>
      <c r="W208" s="1476"/>
      <c r="X208" s="1476"/>
      <c r="Y208" s="1476"/>
      <c r="Z208" s="1476"/>
      <c r="AA208" s="1476"/>
      <c r="AB208" s="1476"/>
      <c r="AC208" s="1476"/>
      <c r="AD208" s="1476"/>
      <c r="AE208" s="1476"/>
    </row>
    <row r="209" spans="1:31" ht="11.25" customHeight="1">
      <c r="A209" s="861"/>
      <c r="B209" s="1476"/>
      <c r="D209" s="1476"/>
      <c r="K209" s="1476"/>
      <c r="N209" s="1476"/>
      <c r="O209" s="1476"/>
      <c r="P209" s="1476"/>
      <c r="Q209" s="1476"/>
      <c r="S209" s="1476"/>
      <c r="T209" s="1476"/>
      <c r="U209" s="1476"/>
      <c r="V209" s="1476"/>
      <c r="W209" s="1476"/>
      <c r="X209" s="1476"/>
      <c r="Y209" s="1476"/>
      <c r="Z209" s="1476"/>
      <c r="AA209" s="1476"/>
      <c r="AB209" s="1476"/>
      <c r="AC209" s="1476"/>
      <c r="AD209" s="1476"/>
      <c r="AE209" s="1476"/>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3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3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xr:uid="{00000000-0002-0000-2300-000002000000}">
      <formula1>900</formula1>
    </dataValidation>
    <dataValidation type="decimal" allowBlank="1" showErrorMessage="1" errorTitle="Ошибка" error="Допускается ввод только действительных чисел!" sqref="H30:I30" xr:uid="{00000000-0002-0000-23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3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AC879-7816-E455-5237-DB296B07C8D6}">
  <sheetPr>
    <tabColor theme="9" tint="-0.249977111117893"/>
  </sheetPr>
  <dimension ref="A1:GY101"/>
  <sheetViews>
    <sheetView showGridLines="0" topLeftCell="C2" zoomScale="90" workbookViewId="0">
      <selection activeCell="GK1" sqref="GK1:GL1048576"/>
    </sheetView>
  </sheetViews>
  <sheetFormatPr defaultColWidth="10.5703125" defaultRowHeight="11.25" customHeight="1"/>
  <cols>
    <col min="1" max="1" width="9.140625" style="1891" hidden="1" customWidth="1"/>
    <col min="2" max="2" width="3.5703125" style="1866" hidden="1" customWidth="1"/>
    <col min="3" max="3" width="3.7109375" style="1910" customWidth="1"/>
    <col min="4" max="4" width="7.7109375" style="1910" customWidth="1"/>
    <col min="5" max="5" width="69.85546875" style="1910" customWidth="1"/>
    <col min="6" max="6" width="11.140625" style="1910" customWidth="1"/>
    <col min="7" max="8" width="44" style="1910" hidden="1" customWidth="1"/>
    <col min="9" max="194" width="44" style="1910" customWidth="1"/>
    <col min="195" max="195" width="74" style="1910" customWidth="1"/>
    <col min="196" max="196" width="3.7109375" style="1910" customWidth="1"/>
    <col min="197" max="207" width="10.5703125" style="1910"/>
  </cols>
  <sheetData>
    <row r="1" spans="1:196" s="1903" customFormat="1" ht="11.25" hidden="1" customHeight="1">
      <c r="A1" s="433"/>
      <c r="B1" s="409"/>
      <c r="G1" s="324">
        <v>4</v>
      </c>
      <c r="I1" s="324">
        <v>4</v>
      </c>
      <c r="K1" s="1903">
        <v>4</v>
      </c>
      <c r="M1" s="1903">
        <v>4</v>
      </c>
      <c r="O1" s="1903">
        <v>4</v>
      </c>
      <c r="Q1" s="1903">
        <v>4</v>
      </c>
      <c r="S1" s="1903">
        <v>4</v>
      </c>
      <c r="U1" s="1903">
        <v>4</v>
      </c>
      <c r="W1" s="1903">
        <v>4</v>
      </c>
      <c r="Y1" s="1903">
        <v>4</v>
      </c>
      <c r="AA1" s="1903">
        <v>4</v>
      </c>
      <c r="AC1" s="1903">
        <v>4</v>
      </c>
      <c r="AE1" s="1903">
        <v>4</v>
      </c>
      <c r="AG1" s="1903">
        <v>4</v>
      </c>
      <c r="AI1" s="1903">
        <v>4</v>
      </c>
      <c r="AK1" s="1903">
        <v>4</v>
      </c>
      <c r="AM1" s="1903">
        <v>4</v>
      </c>
      <c r="AO1" s="1903">
        <v>4</v>
      </c>
      <c r="AQ1" s="1903">
        <v>4</v>
      </c>
      <c r="AS1" s="1903">
        <v>4</v>
      </c>
      <c r="AU1" s="1903">
        <v>4</v>
      </c>
      <c r="AW1" s="1903">
        <v>4</v>
      </c>
      <c r="AY1" s="1903">
        <v>4</v>
      </c>
      <c r="BA1" s="1903">
        <v>4</v>
      </c>
      <c r="BC1" s="1903">
        <v>4</v>
      </c>
      <c r="BE1" s="1903">
        <v>4</v>
      </c>
      <c r="BG1" s="1903">
        <v>4</v>
      </c>
      <c r="BI1" s="1903">
        <v>4</v>
      </c>
      <c r="BK1" s="1903">
        <v>4</v>
      </c>
      <c r="BM1" s="1903">
        <v>4</v>
      </c>
      <c r="BO1" s="1903">
        <v>4</v>
      </c>
      <c r="BQ1" s="1903">
        <v>4</v>
      </c>
      <c r="BS1" s="1903">
        <v>4</v>
      </c>
      <c r="BU1" s="1903">
        <v>4</v>
      </c>
      <c r="BW1" s="1903">
        <v>4</v>
      </c>
      <c r="BY1" s="1903">
        <v>4</v>
      </c>
      <c r="CA1" s="1903">
        <v>4</v>
      </c>
      <c r="CC1" s="1903">
        <v>4</v>
      </c>
      <c r="CE1" s="1903">
        <v>4</v>
      </c>
      <c r="CG1" s="1903">
        <v>4</v>
      </c>
      <c r="CI1" s="1903">
        <v>4</v>
      </c>
      <c r="CK1" s="1903">
        <v>4</v>
      </c>
      <c r="CM1" s="1903">
        <v>4</v>
      </c>
      <c r="CO1" s="1903">
        <v>4</v>
      </c>
      <c r="CQ1" s="1903">
        <v>4</v>
      </c>
      <c r="CS1" s="1903">
        <v>4</v>
      </c>
      <c r="CU1" s="1903">
        <v>4</v>
      </c>
      <c r="CW1" s="1903">
        <v>4</v>
      </c>
      <c r="CY1" s="1903">
        <v>4</v>
      </c>
      <c r="DA1" s="1903">
        <v>4</v>
      </c>
      <c r="DC1" s="1903">
        <v>4</v>
      </c>
      <c r="DE1" s="1903">
        <v>4</v>
      </c>
      <c r="DG1" s="1903">
        <v>4</v>
      </c>
      <c r="DI1" s="1903">
        <v>4</v>
      </c>
      <c r="DK1" s="1903">
        <v>4</v>
      </c>
      <c r="DM1" s="1903">
        <v>4</v>
      </c>
      <c r="DO1" s="1903">
        <v>4</v>
      </c>
      <c r="DQ1" s="1903">
        <v>4</v>
      </c>
      <c r="DS1" s="1903">
        <v>4</v>
      </c>
      <c r="DU1" s="1903">
        <v>4</v>
      </c>
      <c r="DW1" s="1903">
        <v>4</v>
      </c>
      <c r="DY1" s="1903">
        <v>4</v>
      </c>
      <c r="EA1" s="1903">
        <v>4</v>
      </c>
      <c r="EC1" s="1903">
        <v>4</v>
      </c>
      <c r="EE1" s="1903">
        <v>4</v>
      </c>
      <c r="EG1" s="1903">
        <v>4</v>
      </c>
      <c r="EI1" s="1903">
        <v>4</v>
      </c>
      <c r="EK1" s="1903">
        <v>4</v>
      </c>
      <c r="EM1" s="1903">
        <v>4</v>
      </c>
      <c r="EO1" s="1903">
        <v>4</v>
      </c>
      <c r="EQ1" s="1903">
        <v>4</v>
      </c>
      <c r="ES1" s="1903">
        <v>4</v>
      </c>
      <c r="EU1" s="1903">
        <v>4</v>
      </c>
      <c r="EW1" s="1903">
        <v>4</v>
      </c>
      <c r="EY1" s="1903">
        <v>4</v>
      </c>
      <c r="FA1" s="1903">
        <v>4</v>
      </c>
      <c r="FC1" s="1903">
        <v>4</v>
      </c>
      <c r="FE1" s="1903">
        <v>4</v>
      </c>
      <c r="FG1" s="1903">
        <v>4</v>
      </c>
      <c r="FI1" s="1903">
        <v>4</v>
      </c>
      <c r="FK1" s="1903">
        <v>4</v>
      </c>
      <c r="FM1" s="1903">
        <v>4</v>
      </c>
      <c r="FO1" s="1903">
        <v>4</v>
      </c>
      <c r="FQ1" s="1903">
        <v>4</v>
      </c>
      <c r="FS1" s="1903">
        <v>4</v>
      </c>
      <c r="FU1" s="1903">
        <v>4</v>
      </c>
      <c r="FW1" s="1903">
        <v>4</v>
      </c>
      <c r="FY1" s="1903">
        <v>4</v>
      </c>
      <c r="GA1" s="1903">
        <v>4</v>
      </c>
      <c r="GC1" s="1903">
        <v>4</v>
      </c>
      <c r="GE1" s="1903">
        <v>4</v>
      </c>
      <c r="GG1" s="1903">
        <v>4</v>
      </c>
      <c r="GI1" s="1903">
        <v>4</v>
      </c>
      <c r="GK1" s="1903">
        <v>4</v>
      </c>
      <c r="GM1" s="324">
        <v>5</v>
      </c>
    </row>
    <row r="2" spans="1:196" ht="3" customHeight="1"/>
    <row r="3" spans="1:196" ht="75" customHeight="1">
      <c r="D3" s="339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3395"/>
      <c r="F3" s="3396"/>
    </row>
    <row r="4" spans="1:196" s="1910" customFormat="1" ht="20.25" customHeight="1">
      <c r="A4" s="823"/>
      <c r="B4" s="409"/>
      <c r="D4" s="3503" t="str">
        <f>IF(org=0,"Не определено",org)</f>
        <v>АО "Орелгортеплоэнерго"</v>
      </c>
      <c r="E4" s="3504"/>
      <c r="F4" s="3505"/>
    </row>
    <row r="5" spans="1:196" ht="11.25" customHeight="1">
      <c r="C5" s="407"/>
      <c r="D5" s="483"/>
      <c r="E5" s="483"/>
      <c r="F5" s="483"/>
      <c r="G5" s="483"/>
      <c r="H5" s="640"/>
      <c r="I5" s="483"/>
      <c r="J5" s="640"/>
      <c r="L5" s="1826"/>
      <c r="N5" s="1826"/>
      <c r="P5" s="1826"/>
      <c r="R5" s="1826"/>
      <c r="T5" s="1826"/>
      <c r="V5" s="1826"/>
      <c r="X5" s="1826"/>
      <c r="Z5" s="1826"/>
      <c r="AB5" s="1826"/>
      <c r="AD5" s="1826"/>
      <c r="AF5" s="1826"/>
      <c r="AH5" s="1826"/>
      <c r="AJ5" s="1826"/>
      <c r="AL5" s="1826"/>
      <c r="AN5" s="1826"/>
      <c r="AP5" s="1826"/>
      <c r="AR5" s="1826"/>
      <c r="AT5" s="1826"/>
      <c r="AV5" s="1826"/>
      <c r="AX5" s="1826"/>
      <c r="AZ5" s="1826"/>
      <c r="BB5" s="1826"/>
      <c r="BD5" s="1826"/>
      <c r="BF5" s="1826"/>
      <c r="BH5" s="1826"/>
      <c r="BJ5" s="1826"/>
      <c r="BL5" s="1826"/>
      <c r="BN5" s="1826"/>
      <c r="BP5" s="1826"/>
      <c r="BR5" s="1826"/>
      <c r="BT5" s="1826"/>
      <c r="BV5" s="1826"/>
      <c r="BX5" s="1826"/>
      <c r="BZ5" s="1826"/>
      <c r="CB5" s="1826"/>
      <c r="CD5" s="1826"/>
      <c r="CF5" s="1826"/>
      <c r="CH5" s="1826"/>
      <c r="CJ5" s="1826"/>
      <c r="CL5" s="1826"/>
      <c r="CN5" s="1826"/>
      <c r="CP5" s="1826"/>
      <c r="CR5" s="1826"/>
      <c r="CT5" s="1826"/>
      <c r="CV5" s="1826"/>
      <c r="CX5" s="1826"/>
      <c r="CZ5" s="1826"/>
      <c r="DB5" s="1826"/>
      <c r="DD5" s="1826"/>
      <c r="DF5" s="1826"/>
      <c r="DH5" s="1826"/>
      <c r="DJ5" s="1826"/>
      <c r="DL5" s="1826"/>
      <c r="DN5" s="1826"/>
      <c r="DP5" s="1826"/>
      <c r="DR5" s="1826"/>
      <c r="DT5" s="1826"/>
      <c r="DV5" s="1826"/>
      <c r="DX5" s="1826"/>
      <c r="DZ5" s="1826"/>
      <c r="EB5" s="1826"/>
      <c r="ED5" s="1826"/>
      <c r="EF5" s="1826"/>
      <c r="EH5" s="1826"/>
      <c r="EJ5" s="1826"/>
      <c r="EL5" s="1826"/>
      <c r="EN5" s="1826"/>
      <c r="EP5" s="1826"/>
      <c r="ER5" s="1826"/>
      <c r="ET5" s="1826"/>
      <c r="EV5" s="1826"/>
      <c r="EX5" s="1826"/>
      <c r="EZ5" s="1826"/>
      <c r="FB5" s="1826"/>
      <c r="FD5" s="1826"/>
      <c r="FF5" s="1826"/>
      <c r="FH5" s="1826"/>
      <c r="FJ5" s="1826"/>
      <c r="FL5" s="1826"/>
      <c r="FN5" s="1826"/>
      <c r="FP5" s="1826"/>
      <c r="FR5" s="1826"/>
      <c r="FT5" s="1826"/>
      <c r="FV5" s="1826"/>
      <c r="FX5" s="1826"/>
      <c r="FZ5" s="1826"/>
      <c r="GB5" s="1826"/>
      <c r="GD5" s="1826"/>
      <c r="GF5" s="1826"/>
      <c r="GH5" s="1826"/>
      <c r="GJ5" s="1826"/>
      <c r="GL5" s="1826"/>
      <c r="GM5" s="483"/>
    </row>
    <row r="6" spans="1:196" ht="0.75" customHeight="1">
      <c r="C6" s="407"/>
      <c r="D6" s="407"/>
      <c r="E6" s="420"/>
      <c r="F6" s="507"/>
      <c r="G6" s="892"/>
      <c r="H6" s="892"/>
      <c r="I6" s="892" t="s">
        <v>115</v>
      </c>
      <c r="J6" s="892"/>
      <c r="K6" s="1867" t="s">
        <v>120</v>
      </c>
      <c r="L6" s="1867"/>
      <c r="M6" s="1867" t="s">
        <v>122</v>
      </c>
      <c r="N6" s="1867"/>
      <c r="O6" s="1867" t="s">
        <v>124</v>
      </c>
      <c r="P6" s="1867"/>
      <c r="Q6" s="1867" t="s">
        <v>126</v>
      </c>
      <c r="R6" s="1867"/>
      <c r="S6" s="1867" t="s">
        <v>128</v>
      </c>
      <c r="T6" s="1867"/>
      <c r="U6" s="1867" t="s">
        <v>130</v>
      </c>
      <c r="V6" s="1867"/>
      <c r="W6" s="1867" t="s">
        <v>132</v>
      </c>
      <c r="X6" s="1867"/>
      <c r="Y6" s="1867" t="s">
        <v>135</v>
      </c>
      <c r="Z6" s="1867"/>
      <c r="AA6" s="1867" t="s">
        <v>138</v>
      </c>
      <c r="AB6" s="1867"/>
      <c r="AC6" s="1867" t="s">
        <v>141</v>
      </c>
      <c r="AD6" s="1867"/>
      <c r="AE6" s="1867" t="s">
        <v>144</v>
      </c>
      <c r="AF6" s="1867"/>
      <c r="AG6" s="1867" t="s">
        <v>147</v>
      </c>
      <c r="AH6" s="1867"/>
      <c r="AI6" s="1867" t="s">
        <v>150</v>
      </c>
      <c r="AJ6" s="1867"/>
      <c r="AK6" s="1867" t="s">
        <v>153</v>
      </c>
      <c r="AL6" s="1867"/>
      <c r="AM6" s="1867" t="s">
        <v>156</v>
      </c>
      <c r="AN6" s="1867"/>
      <c r="AO6" s="1867" t="s">
        <v>159</v>
      </c>
      <c r="AP6" s="1867"/>
      <c r="AQ6" s="1867" t="s">
        <v>162</v>
      </c>
      <c r="AR6" s="1867"/>
      <c r="AS6" s="1867" t="s">
        <v>165</v>
      </c>
      <c r="AT6" s="1867"/>
      <c r="AU6" s="1867" t="s">
        <v>168</v>
      </c>
      <c r="AV6" s="1867"/>
      <c r="AW6" s="1867" t="s">
        <v>171</v>
      </c>
      <c r="AX6" s="1867"/>
      <c r="AY6" s="1867" t="s">
        <v>174</v>
      </c>
      <c r="AZ6" s="1867"/>
      <c r="BA6" s="1867" t="s">
        <v>177</v>
      </c>
      <c r="BB6" s="1867"/>
      <c r="BC6" s="1867" t="s">
        <v>180</v>
      </c>
      <c r="BD6" s="1867"/>
      <c r="BE6" s="1867" t="s">
        <v>183</v>
      </c>
      <c r="BF6" s="1867"/>
      <c r="BG6" s="1867" t="s">
        <v>186</v>
      </c>
      <c r="BH6" s="1867"/>
      <c r="BI6" s="1867" t="s">
        <v>189</v>
      </c>
      <c r="BJ6" s="1867"/>
      <c r="BK6" s="1867" t="s">
        <v>192</v>
      </c>
      <c r="BL6" s="1867"/>
      <c r="BM6" s="1867" t="s">
        <v>195</v>
      </c>
      <c r="BN6" s="1867"/>
      <c r="BO6" s="1867" t="s">
        <v>198</v>
      </c>
      <c r="BP6" s="1867"/>
      <c r="BQ6" s="1867" t="s">
        <v>201</v>
      </c>
      <c r="BR6" s="1867"/>
      <c r="BS6" s="1867" t="s">
        <v>204</v>
      </c>
      <c r="BT6" s="1867"/>
      <c r="BU6" s="1867" t="s">
        <v>207</v>
      </c>
      <c r="BV6" s="1867"/>
      <c r="BW6" s="1867" t="s">
        <v>210</v>
      </c>
      <c r="BX6" s="1867"/>
      <c r="BY6" s="1867" t="s">
        <v>213</v>
      </c>
      <c r="BZ6" s="1867"/>
      <c r="CA6" s="1867" t="s">
        <v>216</v>
      </c>
      <c r="CB6" s="1867"/>
      <c r="CC6" s="1867" t="s">
        <v>219</v>
      </c>
      <c r="CD6" s="1867"/>
      <c r="CE6" s="1867" t="s">
        <v>222</v>
      </c>
      <c r="CF6" s="1867"/>
      <c r="CG6" s="1867" t="s">
        <v>224</v>
      </c>
      <c r="CH6" s="1867"/>
      <c r="CI6" s="1867" t="s">
        <v>227</v>
      </c>
      <c r="CJ6" s="1867"/>
      <c r="CK6" s="1867" t="s">
        <v>230</v>
      </c>
      <c r="CL6" s="1867"/>
      <c r="CM6" s="1867" t="s">
        <v>233</v>
      </c>
      <c r="CN6" s="1867"/>
      <c r="CO6" s="1867" t="s">
        <v>236</v>
      </c>
      <c r="CP6" s="1867"/>
      <c r="CQ6" s="1867" t="s">
        <v>239</v>
      </c>
      <c r="CR6" s="1867"/>
      <c r="CS6" s="1867" t="s">
        <v>242</v>
      </c>
      <c r="CT6" s="1867"/>
      <c r="CU6" s="1867" t="s">
        <v>245</v>
      </c>
      <c r="CV6" s="1867"/>
      <c r="CW6" s="1867" t="s">
        <v>248</v>
      </c>
      <c r="CX6" s="1867"/>
      <c r="CY6" s="1867" t="s">
        <v>251</v>
      </c>
      <c r="CZ6" s="1867"/>
      <c r="DA6" s="1867" t="s">
        <v>254</v>
      </c>
      <c r="DB6" s="1867"/>
      <c r="DC6" s="1867" t="s">
        <v>257</v>
      </c>
      <c r="DD6" s="1867"/>
      <c r="DE6" s="1867" t="s">
        <v>260</v>
      </c>
      <c r="DF6" s="1867"/>
      <c r="DG6" s="1867" t="s">
        <v>263</v>
      </c>
      <c r="DH6" s="1867"/>
      <c r="DI6" s="1867" t="s">
        <v>266</v>
      </c>
      <c r="DJ6" s="1867"/>
      <c r="DK6" s="1867" t="s">
        <v>269</v>
      </c>
      <c r="DL6" s="1867"/>
      <c r="DM6" s="1867" t="s">
        <v>272</v>
      </c>
      <c r="DN6" s="1867"/>
      <c r="DO6" s="1867" t="s">
        <v>275</v>
      </c>
      <c r="DP6" s="1867"/>
      <c r="DQ6" s="1867" t="s">
        <v>278</v>
      </c>
      <c r="DR6" s="1867"/>
      <c r="DS6" s="1867" t="s">
        <v>281</v>
      </c>
      <c r="DT6" s="1867"/>
      <c r="DU6" s="1867" t="s">
        <v>284</v>
      </c>
      <c r="DV6" s="1867"/>
      <c r="DW6" s="1867" t="s">
        <v>287</v>
      </c>
      <c r="DX6" s="1867"/>
      <c r="DY6" s="1867" t="s">
        <v>290</v>
      </c>
      <c r="DZ6" s="1867"/>
      <c r="EA6" s="1867" t="s">
        <v>293</v>
      </c>
      <c r="EB6" s="1867"/>
      <c r="EC6" s="1867" t="s">
        <v>296</v>
      </c>
      <c r="ED6" s="1867"/>
      <c r="EE6" s="1867" t="s">
        <v>299</v>
      </c>
      <c r="EF6" s="1867"/>
      <c r="EG6" s="1867" t="s">
        <v>302</v>
      </c>
      <c r="EH6" s="1867"/>
      <c r="EI6" s="1867" t="s">
        <v>305</v>
      </c>
      <c r="EJ6" s="1867"/>
      <c r="EK6" s="1867" t="s">
        <v>308</v>
      </c>
      <c r="EL6" s="1867"/>
      <c r="EM6" s="1867" t="s">
        <v>311</v>
      </c>
      <c r="EN6" s="1867"/>
      <c r="EO6" s="1867" t="s">
        <v>314</v>
      </c>
      <c r="EP6" s="1867"/>
      <c r="EQ6" s="1867" t="s">
        <v>317</v>
      </c>
      <c r="ER6" s="1867"/>
      <c r="ES6" s="1867" t="s">
        <v>320</v>
      </c>
      <c r="ET6" s="1867"/>
      <c r="EU6" s="1867" t="s">
        <v>323</v>
      </c>
      <c r="EV6" s="1867"/>
      <c r="EW6" s="1867" t="s">
        <v>326</v>
      </c>
      <c r="EX6" s="1867"/>
      <c r="EY6" s="1867" t="s">
        <v>329</v>
      </c>
      <c r="EZ6" s="1867"/>
      <c r="FA6" s="1867" t="s">
        <v>332</v>
      </c>
      <c r="FB6" s="1867"/>
      <c r="FC6" s="1867" t="s">
        <v>335</v>
      </c>
      <c r="FD6" s="1867"/>
      <c r="FE6" s="1867" t="s">
        <v>338</v>
      </c>
      <c r="FF6" s="1867"/>
      <c r="FG6" s="1867" t="s">
        <v>341</v>
      </c>
      <c r="FH6" s="1867"/>
      <c r="FI6" s="1867" t="s">
        <v>344</v>
      </c>
      <c r="FJ6" s="1867"/>
      <c r="FK6" s="1867" t="s">
        <v>347</v>
      </c>
      <c r="FL6" s="1867"/>
      <c r="FM6" s="1867" t="s">
        <v>350</v>
      </c>
      <c r="FN6" s="1867"/>
      <c r="FO6" s="1867" t="s">
        <v>353</v>
      </c>
      <c r="FP6" s="1867"/>
      <c r="FQ6" s="1867" t="s">
        <v>356</v>
      </c>
      <c r="FR6" s="1867"/>
      <c r="FS6" s="1867" t="s">
        <v>359</v>
      </c>
      <c r="FT6" s="1867"/>
      <c r="FU6" s="1867" t="s">
        <v>362</v>
      </c>
      <c r="FV6" s="1867"/>
      <c r="FW6" s="1867" t="s">
        <v>365</v>
      </c>
      <c r="FX6" s="1867"/>
      <c r="FY6" s="1867" t="s">
        <v>368</v>
      </c>
      <c r="FZ6" s="1867"/>
      <c r="GA6" s="1867" t="s">
        <v>371</v>
      </c>
      <c r="GB6" s="1867"/>
      <c r="GC6" s="1867" t="s">
        <v>374</v>
      </c>
      <c r="GD6" s="1867"/>
      <c r="GE6" s="1867" t="s">
        <v>377</v>
      </c>
      <c r="GF6" s="1867"/>
      <c r="GG6" s="1867" t="s">
        <v>380</v>
      </c>
      <c r="GH6" s="1867"/>
      <c r="GI6" s="1867" t="s">
        <v>383</v>
      </c>
      <c r="GJ6" s="1867"/>
      <c r="GK6" s="1867" t="s">
        <v>386</v>
      </c>
      <c r="GL6" s="1867"/>
    </row>
    <row r="7" spans="1:196" ht="11.25" customHeight="1">
      <c r="D7" s="601"/>
      <c r="E7" s="3607" t="s">
        <v>102</v>
      </c>
      <c r="F7" s="3608"/>
      <c r="G7" s="3626" t="str">
        <f>IF(G6="","",INDEX(DIFFERENTIATION_UNMERGE_VD,MATCH(G6,DIFFERENTIATION_ID_DIFF,0)))</f>
        <v/>
      </c>
      <c r="H7" s="3627"/>
      <c r="I7" s="3626" t="str">
        <f>IF(I6="","",INDEX(DIFFERENTIATION_UNMERGE_VD,MATCH(I6,DIFFERENTIATION_ID_DIFF,0)))</f>
        <v>Производство тепловой энергии. Некомбинированная выработка</v>
      </c>
      <c r="J7" s="3627"/>
      <c r="K7" s="3626" t="str">
        <f>IF(K6="","",INDEX(DIFFERENTIATION_UNMERGE_VD,MATCH(K6,DIFFERENTIATION_ID_DIFF,0)))</f>
        <v>Производство тепловой энергии. Некомбинированная выработка</v>
      </c>
      <c r="L7" s="3627"/>
      <c r="M7" s="3626" t="str">
        <f>IF(M6="","",INDEX(DIFFERENTIATION_UNMERGE_VD,MATCH(M6,DIFFERENTIATION_ID_DIFF,0)))</f>
        <v>Производство тепловой энергии. Некомбинированная выработка</v>
      </c>
      <c r="N7" s="3627"/>
      <c r="O7" s="3626" t="str">
        <f>IF(O6="","",INDEX(DIFFERENTIATION_UNMERGE_VD,MATCH(O6,DIFFERENTIATION_ID_DIFF,0)))</f>
        <v>Производство тепловой энергии. Некомбинированная выработка</v>
      </c>
      <c r="P7" s="3627"/>
      <c r="Q7" s="3626" t="str">
        <f>IF(Q6="","",INDEX(DIFFERENTIATION_UNMERGE_VD,MATCH(Q6,DIFFERENTIATION_ID_DIFF,0)))</f>
        <v>Производство тепловой энергии. Некомбинированная выработка</v>
      </c>
      <c r="R7" s="3627"/>
      <c r="S7" s="3626" t="str">
        <f>IF(S6="","",INDEX(DIFFERENTIATION_UNMERGE_VD,MATCH(S6,DIFFERENTIATION_ID_DIFF,0)))</f>
        <v>Производство тепловой энергии. Некомбинированная выработка</v>
      </c>
      <c r="T7" s="3627"/>
      <c r="U7" s="3626" t="str">
        <f>IF(U6="","",INDEX(DIFFERENTIATION_UNMERGE_VD,MATCH(U6,DIFFERENTIATION_ID_DIFF,0)))</f>
        <v>Производство тепловой энергии. Некомбинированная выработка</v>
      </c>
      <c r="V7" s="3627"/>
      <c r="W7" s="3626" t="str">
        <f>IF(W6="","",INDEX(DIFFERENTIATION_UNMERGE_VD,MATCH(W6,DIFFERENTIATION_ID_DIFF,0)))</f>
        <v>Производство тепловой энергии. Некомбинированная выработка</v>
      </c>
      <c r="X7" s="3627"/>
      <c r="Y7" s="3626" t="str">
        <f>IF(Y6="","",INDEX(DIFFERENTIATION_UNMERGE_VD,MATCH(Y6,DIFFERENTIATION_ID_DIFF,0)))</f>
        <v>Производство тепловой энергии. Некомбинированная выработка</v>
      </c>
      <c r="Z7" s="3627"/>
      <c r="AA7" s="3626" t="str">
        <f>IF(AA6="","",INDEX(DIFFERENTIATION_UNMERGE_VD,MATCH(AA6,DIFFERENTIATION_ID_DIFF,0)))</f>
        <v>Производство тепловой энергии. Некомбинированная выработка</v>
      </c>
      <c r="AB7" s="3627"/>
      <c r="AC7" s="3626" t="str">
        <f>IF(AC6="","",INDEX(DIFFERENTIATION_UNMERGE_VD,MATCH(AC6,DIFFERENTIATION_ID_DIFF,0)))</f>
        <v>Производство тепловой энергии. Некомбинированная выработка</v>
      </c>
      <c r="AD7" s="3627"/>
      <c r="AE7" s="3626" t="str">
        <f>IF(AE6="","",INDEX(DIFFERENTIATION_UNMERGE_VD,MATCH(AE6,DIFFERENTIATION_ID_DIFF,0)))</f>
        <v>Производство тепловой энергии. Некомбинированная выработка</v>
      </c>
      <c r="AF7" s="3627"/>
      <c r="AG7" s="3626" t="str">
        <f>IF(AG6="","",INDEX(DIFFERENTIATION_UNMERGE_VD,MATCH(AG6,DIFFERENTIATION_ID_DIFF,0)))</f>
        <v>Производство тепловой энергии. Некомбинированная выработка</v>
      </c>
      <c r="AH7" s="3627"/>
      <c r="AI7" s="3626" t="str">
        <f>IF(AI6="","",INDEX(DIFFERENTIATION_UNMERGE_VD,MATCH(AI6,DIFFERENTIATION_ID_DIFF,0)))</f>
        <v>Производство тепловой энергии. Некомбинированная выработка</v>
      </c>
      <c r="AJ7" s="3627"/>
      <c r="AK7" s="3626" t="str">
        <f>IF(AK6="","",INDEX(DIFFERENTIATION_UNMERGE_VD,MATCH(AK6,DIFFERENTIATION_ID_DIFF,0)))</f>
        <v>Производство тепловой энергии. Некомбинированная выработка</v>
      </c>
      <c r="AL7" s="3627"/>
      <c r="AM7" s="3626" t="str">
        <f>IF(AM6="","",INDEX(DIFFERENTIATION_UNMERGE_VD,MATCH(AM6,DIFFERENTIATION_ID_DIFF,0)))</f>
        <v>Производство тепловой энергии. Некомбинированная выработка</v>
      </c>
      <c r="AN7" s="3627"/>
      <c r="AO7" s="3626" t="str">
        <f>IF(AO6="","",INDEX(DIFFERENTIATION_UNMERGE_VD,MATCH(AO6,DIFFERENTIATION_ID_DIFF,0)))</f>
        <v>Производство тепловой энергии. Некомбинированная выработка</v>
      </c>
      <c r="AP7" s="3627"/>
      <c r="AQ7" s="3626" t="str">
        <f>IF(AQ6="","",INDEX(DIFFERENTIATION_UNMERGE_VD,MATCH(AQ6,DIFFERENTIATION_ID_DIFF,0)))</f>
        <v>Производство тепловой энергии. Некомбинированная выработка</v>
      </c>
      <c r="AR7" s="3627"/>
      <c r="AS7" s="3626" t="str">
        <f>IF(AS6="","",INDEX(DIFFERENTIATION_UNMERGE_VD,MATCH(AS6,DIFFERENTIATION_ID_DIFF,0)))</f>
        <v>Производство тепловой энергии. Некомбинированная выработка</v>
      </c>
      <c r="AT7" s="3627"/>
      <c r="AU7" s="3626" t="str">
        <f>IF(AU6="","",INDEX(DIFFERENTIATION_UNMERGE_VD,MATCH(AU6,DIFFERENTIATION_ID_DIFF,0)))</f>
        <v>Производство тепловой энергии. Некомбинированная выработка</v>
      </c>
      <c r="AV7" s="3627"/>
      <c r="AW7" s="3626" t="str">
        <f>IF(AW6="","",INDEX(DIFFERENTIATION_UNMERGE_VD,MATCH(AW6,DIFFERENTIATION_ID_DIFF,0)))</f>
        <v>Производство тепловой энергии. Некомбинированная выработка</v>
      </c>
      <c r="AX7" s="3627"/>
      <c r="AY7" s="3626" t="str">
        <f>IF(AY6="","",INDEX(DIFFERENTIATION_UNMERGE_VD,MATCH(AY6,DIFFERENTIATION_ID_DIFF,0)))</f>
        <v>Производство тепловой энергии. Некомбинированная выработка</v>
      </c>
      <c r="AZ7" s="3627"/>
      <c r="BA7" s="3626" t="str">
        <f>IF(BA6="","",INDEX(DIFFERENTIATION_UNMERGE_VD,MATCH(BA6,DIFFERENTIATION_ID_DIFF,0)))</f>
        <v>Производство тепловой энергии. Некомбинированная выработка</v>
      </c>
      <c r="BB7" s="3627"/>
      <c r="BC7" s="3626" t="str">
        <f>IF(BC6="","",INDEX(DIFFERENTIATION_UNMERGE_VD,MATCH(BC6,DIFFERENTIATION_ID_DIFF,0)))</f>
        <v>Производство тепловой энергии. Некомбинированная выработка</v>
      </c>
      <c r="BD7" s="3627"/>
      <c r="BE7" s="3626" t="str">
        <f>IF(BE6="","",INDEX(DIFFERENTIATION_UNMERGE_VD,MATCH(BE6,DIFFERENTIATION_ID_DIFF,0)))</f>
        <v>Производство тепловой энергии. Некомбинированная выработка</v>
      </c>
      <c r="BF7" s="3627"/>
      <c r="BG7" s="3626" t="str">
        <f>IF(BG6="","",INDEX(DIFFERENTIATION_UNMERGE_VD,MATCH(BG6,DIFFERENTIATION_ID_DIFF,0)))</f>
        <v>Производство тепловой энергии. Некомбинированная выработка</v>
      </c>
      <c r="BH7" s="3627"/>
      <c r="BI7" s="3626" t="str">
        <f>IF(BI6="","",INDEX(DIFFERENTIATION_UNMERGE_VD,MATCH(BI6,DIFFERENTIATION_ID_DIFF,0)))</f>
        <v>Производство тепловой энергии. Некомбинированная выработка</v>
      </c>
      <c r="BJ7" s="3627"/>
      <c r="BK7" s="3626" t="str">
        <f>IF(BK6="","",INDEX(DIFFERENTIATION_UNMERGE_VD,MATCH(BK6,DIFFERENTIATION_ID_DIFF,0)))</f>
        <v>Производство тепловой энергии. Некомбинированная выработка</v>
      </c>
      <c r="BL7" s="3627"/>
      <c r="BM7" s="3626" t="str">
        <f>IF(BM6="","",INDEX(DIFFERENTIATION_UNMERGE_VD,MATCH(BM6,DIFFERENTIATION_ID_DIFF,0)))</f>
        <v>Производство тепловой энергии. Некомбинированная выработка</v>
      </c>
      <c r="BN7" s="3627"/>
      <c r="BO7" s="3626" t="str">
        <f>IF(BO6="","",INDEX(DIFFERENTIATION_UNMERGE_VD,MATCH(BO6,DIFFERENTIATION_ID_DIFF,0)))</f>
        <v>Производство тепловой энергии. Некомбинированная выработка</v>
      </c>
      <c r="BP7" s="3627"/>
      <c r="BQ7" s="3626" t="str">
        <f>IF(BQ6="","",INDEX(DIFFERENTIATION_UNMERGE_VD,MATCH(BQ6,DIFFERENTIATION_ID_DIFF,0)))</f>
        <v>Производство тепловой энергии. Некомбинированная выработка</v>
      </c>
      <c r="BR7" s="3627"/>
      <c r="BS7" s="3626" t="str">
        <f>IF(BS6="","",INDEX(DIFFERENTIATION_UNMERGE_VD,MATCH(BS6,DIFFERENTIATION_ID_DIFF,0)))</f>
        <v>Производство тепловой энергии. Некомбинированная выработка</v>
      </c>
      <c r="BT7" s="3627"/>
      <c r="BU7" s="3626" t="str">
        <f>IF(BU6="","",INDEX(DIFFERENTIATION_UNMERGE_VD,MATCH(BU6,DIFFERENTIATION_ID_DIFF,0)))</f>
        <v>Производство тепловой энергии. Некомбинированная выработка</v>
      </c>
      <c r="BV7" s="3627"/>
      <c r="BW7" s="3626" t="str">
        <f>IF(BW6="","",INDEX(DIFFERENTIATION_UNMERGE_VD,MATCH(BW6,DIFFERENTIATION_ID_DIFF,0)))</f>
        <v>Производство тепловой энергии. Некомбинированная выработка</v>
      </c>
      <c r="BX7" s="3627"/>
      <c r="BY7" s="3626" t="str">
        <f>IF(BY6="","",INDEX(DIFFERENTIATION_UNMERGE_VD,MATCH(BY6,DIFFERENTIATION_ID_DIFF,0)))</f>
        <v>Производство тепловой энергии. Некомбинированная выработка</v>
      </c>
      <c r="BZ7" s="3627"/>
      <c r="CA7" s="3626" t="str">
        <f>IF(CA6="","",INDEX(DIFFERENTIATION_UNMERGE_VD,MATCH(CA6,DIFFERENTIATION_ID_DIFF,0)))</f>
        <v>Производство тепловой энергии. Некомбинированная выработка</v>
      </c>
      <c r="CB7" s="3627"/>
      <c r="CC7" s="3626" t="str">
        <f>IF(CC6="","",INDEX(DIFFERENTIATION_UNMERGE_VD,MATCH(CC6,DIFFERENTIATION_ID_DIFF,0)))</f>
        <v>Производство тепловой энергии. Некомбинированная выработка</v>
      </c>
      <c r="CD7" s="3627"/>
      <c r="CE7" s="3626" t="str">
        <f>IF(CE6="","",INDEX(DIFFERENTIATION_UNMERGE_VD,MATCH(CE6,DIFFERENTIATION_ID_DIFF,0)))</f>
        <v>Производство тепловой энергии. Некомбинированная выработка</v>
      </c>
      <c r="CF7" s="3627"/>
      <c r="CG7" s="3626" t="str">
        <f>IF(CG6="","",INDEX(DIFFERENTIATION_UNMERGE_VD,MATCH(CG6,DIFFERENTIATION_ID_DIFF,0)))</f>
        <v>Производство тепловой энергии. Некомбинированная выработка</v>
      </c>
      <c r="CH7" s="3627"/>
      <c r="CI7" s="3626" t="str">
        <f>IF(CI6="","",INDEX(DIFFERENTIATION_UNMERGE_VD,MATCH(CI6,DIFFERENTIATION_ID_DIFF,0)))</f>
        <v>Производство тепловой энергии. Некомбинированная выработка</v>
      </c>
      <c r="CJ7" s="3627"/>
      <c r="CK7" s="3626" t="str">
        <f>IF(CK6="","",INDEX(DIFFERENTIATION_UNMERGE_VD,MATCH(CK6,DIFFERENTIATION_ID_DIFF,0)))</f>
        <v>Производство тепловой энергии. Некомбинированная выработка</v>
      </c>
      <c r="CL7" s="3627"/>
      <c r="CM7" s="3626" t="str">
        <f>IF(CM6="","",INDEX(DIFFERENTIATION_UNMERGE_VD,MATCH(CM6,DIFFERENTIATION_ID_DIFF,0)))</f>
        <v>Производство тепловой энергии. Некомбинированная выработка</v>
      </c>
      <c r="CN7" s="3627"/>
      <c r="CO7" s="3626" t="str">
        <f>IF(CO6="","",INDEX(DIFFERENTIATION_UNMERGE_VD,MATCH(CO6,DIFFERENTIATION_ID_DIFF,0)))</f>
        <v>Производство тепловой энергии. Некомбинированная выработка</v>
      </c>
      <c r="CP7" s="3627"/>
      <c r="CQ7" s="3626" t="str">
        <f>IF(CQ6="","",INDEX(DIFFERENTIATION_UNMERGE_VD,MATCH(CQ6,DIFFERENTIATION_ID_DIFF,0)))</f>
        <v>Производство тепловой энергии. Некомбинированная выработка</v>
      </c>
      <c r="CR7" s="3627"/>
      <c r="CS7" s="3626" t="str">
        <f>IF(CS6="","",INDEX(DIFFERENTIATION_UNMERGE_VD,MATCH(CS6,DIFFERENTIATION_ID_DIFF,0)))</f>
        <v>Производство тепловой энергии. Некомбинированная выработка</v>
      </c>
      <c r="CT7" s="3627"/>
      <c r="CU7" s="3626" t="str">
        <f>IF(CU6="","",INDEX(DIFFERENTIATION_UNMERGE_VD,MATCH(CU6,DIFFERENTIATION_ID_DIFF,0)))</f>
        <v>Производство тепловой энергии. Некомбинированная выработка</v>
      </c>
      <c r="CV7" s="3627"/>
      <c r="CW7" s="3626" t="str">
        <f>IF(CW6="","",INDEX(DIFFERENTIATION_UNMERGE_VD,MATCH(CW6,DIFFERENTIATION_ID_DIFF,0)))</f>
        <v>Производство тепловой энергии. Некомбинированная выработка</v>
      </c>
      <c r="CX7" s="3627"/>
      <c r="CY7" s="3626" t="str">
        <f>IF(CY6="","",INDEX(DIFFERENTIATION_UNMERGE_VD,MATCH(CY6,DIFFERENTIATION_ID_DIFF,0)))</f>
        <v>Производство тепловой энергии. Некомбинированная выработка</v>
      </c>
      <c r="CZ7" s="3627"/>
      <c r="DA7" s="3626" t="str">
        <f>IF(DA6="","",INDEX(DIFFERENTIATION_UNMERGE_VD,MATCH(DA6,DIFFERENTIATION_ID_DIFF,0)))</f>
        <v>Производство тепловой энергии. Некомбинированная выработка</v>
      </c>
      <c r="DB7" s="3627"/>
      <c r="DC7" s="3626" t="str">
        <f>IF(DC6="","",INDEX(DIFFERENTIATION_UNMERGE_VD,MATCH(DC6,DIFFERENTIATION_ID_DIFF,0)))</f>
        <v>Производство тепловой энергии. Некомбинированная выработка</v>
      </c>
      <c r="DD7" s="3627"/>
      <c r="DE7" s="3626" t="str">
        <f>IF(DE6="","",INDEX(DIFFERENTIATION_UNMERGE_VD,MATCH(DE6,DIFFERENTIATION_ID_DIFF,0)))</f>
        <v>Производство тепловой энергии. Некомбинированная выработка</v>
      </c>
      <c r="DF7" s="3627"/>
      <c r="DG7" s="3626" t="str">
        <f>IF(DG6="","",INDEX(DIFFERENTIATION_UNMERGE_VD,MATCH(DG6,DIFFERENTIATION_ID_DIFF,0)))</f>
        <v>Производство тепловой энергии. Некомбинированная выработка</v>
      </c>
      <c r="DH7" s="3627"/>
      <c r="DI7" s="3626" t="str">
        <f>IF(DI6="","",INDEX(DIFFERENTIATION_UNMERGE_VD,MATCH(DI6,DIFFERENTIATION_ID_DIFF,0)))</f>
        <v>Производство тепловой энергии. Некомбинированная выработка</v>
      </c>
      <c r="DJ7" s="3627"/>
      <c r="DK7" s="3626" t="str">
        <f>IF(DK6="","",INDEX(DIFFERENTIATION_UNMERGE_VD,MATCH(DK6,DIFFERENTIATION_ID_DIFF,0)))</f>
        <v>Производство тепловой энергии. Некомбинированная выработка</v>
      </c>
      <c r="DL7" s="3627"/>
      <c r="DM7" s="3626" t="str">
        <f>IF(DM6="","",INDEX(DIFFERENTIATION_UNMERGE_VD,MATCH(DM6,DIFFERENTIATION_ID_DIFF,0)))</f>
        <v>Производство тепловой энергии. Некомбинированная выработка</v>
      </c>
      <c r="DN7" s="3627"/>
      <c r="DO7" s="3626" t="str">
        <f>IF(DO6="","",INDEX(DIFFERENTIATION_UNMERGE_VD,MATCH(DO6,DIFFERENTIATION_ID_DIFF,0)))</f>
        <v>Производство тепловой энергии. Некомбинированная выработка</v>
      </c>
      <c r="DP7" s="3627"/>
      <c r="DQ7" s="3626" t="str">
        <f>IF(DQ6="","",INDEX(DIFFERENTIATION_UNMERGE_VD,MATCH(DQ6,DIFFERENTIATION_ID_DIFF,0)))</f>
        <v>Производство тепловой энергии. Некомбинированная выработка</v>
      </c>
      <c r="DR7" s="3627"/>
      <c r="DS7" s="3626" t="str">
        <f>IF(DS6="","",INDEX(DIFFERENTIATION_UNMERGE_VD,MATCH(DS6,DIFFERENTIATION_ID_DIFF,0)))</f>
        <v>Производство тепловой энергии. Некомбинированная выработка</v>
      </c>
      <c r="DT7" s="3627"/>
      <c r="DU7" s="3626" t="str">
        <f>IF(DU6="","",INDEX(DIFFERENTIATION_UNMERGE_VD,MATCH(DU6,DIFFERENTIATION_ID_DIFF,0)))</f>
        <v>Производство тепловой энергии. Некомбинированная выработка</v>
      </c>
      <c r="DV7" s="3627"/>
      <c r="DW7" s="3626" t="str">
        <f>IF(DW6="","",INDEX(DIFFERENTIATION_UNMERGE_VD,MATCH(DW6,DIFFERENTIATION_ID_DIFF,0)))</f>
        <v>Производство тепловой энергии. Некомбинированная выработка</v>
      </c>
      <c r="DX7" s="3627"/>
      <c r="DY7" s="3626" t="str">
        <f>IF(DY6="","",INDEX(DIFFERENTIATION_UNMERGE_VD,MATCH(DY6,DIFFERENTIATION_ID_DIFF,0)))</f>
        <v>Производство тепловой энергии. Некомбинированная выработка</v>
      </c>
      <c r="DZ7" s="3627"/>
      <c r="EA7" s="3626" t="str">
        <f>IF(EA6="","",INDEX(DIFFERENTIATION_UNMERGE_VD,MATCH(EA6,DIFFERENTIATION_ID_DIFF,0)))</f>
        <v>Производство тепловой энергии. Некомбинированная выработка</v>
      </c>
      <c r="EB7" s="3627"/>
      <c r="EC7" s="3626" t="str">
        <f>IF(EC6="","",INDEX(DIFFERENTIATION_UNMERGE_VD,MATCH(EC6,DIFFERENTIATION_ID_DIFF,0)))</f>
        <v>Производство тепловой энергии. Некомбинированная выработка</v>
      </c>
      <c r="ED7" s="3627"/>
      <c r="EE7" s="3626" t="str">
        <f>IF(EE6="","",INDEX(DIFFERENTIATION_UNMERGE_VD,MATCH(EE6,DIFFERENTIATION_ID_DIFF,0)))</f>
        <v>Производство тепловой энергии. Некомбинированная выработка</v>
      </c>
      <c r="EF7" s="3627"/>
      <c r="EG7" s="3626" t="str">
        <f>IF(EG6="","",INDEX(DIFFERENTIATION_UNMERGE_VD,MATCH(EG6,DIFFERENTIATION_ID_DIFF,0)))</f>
        <v>Производство тепловой энергии. Некомбинированная выработка</v>
      </c>
      <c r="EH7" s="3627"/>
      <c r="EI7" s="3626" t="str">
        <f>IF(EI6="","",INDEX(DIFFERENTIATION_UNMERGE_VD,MATCH(EI6,DIFFERENTIATION_ID_DIFF,0)))</f>
        <v>Производство тепловой энергии. Некомбинированная выработка</v>
      </c>
      <c r="EJ7" s="3627"/>
      <c r="EK7" s="3626" t="str">
        <f>IF(EK6="","",INDEX(DIFFERENTIATION_UNMERGE_VD,MATCH(EK6,DIFFERENTIATION_ID_DIFF,0)))</f>
        <v>Производство тепловой энергии. Некомбинированная выработка</v>
      </c>
      <c r="EL7" s="3627"/>
      <c r="EM7" s="3626" t="str">
        <f>IF(EM6="","",INDEX(DIFFERENTIATION_UNMERGE_VD,MATCH(EM6,DIFFERENTIATION_ID_DIFF,0)))</f>
        <v>Производство тепловой энергии. Некомбинированная выработка</v>
      </c>
      <c r="EN7" s="3627"/>
      <c r="EO7" s="3626" t="str">
        <f>IF(EO6="","",INDEX(DIFFERENTIATION_UNMERGE_VD,MATCH(EO6,DIFFERENTIATION_ID_DIFF,0)))</f>
        <v>Производство тепловой энергии. Некомбинированная выработка</v>
      </c>
      <c r="EP7" s="3627"/>
      <c r="EQ7" s="3626" t="str">
        <f>IF(EQ6="","",INDEX(DIFFERENTIATION_UNMERGE_VD,MATCH(EQ6,DIFFERENTIATION_ID_DIFF,0)))</f>
        <v>Производство тепловой энергии. Некомбинированная выработка</v>
      </c>
      <c r="ER7" s="3627"/>
      <c r="ES7" s="3626" t="str">
        <f>IF(ES6="","",INDEX(DIFFERENTIATION_UNMERGE_VD,MATCH(ES6,DIFFERENTIATION_ID_DIFF,0)))</f>
        <v>Производство тепловой энергии. Некомбинированная выработка</v>
      </c>
      <c r="ET7" s="3627"/>
      <c r="EU7" s="3626" t="str">
        <f>IF(EU6="","",INDEX(DIFFERENTIATION_UNMERGE_VD,MATCH(EU6,DIFFERENTIATION_ID_DIFF,0)))</f>
        <v>Производство тепловой энергии. Некомбинированная выработка</v>
      </c>
      <c r="EV7" s="3627"/>
      <c r="EW7" s="3626" t="str">
        <f>IF(EW6="","",INDEX(DIFFERENTIATION_UNMERGE_VD,MATCH(EW6,DIFFERENTIATION_ID_DIFF,0)))</f>
        <v>Производство тепловой энергии. Некомбинированная выработка</v>
      </c>
      <c r="EX7" s="3627"/>
      <c r="EY7" s="3626" t="str">
        <f>IF(EY6="","",INDEX(DIFFERENTIATION_UNMERGE_VD,MATCH(EY6,DIFFERENTIATION_ID_DIFF,0)))</f>
        <v>Производство тепловой энергии. Некомбинированная выработка</v>
      </c>
      <c r="EZ7" s="3627"/>
      <c r="FA7" s="3626" t="str">
        <f>IF(FA6="","",INDEX(DIFFERENTIATION_UNMERGE_VD,MATCH(FA6,DIFFERENTIATION_ID_DIFF,0)))</f>
        <v>Производство тепловой энергии. Некомбинированная выработка</v>
      </c>
      <c r="FB7" s="3627"/>
      <c r="FC7" s="3626" t="str">
        <f>IF(FC6="","",INDEX(DIFFERENTIATION_UNMERGE_VD,MATCH(FC6,DIFFERENTIATION_ID_DIFF,0)))</f>
        <v>Производство тепловой энергии. Некомбинированная выработка</v>
      </c>
      <c r="FD7" s="3627"/>
      <c r="FE7" s="3626" t="str">
        <f>IF(FE6="","",INDEX(DIFFERENTIATION_UNMERGE_VD,MATCH(FE6,DIFFERENTIATION_ID_DIFF,0)))</f>
        <v>Производство тепловой энергии. Некомбинированная выработка</v>
      </c>
      <c r="FF7" s="3627"/>
      <c r="FG7" s="3626" t="str">
        <f>IF(FG6="","",INDEX(DIFFERENTIATION_UNMERGE_VD,MATCH(FG6,DIFFERENTIATION_ID_DIFF,0)))</f>
        <v>Производство тепловой энергии. Некомбинированная выработка</v>
      </c>
      <c r="FH7" s="3627"/>
      <c r="FI7" s="3626" t="str">
        <f>IF(FI6="","",INDEX(DIFFERENTIATION_UNMERGE_VD,MATCH(FI6,DIFFERENTIATION_ID_DIFF,0)))</f>
        <v>Производство тепловой энергии. Некомбинированная выработка</v>
      </c>
      <c r="FJ7" s="3627"/>
      <c r="FK7" s="3626" t="str">
        <f>IF(FK6="","",INDEX(DIFFERENTIATION_UNMERGE_VD,MATCH(FK6,DIFFERENTIATION_ID_DIFF,0)))</f>
        <v>Производство тепловой энергии. Некомбинированная выработка</v>
      </c>
      <c r="FL7" s="3627"/>
      <c r="FM7" s="3626" t="str">
        <f>IF(FM6="","",INDEX(DIFFERENTIATION_UNMERGE_VD,MATCH(FM6,DIFFERENTIATION_ID_DIFF,0)))</f>
        <v>Производство тепловой энергии. Некомбинированная выработка</v>
      </c>
      <c r="FN7" s="3627"/>
      <c r="FO7" s="3626" t="str">
        <f>IF(FO6="","",INDEX(DIFFERENTIATION_UNMERGE_VD,MATCH(FO6,DIFFERENTIATION_ID_DIFF,0)))</f>
        <v>Производство тепловой энергии. Некомбинированная выработка</v>
      </c>
      <c r="FP7" s="3627"/>
      <c r="FQ7" s="3626" t="str">
        <f>IF(FQ6="","",INDEX(DIFFERENTIATION_UNMERGE_VD,MATCH(FQ6,DIFFERENTIATION_ID_DIFF,0)))</f>
        <v>Производство тепловой энергии. Некомбинированная выработка</v>
      </c>
      <c r="FR7" s="3627"/>
      <c r="FS7" s="3626" t="str">
        <f>IF(FS6="","",INDEX(DIFFERENTIATION_UNMERGE_VD,MATCH(FS6,DIFFERENTIATION_ID_DIFF,0)))</f>
        <v>Производство тепловой энергии. Некомбинированная выработка</v>
      </c>
      <c r="FT7" s="3627"/>
      <c r="FU7" s="3626" t="str">
        <f>IF(FU6="","",INDEX(DIFFERENTIATION_UNMERGE_VD,MATCH(FU6,DIFFERENTIATION_ID_DIFF,0)))</f>
        <v>Производство тепловой энергии. Некомбинированная выработка</v>
      </c>
      <c r="FV7" s="3627"/>
      <c r="FW7" s="3626" t="str">
        <f>IF(FW6="","",INDEX(DIFFERENTIATION_UNMERGE_VD,MATCH(FW6,DIFFERENTIATION_ID_DIFF,0)))</f>
        <v>Производство тепловой энергии. Некомбинированная выработка</v>
      </c>
      <c r="FX7" s="3627"/>
      <c r="FY7" s="3626" t="str">
        <f>IF(FY6="","",INDEX(DIFFERENTIATION_UNMERGE_VD,MATCH(FY6,DIFFERENTIATION_ID_DIFF,0)))</f>
        <v>Производство тепловой энергии. Некомбинированная выработка</v>
      </c>
      <c r="FZ7" s="3627"/>
      <c r="GA7" s="3626" t="str">
        <f>IF(GA6="","",INDEX(DIFFERENTIATION_UNMERGE_VD,MATCH(GA6,DIFFERENTIATION_ID_DIFF,0)))</f>
        <v>Производство тепловой энергии. Некомбинированная выработка</v>
      </c>
      <c r="GB7" s="3627"/>
      <c r="GC7" s="3626" t="str">
        <f>IF(GC6="","",INDEX(DIFFERENTIATION_UNMERGE_VD,MATCH(GC6,DIFFERENTIATION_ID_DIFF,0)))</f>
        <v>Производство тепловой энергии. Некомбинированная выработка</v>
      </c>
      <c r="GD7" s="3627"/>
      <c r="GE7" s="3626" t="str">
        <f>IF(GE6="","",INDEX(DIFFERENTIATION_UNMERGE_VD,MATCH(GE6,DIFFERENTIATION_ID_DIFF,0)))</f>
        <v>Производство тепловой энергии. Некомбинированная выработка</v>
      </c>
      <c r="GF7" s="3627"/>
      <c r="GG7" s="3626" t="str">
        <f>IF(GG6="","",INDEX(DIFFERENTIATION_UNMERGE_VD,MATCH(GG6,DIFFERENTIATION_ID_DIFF,0)))</f>
        <v>Производство тепловой энергии. Некомбинированная выработка</v>
      </c>
      <c r="GH7" s="3627"/>
      <c r="GI7" s="3626" t="str">
        <f>IF(GI6="","",INDEX(DIFFERENTIATION_UNMERGE_VD,MATCH(GI6,DIFFERENTIATION_ID_DIFF,0)))</f>
        <v>Производство тепловой энергии. Некомбинированная выработка</v>
      </c>
      <c r="GJ7" s="3627"/>
      <c r="GK7" s="3626" t="str">
        <f>IF(GK6="","",INDEX(DIFFERENTIATION_UNMERGE_VD,MATCH(GK6,DIFFERENTIATION_ID_DIFF,0)))</f>
        <v>Производство тепловой энергии. Некомбинированная выработка</v>
      </c>
      <c r="GL7" s="3627"/>
      <c r="GM7" s="3458"/>
      <c r="GN7" s="407"/>
    </row>
    <row r="8" spans="1:196" ht="11.25" customHeight="1">
      <c r="A8" s="594"/>
      <c r="D8" s="601"/>
      <c r="E8" s="3607" t="s">
        <v>829</v>
      </c>
      <c r="F8" s="3608"/>
      <c r="G8" s="3626" t="str">
        <f>IF(G6="","",INDEX(DIFFERENTIATION_UNMERGE_AREA,MATCH(G6,DIFFERENTIATION_ID_DIFF,0)))</f>
        <v/>
      </c>
      <c r="H8" s="3627"/>
      <c r="I8" s="3626" t="str">
        <f>IF(I6="","",INDEX(DIFFERENTIATION_UNMERGE_AREA,MATCH(I6,DIFFERENTIATION_ID_DIFF,0)))</f>
        <v>Территория 1</v>
      </c>
      <c r="J8" s="3627"/>
      <c r="K8" s="3626" t="str">
        <f>IF(K6="","",INDEX(DIFFERENTIATION_UNMERGE_AREA,MATCH(K6,DIFFERENTIATION_ID_DIFF,0)))</f>
        <v>Территория 1</v>
      </c>
      <c r="L8" s="3627"/>
      <c r="M8" s="3626" t="str">
        <f>IF(M6="","",INDEX(DIFFERENTIATION_UNMERGE_AREA,MATCH(M6,DIFFERENTIATION_ID_DIFF,0)))</f>
        <v>Территория 1</v>
      </c>
      <c r="N8" s="3627"/>
      <c r="O8" s="3626" t="str">
        <f>IF(O6="","",INDEX(DIFFERENTIATION_UNMERGE_AREA,MATCH(O6,DIFFERENTIATION_ID_DIFF,0)))</f>
        <v>Территория 1</v>
      </c>
      <c r="P8" s="3627"/>
      <c r="Q8" s="3626" t="str">
        <f>IF(Q6="","",INDEX(DIFFERENTIATION_UNMERGE_AREA,MATCH(Q6,DIFFERENTIATION_ID_DIFF,0)))</f>
        <v>Территория 1</v>
      </c>
      <c r="R8" s="3627"/>
      <c r="S8" s="3626" t="str">
        <f>IF(S6="","",INDEX(DIFFERENTIATION_UNMERGE_AREA,MATCH(S6,DIFFERENTIATION_ID_DIFF,0)))</f>
        <v>Территория 1</v>
      </c>
      <c r="T8" s="3627"/>
      <c r="U8" s="3626" t="str">
        <f>IF(U6="","",INDEX(DIFFERENTIATION_UNMERGE_AREA,MATCH(U6,DIFFERENTIATION_ID_DIFF,0)))</f>
        <v>Территория 1</v>
      </c>
      <c r="V8" s="3627"/>
      <c r="W8" s="3626" t="str">
        <f>IF(W6="","",INDEX(DIFFERENTIATION_UNMERGE_AREA,MATCH(W6,DIFFERENTIATION_ID_DIFF,0)))</f>
        <v>Территория 1</v>
      </c>
      <c r="X8" s="3627"/>
      <c r="Y8" s="3626" t="str">
        <f>IF(Y6="","",INDEX(DIFFERENTIATION_UNMERGE_AREA,MATCH(Y6,DIFFERENTIATION_ID_DIFF,0)))</f>
        <v>Территория 1</v>
      </c>
      <c r="Z8" s="3627"/>
      <c r="AA8" s="3626" t="str">
        <f>IF(AA6="","",INDEX(DIFFERENTIATION_UNMERGE_AREA,MATCH(AA6,DIFFERENTIATION_ID_DIFF,0)))</f>
        <v>Территория 1</v>
      </c>
      <c r="AB8" s="3627"/>
      <c r="AC8" s="3626" t="str">
        <f>IF(AC6="","",INDEX(DIFFERENTIATION_UNMERGE_AREA,MATCH(AC6,DIFFERENTIATION_ID_DIFF,0)))</f>
        <v>Территория 1</v>
      </c>
      <c r="AD8" s="3627"/>
      <c r="AE8" s="3626" t="str">
        <f>IF(AE6="","",INDEX(DIFFERENTIATION_UNMERGE_AREA,MATCH(AE6,DIFFERENTIATION_ID_DIFF,0)))</f>
        <v>Территория 1</v>
      </c>
      <c r="AF8" s="3627"/>
      <c r="AG8" s="3626" t="str">
        <f>IF(AG6="","",INDEX(DIFFERENTIATION_UNMERGE_AREA,MATCH(AG6,DIFFERENTIATION_ID_DIFF,0)))</f>
        <v>Территория 1</v>
      </c>
      <c r="AH8" s="3627"/>
      <c r="AI8" s="3626" t="str">
        <f>IF(AI6="","",INDEX(DIFFERENTIATION_UNMERGE_AREA,MATCH(AI6,DIFFERENTIATION_ID_DIFF,0)))</f>
        <v>Территория 1</v>
      </c>
      <c r="AJ8" s="3627"/>
      <c r="AK8" s="3626" t="str">
        <f>IF(AK6="","",INDEX(DIFFERENTIATION_UNMERGE_AREA,MATCH(AK6,DIFFERENTIATION_ID_DIFF,0)))</f>
        <v>Территория 1</v>
      </c>
      <c r="AL8" s="3627"/>
      <c r="AM8" s="3626" t="str">
        <f>IF(AM6="","",INDEX(DIFFERENTIATION_UNMERGE_AREA,MATCH(AM6,DIFFERENTIATION_ID_DIFF,0)))</f>
        <v>Территория 1</v>
      </c>
      <c r="AN8" s="3627"/>
      <c r="AO8" s="3626" t="str">
        <f>IF(AO6="","",INDEX(DIFFERENTIATION_UNMERGE_AREA,MATCH(AO6,DIFFERENTIATION_ID_DIFF,0)))</f>
        <v>Территория 1</v>
      </c>
      <c r="AP8" s="3627"/>
      <c r="AQ8" s="3626" t="str">
        <f>IF(AQ6="","",INDEX(DIFFERENTIATION_UNMERGE_AREA,MATCH(AQ6,DIFFERENTIATION_ID_DIFF,0)))</f>
        <v>Территория 1</v>
      </c>
      <c r="AR8" s="3627"/>
      <c r="AS8" s="3626" t="str">
        <f>IF(AS6="","",INDEX(DIFFERENTIATION_UNMERGE_AREA,MATCH(AS6,DIFFERENTIATION_ID_DIFF,0)))</f>
        <v>Территория 1</v>
      </c>
      <c r="AT8" s="3627"/>
      <c r="AU8" s="3626" t="str">
        <f>IF(AU6="","",INDEX(DIFFERENTIATION_UNMERGE_AREA,MATCH(AU6,DIFFERENTIATION_ID_DIFF,0)))</f>
        <v>Территория 1</v>
      </c>
      <c r="AV8" s="3627"/>
      <c r="AW8" s="3626" t="str">
        <f>IF(AW6="","",INDEX(DIFFERENTIATION_UNMERGE_AREA,MATCH(AW6,DIFFERENTIATION_ID_DIFF,0)))</f>
        <v>Территория 1</v>
      </c>
      <c r="AX8" s="3627"/>
      <c r="AY8" s="3626" t="str">
        <f>IF(AY6="","",INDEX(DIFFERENTIATION_UNMERGE_AREA,MATCH(AY6,DIFFERENTIATION_ID_DIFF,0)))</f>
        <v>Территория 1</v>
      </c>
      <c r="AZ8" s="3627"/>
      <c r="BA8" s="3626" t="str">
        <f>IF(BA6="","",INDEX(DIFFERENTIATION_UNMERGE_AREA,MATCH(BA6,DIFFERENTIATION_ID_DIFF,0)))</f>
        <v>Территория 1</v>
      </c>
      <c r="BB8" s="3627"/>
      <c r="BC8" s="3626" t="str">
        <f>IF(BC6="","",INDEX(DIFFERENTIATION_UNMERGE_AREA,MATCH(BC6,DIFFERENTIATION_ID_DIFF,0)))</f>
        <v>Территория 1</v>
      </c>
      <c r="BD8" s="3627"/>
      <c r="BE8" s="3626" t="str">
        <f>IF(BE6="","",INDEX(DIFFERENTIATION_UNMERGE_AREA,MATCH(BE6,DIFFERENTIATION_ID_DIFF,0)))</f>
        <v>Территория 1</v>
      </c>
      <c r="BF8" s="3627"/>
      <c r="BG8" s="3626" t="str">
        <f>IF(BG6="","",INDEX(DIFFERENTIATION_UNMERGE_AREA,MATCH(BG6,DIFFERENTIATION_ID_DIFF,0)))</f>
        <v>Территория 1</v>
      </c>
      <c r="BH8" s="3627"/>
      <c r="BI8" s="3626" t="str">
        <f>IF(BI6="","",INDEX(DIFFERENTIATION_UNMERGE_AREA,MATCH(BI6,DIFFERENTIATION_ID_DIFF,0)))</f>
        <v>Территория 1</v>
      </c>
      <c r="BJ8" s="3627"/>
      <c r="BK8" s="3626" t="str">
        <f>IF(BK6="","",INDEX(DIFFERENTIATION_UNMERGE_AREA,MATCH(BK6,DIFFERENTIATION_ID_DIFF,0)))</f>
        <v>Территория 1</v>
      </c>
      <c r="BL8" s="3627"/>
      <c r="BM8" s="3626" t="str">
        <f>IF(BM6="","",INDEX(DIFFERENTIATION_UNMERGE_AREA,MATCH(BM6,DIFFERENTIATION_ID_DIFF,0)))</f>
        <v>Территория 1</v>
      </c>
      <c r="BN8" s="3627"/>
      <c r="BO8" s="3626" t="str">
        <f>IF(BO6="","",INDEX(DIFFERENTIATION_UNMERGE_AREA,MATCH(BO6,DIFFERENTIATION_ID_DIFF,0)))</f>
        <v>Территория 1</v>
      </c>
      <c r="BP8" s="3627"/>
      <c r="BQ8" s="3626" t="str">
        <f>IF(BQ6="","",INDEX(DIFFERENTIATION_UNMERGE_AREA,MATCH(BQ6,DIFFERENTIATION_ID_DIFF,0)))</f>
        <v>Территория 1</v>
      </c>
      <c r="BR8" s="3627"/>
      <c r="BS8" s="3626" t="str">
        <f>IF(BS6="","",INDEX(DIFFERENTIATION_UNMERGE_AREA,MATCH(BS6,DIFFERENTIATION_ID_DIFF,0)))</f>
        <v>Территория 1</v>
      </c>
      <c r="BT8" s="3627"/>
      <c r="BU8" s="3626" t="str">
        <f>IF(BU6="","",INDEX(DIFFERENTIATION_UNMERGE_AREA,MATCH(BU6,DIFFERENTIATION_ID_DIFF,0)))</f>
        <v>Территория 1</v>
      </c>
      <c r="BV8" s="3627"/>
      <c r="BW8" s="3626" t="str">
        <f>IF(BW6="","",INDEX(DIFFERENTIATION_UNMERGE_AREA,MATCH(BW6,DIFFERENTIATION_ID_DIFF,0)))</f>
        <v>Территория 1</v>
      </c>
      <c r="BX8" s="3627"/>
      <c r="BY8" s="3626" t="str">
        <f>IF(BY6="","",INDEX(DIFFERENTIATION_UNMERGE_AREA,MATCH(BY6,DIFFERENTIATION_ID_DIFF,0)))</f>
        <v>Территория 1</v>
      </c>
      <c r="BZ8" s="3627"/>
      <c r="CA8" s="3626" t="str">
        <f>IF(CA6="","",INDEX(DIFFERENTIATION_UNMERGE_AREA,MATCH(CA6,DIFFERENTIATION_ID_DIFF,0)))</f>
        <v>Территория 1</v>
      </c>
      <c r="CB8" s="3627"/>
      <c r="CC8" s="3626" t="str">
        <f>IF(CC6="","",INDEX(DIFFERENTIATION_UNMERGE_AREA,MATCH(CC6,DIFFERENTIATION_ID_DIFF,0)))</f>
        <v>Территория 1</v>
      </c>
      <c r="CD8" s="3627"/>
      <c r="CE8" s="3626" t="str">
        <f>IF(CE6="","",INDEX(DIFFERENTIATION_UNMERGE_AREA,MATCH(CE6,DIFFERENTIATION_ID_DIFF,0)))</f>
        <v>Территория 1</v>
      </c>
      <c r="CF8" s="3627"/>
      <c r="CG8" s="3626" t="str">
        <f>IF(CG6="","",INDEX(DIFFERENTIATION_UNMERGE_AREA,MATCH(CG6,DIFFERENTIATION_ID_DIFF,0)))</f>
        <v>Территория 1</v>
      </c>
      <c r="CH8" s="3627"/>
      <c r="CI8" s="3626" t="str">
        <f>IF(CI6="","",INDEX(DIFFERENTIATION_UNMERGE_AREA,MATCH(CI6,DIFFERENTIATION_ID_DIFF,0)))</f>
        <v>Территория 1</v>
      </c>
      <c r="CJ8" s="3627"/>
      <c r="CK8" s="3626" t="str">
        <f>IF(CK6="","",INDEX(DIFFERENTIATION_UNMERGE_AREA,MATCH(CK6,DIFFERENTIATION_ID_DIFF,0)))</f>
        <v>Территория 1</v>
      </c>
      <c r="CL8" s="3627"/>
      <c r="CM8" s="3626" t="str">
        <f>IF(CM6="","",INDEX(DIFFERENTIATION_UNMERGE_AREA,MATCH(CM6,DIFFERENTIATION_ID_DIFF,0)))</f>
        <v>Территория 1</v>
      </c>
      <c r="CN8" s="3627"/>
      <c r="CO8" s="3626" t="str">
        <f>IF(CO6="","",INDEX(DIFFERENTIATION_UNMERGE_AREA,MATCH(CO6,DIFFERENTIATION_ID_DIFF,0)))</f>
        <v>Территория 1</v>
      </c>
      <c r="CP8" s="3627"/>
      <c r="CQ8" s="3626" t="str">
        <f>IF(CQ6="","",INDEX(DIFFERENTIATION_UNMERGE_AREA,MATCH(CQ6,DIFFERENTIATION_ID_DIFF,0)))</f>
        <v>Территория 1</v>
      </c>
      <c r="CR8" s="3627"/>
      <c r="CS8" s="3626" t="str">
        <f>IF(CS6="","",INDEX(DIFFERENTIATION_UNMERGE_AREA,MATCH(CS6,DIFFERENTIATION_ID_DIFF,0)))</f>
        <v>Территория 1</v>
      </c>
      <c r="CT8" s="3627"/>
      <c r="CU8" s="3626" t="str">
        <f>IF(CU6="","",INDEX(DIFFERENTIATION_UNMERGE_AREA,MATCH(CU6,DIFFERENTIATION_ID_DIFF,0)))</f>
        <v>Территория 1</v>
      </c>
      <c r="CV8" s="3627"/>
      <c r="CW8" s="3626" t="str">
        <f>IF(CW6="","",INDEX(DIFFERENTIATION_UNMERGE_AREA,MATCH(CW6,DIFFERENTIATION_ID_DIFF,0)))</f>
        <v>Территория 1</v>
      </c>
      <c r="CX8" s="3627"/>
      <c r="CY8" s="3626" t="str">
        <f>IF(CY6="","",INDEX(DIFFERENTIATION_UNMERGE_AREA,MATCH(CY6,DIFFERENTIATION_ID_DIFF,0)))</f>
        <v>Территория 1</v>
      </c>
      <c r="CZ8" s="3627"/>
      <c r="DA8" s="3626" t="str">
        <f>IF(DA6="","",INDEX(DIFFERENTIATION_UNMERGE_AREA,MATCH(DA6,DIFFERENTIATION_ID_DIFF,0)))</f>
        <v>Территория 1</v>
      </c>
      <c r="DB8" s="3627"/>
      <c r="DC8" s="3626" t="str">
        <f>IF(DC6="","",INDEX(DIFFERENTIATION_UNMERGE_AREA,MATCH(DC6,DIFFERENTIATION_ID_DIFF,0)))</f>
        <v>Территория 1</v>
      </c>
      <c r="DD8" s="3627"/>
      <c r="DE8" s="3626" t="str">
        <f>IF(DE6="","",INDEX(DIFFERENTIATION_UNMERGE_AREA,MATCH(DE6,DIFFERENTIATION_ID_DIFF,0)))</f>
        <v>Территория 1</v>
      </c>
      <c r="DF8" s="3627"/>
      <c r="DG8" s="3626" t="str">
        <f>IF(DG6="","",INDEX(DIFFERENTIATION_UNMERGE_AREA,MATCH(DG6,DIFFERENTIATION_ID_DIFF,0)))</f>
        <v>Территория 1</v>
      </c>
      <c r="DH8" s="3627"/>
      <c r="DI8" s="3626" t="str">
        <f>IF(DI6="","",INDEX(DIFFERENTIATION_UNMERGE_AREA,MATCH(DI6,DIFFERENTIATION_ID_DIFF,0)))</f>
        <v>Территория 1</v>
      </c>
      <c r="DJ8" s="3627"/>
      <c r="DK8" s="3626" t="str">
        <f>IF(DK6="","",INDEX(DIFFERENTIATION_UNMERGE_AREA,MATCH(DK6,DIFFERENTIATION_ID_DIFF,0)))</f>
        <v>Территория 1</v>
      </c>
      <c r="DL8" s="3627"/>
      <c r="DM8" s="3626" t="str">
        <f>IF(DM6="","",INDEX(DIFFERENTIATION_UNMERGE_AREA,MATCH(DM6,DIFFERENTIATION_ID_DIFF,0)))</f>
        <v>Территория 1</v>
      </c>
      <c r="DN8" s="3627"/>
      <c r="DO8" s="3626" t="str">
        <f>IF(DO6="","",INDEX(DIFFERENTIATION_UNMERGE_AREA,MATCH(DO6,DIFFERENTIATION_ID_DIFF,0)))</f>
        <v>Территория 1</v>
      </c>
      <c r="DP8" s="3627"/>
      <c r="DQ8" s="3626" t="str">
        <f>IF(DQ6="","",INDEX(DIFFERENTIATION_UNMERGE_AREA,MATCH(DQ6,DIFFERENTIATION_ID_DIFF,0)))</f>
        <v>Территория 1</v>
      </c>
      <c r="DR8" s="3627"/>
      <c r="DS8" s="3626" t="str">
        <f>IF(DS6="","",INDEX(DIFFERENTIATION_UNMERGE_AREA,MATCH(DS6,DIFFERENTIATION_ID_DIFF,0)))</f>
        <v>Территория 1</v>
      </c>
      <c r="DT8" s="3627"/>
      <c r="DU8" s="3626" t="str">
        <f>IF(DU6="","",INDEX(DIFFERENTIATION_UNMERGE_AREA,MATCH(DU6,DIFFERENTIATION_ID_DIFF,0)))</f>
        <v>Территория 1</v>
      </c>
      <c r="DV8" s="3627"/>
      <c r="DW8" s="3626" t="str">
        <f>IF(DW6="","",INDEX(DIFFERENTIATION_UNMERGE_AREA,MATCH(DW6,DIFFERENTIATION_ID_DIFF,0)))</f>
        <v>Территория 1</v>
      </c>
      <c r="DX8" s="3627"/>
      <c r="DY8" s="3626" t="str">
        <f>IF(DY6="","",INDEX(DIFFERENTIATION_UNMERGE_AREA,MATCH(DY6,DIFFERENTIATION_ID_DIFF,0)))</f>
        <v>Территория 1</v>
      </c>
      <c r="DZ8" s="3627"/>
      <c r="EA8" s="3626" t="str">
        <f>IF(EA6="","",INDEX(DIFFERENTIATION_UNMERGE_AREA,MATCH(EA6,DIFFERENTIATION_ID_DIFF,0)))</f>
        <v>Территория 1</v>
      </c>
      <c r="EB8" s="3627"/>
      <c r="EC8" s="3626" t="str">
        <f>IF(EC6="","",INDEX(DIFFERENTIATION_UNMERGE_AREA,MATCH(EC6,DIFFERENTIATION_ID_DIFF,0)))</f>
        <v>Территория 1</v>
      </c>
      <c r="ED8" s="3627"/>
      <c r="EE8" s="3626" t="str">
        <f>IF(EE6="","",INDEX(DIFFERENTIATION_UNMERGE_AREA,MATCH(EE6,DIFFERENTIATION_ID_DIFF,0)))</f>
        <v>Территория 1</v>
      </c>
      <c r="EF8" s="3627"/>
      <c r="EG8" s="3626" t="str">
        <f>IF(EG6="","",INDEX(DIFFERENTIATION_UNMERGE_AREA,MATCH(EG6,DIFFERENTIATION_ID_DIFF,0)))</f>
        <v>Территория 1</v>
      </c>
      <c r="EH8" s="3627"/>
      <c r="EI8" s="3626" t="str">
        <f>IF(EI6="","",INDEX(DIFFERENTIATION_UNMERGE_AREA,MATCH(EI6,DIFFERENTIATION_ID_DIFF,0)))</f>
        <v>Территория 1</v>
      </c>
      <c r="EJ8" s="3627"/>
      <c r="EK8" s="3626" t="str">
        <f>IF(EK6="","",INDEX(DIFFERENTIATION_UNMERGE_AREA,MATCH(EK6,DIFFERENTIATION_ID_DIFF,0)))</f>
        <v>Территория 1</v>
      </c>
      <c r="EL8" s="3627"/>
      <c r="EM8" s="3626" t="str">
        <f>IF(EM6="","",INDEX(DIFFERENTIATION_UNMERGE_AREA,MATCH(EM6,DIFFERENTIATION_ID_DIFF,0)))</f>
        <v>Территория 1</v>
      </c>
      <c r="EN8" s="3627"/>
      <c r="EO8" s="3626" t="str">
        <f>IF(EO6="","",INDEX(DIFFERENTIATION_UNMERGE_AREA,MATCH(EO6,DIFFERENTIATION_ID_DIFF,0)))</f>
        <v>Территория 1</v>
      </c>
      <c r="EP8" s="3627"/>
      <c r="EQ8" s="3626" t="str">
        <f>IF(EQ6="","",INDEX(DIFFERENTIATION_UNMERGE_AREA,MATCH(EQ6,DIFFERENTIATION_ID_DIFF,0)))</f>
        <v>Территория 1</v>
      </c>
      <c r="ER8" s="3627"/>
      <c r="ES8" s="3626" t="str">
        <f>IF(ES6="","",INDEX(DIFFERENTIATION_UNMERGE_AREA,MATCH(ES6,DIFFERENTIATION_ID_DIFF,0)))</f>
        <v>Территория 1</v>
      </c>
      <c r="ET8" s="3627"/>
      <c r="EU8" s="3626" t="str">
        <f>IF(EU6="","",INDEX(DIFFERENTIATION_UNMERGE_AREA,MATCH(EU6,DIFFERENTIATION_ID_DIFF,0)))</f>
        <v>Территория 1</v>
      </c>
      <c r="EV8" s="3627"/>
      <c r="EW8" s="3626" t="str">
        <f>IF(EW6="","",INDEX(DIFFERENTIATION_UNMERGE_AREA,MATCH(EW6,DIFFERENTIATION_ID_DIFF,0)))</f>
        <v>Территория 1</v>
      </c>
      <c r="EX8" s="3627"/>
      <c r="EY8" s="3626" t="str">
        <f>IF(EY6="","",INDEX(DIFFERENTIATION_UNMERGE_AREA,MATCH(EY6,DIFFERENTIATION_ID_DIFF,0)))</f>
        <v>Территория 1</v>
      </c>
      <c r="EZ8" s="3627"/>
      <c r="FA8" s="3626" t="str">
        <f>IF(FA6="","",INDEX(DIFFERENTIATION_UNMERGE_AREA,MATCH(FA6,DIFFERENTIATION_ID_DIFF,0)))</f>
        <v>Территория 1</v>
      </c>
      <c r="FB8" s="3627"/>
      <c r="FC8" s="3626" t="str">
        <f>IF(FC6="","",INDEX(DIFFERENTIATION_UNMERGE_AREA,MATCH(FC6,DIFFERENTIATION_ID_DIFF,0)))</f>
        <v>Территория 1</v>
      </c>
      <c r="FD8" s="3627"/>
      <c r="FE8" s="3626" t="str">
        <f>IF(FE6="","",INDEX(DIFFERENTIATION_UNMERGE_AREA,MATCH(FE6,DIFFERENTIATION_ID_DIFF,0)))</f>
        <v>Территория 1</v>
      </c>
      <c r="FF8" s="3627"/>
      <c r="FG8" s="3626" t="str">
        <f>IF(FG6="","",INDEX(DIFFERENTIATION_UNMERGE_AREA,MATCH(FG6,DIFFERENTIATION_ID_DIFF,0)))</f>
        <v>Территория 1</v>
      </c>
      <c r="FH8" s="3627"/>
      <c r="FI8" s="3626" t="str">
        <f>IF(FI6="","",INDEX(DIFFERENTIATION_UNMERGE_AREA,MATCH(FI6,DIFFERENTIATION_ID_DIFF,0)))</f>
        <v>Территория 1</v>
      </c>
      <c r="FJ8" s="3627"/>
      <c r="FK8" s="3626" t="str">
        <f>IF(FK6="","",INDEX(DIFFERENTIATION_UNMERGE_AREA,MATCH(FK6,DIFFERENTIATION_ID_DIFF,0)))</f>
        <v>Территория 1</v>
      </c>
      <c r="FL8" s="3627"/>
      <c r="FM8" s="3626" t="str">
        <f>IF(FM6="","",INDEX(DIFFERENTIATION_UNMERGE_AREA,MATCH(FM6,DIFFERENTIATION_ID_DIFF,0)))</f>
        <v>Территория 1</v>
      </c>
      <c r="FN8" s="3627"/>
      <c r="FO8" s="3626" t="str">
        <f>IF(FO6="","",INDEX(DIFFERENTIATION_UNMERGE_AREA,MATCH(FO6,DIFFERENTIATION_ID_DIFF,0)))</f>
        <v>Территория 1</v>
      </c>
      <c r="FP8" s="3627"/>
      <c r="FQ8" s="3626" t="str">
        <f>IF(FQ6="","",INDEX(DIFFERENTIATION_UNMERGE_AREA,MATCH(FQ6,DIFFERENTIATION_ID_DIFF,0)))</f>
        <v>Территория 1</v>
      </c>
      <c r="FR8" s="3627"/>
      <c r="FS8" s="3626" t="str">
        <f>IF(FS6="","",INDEX(DIFFERENTIATION_UNMERGE_AREA,MATCH(FS6,DIFFERENTIATION_ID_DIFF,0)))</f>
        <v>Территория 1</v>
      </c>
      <c r="FT8" s="3627"/>
      <c r="FU8" s="3626" t="str">
        <f>IF(FU6="","",INDEX(DIFFERENTIATION_UNMERGE_AREA,MATCH(FU6,DIFFERENTIATION_ID_DIFF,0)))</f>
        <v>Территория 1</v>
      </c>
      <c r="FV8" s="3627"/>
      <c r="FW8" s="3626" t="str">
        <f>IF(FW6="","",INDEX(DIFFERENTIATION_UNMERGE_AREA,MATCH(FW6,DIFFERENTIATION_ID_DIFF,0)))</f>
        <v>Территория 1</v>
      </c>
      <c r="FX8" s="3627"/>
      <c r="FY8" s="3626" t="str">
        <f>IF(FY6="","",INDEX(DIFFERENTIATION_UNMERGE_AREA,MATCH(FY6,DIFFERENTIATION_ID_DIFF,0)))</f>
        <v>Территория 1</v>
      </c>
      <c r="FZ8" s="3627"/>
      <c r="GA8" s="3626" t="str">
        <f>IF(GA6="","",INDEX(DIFFERENTIATION_UNMERGE_AREA,MATCH(GA6,DIFFERENTIATION_ID_DIFF,0)))</f>
        <v>Территория 1</v>
      </c>
      <c r="GB8" s="3627"/>
      <c r="GC8" s="3626" t="str">
        <f>IF(GC6="","",INDEX(DIFFERENTIATION_UNMERGE_AREA,MATCH(GC6,DIFFERENTIATION_ID_DIFF,0)))</f>
        <v>Территория 1</v>
      </c>
      <c r="GD8" s="3627"/>
      <c r="GE8" s="3626" t="str">
        <f>IF(GE6="","",INDEX(DIFFERENTIATION_UNMERGE_AREA,MATCH(GE6,DIFFERENTIATION_ID_DIFF,0)))</f>
        <v>Территория 1</v>
      </c>
      <c r="GF8" s="3627"/>
      <c r="GG8" s="3626" t="str">
        <f>IF(GG6="","",INDEX(DIFFERENTIATION_UNMERGE_AREA,MATCH(GG6,DIFFERENTIATION_ID_DIFF,0)))</f>
        <v>Территория 1</v>
      </c>
      <c r="GH8" s="3627"/>
      <c r="GI8" s="3626" t="str">
        <f>IF(GI6="","",INDEX(DIFFERENTIATION_UNMERGE_AREA,MATCH(GI6,DIFFERENTIATION_ID_DIFF,0)))</f>
        <v>Территория 1</v>
      </c>
      <c r="GJ8" s="3627"/>
      <c r="GK8" s="3626" t="str">
        <f>IF(GK6="","",INDEX(DIFFERENTIATION_UNMERGE_AREA,MATCH(GK6,DIFFERENTIATION_ID_DIFF,0)))</f>
        <v>Территория 1</v>
      </c>
      <c r="GL8" s="3627"/>
      <c r="GM8" s="3463"/>
      <c r="GN8" s="407"/>
    </row>
    <row r="9" spans="1:196" ht="11.25" customHeight="1">
      <c r="A9" s="594"/>
      <c r="D9" s="601"/>
      <c r="E9" s="3607" t="s">
        <v>830</v>
      </c>
      <c r="F9" s="3608"/>
      <c r="G9" s="3626" t="str">
        <f>IF(G6="","",INDEX(DIFFERENTIATION_UNMERGE_SYSTEM,MATCH(G6,DIFFERENTIATION_ID_DIFF,0)))</f>
        <v/>
      </c>
      <c r="H9" s="3627"/>
      <c r="I9" s="3626" t="str">
        <f>IF(I6="","",INDEX(DIFFERENTIATION_UNMERGE_SYSTEM,MATCH(I6,DIFFERENTIATION_ID_DIFF,0)))</f>
        <v>Авиационная, 1</v>
      </c>
      <c r="J9" s="3627"/>
      <c r="K9" s="3626" t="str">
        <f>IF(K6="","",INDEX(DIFFERENTIATION_UNMERGE_SYSTEM,MATCH(K6,DIFFERENTIATION_ID_DIFF,0)))</f>
        <v>Автовокзальная, 77</v>
      </c>
      <c r="L9" s="3627"/>
      <c r="M9" s="3626" t="str">
        <f>IF(M6="","",INDEX(DIFFERENTIATION_UNMERGE_SYSTEM,MATCH(M6,DIFFERENTIATION_ID_DIFF,0)))</f>
        <v>Бетонный, 4а</v>
      </c>
      <c r="N9" s="3627"/>
      <c r="O9" s="3626" t="str">
        <f>IF(O6="","",INDEX(DIFFERENTIATION_UNMERGE_SYSTEM,MATCH(O6,DIFFERENTIATION_ID_DIFF,0)))</f>
        <v>Ботанический, 2а</v>
      </c>
      <c r="P9" s="3627"/>
      <c r="Q9" s="3626" t="str">
        <f>IF(Q6="","",INDEX(DIFFERENTIATION_UNMERGE_SYSTEM,MATCH(Q6,DIFFERENTIATION_ID_DIFF,0)))</f>
        <v>Васильевская, 84б</v>
      </c>
      <c r="R9" s="3627"/>
      <c r="S9" s="3626" t="str">
        <f>IF(S6="","",INDEX(DIFFERENTIATION_UNMERGE_SYSTEM,MATCH(S6,DIFFERENTIATION_ID_DIFF,0)))</f>
        <v>Васильевская, 138а</v>
      </c>
      <c r="T9" s="3627"/>
      <c r="U9" s="3626" t="str">
        <f>IF(U6="","",INDEX(DIFFERENTIATION_UNMERGE_SYSTEM,MATCH(U6,DIFFERENTIATION_ID_DIFF,0)))</f>
        <v>Гагарина, 48а</v>
      </c>
      <c r="V9" s="3627"/>
      <c r="W9" s="3626" t="str">
        <f>IF(W6="","",INDEX(DIFFERENTIATION_UNMERGE_SYSTEM,MATCH(W6,DIFFERENTIATION_ID_DIFF,0)))</f>
        <v>Городская, 98к</v>
      </c>
      <c r="X9" s="3627"/>
      <c r="Y9" s="3626" t="str">
        <f>IF(Y6="","",INDEX(DIFFERENTIATION_UNMERGE_SYSTEM,MATCH(Y6,DIFFERENTIATION_ID_DIFF,0)))</f>
        <v>Калинина, 6б</v>
      </c>
      <c r="Z9" s="3627"/>
      <c r="AA9" s="3626" t="str">
        <f>IF(AA6="","",INDEX(DIFFERENTIATION_UNMERGE_SYSTEM,MATCH(AA6,DIFFERENTIATION_ID_DIFF,0)))</f>
        <v>Карачевская, 29а</v>
      </c>
      <c r="AB9" s="3627"/>
      <c r="AC9" s="3626" t="str">
        <f>IF(AC6="","",INDEX(DIFFERENTIATION_UNMERGE_SYSTEM,MATCH(AC6,DIFFERENTIATION_ID_DIFF,0)))</f>
        <v>Карачевская, 41б</v>
      </c>
      <c r="AD9" s="3627"/>
      <c r="AE9" s="3626" t="str">
        <f>IF(AE6="","",INDEX(DIFFERENTIATION_UNMERGE_SYSTEM,MATCH(AE6,DIFFERENTIATION_ID_DIFF,0)))</f>
        <v>Карачвский, 23а</v>
      </c>
      <c r="AF9" s="3627"/>
      <c r="AG9" s="3626" t="str">
        <f>IF(AG6="","",INDEX(DIFFERENTIATION_UNMERGE_SYSTEM,MATCH(AG6,DIFFERENTIATION_ID_DIFF,0)))</f>
        <v>Карачевское, 5а</v>
      </c>
      <c r="AH9" s="3627"/>
      <c r="AI9" s="3626" t="str">
        <f>IF(AI6="","",INDEX(DIFFERENTIATION_UNMERGE_SYSTEM,MATCH(AI6,DIFFERENTIATION_ID_DIFF,0)))</f>
        <v>Карачевское, 60а</v>
      </c>
      <c r="AJ9" s="3627"/>
      <c r="AK9" s="3626" t="str">
        <f>IF(AK6="","",INDEX(DIFFERENTIATION_UNMERGE_SYSTEM,MATCH(AK6,DIFFERENTIATION_ID_DIFF,0)))</f>
        <v>Комсомольская, 15а</v>
      </c>
      <c r="AL9" s="3627"/>
      <c r="AM9" s="3626" t="str">
        <f>IF(AM6="","",INDEX(DIFFERENTIATION_UNMERGE_SYSTEM,MATCH(AM6,DIFFERENTIATION_ID_DIFF,0)))</f>
        <v>Комсомольская, 119а</v>
      </c>
      <c r="AN9" s="3627"/>
      <c r="AO9" s="3626" t="str">
        <f>IF(AO6="","",INDEX(DIFFERENTIATION_UNMERGE_SYSTEM,MATCH(AO6,DIFFERENTIATION_ID_DIFF,0)))</f>
        <v>Комсомольская, 127а</v>
      </c>
      <c r="AP9" s="3627"/>
      <c r="AQ9" s="3626" t="str">
        <f>IF(AQ6="","",INDEX(DIFFERENTIATION_UNMERGE_SYSTEM,MATCH(AQ6,DIFFERENTIATION_ID_DIFF,0)))</f>
        <v>Комсомольская, 185а</v>
      </c>
      <c r="AR9" s="3627"/>
      <c r="AS9" s="3626" t="str">
        <f>IF(AS6="","",INDEX(DIFFERENTIATION_UNMERGE_SYSTEM,MATCH(AS6,DIFFERENTIATION_ID_DIFF,0)))</f>
        <v>Комсомольская, 206а</v>
      </c>
      <c r="AT9" s="3627"/>
      <c r="AU9" s="3626" t="str">
        <f>IF(AU6="","",INDEX(DIFFERENTIATION_UNMERGE_SYSTEM,MATCH(AU6,DIFFERENTIATION_ID_DIFF,0)))</f>
        <v>Комсомольская, 252а</v>
      </c>
      <c r="AV9" s="3627"/>
      <c r="AW9" s="3626" t="str">
        <f>IF(AW6="","",INDEX(DIFFERENTIATION_UNMERGE_SYSTEM,MATCH(AW6,DIFFERENTIATION_ID_DIFF,0)))</f>
        <v>Комсомольская, 261а</v>
      </c>
      <c r="AX9" s="3627"/>
      <c r="AY9" s="3626" t="str">
        <f>IF(AY6="","",INDEX(DIFFERENTIATION_UNMERGE_SYSTEM,MATCH(AY6,DIFFERENTIATION_ID_DIFF,0)))</f>
        <v>Красина, 6а</v>
      </c>
      <c r="AZ9" s="3627"/>
      <c r="BA9" s="3626" t="str">
        <f>IF(BA6="","",INDEX(DIFFERENTIATION_UNMERGE_SYSTEM,MATCH(BA6,DIFFERENTIATION_ID_DIFF,0)))</f>
        <v>Красина, 7а</v>
      </c>
      <c r="BB9" s="3627"/>
      <c r="BC9" s="3626" t="str">
        <f>IF(BC6="","",INDEX(DIFFERENTIATION_UNMERGE_SYSTEM,MATCH(BC6,DIFFERENTIATION_ID_DIFF,0)))</f>
        <v>Красина, 52</v>
      </c>
      <c r="BD9" s="3627"/>
      <c r="BE9" s="3626" t="str">
        <f>IF(BE6="","",INDEX(DIFFERENTIATION_UNMERGE_SYSTEM,MATCH(BE6,DIFFERENTIATION_ID_DIFF,0)))</f>
        <v>Кромская, 7а(908кв)</v>
      </c>
      <c r="BF9" s="3627"/>
      <c r="BG9" s="3626" t="str">
        <f>IF(BG6="","",INDEX(DIFFERENTIATION_UNMERGE_SYSTEM,MATCH(BG6,DIFFERENTIATION_ID_DIFF,0)))</f>
        <v>Кромская, 7а(909кв)</v>
      </c>
      <c r="BH9" s="3627"/>
      <c r="BI9" s="3626" t="str">
        <f>IF(BI6="","",INDEX(DIFFERENTIATION_UNMERGE_SYSTEM,MATCH(BI6,DIFFERENTIATION_ID_DIFF,0)))</f>
        <v>Кромское шоссе, 13а</v>
      </c>
      <c r="BJ9" s="3627"/>
      <c r="BK9" s="3626" t="str">
        <f>IF(BK6="","",INDEX(DIFFERENTIATION_UNMERGE_SYSTEM,MATCH(BK6,DIFFERENTIATION_ID_DIFF,0)))</f>
        <v>Латышских стрелков, 37а</v>
      </c>
      <c r="BL9" s="3627"/>
      <c r="BM9" s="3626" t="str">
        <f>IF(BM6="","",INDEX(DIFFERENTIATION_UNMERGE_SYSTEM,MATCH(BM6,DIFFERENTIATION_ID_DIFF,0)))</f>
        <v>Латышских стрелков,98</v>
      </c>
      <c r="BN9" s="3627"/>
      <c r="BO9" s="3626" t="str">
        <f>IF(BO6="","",INDEX(DIFFERENTIATION_UNMERGE_SYSTEM,MATCH(BO6,DIFFERENTIATION_ID_DIFF,0)))</f>
        <v>Латышских стрелков, 109</v>
      </c>
      <c r="BP9" s="3627"/>
      <c r="BQ9" s="3626" t="str">
        <f>IF(BQ6="","",INDEX(DIFFERENTIATION_UNMERGE_SYSTEM,MATCH(BQ6,DIFFERENTIATION_ID_DIFF,0)))</f>
        <v>Левый берег р. Оки,23</v>
      </c>
      <c r="BR9" s="3627"/>
      <c r="BS9" s="3626" t="str">
        <f>IF(BS6="","",INDEX(DIFFERENTIATION_UNMERGE_SYSTEM,MATCH(BS6,DIFFERENTIATION_ID_DIFF,0)))</f>
        <v>ГК "Лесной" с/с Сабуровский</v>
      </c>
      <c r="BT9" s="3627"/>
      <c r="BU9" s="3626" t="str">
        <f>IF(BU6="","",INDEX(DIFFERENTIATION_UNMERGE_SYSTEM,MATCH(BU6,DIFFERENTIATION_ID_DIFF,0)))</f>
        <v>Машиностроительная, 5а</v>
      </c>
      <c r="BV9" s="3627"/>
      <c r="BW9" s="3626" t="str">
        <f>IF(BW6="","",INDEX(DIFFERENTIATION_UNMERGE_SYSTEM,MATCH(BW6,DIFFERENTIATION_ID_DIFF,0)))</f>
        <v>Маяковского, 10а</v>
      </c>
      <c r="BX9" s="3627"/>
      <c r="BY9" s="3626" t="str">
        <f>IF(BY6="","",INDEX(DIFFERENTIATION_UNMERGE_SYSTEM,MATCH(BY6,DIFFERENTIATION_ID_DIFF,0)))</f>
        <v>Маяковского, 55а</v>
      </c>
      <c r="BZ9" s="3627"/>
      <c r="CA9" s="3626" t="str">
        <f>IF(CA6="","",INDEX(DIFFERENTIATION_UNMERGE_SYSTEM,MATCH(CA6,DIFFERENTIATION_ID_DIFF,0)))</f>
        <v>Маяковского, 62а</v>
      </c>
      <c r="CB9" s="3627"/>
      <c r="CC9" s="3626" t="str">
        <f>IF(CC6="","",INDEX(DIFFERENTIATION_UNMERGE_SYSTEM,MATCH(CC6,DIFFERENTIATION_ID_DIFF,0)))</f>
        <v>Мопра, 28а</v>
      </c>
      <c r="CD9" s="3627"/>
      <c r="CE9" s="3626" t="str">
        <f>IF(CE6="","",INDEX(DIFFERENTIATION_UNMERGE_SYSTEM,MATCH(CE6,DIFFERENTIATION_ID_DIFF,0)))</f>
        <v>Мопра, 48а</v>
      </c>
      <c r="CF9" s="3627"/>
      <c r="CG9" s="3626" t="str">
        <f>IF(CG6="","",INDEX(DIFFERENTIATION_UNMERGE_SYSTEM,MATCH(CG6,DIFFERENTIATION_ID_DIFF,0)))</f>
        <v>6-й Орловской дивизии,14</v>
      </c>
      <c r="CH9" s="3627"/>
      <c r="CI9" s="3626" t="str">
        <f>IF(CI6="","",INDEX(DIFFERENTIATION_UNMERGE_SYSTEM,MATCH(CI6,DIFFERENTIATION_ID_DIFF,0)))</f>
        <v>Пищевой, 9а</v>
      </c>
      <c r="CJ9" s="3627"/>
      <c r="CK9" s="3626" t="str">
        <f>IF(CK6="","",INDEX(DIFFERENTIATION_UNMERGE_SYSTEM,MATCH(CK6,DIFFERENTIATION_ID_DIFF,0)))</f>
        <v>2-а Посадская, 19а</v>
      </c>
      <c r="CL9" s="3627"/>
      <c r="CM9" s="3626" t="str">
        <f>IF(CM6="","",INDEX(DIFFERENTIATION_UNMERGE_SYSTEM,MATCH(CM6,DIFFERENTIATION_ID_DIFF,0)))</f>
        <v>1-я Пушкарная, 20а</v>
      </c>
      <c r="CN9" s="3627"/>
      <c r="CO9" s="3626" t="str">
        <f>IF(CO6="","",INDEX(DIFFERENTIATION_UNMERGE_SYSTEM,MATCH(CO6,DIFFERENTIATION_ID_DIFF,0)))</f>
        <v>1-я Пушкарная, 21а</v>
      </c>
      <c r="CP9" s="3627"/>
      <c r="CQ9" s="3626" t="str">
        <f>IF(CQ6="","",INDEX(DIFFERENTIATION_UNMERGE_SYSTEM,MATCH(CQ6,DIFFERENTIATION_ID_DIFF,0)))</f>
        <v>Связистов, 1а</v>
      </c>
      <c r="CR9" s="3627"/>
      <c r="CS9" s="3626" t="str">
        <f>IF(CS6="","",INDEX(DIFFERENTIATION_UNMERGE_SYSTEM,MATCH(CS6,DIFFERENTIATION_ID_DIFF,0)))</f>
        <v>Спивака, 85</v>
      </c>
      <c r="CT9" s="3627"/>
      <c r="CU9" s="3626" t="str">
        <f>IF(CU6="","",INDEX(DIFFERENTIATION_UNMERGE_SYSTEM,MATCH(CU6,DIFFERENTIATION_ID_DIFF,0)))</f>
        <v>Федотовой, 12</v>
      </c>
      <c r="CV9" s="3627"/>
      <c r="CW9" s="3626" t="str">
        <f>IF(CW6="","",INDEX(DIFFERENTIATION_UNMERGE_SYSTEM,MATCH(CW6,DIFFERENTIATION_ID_DIFF,0)))</f>
        <v>Циолковского,1б</v>
      </c>
      <c r="CX9" s="3627"/>
      <c r="CY9" s="3626" t="str">
        <f>IF(CY6="","",INDEX(DIFFERENTIATION_UNMERGE_SYSTEM,MATCH(CY6,DIFFERENTIATION_ID_DIFF,0)))</f>
        <v>Циолковского,51а</v>
      </c>
      <c r="CZ9" s="3627"/>
      <c r="DA9" s="3626" t="str">
        <f>IF(DA6="","",INDEX(DIFFERENTIATION_UNMERGE_SYSTEM,MATCH(DA6,DIFFERENTIATION_ID_DIFF,0)))</f>
        <v>Черепичная, 24б</v>
      </c>
      <c r="DB9" s="3627"/>
      <c r="DC9" s="3626" t="str">
        <f>IF(DC6="","",INDEX(DIFFERENTIATION_UNMERGE_SYSTEM,MATCH(DC6,DIFFERENTIATION_ID_DIFF,0)))</f>
        <v>Шпагатный,92</v>
      </c>
      <c r="DD9" s="3627"/>
      <c r="DE9" s="3626" t="str">
        <f>IF(DE6="","",INDEX(DIFFERENTIATION_UNMERGE_SYSTEM,MATCH(DE6,DIFFERENTIATION_ID_DIFF,0)))</f>
        <v>Шпагатный, 92г</v>
      </c>
      <c r="DF9" s="3627"/>
      <c r="DG9" s="3626" t="str">
        <f>IF(DG6="","",INDEX(DIFFERENTIATION_UNMERGE_SYSTEM,MATCH(DG6,DIFFERENTIATION_ID_DIFF,0)))</f>
        <v>Щепная, 12б</v>
      </c>
      <c r="DH9" s="3627"/>
      <c r="DI9" s="3626" t="str">
        <f>IF(DI6="","",INDEX(DIFFERENTIATION_UNMERGE_SYSTEM,MATCH(DI6,DIFFERENTIATION_ID_DIFF,0)))</f>
        <v>Энгельса,88а</v>
      </c>
      <c r="DJ9" s="3627"/>
      <c r="DK9" s="3626" t="str">
        <f>IF(DK6="","",INDEX(DIFFERENTIATION_UNMERGE_SYSTEM,MATCH(DK6,DIFFERENTIATION_ID_DIFF,0)))</f>
        <v>Яблочная, 59а</v>
      </c>
      <c r="DL9" s="3627"/>
      <c r="DM9" s="3626" t="str">
        <f>IF(DM6="","",INDEX(DIFFERENTIATION_UNMERGE_SYSTEM,MATCH(DM6,DIFFERENTIATION_ID_DIFF,0)))</f>
        <v>Комсомольская, 241б</v>
      </c>
      <c r="DN9" s="3627"/>
      <c r="DO9" s="3626" t="str">
        <f>IF(DO6="","",INDEX(DIFFERENTIATION_UNMERGE_SYSTEM,MATCH(DO6,DIFFERENTIATION_ID_DIFF,0)))</f>
        <v>Генерала Жадова, 4а</v>
      </c>
      <c r="DP9" s="3627"/>
      <c r="DQ9" s="3626" t="str">
        <f>IF(DQ6="","",INDEX(DIFFERENTIATION_UNMERGE_SYSTEM,MATCH(DQ6,DIFFERENTIATION_ID_DIFF,0)))</f>
        <v>Генерала Родина, 69а</v>
      </c>
      <c r="DR9" s="3627"/>
      <c r="DS9" s="3626" t="str">
        <f>IF(DS6="","",INDEX(DIFFERENTIATION_UNMERGE_SYSTEM,MATCH(DS6,DIFFERENTIATION_ID_DIFF,0)))</f>
        <v>Ипподромный,2а</v>
      </c>
      <c r="DT9" s="3627"/>
      <c r="DU9" s="3626" t="str">
        <f>IF(DU6="","",INDEX(DIFFERENTIATION_UNMERGE_SYSTEM,MATCH(DU6,DIFFERENTIATION_ID_DIFF,0)))</f>
        <v>Лескова, 31а</v>
      </c>
      <c r="DV9" s="3627"/>
      <c r="DW9" s="3626" t="str">
        <f>IF(DW6="","",INDEX(DIFFERENTIATION_UNMERGE_SYSTEM,MATCH(DW6,DIFFERENTIATION_ID_DIFF,0)))</f>
        <v>Матвеева, 9а</v>
      </c>
      <c r="DX9" s="3627"/>
      <c r="DY9" s="3626" t="str">
        <f>IF(DY6="","",INDEX(DIFFERENTIATION_UNMERGE_SYSTEM,MATCH(DY6,DIFFERENTIATION_ID_DIFF,0)))</f>
        <v>Матросова, 46б</v>
      </c>
      <c r="DZ9" s="3627"/>
      <c r="EA9" s="3626" t="str">
        <f>IF(EA6="","",INDEX(DIFFERENTIATION_UNMERGE_SYSTEM,MATCH(EA6,DIFFERENTIATION_ID_DIFF,0)))</f>
        <v>Наугорское, 13б</v>
      </c>
      <c r="EB9" s="3627"/>
      <c r="EC9" s="3626" t="str">
        <f>IF(EC6="","",INDEX(DIFFERENTIATION_UNMERGE_SYSTEM,MATCH(EC6,DIFFERENTIATION_ID_DIFF,0)))</f>
        <v>Наугорское, 27</v>
      </c>
      <c r="ED9" s="3627"/>
      <c r="EE9" s="3626" t="str">
        <f>IF(EE6="","",INDEX(DIFFERENTIATION_UNMERGE_SYSTEM,MATCH(EE6,DIFFERENTIATION_ID_DIFF,0)))</f>
        <v>Наугорское, 29б</v>
      </c>
      <c r="EF9" s="3627"/>
      <c r="EG9" s="3626" t="str">
        <f>IF(EG6="","",INDEX(DIFFERENTIATION_UNMERGE_SYSTEM,MATCH(EG6,DIFFERENTIATION_ID_DIFF,0)))</f>
        <v>Октябрьская, 4а</v>
      </c>
      <c r="EH9" s="3627"/>
      <c r="EI9" s="3626" t="str">
        <f>IF(EI6="","",INDEX(DIFFERENTIATION_UNMERGE_SYSTEM,MATCH(EI6,DIFFERENTIATION_ID_DIFF,0)))</f>
        <v>Октябрьская, 54а</v>
      </c>
      <c r="EJ9" s="3627"/>
      <c r="EK9" s="3626" t="str">
        <f>IF(EK6="","",INDEX(DIFFERENTIATION_UNMERGE_SYSTEM,MATCH(EK6,DIFFERENTIATION_ID_DIFF,0)))</f>
        <v>Трудовые резервы, 32а</v>
      </c>
      <c r="EL9" s="3627"/>
      <c r="EM9" s="3626" t="str">
        <f>IF(EM6="","",INDEX(DIFFERENTIATION_UNMERGE_SYSTEM,MATCH(EM6,DIFFERENTIATION_ID_DIFF,0)))</f>
        <v>Цветаева, 15б</v>
      </c>
      <c r="EN9" s="3627"/>
      <c r="EO9" s="3626" t="str">
        <f>IF(EO6="","",INDEX(DIFFERENTIATION_UNMERGE_SYSTEM,MATCH(EO6,DIFFERENTIATION_ID_DIFF,0)))</f>
        <v>Бресткая,6</v>
      </c>
      <c r="EP9" s="3627"/>
      <c r="EQ9" s="3626" t="str">
        <f>IF(EQ6="","",INDEX(DIFFERENTIATION_UNMERGE_SYSTEM,MATCH(EQ6,DIFFERENTIATION_ID_DIFF,0)))</f>
        <v>Веселая,2</v>
      </c>
      <c r="ER9" s="3627"/>
      <c r="ES9" s="3626" t="str">
        <f>IF(ES6="","",INDEX(DIFFERENTIATION_UNMERGE_SYSTEM,MATCH(ES6,DIFFERENTIATION_ID_DIFF,0)))</f>
        <v>Огородный,7а</v>
      </c>
      <c r="ET9" s="3627"/>
      <c r="EU9" s="3626" t="str">
        <f>IF(EU6="","",INDEX(DIFFERENTIATION_UNMERGE_SYSTEM,MATCH(EU6,DIFFERENTIATION_ID_DIFF,0)))</f>
        <v>Пролетарская гора, 1</v>
      </c>
      <c r="EV9" s="3627"/>
      <c r="EW9" s="3626" t="str">
        <f>IF(EW6="","",INDEX(DIFFERENTIATION_UNMERGE_SYSTEM,MATCH(EW6,DIFFERENTIATION_ID_DIFF,0)))</f>
        <v>Тургенева, 50а</v>
      </c>
      <c r="EX9" s="3627"/>
      <c r="EY9" s="3626" t="str">
        <f>IF(EY6="","",INDEX(DIFFERENTIATION_UNMERGE_SYSTEM,MATCH(EY6,DIFFERENTIATION_ID_DIFF,0)))</f>
        <v>Абрамова-Соколова, 76б</v>
      </c>
      <c r="EZ9" s="3627"/>
      <c r="FA9" s="3626" t="str">
        <f>IF(FA6="","",INDEX(DIFFERENTIATION_UNMERGE_SYSTEM,MATCH(FA6,DIFFERENTIATION_ID_DIFF,0)))</f>
        <v>5 августа,66а</v>
      </c>
      <c r="FB9" s="3627"/>
      <c r="FC9" s="3626" t="str">
        <f>IF(FC6="","",INDEX(DIFFERENTIATION_UNMERGE_SYSTEM,MATCH(FC6,DIFFERENTIATION_ID_DIFF,0)))</f>
        <v>Грузовая, 119г</v>
      </c>
      <c r="FD9" s="3627"/>
      <c r="FE9" s="3626" t="str">
        <f>IF(FE6="","",INDEX(DIFFERENTIATION_UNMERGE_SYSTEM,MATCH(FE6,DIFFERENTIATION_ID_DIFF,0)))</f>
        <v>Деповская, 6а</v>
      </c>
      <c r="FF9" s="3627"/>
      <c r="FG9" s="3626" t="str">
        <f>IF(FG6="","",INDEX(DIFFERENTIATION_UNMERGE_SYSTEM,MATCH(FG6,DIFFERENTIATION_ID_DIFF,0)))</f>
        <v>3-я Курская, 3а</v>
      </c>
      <c r="FH9" s="3627"/>
      <c r="FI9" s="3626" t="str">
        <f>IF(FI6="","",INDEX(DIFFERENTIATION_UNMERGE_SYSTEM,MATCH(FI6,DIFFERENTIATION_ID_DIFF,0)))</f>
        <v>Ливенская, 48г</v>
      </c>
      <c r="FJ9" s="3627"/>
      <c r="FK9" s="3626" t="str">
        <f>IF(FK6="","",INDEX(DIFFERENTIATION_UNMERGE_SYSTEM,MATCH(FK6,DIFFERENTIATION_ID_DIFF,0)))</f>
        <v>Лесная, 9а</v>
      </c>
      <c r="FL9" s="3627"/>
      <c r="FM9" s="3626" t="str">
        <f>IF(FM6="","",INDEX(DIFFERENTIATION_UNMERGE_SYSTEM,MATCH(FM6,DIFFERENTIATION_ID_DIFF,0)))</f>
        <v>Московская, 27а</v>
      </c>
      <c r="FN9" s="3627"/>
      <c r="FO9" s="3626" t="str">
        <f>IF(FO6="","",INDEX(DIFFERENTIATION_UNMERGE_SYSTEM,MATCH(FO6,DIFFERENTIATION_ID_DIFF,0)))</f>
        <v>Новосильская, 7а пом.1</v>
      </c>
      <c r="FP9" s="3627"/>
      <c r="FQ9" s="3626" t="str">
        <f>IF(FQ6="","",INDEX(DIFFERENTIATION_UNMERGE_SYSTEM,MATCH(FQ6,DIFFERENTIATION_ID_DIFF,0)))</f>
        <v>Новосильская, 7а пом.2</v>
      </c>
      <c r="FR9" s="3627"/>
      <c r="FS9" s="3626" t="str">
        <f>IF(FS6="","",INDEX(DIFFERENTIATION_UNMERGE_SYSTEM,MATCH(FS6,DIFFERENTIATION_ID_DIFF,0)))</f>
        <v>Паровозная,64б</v>
      </c>
      <c r="FT9" s="3627"/>
      <c r="FU9" s="3626" t="str">
        <f>IF(FU6="","",INDEX(DIFFERENTIATION_UNMERGE_SYSTEM,MATCH(FU6,DIFFERENTIATION_ID_DIFF,0)))</f>
        <v>Пушкина, 68а</v>
      </c>
      <c r="FV9" s="3627"/>
      <c r="FW9" s="3626" t="str">
        <f>IF(FW6="","",INDEX(DIFFERENTIATION_UNMERGE_SYSTEM,MATCH(FW6,DIFFERENTIATION_ID_DIFF,0)))</f>
        <v>Ст. Разина, 11б</v>
      </c>
      <c r="FX9" s="3627"/>
      <c r="FY9" s="3626" t="str">
        <f>IF(FY6="","",INDEX(DIFFERENTIATION_UNMERGE_SYSTEM,MATCH(FY6,DIFFERENTIATION_ID_DIFF,0)))</f>
        <v>Рельсовая, 7а</v>
      </c>
      <c r="FZ9" s="3627"/>
      <c r="GA9" s="3626" t="str">
        <f>IF(GA6="","",INDEX(DIFFERENTIATION_UNMERGE_SYSTEM,MATCH(GA6,DIFFERENTIATION_ID_DIFF,0)))</f>
        <v>Студенческая, 2а</v>
      </c>
      <c r="GB9" s="3627"/>
      <c r="GC9" s="3626" t="str">
        <f>IF(GC6="","",INDEX(DIFFERENTIATION_UNMERGE_SYSTEM,MATCH(GC6,DIFFERENTIATION_ID_DIFF,0)))</f>
        <v>Тульская, 24а</v>
      </c>
      <c r="GD9" s="3627"/>
      <c r="GE9" s="3626" t="str">
        <f>IF(GE6="","",INDEX(DIFFERENTIATION_UNMERGE_SYSTEM,MATCH(GE6,DIFFERENTIATION_ID_DIFF,0)))</f>
        <v>Тульская, 63б</v>
      </c>
      <c r="GF9" s="3627"/>
      <c r="GG9" s="3626" t="str">
        <f>IF(GG6="","",INDEX(DIFFERENTIATION_UNMERGE_SYSTEM,MATCH(GG6,DIFFERENTIATION_ID_DIFF,0)))</f>
        <v>Южный, 26б</v>
      </c>
      <c r="GH9" s="3627"/>
      <c r="GI9" s="3626" t="str">
        <f>IF(GI6="","",INDEX(DIFFERENTIATION_UNMERGE_SYSTEM,MATCH(GI6,DIFFERENTIATION_ID_DIFF,0)))</f>
        <v>Металлургов,80б</v>
      </c>
      <c r="GJ9" s="3627"/>
      <c r="GK9" s="3626" t="str">
        <f>IF(GK6="","",INDEX(DIFFERENTIATION_UNMERGE_SYSTEM,MATCH(GK6,DIFFERENTIATION_ID_DIFF,0)))</f>
        <v>Силикатная,28а</v>
      </c>
      <c r="GL9" s="3627"/>
      <c r="GM9" s="3463"/>
      <c r="GN9" s="407"/>
    </row>
    <row r="10" spans="1:196" s="1910" customFormat="1" ht="11.25" customHeight="1">
      <c r="A10" s="891"/>
      <c r="B10" s="409"/>
      <c r="D10" s="3383" t="s">
        <v>560</v>
      </c>
      <c r="E10" s="3388"/>
      <c r="F10" s="3388"/>
      <c r="G10" s="3388"/>
      <c r="H10" s="3388"/>
      <c r="I10" s="3388"/>
      <c r="J10" s="3382"/>
      <c r="K10" s="1924"/>
      <c r="L10" s="1924"/>
      <c r="M10" s="1924"/>
      <c r="N10" s="1924"/>
      <c r="O10" s="1924"/>
      <c r="P10" s="1924"/>
      <c r="Q10" s="1924"/>
      <c r="R10" s="1924"/>
      <c r="S10" s="1924"/>
      <c r="T10" s="1924"/>
      <c r="U10" s="1924"/>
      <c r="V10" s="1924"/>
      <c r="W10" s="1924"/>
      <c r="X10" s="1924"/>
      <c r="Y10" s="1924"/>
      <c r="Z10" s="1924"/>
      <c r="AA10" s="1924"/>
      <c r="AB10" s="1924"/>
      <c r="AC10" s="1924"/>
      <c r="AD10" s="1924"/>
      <c r="AE10" s="1924"/>
      <c r="AF10" s="1924"/>
      <c r="AG10" s="1924"/>
      <c r="AH10" s="1924"/>
      <c r="AI10" s="1924"/>
      <c r="AJ10" s="1924"/>
      <c r="AK10" s="1924"/>
      <c r="AL10" s="1924"/>
      <c r="AM10" s="1924"/>
      <c r="AN10" s="1924"/>
      <c r="AO10" s="1924"/>
      <c r="AP10" s="1924"/>
      <c r="AQ10" s="1924"/>
      <c r="AR10" s="1924"/>
      <c r="AS10" s="1924"/>
      <c r="AT10" s="1924"/>
      <c r="AU10" s="1924"/>
      <c r="AV10" s="1924"/>
      <c r="AW10" s="1924"/>
      <c r="AX10" s="1924"/>
      <c r="AY10" s="1924"/>
      <c r="AZ10" s="1924"/>
      <c r="BA10" s="1924"/>
      <c r="BB10" s="1924"/>
      <c r="BC10" s="1924"/>
      <c r="BD10" s="1924"/>
      <c r="BE10" s="1924"/>
      <c r="BF10" s="1924"/>
      <c r="BG10" s="1924"/>
      <c r="BH10" s="1924"/>
      <c r="BI10" s="1924"/>
      <c r="BJ10" s="1924"/>
      <c r="BK10" s="1924"/>
      <c r="BL10" s="1924"/>
      <c r="BM10" s="1924"/>
      <c r="BN10" s="1924"/>
      <c r="BO10" s="1924"/>
      <c r="BP10" s="1924"/>
      <c r="BQ10" s="1924"/>
      <c r="BR10" s="1924"/>
      <c r="BS10" s="1924"/>
      <c r="BT10" s="1924"/>
      <c r="BU10" s="1924"/>
      <c r="BV10" s="1924"/>
      <c r="BW10" s="1924"/>
      <c r="BX10" s="1924"/>
      <c r="BY10" s="1924"/>
      <c r="BZ10" s="1924"/>
      <c r="CA10" s="1924"/>
      <c r="CB10" s="1924"/>
      <c r="CC10" s="1924"/>
      <c r="CD10" s="1924"/>
      <c r="CE10" s="1924"/>
      <c r="CF10" s="1924"/>
      <c r="CG10" s="1924"/>
      <c r="CH10" s="1924"/>
      <c r="CI10" s="1924"/>
      <c r="CJ10" s="1924"/>
      <c r="CK10" s="1924"/>
      <c r="CL10" s="1924"/>
      <c r="CM10" s="1924"/>
      <c r="CN10" s="1924"/>
      <c r="CO10" s="1924"/>
      <c r="CP10" s="1924"/>
      <c r="CQ10" s="1924"/>
      <c r="CR10" s="1924"/>
      <c r="CS10" s="1924"/>
      <c r="CT10" s="1924"/>
      <c r="CU10" s="1924"/>
      <c r="CV10" s="1924"/>
      <c r="CW10" s="1924"/>
      <c r="CX10" s="1924"/>
      <c r="CY10" s="1924"/>
      <c r="CZ10" s="1924"/>
      <c r="DA10" s="1924"/>
      <c r="DB10" s="1924"/>
      <c r="DC10" s="1924"/>
      <c r="DD10" s="1924"/>
      <c r="DE10" s="1924"/>
      <c r="DF10" s="1924"/>
      <c r="DG10" s="1924"/>
      <c r="DH10" s="1924"/>
      <c r="DI10" s="1924"/>
      <c r="DJ10" s="1924"/>
      <c r="DK10" s="1924"/>
      <c r="DL10" s="1924"/>
      <c r="DM10" s="1924"/>
      <c r="DN10" s="1924"/>
      <c r="DO10" s="1924"/>
      <c r="DP10" s="1924"/>
      <c r="DQ10" s="1924"/>
      <c r="DR10" s="1924"/>
      <c r="DS10" s="1924"/>
      <c r="DT10" s="1924"/>
      <c r="DU10" s="1924"/>
      <c r="DV10" s="1924"/>
      <c r="DW10" s="1924"/>
      <c r="DX10" s="1924"/>
      <c r="DY10" s="1924"/>
      <c r="DZ10" s="1924"/>
      <c r="EA10" s="1924"/>
      <c r="EB10" s="1924"/>
      <c r="EC10" s="1924"/>
      <c r="ED10" s="1924"/>
      <c r="EE10" s="1924"/>
      <c r="EF10" s="1924"/>
      <c r="EG10" s="1924"/>
      <c r="EH10" s="1924"/>
      <c r="EI10" s="1924"/>
      <c r="EJ10" s="1924"/>
      <c r="EK10" s="1924"/>
      <c r="EL10" s="1924"/>
      <c r="EM10" s="1924"/>
      <c r="EN10" s="1924"/>
      <c r="EO10" s="1924"/>
      <c r="EP10" s="1924"/>
      <c r="EQ10" s="1924"/>
      <c r="ER10" s="1924"/>
      <c r="ES10" s="1924"/>
      <c r="ET10" s="1924"/>
      <c r="EU10" s="1924"/>
      <c r="EV10" s="1924"/>
      <c r="EW10" s="1924"/>
      <c r="EX10" s="1924"/>
      <c r="EY10" s="1924"/>
      <c r="EZ10" s="1924"/>
      <c r="FA10" s="1924"/>
      <c r="FB10" s="1924"/>
      <c r="FC10" s="1924"/>
      <c r="FD10" s="1924"/>
      <c r="FE10" s="1924"/>
      <c r="FF10" s="1924"/>
      <c r="FG10" s="1924"/>
      <c r="FH10" s="1924"/>
      <c r="FI10" s="1924"/>
      <c r="FJ10" s="1924"/>
      <c r="FK10" s="1924"/>
      <c r="FL10" s="1924"/>
      <c r="FM10" s="1924"/>
      <c r="FN10" s="1924"/>
      <c r="FO10" s="1924"/>
      <c r="FP10" s="1924"/>
      <c r="FQ10" s="1924"/>
      <c r="FR10" s="1924"/>
      <c r="FS10" s="1924"/>
      <c r="FT10" s="1924"/>
      <c r="FU10" s="1924"/>
      <c r="FV10" s="1924"/>
      <c r="FW10" s="1924"/>
      <c r="FX10" s="1924"/>
      <c r="FY10" s="1924"/>
      <c r="FZ10" s="1924"/>
      <c r="GA10" s="1924"/>
      <c r="GB10" s="1924"/>
      <c r="GC10" s="1924"/>
      <c r="GD10" s="1924"/>
      <c r="GE10" s="1924"/>
      <c r="GF10" s="1924"/>
      <c r="GG10" s="1924"/>
      <c r="GH10" s="1924"/>
      <c r="GI10" s="1924"/>
      <c r="GJ10" s="1924"/>
      <c r="GK10" s="1924"/>
      <c r="GL10" s="1924"/>
      <c r="GM10" s="3463"/>
      <c r="GN10" s="407"/>
    </row>
    <row r="11" spans="1:196" s="1910" customFormat="1" ht="22.5" customHeight="1">
      <c r="A11" s="3527"/>
      <c r="B11" s="3527"/>
      <c r="C11" s="549"/>
      <c r="D11" s="593" t="s">
        <v>85</v>
      </c>
      <c r="E11" s="595" t="s">
        <v>1078</v>
      </c>
      <c r="F11" s="595" t="s">
        <v>831</v>
      </c>
      <c r="G11" s="364" t="s">
        <v>563</v>
      </c>
      <c r="H11" s="364" t="s">
        <v>652</v>
      </c>
      <c r="I11" s="688" t="s">
        <v>563</v>
      </c>
      <c r="J11" s="689" t="s">
        <v>652</v>
      </c>
      <c r="K11" s="1933" t="s">
        <v>563</v>
      </c>
      <c r="L11" s="1933" t="s">
        <v>652</v>
      </c>
      <c r="M11" s="1933" t="s">
        <v>563</v>
      </c>
      <c r="N11" s="1933" t="s">
        <v>652</v>
      </c>
      <c r="O11" s="1933" t="s">
        <v>563</v>
      </c>
      <c r="P11" s="1933" t="s">
        <v>652</v>
      </c>
      <c r="Q11" s="1933" t="s">
        <v>563</v>
      </c>
      <c r="R11" s="1933" t="s">
        <v>652</v>
      </c>
      <c r="S11" s="1933" t="s">
        <v>563</v>
      </c>
      <c r="T11" s="1933" t="s">
        <v>652</v>
      </c>
      <c r="U11" s="1933" t="s">
        <v>563</v>
      </c>
      <c r="V11" s="1933" t="s">
        <v>652</v>
      </c>
      <c r="W11" s="1933" t="s">
        <v>563</v>
      </c>
      <c r="X11" s="1933" t="s">
        <v>652</v>
      </c>
      <c r="Y11" s="1933" t="s">
        <v>563</v>
      </c>
      <c r="Z11" s="1933" t="s">
        <v>652</v>
      </c>
      <c r="AA11" s="1933" t="s">
        <v>563</v>
      </c>
      <c r="AB11" s="1933" t="s">
        <v>652</v>
      </c>
      <c r="AC11" s="1933" t="s">
        <v>563</v>
      </c>
      <c r="AD11" s="1933" t="s">
        <v>652</v>
      </c>
      <c r="AE11" s="1933" t="s">
        <v>563</v>
      </c>
      <c r="AF11" s="1933" t="s">
        <v>652</v>
      </c>
      <c r="AG11" s="1933" t="s">
        <v>563</v>
      </c>
      <c r="AH11" s="1933" t="s">
        <v>652</v>
      </c>
      <c r="AI11" s="1933" t="s">
        <v>563</v>
      </c>
      <c r="AJ11" s="1933" t="s">
        <v>652</v>
      </c>
      <c r="AK11" s="1933" t="s">
        <v>563</v>
      </c>
      <c r="AL11" s="1933" t="s">
        <v>652</v>
      </c>
      <c r="AM11" s="1933" t="s">
        <v>563</v>
      </c>
      <c r="AN11" s="1933" t="s">
        <v>652</v>
      </c>
      <c r="AO11" s="1933" t="s">
        <v>563</v>
      </c>
      <c r="AP11" s="1933" t="s">
        <v>652</v>
      </c>
      <c r="AQ11" s="1933" t="s">
        <v>563</v>
      </c>
      <c r="AR11" s="1933" t="s">
        <v>652</v>
      </c>
      <c r="AS11" s="1933" t="s">
        <v>563</v>
      </c>
      <c r="AT11" s="1933" t="s">
        <v>652</v>
      </c>
      <c r="AU11" s="1933" t="s">
        <v>563</v>
      </c>
      <c r="AV11" s="1933" t="s">
        <v>652</v>
      </c>
      <c r="AW11" s="1933" t="s">
        <v>563</v>
      </c>
      <c r="AX11" s="1933" t="s">
        <v>652</v>
      </c>
      <c r="AY11" s="1933" t="s">
        <v>563</v>
      </c>
      <c r="AZ11" s="1933" t="s">
        <v>652</v>
      </c>
      <c r="BA11" s="1933" t="s">
        <v>563</v>
      </c>
      <c r="BB11" s="1933" t="s">
        <v>652</v>
      </c>
      <c r="BC11" s="1933" t="s">
        <v>563</v>
      </c>
      <c r="BD11" s="1933" t="s">
        <v>652</v>
      </c>
      <c r="BE11" s="1933" t="s">
        <v>563</v>
      </c>
      <c r="BF11" s="1933" t="s">
        <v>652</v>
      </c>
      <c r="BG11" s="1933" t="s">
        <v>563</v>
      </c>
      <c r="BH11" s="1933" t="s">
        <v>652</v>
      </c>
      <c r="BI11" s="1933" t="s">
        <v>563</v>
      </c>
      <c r="BJ11" s="1933" t="s">
        <v>652</v>
      </c>
      <c r="BK11" s="1933" t="s">
        <v>563</v>
      </c>
      <c r="BL11" s="1933" t="s">
        <v>652</v>
      </c>
      <c r="BM11" s="1933" t="s">
        <v>563</v>
      </c>
      <c r="BN11" s="1933" t="s">
        <v>652</v>
      </c>
      <c r="BO11" s="1933" t="s">
        <v>563</v>
      </c>
      <c r="BP11" s="1933" t="s">
        <v>652</v>
      </c>
      <c r="BQ11" s="1933" t="s">
        <v>563</v>
      </c>
      <c r="BR11" s="1933" t="s">
        <v>652</v>
      </c>
      <c r="BS11" s="1933" t="s">
        <v>563</v>
      </c>
      <c r="BT11" s="1933" t="s">
        <v>652</v>
      </c>
      <c r="BU11" s="1933" t="s">
        <v>563</v>
      </c>
      <c r="BV11" s="1933" t="s">
        <v>652</v>
      </c>
      <c r="BW11" s="1933" t="s">
        <v>563</v>
      </c>
      <c r="BX11" s="1933" t="s">
        <v>652</v>
      </c>
      <c r="BY11" s="1933" t="s">
        <v>563</v>
      </c>
      <c r="BZ11" s="1933" t="s">
        <v>652</v>
      </c>
      <c r="CA11" s="1933" t="s">
        <v>563</v>
      </c>
      <c r="CB11" s="1933" t="s">
        <v>652</v>
      </c>
      <c r="CC11" s="1933" t="s">
        <v>563</v>
      </c>
      <c r="CD11" s="1933" t="s">
        <v>652</v>
      </c>
      <c r="CE11" s="1933" t="s">
        <v>563</v>
      </c>
      <c r="CF11" s="1933" t="s">
        <v>652</v>
      </c>
      <c r="CG11" s="1933" t="s">
        <v>563</v>
      </c>
      <c r="CH11" s="1933" t="s">
        <v>652</v>
      </c>
      <c r="CI11" s="1933" t="s">
        <v>563</v>
      </c>
      <c r="CJ11" s="1933" t="s">
        <v>652</v>
      </c>
      <c r="CK11" s="1933" t="s">
        <v>563</v>
      </c>
      <c r="CL11" s="1933" t="s">
        <v>652</v>
      </c>
      <c r="CM11" s="1933" t="s">
        <v>563</v>
      </c>
      <c r="CN11" s="1933" t="s">
        <v>652</v>
      </c>
      <c r="CO11" s="1933" t="s">
        <v>563</v>
      </c>
      <c r="CP11" s="1933" t="s">
        <v>652</v>
      </c>
      <c r="CQ11" s="1933" t="s">
        <v>563</v>
      </c>
      <c r="CR11" s="1933" t="s">
        <v>652</v>
      </c>
      <c r="CS11" s="1933" t="s">
        <v>563</v>
      </c>
      <c r="CT11" s="1933" t="s">
        <v>652</v>
      </c>
      <c r="CU11" s="1933" t="s">
        <v>563</v>
      </c>
      <c r="CV11" s="1933" t="s">
        <v>652</v>
      </c>
      <c r="CW11" s="1933" t="s">
        <v>563</v>
      </c>
      <c r="CX11" s="1933" t="s">
        <v>652</v>
      </c>
      <c r="CY11" s="1933" t="s">
        <v>563</v>
      </c>
      <c r="CZ11" s="1933" t="s">
        <v>652</v>
      </c>
      <c r="DA11" s="1933" t="s">
        <v>563</v>
      </c>
      <c r="DB11" s="1933" t="s">
        <v>652</v>
      </c>
      <c r="DC11" s="1933" t="s">
        <v>563</v>
      </c>
      <c r="DD11" s="1933" t="s">
        <v>652</v>
      </c>
      <c r="DE11" s="1933" t="s">
        <v>563</v>
      </c>
      <c r="DF11" s="1933" t="s">
        <v>652</v>
      </c>
      <c r="DG11" s="1933" t="s">
        <v>563</v>
      </c>
      <c r="DH11" s="1933" t="s">
        <v>652</v>
      </c>
      <c r="DI11" s="1933" t="s">
        <v>563</v>
      </c>
      <c r="DJ11" s="1933" t="s">
        <v>652</v>
      </c>
      <c r="DK11" s="1933" t="s">
        <v>563</v>
      </c>
      <c r="DL11" s="1933" t="s">
        <v>652</v>
      </c>
      <c r="DM11" s="1933" t="s">
        <v>563</v>
      </c>
      <c r="DN11" s="1933" t="s">
        <v>652</v>
      </c>
      <c r="DO11" s="1933" t="s">
        <v>563</v>
      </c>
      <c r="DP11" s="1933" t="s">
        <v>652</v>
      </c>
      <c r="DQ11" s="1933" t="s">
        <v>563</v>
      </c>
      <c r="DR11" s="1933" t="s">
        <v>652</v>
      </c>
      <c r="DS11" s="1933" t="s">
        <v>563</v>
      </c>
      <c r="DT11" s="1933" t="s">
        <v>652</v>
      </c>
      <c r="DU11" s="1933" t="s">
        <v>563</v>
      </c>
      <c r="DV11" s="1933" t="s">
        <v>652</v>
      </c>
      <c r="DW11" s="1933" t="s">
        <v>563</v>
      </c>
      <c r="DX11" s="1933" t="s">
        <v>652</v>
      </c>
      <c r="DY11" s="1933" t="s">
        <v>563</v>
      </c>
      <c r="DZ11" s="1933" t="s">
        <v>652</v>
      </c>
      <c r="EA11" s="1933" t="s">
        <v>563</v>
      </c>
      <c r="EB11" s="1933" t="s">
        <v>652</v>
      </c>
      <c r="EC11" s="1933" t="s">
        <v>563</v>
      </c>
      <c r="ED11" s="1933" t="s">
        <v>652</v>
      </c>
      <c r="EE11" s="1933" t="s">
        <v>563</v>
      </c>
      <c r="EF11" s="1933" t="s">
        <v>652</v>
      </c>
      <c r="EG11" s="1933" t="s">
        <v>563</v>
      </c>
      <c r="EH11" s="1933" t="s">
        <v>652</v>
      </c>
      <c r="EI11" s="1933" t="s">
        <v>563</v>
      </c>
      <c r="EJ11" s="1933" t="s">
        <v>652</v>
      </c>
      <c r="EK11" s="1933" t="s">
        <v>563</v>
      </c>
      <c r="EL11" s="1933" t="s">
        <v>652</v>
      </c>
      <c r="EM11" s="1933" t="s">
        <v>563</v>
      </c>
      <c r="EN11" s="1933" t="s">
        <v>652</v>
      </c>
      <c r="EO11" s="1933" t="s">
        <v>563</v>
      </c>
      <c r="EP11" s="1933" t="s">
        <v>652</v>
      </c>
      <c r="EQ11" s="1933" t="s">
        <v>563</v>
      </c>
      <c r="ER11" s="1933" t="s">
        <v>652</v>
      </c>
      <c r="ES11" s="1933" t="s">
        <v>563</v>
      </c>
      <c r="ET11" s="1933" t="s">
        <v>652</v>
      </c>
      <c r="EU11" s="1933" t="s">
        <v>563</v>
      </c>
      <c r="EV11" s="1933" t="s">
        <v>652</v>
      </c>
      <c r="EW11" s="1933" t="s">
        <v>563</v>
      </c>
      <c r="EX11" s="1933" t="s">
        <v>652</v>
      </c>
      <c r="EY11" s="1933" t="s">
        <v>563</v>
      </c>
      <c r="EZ11" s="1933" t="s">
        <v>652</v>
      </c>
      <c r="FA11" s="1933" t="s">
        <v>563</v>
      </c>
      <c r="FB11" s="1933" t="s">
        <v>652</v>
      </c>
      <c r="FC11" s="1933" t="s">
        <v>563</v>
      </c>
      <c r="FD11" s="1933" t="s">
        <v>652</v>
      </c>
      <c r="FE11" s="1933" t="s">
        <v>563</v>
      </c>
      <c r="FF11" s="1933" t="s">
        <v>652</v>
      </c>
      <c r="FG11" s="1933" t="s">
        <v>563</v>
      </c>
      <c r="FH11" s="1933" t="s">
        <v>652</v>
      </c>
      <c r="FI11" s="1933" t="s">
        <v>563</v>
      </c>
      <c r="FJ11" s="1933" t="s">
        <v>652</v>
      </c>
      <c r="FK11" s="1933" t="s">
        <v>563</v>
      </c>
      <c r="FL11" s="1933" t="s">
        <v>652</v>
      </c>
      <c r="FM11" s="1933" t="s">
        <v>563</v>
      </c>
      <c r="FN11" s="1933" t="s">
        <v>652</v>
      </c>
      <c r="FO11" s="1933" t="s">
        <v>563</v>
      </c>
      <c r="FP11" s="1933" t="s">
        <v>652</v>
      </c>
      <c r="FQ11" s="1933" t="s">
        <v>563</v>
      </c>
      <c r="FR11" s="1933" t="s">
        <v>652</v>
      </c>
      <c r="FS11" s="1933" t="s">
        <v>563</v>
      </c>
      <c r="FT11" s="1933" t="s">
        <v>652</v>
      </c>
      <c r="FU11" s="1933" t="s">
        <v>563</v>
      </c>
      <c r="FV11" s="1933" t="s">
        <v>652</v>
      </c>
      <c r="FW11" s="1933" t="s">
        <v>563</v>
      </c>
      <c r="FX11" s="1933" t="s">
        <v>652</v>
      </c>
      <c r="FY11" s="1933" t="s">
        <v>563</v>
      </c>
      <c r="FZ11" s="1933" t="s">
        <v>652</v>
      </c>
      <c r="GA11" s="1933" t="s">
        <v>563</v>
      </c>
      <c r="GB11" s="1933" t="s">
        <v>652</v>
      </c>
      <c r="GC11" s="1933" t="s">
        <v>563</v>
      </c>
      <c r="GD11" s="1933" t="s">
        <v>652</v>
      </c>
      <c r="GE11" s="1933" t="s">
        <v>563</v>
      </c>
      <c r="GF11" s="1933" t="s">
        <v>652</v>
      </c>
      <c r="GG11" s="1933" t="s">
        <v>563</v>
      </c>
      <c r="GH11" s="1933" t="s">
        <v>652</v>
      </c>
      <c r="GI11" s="1933" t="s">
        <v>563</v>
      </c>
      <c r="GJ11" s="1933" t="s">
        <v>652</v>
      </c>
      <c r="GK11" s="1933" t="s">
        <v>563</v>
      </c>
      <c r="GL11" s="1933" t="s">
        <v>652</v>
      </c>
      <c r="GM11" s="3514"/>
      <c r="GN11" s="550"/>
    </row>
    <row r="12" spans="1:196" s="1866" customFormat="1" ht="10.5" customHeight="1">
      <c r="A12" s="824"/>
      <c r="D12" s="895" t="s">
        <v>106</v>
      </c>
      <c r="E12" s="895" t="s">
        <v>107</v>
      </c>
      <c r="F12" s="895" t="s">
        <v>87</v>
      </c>
      <c r="G12" s="896" t="str">
        <f>G1&amp;".1"</f>
        <v>4.1</v>
      </c>
      <c r="H12" s="896" t="str">
        <f>G1&amp;".2"</f>
        <v>4.2</v>
      </c>
      <c r="I12" s="896" t="str">
        <f>I1&amp;".1"</f>
        <v>4.1</v>
      </c>
      <c r="J12" s="896" t="str">
        <f>I1&amp;".2"</f>
        <v>4.2</v>
      </c>
      <c r="K12" s="1954" t="str">
        <f>K1&amp;".1"</f>
        <v>4.1</v>
      </c>
      <c r="L12" s="1954" t="str">
        <f>K1&amp;".2"</f>
        <v>4.2</v>
      </c>
      <c r="M12" s="1954" t="str">
        <f>M1&amp;".1"</f>
        <v>4.1</v>
      </c>
      <c r="N12" s="1954" t="str">
        <f>M1&amp;".2"</f>
        <v>4.2</v>
      </c>
      <c r="O12" s="1954" t="str">
        <f>O1&amp;".1"</f>
        <v>4.1</v>
      </c>
      <c r="P12" s="1954" t="str">
        <f>O1&amp;".2"</f>
        <v>4.2</v>
      </c>
      <c r="Q12" s="1954" t="str">
        <f>Q1&amp;".1"</f>
        <v>4.1</v>
      </c>
      <c r="R12" s="1954" t="str">
        <f>Q1&amp;".2"</f>
        <v>4.2</v>
      </c>
      <c r="S12" s="1954" t="str">
        <f>S1&amp;".1"</f>
        <v>4.1</v>
      </c>
      <c r="T12" s="1954" t="str">
        <f>S1&amp;".2"</f>
        <v>4.2</v>
      </c>
      <c r="U12" s="1954" t="str">
        <f>U1&amp;".1"</f>
        <v>4.1</v>
      </c>
      <c r="V12" s="1954" t="str">
        <f>U1&amp;".2"</f>
        <v>4.2</v>
      </c>
      <c r="W12" s="1954" t="str">
        <f>W1&amp;".1"</f>
        <v>4.1</v>
      </c>
      <c r="X12" s="1954" t="str">
        <f>W1&amp;".2"</f>
        <v>4.2</v>
      </c>
      <c r="Y12" s="1954" t="str">
        <f>Y1&amp;".1"</f>
        <v>4.1</v>
      </c>
      <c r="Z12" s="1954" t="str">
        <f>Y1&amp;".2"</f>
        <v>4.2</v>
      </c>
      <c r="AA12" s="1954" t="str">
        <f>AA1&amp;".1"</f>
        <v>4.1</v>
      </c>
      <c r="AB12" s="1954" t="str">
        <f>AA1&amp;".2"</f>
        <v>4.2</v>
      </c>
      <c r="AC12" s="1954" t="str">
        <f>AC1&amp;".1"</f>
        <v>4.1</v>
      </c>
      <c r="AD12" s="1954" t="str">
        <f>AC1&amp;".2"</f>
        <v>4.2</v>
      </c>
      <c r="AE12" s="1954" t="str">
        <f>AE1&amp;".1"</f>
        <v>4.1</v>
      </c>
      <c r="AF12" s="1954" t="str">
        <f>AE1&amp;".2"</f>
        <v>4.2</v>
      </c>
      <c r="AG12" s="1954" t="str">
        <f>AG1&amp;".1"</f>
        <v>4.1</v>
      </c>
      <c r="AH12" s="1954" t="str">
        <f>AG1&amp;".2"</f>
        <v>4.2</v>
      </c>
      <c r="AI12" s="1954" t="str">
        <f>AI1&amp;".1"</f>
        <v>4.1</v>
      </c>
      <c r="AJ12" s="1954" t="str">
        <f>AI1&amp;".2"</f>
        <v>4.2</v>
      </c>
      <c r="AK12" s="1954" t="str">
        <f>AK1&amp;".1"</f>
        <v>4.1</v>
      </c>
      <c r="AL12" s="1954" t="str">
        <f>AK1&amp;".2"</f>
        <v>4.2</v>
      </c>
      <c r="AM12" s="1954" t="str">
        <f>AM1&amp;".1"</f>
        <v>4.1</v>
      </c>
      <c r="AN12" s="1954" t="str">
        <f>AM1&amp;".2"</f>
        <v>4.2</v>
      </c>
      <c r="AO12" s="1954" t="str">
        <f>AO1&amp;".1"</f>
        <v>4.1</v>
      </c>
      <c r="AP12" s="1954" t="str">
        <f>AO1&amp;".2"</f>
        <v>4.2</v>
      </c>
      <c r="AQ12" s="1954" t="str">
        <f>AQ1&amp;".1"</f>
        <v>4.1</v>
      </c>
      <c r="AR12" s="1954" t="str">
        <f>AQ1&amp;".2"</f>
        <v>4.2</v>
      </c>
      <c r="AS12" s="1954" t="str">
        <f>AS1&amp;".1"</f>
        <v>4.1</v>
      </c>
      <c r="AT12" s="1954" t="str">
        <f>AS1&amp;".2"</f>
        <v>4.2</v>
      </c>
      <c r="AU12" s="1954" t="str">
        <f>AU1&amp;".1"</f>
        <v>4.1</v>
      </c>
      <c r="AV12" s="1954" t="str">
        <f>AU1&amp;".2"</f>
        <v>4.2</v>
      </c>
      <c r="AW12" s="1954" t="str">
        <f>AW1&amp;".1"</f>
        <v>4.1</v>
      </c>
      <c r="AX12" s="1954" t="str">
        <f>AW1&amp;".2"</f>
        <v>4.2</v>
      </c>
      <c r="AY12" s="1954" t="str">
        <f>AY1&amp;".1"</f>
        <v>4.1</v>
      </c>
      <c r="AZ12" s="1954" t="str">
        <f>AY1&amp;".2"</f>
        <v>4.2</v>
      </c>
      <c r="BA12" s="1954" t="str">
        <f>BA1&amp;".1"</f>
        <v>4.1</v>
      </c>
      <c r="BB12" s="1954" t="str">
        <f>BA1&amp;".2"</f>
        <v>4.2</v>
      </c>
      <c r="BC12" s="1954" t="str">
        <f>BC1&amp;".1"</f>
        <v>4.1</v>
      </c>
      <c r="BD12" s="1954" t="str">
        <f>BC1&amp;".2"</f>
        <v>4.2</v>
      </c>
      <c r="BE12" s="1954" t="str">
        <f>BE1&amp;".1"</f>
        <v>4.1</v>
      </c>
      <c r="BF12" s="1954" t="str">
        <f>BE1&amp;".2"</f>
        <v>4.2</v>
      </c>
      <c r="BG12" s="1954" t="str">
        <f>BG1&amp;".1"</f>
        <v>4.1</v>
      </c>
      <c r="BH12" s="1954" t="str">
        <f>BG1&amp;".2"</f>
        <v>4.2</v>
      </c>
      <c r="BI12" s="1954" t="str">
        <f>BI1&amp;".1"</f>
        <v>4.1</v>
      </c>
      <c r="BJ12" s="1954" t="str">
        <f>BI1&amp;".2"</f>
        <v>4.2</v>
      </c>
      <c r="BK12" s="1954" t="str">
        <f>BK1&amp;".1"</f>
        <v>4.1</v>
      </c>
      <c r="BL12" s="1954" t="str">
        <f>BK1&amp;".2"</f>
        <v>4.2</v>
      </c>
      <c r="BM12" s="1954" t="str">
        <f>BM1&amp;".1"</f>
        <v>4.1</v>
      </c>
      <c r="BN12" s="1954" t="str">
        <f>BM1&amp;".2"</f>
        <v>4.2</v>
      </c>
      <c r="BO12" s="1954" t="str">
        <f>BO1&amp;".1"</f>
        <v>4.1</v>
      </c>
      <c r="BP12" s="1954" t="str">
        <f>BO1&amp;".2"</f>
        <v>4.2</v>
      </c>
      <c r="BQ12" s="1954" t="str">
        <f>BQ1&amp;".1"</f>
        <v>4.1</v>
      </c>
      <c r="BR12" s="1954" t="str">
        <f>BQ1&amp;".2"</f>
        <v>4.2</v>
      </c>
      <c r="BS12" s="1954" t="str">
        <f>BS1&amp;".1"</f>
        <v>4.1</v>
      </c>
      <c r="BT12" s="1954" t="str">
        <f>BS1&amp;".2"</f>
        <v>4.2</v>
      </c>
      <c r="BU12" s="1954" t="str">
        <f>BU1&amp;".1"</f>
        <v>4.1</v>
      </c>
      <c r="BV12" s="1954" t="str">
        <f>BU1&amp;".2"</f>
        <v>4.2</v>
      </c>
      <c r="BW12" s="1954" t="str">
        <f>BW1&amp;".1"</f>
        <v>4.1</v>
      </c>
      <c r="BX12" s="1954" t="str">
        <f>BW1&amp;".2"</f>
        <v>4.2</v>
      </c>
      <c r="BY12" s="1954" t="str">
        <f>BY1&amp;".1"</f>
        <v>4.1</v>
      </c>
      <c r="BZ12" s="1954" t="str">
        <f>BY1&amp;".2"</f>
        <v>4.2</v>
      </c>
      <c r="CA12" s="1954" t="str">
        <f>CA1&amp;".1"</f>
        <v>4.1</v>
      </c>
      <c r="CB12" s="1954" t="str">
        <f>CA1&amp;".2"</f>
        <v>4.2</v>
      </c>
      <c r="CC12" s="1954" t="str">
        <f>CC1&amp;".1"</f>
        <v>4.1</v>
      </c>
      <c r="CD12" s="1954" t="str">
        <f>CC1&amp;".2"</f>
        <v>4.2</v>
      </c>
      <c r="CE12" s="1954" t="str">
        <f>CE1&amp;".1"</f>
        <v>4.1</v>
      </c>
      <c r="CF12" s="1954" t="str">
        <f>CE1&amp;".2"</f>
        <v>4.2</v>
      </c>
      <c r="CG12" s="1954" t="str">
        <f>CG1&amp;".1"</f>
        <v>4.1</v>
      </c>
      <c r="CH12" s="1954" t="str">
        <f>CG1&amp;".2"</f>
        <v>4.2</v>
      </c>
      <c r="CI12" s="1954" t="str">
        <f>CI1&amp;".1"</f>
        <v>4.1</v>
      </c>
      <c r="CJ12" s="1954" t="str">
        <f>CI1&amp;".2"</f>
        <v>4.2</v>
      </c>
      <c r="CK12" s="1954" t="str">
        <f>CK1&amp;".1"</f>
        <v>4.1</v>
      </c>
      <c r="CL12" s="1954" t="str">
        <f>CK1&amp;".2"</f>
        <v>4.2</v>
      </c>
      <c r="CM12" s="1954" t="str">
        <f>CM1&amp;".1"</f>
        <v>4.1</v>
      </c>
      <c r="CN12" s="1954" t="str">
        <f>CM1&amp;".2"</f>
        <v>4.2</v>
      </c>
      <c r="CO12" s="1954" t="str">
        <f>CO1&amp;".1"</f>
        <v>4.1</v>
      </c>
      <c r="CP12" s="1954" t="str">
        <f>CO1&amp;".2"</f>
        <v>4.2</v>
      </c>
      <c r="CQ12" s="1954" t="str">
        <f>CQ1&amp;".1"</f>
        <v>4.1</v>
      </c>
      <c r="CR12" s="1954" t="str">
        <f>CQ1&amp;".2"</f>
        <v>4.2</v>
      </c>
      <c r="CS12" s="1954" t="str">
        <f>CS1&amp;".1"</f>
        <v>4.1</v>
      </c>
      <c r="CT12" s="1954" t="str">
        <f>CS1&amp;".2"</f>
        <v>4.2</v>
      </c>
      <c r="CU12" s="1954" t="str">
        <f>CU1&amp;".1"</f>
        <v>4.1</v>
      </c>
      <c r="CV12" s="1954" t="str">
        <f>CU1&amp;".2"</f>
        <v>4.2</v>
      </c>
      <c r="CW12" s="1954" t="str">
        <f>CW1&amp;".1"</f>
        <v>4.1</v>
      </c>
      <c r="CX12" s="1954" t="str">
        <f>CW1&amp;".2"</f>
        <v>4.2</v>
      </c>
      <c r="CY12" s="1954" t="str">
        <f>CY1&amp;".1"</f>
        <v>4.1</v>
      </c>
      <c r="CZ12" s="1954" t="str">
        <f>CY1&amp;".2"</f>
        <v>4.2</v>
      </c>
      <c r="DA12" s="1954" t="str">
        <f>DA1&amp;".1"</f>
        <v>4.1</v>
      </c>
      <c r="DB12" s="1954" t="str">
        <f>DA1&amp;".2"</f>
        <v>4.2</v>
      </c>
      <c r="DC12" s="1954" t="str">
        <f>DC1&amp;".1"</f>
        <v>4.1</v>
      </c>
      <c r="DD12" s="1954" t="str">
        <f>DC1&amp;".2"</f>
        <v>4.2</v>
      </c>
      <c r="DE12" s="1954" t="str">
        <f>DE1&amp;".1"</f>
        <v>4.1</v>
      </c>
      <c r="DF12" s="1954" t="str">
        <f>DE1&amp;".2"</f>
        <v>4.2</v>
      </c>
      <c r="DG12" s="1954" t="str">
        <f>DG1&amp;".1"</f>
        <v>4.1</v>
      </c>
      <c r="DH12" s="1954" t="str">
        <f>DG1&amp;".2"</f>
        <v>4.2</v>
      </c>
      <c r="DI12" s="1954" t="str">
        <f>DI1&amp;".1"</f>
        <v>4.1</v>
      </c>
      <c r="DJ12" s="1954" t="str">
        <f>DI1&amp;".2"</f>
        <v>4.2</v>
      </c>
      <c r="DK12" s="1954" t="str">
        <f>DK1&amp;".1"</f>
        <v>4.1</v>
      </c>
      <c r="DL12" s="1954" t="str">
        <f>DK1&amp;".2"</f>
        <v>4.2</v>
      </c>
      <c r="DM12" s="1954" t="str">
        <f>DM1&amp;".1"</f>
        <v>4.1</v>
      </c>
      <c r="DN12" s="1954" t="str">
        <f>DM1&amp;".2"</f>
        <v>4.2</v>
      </c>
      <c r="DO12" s="1954" t="str">
        <f>DO1&amp;".1"</f>
        <v>4.1</v>
      </c>
      <c r="DP12" s="1954" t="str">
        <f>DO1&amp;".2"</f>
        <v>4.2</v>
      </c>
      <c r="DQ12" s="1954" t="str">
        <f>DQ1&amp;".1"</f>
        <v>4.1</v>
      </c>
      <c r="DR12" s="1954" t="str">
        <f>DQ1&amp;".2"</f>
        <v>4.2</v>
      </c>
      <c r="DS12" s="1954" t="str">
        <f>DS1&amp;".1"</f>
        <v>4.1</v>
      </c>
      <c r="DT12" s="1954" t="str">
        <f>DS1&amp;".2"</f>
        <v>4.2</v>
      </c>
      <c r="DU12" s="1954" t="str">
        <f>DU1&amp;".1"</f>
        <v>4.1</v>
      </c>
      <c r="DV12" s="1954" t="str">
        <f>DU1&amp;".2"</f>
        <v>4.2</v>
      </c>
      <c r="DW12" s="1954" t="str">
        <f>DW1&amp;".1"</f>
        <v>4.1</v>
      </c>
      <c r="DX12" s="1954" t="str">
        <f>DW1&amp;".2"</f>
        <v>4.2</v>
      </c>
      <c r="DY12" s="1954" t="str">
        <f>DY1&amp;".1"</f>
        <v>4.1</v>
      </c>
      <c r="DZ12" s="1954" t="str">
        <f>DY1&amp;".2"</f>
        <v>4.2</v>
      </c>
      <c r="EA12" s="1954" t="str">
        <f>EA1&amp;".1"</f>
        <v>4.1</v>
      </c>
      <c r="EB12" s="1954" t="str">
        <f>EA1&amp;".2"</f>
        <v>4.2</v>
      </c>
      <c r="EC12" s="1954" t="str">
        <f>EC1&amp;".1"</f>
        <v>4.1</v>
      </c>
      <c r="ED12" s="1954" t="str">
        <f>EC1&amp;".2"</f>
        <v>4.2</v>
      </c>
      <c r="EE12" s="1954" t="str">
        <f>EE1&amp;".1"</f>
        <v>4.1</v>
      </c>
      <c r="EF12" s="1954" t="str">
        <f>EE1&amp;".2"</f>
        <v>4.2</v>
      </c>
      <c r="EG12" s="1954" t="str">
        <f>EG1&amp;".1"</f>
        <v>4.1</v>
      </c>
      <c r="EH12" s="1954" t="str">
        <f>EG1&amp;".2"</f>
        <v>4.2</v>
      </c>
      <c r="EI12" s="1954" t="str">
        <f>EI1&amp;".1"</f>
        <v>4.1</v>
      </c>
      <c r="EJ12" s="1954" t="str">
        <f>EI1&amp;".2"</f>
        <v>4.2</v>
      </c>
      <c r="EK12" s="1954" t="str">
        <f>EK1&amp;".1"</f>
        <v>4.1</v>
      </c>
      <c r="EL12" s="1954" t="str">
        <f>EK1&amp;".2"</f>
        <v>4.2</v>
      </c>
      <c r="EM12" s="1954" t="str">
        <f>EM1&amp;".1"</f>
        <v>4.1</v>
      </c>
      <c r="EN12" s="1954" t="str">
        <f>EM1&amp;".2"</f>
        <v>4.2</v>
      </c>
      <c r="EO12" s="1954" t="str">
        <f>EO1&amp;".1"</f>
        <v>4.1</v>
      </c>
      <c r="EP12" s="1954" t="str">
        <f>EO1&amp;".2"</f>
        <v>4.2</v>
      </c>
      <c r="EQ12" s="1954" t="str">
        <f>EQ1&amp;".1"</f>
        <v>4.1</v>
      </c>
      <c r="ER12" s="1954" t="str">
        <f>EQ1&amp;".2"</f>
        <v>4.2</v>
      </c>
      <c r="ES12" s="1954" t="str">
        <f>ES1&amp;".1"</f>
        <v>4.1</v>
      </c>
      <c r="ET12" s="1954" t="str">
        <f>ES1&amp;".2"</f>
        <v>4.2</v>
      </c>
      <c r="EU12" s="1954" t="str">
        <f>EU1&amp;".1"</f>
        <v>4.1</v>
      </c>
      <c r="EV12" s="1954" t="str">
        <f>EU1&amp;".2"</f>
        <v>4.2</v>
      </c>
      <c r="EW12" s="1954" t="str">
        <f>EW1&amp;".1"</f>
        <v>4.1</v>
      </c>
      <c r="EX12" s="1954" t="str">
        <f>EW1&amp;".2"</f>
        <v>4.2</v>
      </c>
      <c r="EY12" s="1954" t="str">
        <f>EY1&amp;".1"</f>
        <v>4.1</v>
      </c>
      <c r="EZ12" s="1954" t="str">
        <f>EY1&amp;".2"</f>
        <v>4.2</v>
      </c>
      <c r="FA12" s="1954" t="str">
        <f>FA1&amp;".1"</f>
        <v>4.1</v>
      </c>
      <c r="FB12" s="1954" t="str">
        <f>FA1&amp;".2"</f>
        <v>4.2</v>
      </c>
      <c r="FC12" s="1954" t="str">
        <f>FC1&amp;".1"</f>
        <v>4.1</v>
      </c>
      <c r="FD12" s="1954" t="str">
        <f>FC1&amp;".2"</f>
        <v>4.2</v>
      </c>
      <c r="FE12" s="1954" t="str">
        <f>FE1&amp;".1"</f>
        <v>4.1</v>
      </c>
      <c r="FF12" s="1954" t="str">
        <f>FE1&amp;".2"</f>
        <v>4.2</v>
      </c>
      <c r="FG12" s="1954" t="str">
        <f>FG1&amp;".1"</f>
        <v>4.1</v>
      </c>
      <c r="FH12" s="1954" t="str">
        <f>FG1&amp;".2"</f>
        <v>4.2</v>
      </c>
      <c r="FI12" s="1954" t="str">
        <f>FI1&amp;".1"</f>
        <v>4.1</v>
      </c>
      <c r="FJ12" s="1954" t="str">
        <f>FI1&amp;".2"</f>
        <v>4.2</v>
      </c>
      <c r="FK12" s="1954" t="str">
        <f>FK1&amp;".1"</f>
        <v>4.1</v>
      </c>
      <c r="FL12" s="1954" t="str">
        <f>FK1&amp;".2"</f>
        <v>4.2</v>
      </c>
      <c r="FM12" s="1954" t="str">
        <f>FM1&amp;".1"</f>
        <v>4.1</v>
      </c>
      <c r="FN12" s="1954" t="str">
        <f>FM1&amp;".2"</f>
        <v>4.2</v>
      </c>
      <c r="FO12" s="1954" t="str">
        <f>FO1&amp;".1"</f>
        <v>4.1</v>
      </c>
      <c r="FP12" s="1954" t="str">
        <f>FO1&amp;".2"</f>
        <v>4.2</v>
      </c>
      <c r="FQ12" s="1954" t="str">
        <f>FQ1&amp;".1"</f>
        <v>4.1</v>
      </c>
      <c r="FR12" s="1954" t="str">
        <f>FQ1&amp;".2"</f>
        <v>4.2</v>
      </c>
      <c r="FS12" s="1954" t="str">
        <f>FS1&amp;".1"</f>
        <v>4.1</v>
      </c>
      <c r="FT12" s="1954" t="str">
        <f>FS1&amp;".2"</f>
        <v>4.2</v>
      </c>
      <c r="FU12" s="1954" t="str">
        <f>FU1&amp;".1"</f>
        <v>4.1</v>
      </c>
      <c r="FV12" s="1954" t="str">
        <f>FU1&amp;".2"</f>
        <v>4.2</v>
      </c>
      <c r="FW12" s="1954" t="str">
        <f>FW1&amp;".1"</f>
        <v>4.1</v>
      </c>
      <c r="FX12" s="1954" t="str">
        <f>FW1&amp;".2"</f>
        <v>4.2</v>
      </c>
      <c r="FY12" s="1954" t="str">
        <f>FY1&amp;".1"</f>
        <v>4.1</v>
      </c>
      <c r="FZ12" s="1954" t="str">
        <f>FY1&amp;".2"</f>
        <v>4.2</v>
      </c>
      <c r="GA12" s="1954" t="str">
        <f>GA1&amp;".1"</f>
        <v>4.1</v>
      </c>
      <c r="GB12" s="1954" t="str">
        <f>GA1&amp;".2"</f>
        <v>4.2</v>
      </c>
      <c r="GC12" s="1954" t="str">
        <f>GC1&amp;".1"</f>
        <v>4.1</v>
      </c>
      <c r="GD12" s="1954" t="str">
        <f>GC1&amp;".2"</f>
        <v>4.2</v>
      </c>
      <c r="GE12" s="1954" t="str">
        <f>GE1&amp;".1"</f>
        <v>4.1</v>
      </c>
      <c r="GF12" s="1954" t="str">
        <f>GE1&amp;".2"</f>
        <v>4.2</v>
      </c>
      <c r="GG12" s="1954" t="str">
        <f>GG1&amp;".1"</f>
        <v>4.1</v>
      </c>
      <c r="GH12" s="1954" t="str">
        <f>GG1&amp;".2"</f>
        <v>4.2</v>
      </c>
      <c r="GI12" s="1954" t="str">
        <f>GI1&amp;".1"</f>
        <v>4.1</v>
      </c>
      <c r="GJ12" s="1954" t="str">
        <f>GI1&amp;".2"</f>
        <v>4.2</v>
      </c>
      <c r="GK12" s="1954" t="str">
        <f>GK1&amp;".1"</f>
        <v>4.1</v>
      </c>
      <c r="GL12" s="1954" t="str">
        <f>GK1&amp;".2"</f>
        <v>4.2</v>
      </c>
      <c r="GM12" s="896"/>
    </row>
    <row r="13" spans="1:196" ht="22.5" customHeight="1">
      <c r="A13" s="3628" t="s">
        <v>1079</v>
      </c>
      <c r="D13" s="825" t="s">
        <v>106</v>
      </c>
      <c r="E13" s="192" t="s">
        <v>1080</v>
      </c>
      <c r="F13" s="552" t="s">
        <v>1081</v>
      </c>
      <c r="G13" s="454"/>
      <c r="H13" s="553"/>
      <c r="I13" s="454"/>
      <c r="J13" s="553"/>
      <c r="K13" s="1848"/>
      <c r="L13" s="1870"/>
      <c r="M13" s="1848"/>
      <c r="N13" s="1870"/>
      <c r="O13" s="1848"/>
      <c r="P13" s="1870"/>
      <c r="Q13" s="1848"/>
      <c r="R13" s="1870"/>
      <c r="S13" s="1848"/>
      <c r="T13" s="1870"/>
      <c r="U13" s="1848"/>
      <c r="V13" s="1870"/>
      <c r="W13" s="1848"/>
      <c r="X13" s="1870"/>
      <c r="Y13" s="1848"/>
      <c r="Z13" s="1870"/>
      <c r="AA13" s="1848"/>
      <c r="AB13" s="1870"/>
      <c r="AC13" s="1848"/>
      <c r="AD13" s="1870"/>
      <c r="AE13" s="1848"/>
      <c r="AF13" s="1870"/>
      <c r="AG13" s="1848"/>
      <c r="AH13" s="1870"/>
      <c r="AI13" s="1848"/>
      <c r="AJ13" s="1870"/>
      <c r="AK13" s="1848"/>
      <c r="AL13" s="1870"/>
      <c r="AM13" s="1848"/>
      <c r="AN13" s="1870"/>
      <c r="AO13" s="1848"/>
      <c r="AP13" s="1870"/>
      <c r="AQ13" s="1848"/>
      <c r="AR13" s="1870"/>
      <c r="AS13" s="1848"/>
      <c r="AT13" s="1870"/>
      <c r="AU13" s="1848"/>
      <c r="AV13" s="1870"/>
      <c r="AW13" s="1848"/>
      <c r="AX13" s="1870"/>
      <c r="AY13" s="1848"/>
      <c r="AZ13" s="1870"/>
      <c r="BA13" s="1848"/>
      <c r="BB13" s="1870"/>
      <c r="BC13" s="1848"/>
      <c r="BD13" s="1870"/>
      <c r="BE13" s="1848"/>
      <c r="BF13" s="1870"/>
      <c r="BG13" s="1848"/>
      <c r="BH13" s="1870"/>
      <c r="BI13" s="1848"/>
      <c r="BJ13" s="1870"/>
      <c r="BK13" s="1848"/>
      <c r="BL13" s="1870"/>
      <c r="BM13" s="1848"/>
      <c r="BN13" s="1870"/>
      <c r="BO13" s="1848"/>
      <c r="BP13" s="1870"/>
      <c r="BQ13" s="1848"/>
      <c r="BR13" s="1870"/>
      <c r="BS13" s="1848"/>
      <c r="BT13" s="1870"/>
      <c r="BU13" s="1848"/>
      <c r="BV13" s="1870"/>
      <c r="BW13" s="1848"/>
      <c r="BX13" s="1870"/>
      <c r="BY13" s="1848"/>
      <c r="BZ13" s="1870"/>
      <c r="CA13" s="1848"/>
      <c r="CB13" s="1870"/>
      <c r="CC13" s="1848"/>
      <c r="CD13" s="1870"/>
      <c r="CE13" s="1848"/>
      <c r="CF13" s="1870"/>
      <c r="CG13" s="1848"/>
      <c r="CH13" s="1870"/>
      <c r="CI13" s="1848"/>
      <c r="CJ13" s="1870"/>
      <c r="CK13" s="1848"/>
      <c r="CL13" s="1870"/>
      <c r="CM13" s="1848"/>
      <c r="CN13" s="1870"/>
      <c r="CO13" s="1848"/>
      <c r="CP13" s="1870"/>
      <c r="CQ13" s="1848"/>
      <c r="CR13" s="1870"/>
      <c r="CS13" s="1848"/>
      <c r="CT13" s="1870"/>
      <c r="CU13" s="1848"/>
      <c r="CV13" s="1870"/>
      <c r="CW13" s="1848"/>
      <c r="CX13" s="1870"/>
      <c r="CY13" s="1848"/>
      <c r="CZ13" s="1870"/>
      <c r="DA13" s="1848"/>
      <c r="DB13" s="1870"/>
      <c r="DC13" s="1848"/>
      <c r="DD13" s="1870"/>
      <c r="DE13" s="1848"/>
      <c r="DF13" s="1870"/>
      <c r="DG13" s="1848"/>
      <c r="DH13" s="1870"/>
      <c r="DI13" s="1848"/>
      <c r="DJ13" s="1870"/>
      <c r="DK13" s="1848"/>
      <c r="DL13" s="1870"/>
      <c r="DM13" s="1848"/>
      <c r="DN13" s="1870"/>
      <c r="DO13" s="1848"/>
      <c r="DP13" s="1870"/>
      <c r="DQ13" s="1848"/>
      <c r="DR13" s="1870"/>
      <c r="DS13" s="1848"/>
      <c r="DT13" s="1870"/>
      <c r="DU13" s="1848"/>
      <c r="DV13" s="1870"/>
      <c r="DW13" s="1848"/>
      <c r="DX13" s="1870"/>
      <c r="DY13" s="1848"/>
      <c r="DZ13" s="1870"/>
      <c r="EA13" s="1848"/>
      <c r="EB13" s="1870"/>
      <c r="EC13" s="1848"/>
      <c r="ED13" s="1870"/>
      <c r="EE13" s="1848"/>
      <c r="EF13" s="1870"/>
      <c r="EG13" s="1848"/>
      <c r="EH13" s="1870"/>
      <c r="EI13" s="1848"/>
      <c r="EJ13" s="1870"/>
      <c r="EK13" s="1848"/>
      <c r="EL13" s="1870"/>
      <c r="EM13" s="1848"/>
      <c r="EN13" s="1870"/>
      <c r="EO13" s="1848"/>
      <c r="EP13" s="1870"/>
      <c r="EQ13" s="1848"/>
      <c r="ER13" s="1870"/>
      <c r="ES13" s="1848"/>
      <c r="ET13" s="1870"/>
      <c r="EU13" s="1848"/>
      <c r="EV13" s="1870"/>
      <c r="EW13" s="1848"/>
      <c r="EX13" s="1870"/>
      <c r="EY13" s="1848"/>
      <c r="EZ13" s="1870"/>
      <c r="FA13" s="1848"/>
      <c r="FB13" s="1870"/>
      <c r="FC13" s="1848"/>
      <c r="FD13" s="1870"/>
      <c r="FE13" s="1848"/>
      <c r="FF13" s="1870"/>
      <c r="FG13" s="1848"/>
      <c r="FH13" s="1870"/>
      <c r="FI13" s="1848"/>
      <c r="FJ13" s="1870"/>
      <c r="FK13" s="1848"/>
      <c r="FL13" s="1870"/>
      <c r="FM13" s="1848"/>
      <c r="FN13" s="1870"/>
      <c r="FO13" s="1848"/>
      <c r="FP13" s="1870"/>
      <c r="FQ13" s="1848"/>
      <c r="FR13" s="1870"/>
      <c r="FS13" s="1848"/>
      <c r="FT13" s="1870"/>
      <c r="FU13" s="1848"/>
      <c r="FV13" s="1870"/>
      <c r="FW13" s="1848"/>
      <c r="FX13" s="1870"/>
      <c r="FY13" s="1848"/>
      <c r="FZ13" s="1870"/>
      <c r="GA13" s="1848"/>
      <c r="GB13" s="1870"/>
      <c r="GC13" s="1848"/>
      <c r="GD13" s="1870"/>
      <c r="GE13" s="1848"/>
      <c r="GF13" s="1870"/>
      <c r="GG13" s="1848"/>
      <c r="GH13" s="1870"/>
      <c r="GI13" s="1848"/>
      <c r="GJ13" s="1870"/>
      <c r="GK13" s="1848"/>
      <c r="GL13" s="1870"/>
      <c r="GM13" s="201" t="s">
        <v>1082</v>
      </c>
      <c r="GN13" s="610"/>
    </row>
    <row r="14" spans="1:196" ht="22.5" customHeight="1">
      <c r="A14" s="3628"/>
      <c r="D14" s="436" t="s">
        <v>107</v>
      </c>
      <c r="E14" s="192" t="s">
        <v>1083</v>
      </c>
      <c r="F14" s="552" t="s">
        <v>1084</v>
      </c>
      <c r="G14" s="454"/>
      <c r="H14" s="554"/>
      <c r="I14" s="454"/>
      <c r="J14" s="554"/>
      <c r="K14" s="1848"/>
      <c r="L14" s="1870"/>
      <c r="M14" s="1848"/>
      <c r="N14" s="1870"/>
      <c r="O14" s="1848"/>
      <c r="P14" s="1870"/>
      <c r="Q14" s="1848"/>
      <c r="R14" s="1870"/>
      <c r="S14" s="1848"/>
      <c r="T14" s="1870"/>
      <c r="U14" s="1848"/>
      <c r="V14" s="1870"/>
      <c r="W14" s="1848"/>
      <c r="X14" s="1870"/>
      <c r="Y14" s="1848"/>
      <c r="Z14" s="1870"/>
      <c r="AA14" s="1848"/>
      <c r="AB14" s="1870"/>
      <c r="AC14" s="1848"/>
      <c r="AD14" s="1870"/>
      <c r="AE14" s="1848"/>
      <c r="AF14" s="1870"/>
      <c r="AG14" s="1848"/>
      <c r="AH14" s="1870"/>
      <c r="AI14" s="1848"/>
      <c r="AJ14" s="1870"/>
      <c r="AK14" s="1848"/>
      <c r="AL14" s="1870"/>
      <c r="AM14" s="1848"/>
      <c r="AN14" s="1870"/>
      <c r="AO14" s="1848"/>
      <c r="AP14" s="1870"/>
      <c r="AQ14" s="1848"/>
      <c r="AR14" s="1870"/>
      <c r="AS14" s="1848"/>
      <c r="AT14" s="1870"/>
      <c r="AU14" s="1848"/>
      <c r="AV14" s="1870"/>
      <c r="AW14" s="1848"/>
      <c r="AX14" s="1870"/>
      <c r="AY14" s="1848"/>
      <c r="AZ14" s="1870"/>
      <c r="BA14" s="1848"/>
      <c r="BB14" s="1870"/>
      <c r="BC14" s="1848"/>
      <c r="BD14" s="1870"/>
      <c r="BE14" s="1848"/>
      <c r="BF14" s="1870"/>
      <c r="BG14" s="1848"/>
      <c r="BH14" s="1870"/>
      <c r="BI14" s="1848"/>
      <c r="BJ14" s="1870"/>
      <c r="BK14" s="1848"/>
      <c r="BL14" s="1870"/>
      <c r="BM14" s="1848"/>
      <c r="BN14" s="1870"/>
      <c r="BO14" s="1848"/>
      <c r="BP14" s="1870"/>
      <c r="BQ14" s="1848"/>
      <c r="BR14" s="1870"/>
      <c r="BS14" s="1848"/>
      <c r="BT14" s="1870"/>
      <c r="BU14" s="1848"/>
      <c r="BV14" s="1870"/>
      <c r="BW14" s="1848"/>
      <c r="BX14" s="1870"/>
      <c r="BY14" s="1848"/>
      <c r="BZ14" s="1870"/>
      <c r="CA14" s="1848"/>
      <c r="CB14" s="1870"/>
      <c r="CC14" s="1848"/>
      <c r="CD14" s="1870"/>
      <c r="CE14" s="1848"/>
      <c r="CF14" s="1870"/>
      <c r="CG14" s="1848"/>
      <c r="CH14" s="1870"/>
      <c r="CI14" s="1848"/>
      <c r="CJ14" s="1870"/>
      <c r="CK14" s="1848"/>
      <c r="CL14" s="1870"/>
      <c r="CM14" s="1848"/>
      <c r="CN14" s="1870"/>
      <c r="CO14" s="1848"/>
      <c r="CP14" s="1870"/>
      <c r="CQ14" s="1848"/>
      <c r="CR14" s="1870"/>
      <c r="CS14" s="1848"/>
      <c r="CT14" s="1870"/>
      <c r="CU14" s="1848"/>
      <c r="CV14" s="1870"/>
      <c r="CW14" s="1848"/>
      <c r="CX14" s="1870"/>
      <c r="CY14" s="1848"/>
      <c r="CZ14" s="1870"/>
      <c r="DA14" s="1848"/>
      <c r="DB14" s="1870"/>
      <c r="DC14" s="1848"/>
      <c r="DD14" s="1870"/>
      <c r="DE14" s="1848"/>
      <c r="DF14" s="1870"/>
      <c r="DG14" s="1848"/>
      <c r="DH14" s="1870"/>
      <c r="DI14" s="1848"/>
      <c r="DJ14" s="1870"/>
      <c r="DK14" s="1848"/>
      <c r="DL14" s="1870"/>
      <c r="DM14" s="1848"/>
      <c r="DN14" s="1870"/>
      <c r="DO14" s="1848"/>
      <c r="DP14" s="1870"/>
      <c r="DQ14" s="1848"/>
      <c r="DR14" s="1870"/>
      <c r="DS14" s="1848"/>
      <c r="DT14" s="1870"/>
      <c r="DU14" s="1848"/>
      <c r="DV14" s="1870"/>
      <c r="DW14" s="1848"/>
      <c r="DX14" s="1870"/>
      <c r="DY14" s="1848"/>
      <c r="DZ14" s="1870"/>
      <c r="EA14" s="1848"/>
      <c r="EB14" s="1870"/>
      <c r="EC14" s="1848"/>
      <c r="ED14" s="1870"/>
      <c r="EE14" s="1848"/>
      <c r="EF14" s="1870"/>
      <c r="EG14" s="1848"/>
      <c r="EH14" s="1870"/>
      <c r="EI14" s="1848"/>
      <c r="EJ14" s="1870"/>
      <c r="EK14" s="1848"/>
      <c r="EL14" s="1870"/>
      <c r="EM14" s="1848"/>
      <c r="EN14" s="1870"/>
      <c r="EO14" s="1848"/>
      <c r="EP14" s="1870"/>
      <c r="EQ14" s="1848"/>
      <c r="ER14" s="1870"/>
      <c r="ES14" s="1848"/>
      <c r="ET14" s="1870"/>
      <c r="EU14" s="1848"/>
      <c r="EV14" s="1870"/>
      <c r="EW14" s="1848"/>
      <c r="EX14" s="1870"/>
      <c r="EY14" s="1848"/>
      <c r="EZ14" s="1870"/>
      <c r="FA14" s="1848"/>
      <c r="FB14" s="1870"/>
      <c r="FC14" s="1848"/>
      <c r="FD14" s="1870"/>
      <c r="FE14" s="1848"/>
      <c r="FF14" s="1870"/>
      <c r="FG14" s="1848"/>
      <c r="FH14" s="1870"/>
      <c r="FI14" s="1848"/>
      <c r="FJ14" s="1870"/>
      <c r="FK14" s="1848"/>
      <c r="FL14" s="1870"/>
      <c r="FM14" s="1848"/>
      <c r="FN14" s="1870"/>
      <c r="FO14" s="1848"/>
      <c r="FP14" s="1870"/>
      <c r="FQ14" s="1848"/>
      <c r="FR14" s="1870"/>
      <c r="FS14" s="1848"/>
      <c r="FT14" s="1870"/>
      <c r="FU14" s="1848"/>
      <c r="FV14" s="1870"/>
      <c r="FW14" s="1848"/>
      <c r="FX14" s="1870"/>
      <c r="FY14" s="1848"/>
      <c r="FZ14" s="1870"/>
      <c r="GA14" s="1848"/>
      <c r="GB14" s="1870"/>
      <c r="GC14" s="1848"/>
      <c r="GD14" s="1870"/>
      <c r="GE14" s="1848"/>
      <c r="GF14" s="1870"/>
      <c r="GG14" s="1848"/>
      <c r="GH14" s="1870"/>
      <c r="GI14" s="1848"/>
      <c r="GJ14" s="1870"/>
      <c r="GK14" s="1848"/>
      <c r="GL14" s="1870"/>
      <c r="GM14" s="201" t="s">
        <v>1085</v>
      </c>
      <c r="GN14" s="610"/>
    </row>
    <row r="15" spans="1:196" s="1910" customFormat="1" ht="78.75" customHeight="1">
      <c r="A15" s="3628"/>
      <c r="B15" s="409"/>
      <c r="D15" s="825" t="s">
        <v>87</v>
      </c>
      <c r="E15" s="597" t="s">
        <v>1086</v>
      </c>
      <c r="F15" s="822" t="s">
        <v>566</v>
      </c>
      <c r="G15" s="822" t="s">
        <v>566</v>
      </c>
      <c r="H15" s="33"/>
      <c r="I15" s="822" t="s">
        <v>566</v>
      </c>
      <c r="J15" s="33"/>
      <c r="K15" s="1933" t="s">
        <v>566</v>
      </c>
      <c r="L15" s="1942"/>
      <c r="M15" s="1933" t="s">
        <v>566</v>
      </c>
      <c r="N15" s="1942"/>
      <c r="O15" s="1933" t="s">
        <v>566</v>
      </c>
      <c r="P15" s="1942"/>
      <c r="Q15" s="1933" t="s">
        <v>566</v>
      </c>
      <c r="R15" s="1942"/>
      <c r="S15" s="1933" t="s">
        <v>566</v>
      </c>
      <c r="T15" s="1942"/>
      <c r="U15" s="1933" t="s">
        <v>566</v>
      </c>
      <c r="V15" s="1942"/>
      <c r="W15" s="1933" t="s">
        <v>566</v>
      </c>
      <c r="X15" s="1942"/>
      <c r="Y15" s="1933" t="s">
        <v>566</v>
      </c>
      <c r="Z15" s="1942"/>
      <c r="AA15" s="1933" t="s">
        <v>566</v>
      </c>
      <c r="AB15" s="1942"/>
      <c r="AC15" s="1933" t="s">
        <v>566</v>
      </c>
      <c r="AD15" s="1942"/>
      <c r="AE15" s="1933" t="s">
        <v>566</v>
      </c>
      <c r="AF15" s="1942"/>
      <c r="AG15" s="1933" t="s">
        <v>566</v>
      </c>
      <c r="AH15" s="1942"/>
      <c r="AI15" s="1933" t="s">
        <v>566</v>
      </c>
      <c r="AJ15" s="1942"/>
      <c r="AK15" s="1933" t="s">
        <v>566</v>
      </c>
      <c r="AL15" s="1942"/>
      <c r="AM15" s="1933" t="s">
        <v>566</v>
      </c>
      <c r="AN15" s="1942"/>
      <c r="AO15" s="1933" t="s">
        <v>566</v>
      </c>
      <c r="AP15" s="1942"/>
      <c r="AQ15" s="1933" t="s">
        <v>566</v>
      </c>
      <c r="AR15" s="1942"/>
      <c r="AS15" s="1933" t="s">
        <v>566</v>
      </c>
      <c r="AT15" s="1942"/>
      <c r="AU15" s="1933" t="s">
        <v>566</v>
      </c>
      <c r="AV15" s="1942"/>
      <c r="AW15" s="1933" t="s">
        <v>566</v>
      </c>
      <c r="AX15" s="1942"/>
      <c r="AY15" s="1933" t="s">
        <v>566</v>
      </c>
      <c r="AZ15" s="1942"/>
      <c r="BA15" s="1933" t="s">
        <v>566</v>
      </c>
      <c r="BB15" s="1942"/>
      <c r="BC15" s="1933" t="s">
        <v>566</v>
      </c>
      <c r="BD15" s="1942"/>
      <c r="BE15" s="1933" t="s">
        <v>566</v>
      </c>
      <c r="BF15" s="1942"/>
      <c r="BG15" s="1933" t="s">
        <v>566</v>
      </c>
      <c r="BH15" s="1942"/>
      <c r="BI15" s="1933" t="s">
        <v>566</v>
      </c>
      <c r="BJ15" s="1942"/>
      <c r="BK15" s="1933" t="s">
        <v>566</v>
      </c>
      <c r="BL15" s="1942"/>
      <c r="BM15" s="1933" t="s">
        <v>566</v>
      </c>
      <c r="BN15" s="1942"/>
      <c r="BO15" s="1933" t="s">
        <v>566</v>
      </c>
      <c r="BP15" s="1942"/>
      <c r="BQ15" s="1933" t="s">
        <v>566</v>
      </c>
      <c r="BR15" s="1942"/>
      <c r="BS15" s="1933" t="s">
        <v>566</v>
      </c>
      <c r="BT15" s="1942"/>
      <c r="BU15" s="1933" t="s">
        <v>566</v>
      </c>
      <c r="BV15" s="1942"/>
      <c r="BW15" s="1933" t="s">
        <v>566</v>
      </c>
      <c r="BX15" s="1942"/>
      <c r="BY15" s="1933" t="s">
        <v>566</v>
      </c>
      <c r="BZ15" s="1942"/>
      <c r="CA15" s="1933" t="s">
        <v>566</v>
      </c>
      <c r="CB15" s="1942"/>
      <c r="CC15" s="1933" t="s">
        <v>566</v>
      </c>
      <c r="CD15" s="1942"/>
      <c r="CE15" s="1933" t="s">
        <v>566</v>
      </c>
      <c r="CF15" s="1942"/>
      <c r="CG15" s="1933" t="s">
        <v>566</v>
      </c>
      <c r="CH15" s="1942"/>
      <c r="CI15" s="1933" t="s">
        <v>566</v>
      </c>
      <c r="CJ15" s="1942"/>
      <c r="CK15" s="1933" t="s">
        <v>566</v>
      </c>
      <c r="CL15" s="1942"/>
      <c r="CM15" s="1933" t="s">
        <v>566</v>
      </c>
      <c r="CN15" s="1942"/>
      <c r="CO15" s="1933" t="s">
        <v>566</v>
      </c>
      <c r="CP15" s="1942"/>
      <c r="CQ15" s="1933" t="s">
        <v>566</v>
      </c>
      <c r="CR15" s="1942"/>
      <c r="CS15" s="1933" t="s">
        <v>566</v>
      </c>
      <c r="CT15" s="1942"/>
      <c r="CU15" s="1933" t="s">
        <v>566</v>
      </c>
      <c r="CV15" s="1942"/>
      <c r="CW15" s="1933" t="s">
        <v>566</v>
      </c>
      <c r="CX15" s="1942"/>
      <c r="CY15" s="1933" t="s">
        <v>566</v>
      </c>
      <c r="CZ15" s="1942"/>
      <c r="DA15" s="1933" t="s">
        <v>566</v>
      </c>
      <c r="DB15" s="1942"/>
      <c r="DC15" s="1933" t="s">
        <v>566</v>
      </c>
      <c r="DD15" s="1942"/>
      <c r="DE15" s="1933" t="s">
        <v>566</v>
      </c>
      <c r="DF15" s="1942"/>
      <c r="DG15" s="1933" t="s">
        <v>566</v>
      </c>
      <c r="DH15" s="1942"/>
      <c r="DI15" s="1933" t="s">
        <v>566</v>
      </c>
      <c r="DJ15" s="1942"/>
      <c r="DK15" s="1933" t="s">
        <v>566</v>
      </c>
      <c r="DL15" s="1942"/>
      <c r="DM15" s="1933" t="s">
        <v>566</v>
      </c>
      <c r="DN15" s="1942"/>
      <c r="DO15" s="1933" t="s">
        <v>566</v>
      </c>
      <c r="DP15" s="1942"/>
      <c r="DQ15" s="1933" t="s">
        <v>566</v>
      </c>
      <c r="DR15" s="1942"/>
      <c r="DS15" s="1933" t="s">
        <v>566</v>
      </c>
      <c r="DT15" s="1942"/>
      <c r="DU15" s="1933" t="s">
        <v>566</v>
      </c>
      <c r="DV15" s="1942"/>
      <c r="DW15" s="1933" t="s">
        <v>566</v>
      </c>
      <c r="DX15" s="1942"/>
      <c r="DY15" s="1933" t="s">
        <v>566</v>
      </c>
      <c r="DZ15" s="1942"/>
      <c r="EA15" s="1933" t="s">
        <v>566</v>
      </c>
      <c r="EB15" s="1942"/>
      <c r="EC15" s="1933" t="s">
        <v>566</v>
      </c>
      <c r="ED15" s="1942"/>
      <c r="EE15" s="1933" t="s">
        <v>566</v>
      </c>
      <c r="EF15" s="1942"/>
      <c r="EG15" s="1933" t="s">
        <v>566</v>
      </c>
      <c r="EH15" s="1942"/>
      <c r="EI15" s="1933" t="s">
        <v>566</v>
      </c>
      <c r="EJ15" s="1942"/>
      <c r="EK15" s="1933" t="s">
        <v>566</v>
      </c>
      <c r="EL15" s="1942"/>
      <c r="EM15" s="1933" t="s">
        <v>566</v>
      </c>
      <c r="EN15" s="1942"/>
      <c r="EO15" s="1933" t="s">
        <v>566</v>
      </c>
      <c r="EP15" s="1942"/>
      <c r="EQ15" s="1933" t="s">
        <v>566</v>
      </c>
      <c r="ER15" s="1942"/>
      <c r="ES15" s="1933" t="s">
        <v>566</v>
      </c>
      <c r="ET15" s="1942"/>
      <c r="EU15" s="1933" t="s">
        <v>566</v>
      </c>
      <c r="EV15" s="1942"/>
      <c r="EW15" s="1933" t="s">
        <v>566</v>
      </c>
      <c r="EX15" s="1942"/>
      <c r="EY15" s="1933" t="s">
        <v>566</v>
      </c>
      <c r="EZ15" s="1942"/>
      <c r="FA15" s="1933" t="s">
        <v>566</v>
      </c>
      <c r="FB15" s="1942"/>
      <c r="FC15" s="1933" t="s">
        <v>566</v>
      </c>
      <c r="FD15" s="1942"/>
      <c r="FE15" s="1933" t="s">
        <v>566</v>
      </c>
      <c r="FF15" s="1942"/>
      <c r="FG15" s="1933" t="s">
        <v>566</v>
      </c>
      <c r="FH15" s="1942"/>
      <c r="FI15" s="1933" t="s">
        <v>566</v>
      </c>
      <c r="FJ15" s="1942"/>
      <c r="FK15" s="1933" t="s">
        <v>566</v>
      </c>
      <c r="FL15" s="1942"/>
      <c r="FM15" s="1933" t="s">
        <v>566</v>
      </c>
      <c r="FN15" s="1942"/>
      <c r="FO15" s="1933" t="s">
        <v>566</v>
      </c>
      <c r="FP15" s="1942"/>
      <c r="FQ15" s="1933" t="s">
        <v>566</v>
      </c>
      <c r="FR15" s="1942"/>
      <c r="FS15" s="1933" t="s">
        <v>566</v>
      </c>
      <c r="FT15" s="1942"/>
      <c r="FU15" s="1933" t="s">
        <v>566</v>
      </c>
      <c r="FV15" s="1942"/>
      <c r="FW15" s="1933" t="s">
        <v>566</v>
      </c>
      <c r="FX15" s="1942"/>
      <c r="FY15" s="1933" t="s">
        <v>566</v>
      </c>
      <c r="FZ15" s="1942"/>
      <c r="GA15" s="1933" t="s">
        <v>566</v>
      </c>
      <c r="GB15" s="1942"/>
      <c r="GC15" s="1933" t="s">
        <v>566</v>
      </c>
      <c r="GD15" s="1942"/>
      <c r="GE15" s="1933" t="s">
        <v>566</v>
      </c>
      <c r="GF15" s="1942"/>
      <c r="GG15" s="1933" t="s">
        <v>566</v>
      </c>
      <c r="GH15" s="1942"/>
      <c r="GI15" s="1933" t="s">
        <v>566</v>
      </c>
      <c r="GJ15" s="1942"/>
      <c r="GK15" s="1933" t="s">
        <v>566</v>
      </c>
      <c r="GL15" s="1942"/>
      <c r="GM15" s="201" t="s">
        <v>1087</v>
      </c>
      <c r="GN15" s="610"/>
    </row>
    <row r="16" spans="1:196" s="1910" customFormat="1" ht="22.5" customHeight="1">
      <c r="A16" s="3628"/>
      <c r="B16" s="409"/>
      <c r="D16" s="825" t="s">
        <v>586</v>
      </c>
      <c r="E16" s="826" t="s">
        <v>1088</v>
      </c>
      <c r="F16" s="822" t="s">
        <v>1089</v>
      </c>
      <c r="G16" s="698"/>
      <c r="H16" s="33"/>
      <c r="I16" s="698"/>
      <c r="J16" s="33"/>
      <c r="K16" s="1871"/>
      <c r="L16" s="1942"/>
      <c r="M16" s="1871"/>
      <c r="N16" s="1942"/>
      <c r="O16" s="1871"/>
      <c r="P16" s="1942"/>
      <c r="Q16" s="1871"/>
      <c r="R16" s="1942"/>
      <c r="S16" s="1871"/>
      <c r="T16" s="1942"/>
      <c r="U16" s="1871"/>
      <c r="V16" s="1942"/>
      <c r="W16" s="1871"/>
      <c r="X16" s="1942"/>
      <c r="Y16" s="1871"/>
      <c r="Z16" s="1942"/>
      <c r="AA16" s="1871"/>
      <c r="AB16" s="1942"/>
      <c r="AC16" s="1871"/>
      <c r="AD16" s="1942"/>
      <c r="AE16" s="1871"/>
      <c r="AF16" s="1942"/>
      <c r="AG16" s="1871"/>
      <c r="AH16" s="1942"/>
      <c r="AI16" s="1871"/>
      <c r="AJ16" s="1942"/>
      <c r="AK16" s="1871"/>
      <c r="AL16" s="1942"/>
      <c r="AM16" s="1871"/>
      <c r="AN16" s="1942"/>
      <c r="AO16" s="1871"/>
      <c r="AP16" s="1942"/>
      <c r="AQ16" s="1871"/>
      <c r="AR16" s="1942"/>
      <c r="AS16" s="1871"/>
      <c r="AT16" s="1942"/>
      <c r="AU16" s="1871"/>
      <c r="AV16" s="1942"/>
      <c r="AW16" s="1871"/>
      <c r="AX16" s="1942"/>
      <c r="AY16" s="1871"/>
      <c r="AZ16" s="1942"/>
      <c r="BA16" s="1871"/>
      <c r="BB16" s="1942"/>
      <c r="BC16" s="1871"/>
      <c r="BD16" s="1942"/>
      <c r="BE16" s="1871"/>
      <c r="BF16" s="1942"/>
      <c r="BG16" s="1871"/>
      <c r="BH16" s="1942"/>
      <c r="BI16" s="1871"/>
      <c r="BJ16" s="1942"/>
      <c r="BK16" s="1871"/>
      <c r="BL16" s="1942"/>
      <c r="BM16" s="1871"/>
      <c r="BN16" s="1942"/>
      <c r="BO16" s="1871"/>
      <c r="BP16" s="1942"/>
      <c r="BQ16" s="1871"/>
      <c r="BR16" s="1942"/>
      <c r="BS16" s="1871"/>
      <c r="BT16" s="1942"/>
      <c r="BU16" s="1871"/>
      <c r="BV16" s="1942"/>
      <c r="BW16" s="1871"/>
      <c r="BX16" s="1942"/>
      <c r="BY16" s="1871"/>
      <c r="BZ16" s="1942"/>
      <c r="CA16" s="1871"/>
      <c r="CB16" s="1942"/>
      <c r="CC16" s="1871"/>
      <c r="CD16" s="1942"/>
      <c r="CE16" s="1871"/>
      <c r="CF16" s="1942"/>
      <c r="CG16" s="1871"/>
      <c r="CH16" s="1942"/>
      <c r="CI16" s="1871"/>
      <c r="CJ16" s="1942"/>
      <c r="CK16" s="1871"/>
      <c r="CL16" s="1942"/>
      <c r="CM16" s="1871"/>
      <c r="CN16" s="1942"/>
      <c r="CO16" s="1871"/>
      <c r="CP16" s="1942"/>
      <c r="CQ16" s="1871"/>
      <c r="CR16" s="1942"/>
      <c r="CS16" s="1871"/>
      <c r="CT16" s="1942"/>
      <c r="CU16" s="1871"/>
      <c r="CV16" s="1942"/>
      <c r="CW16" s="1871"/>
      <c r="CX16" s="1942"/>
      <c r="CY16" s="1871"/>
      <c r="CZ16" s="1942"/>
      <c r="DA16" s="1871"/>
      <c r="DB16" s="1942"/>
      <c r="DC16" s="1871"/>
      <c r="DD16" s="1942"/>
      <c r="DE16" s="1871"/>
      <c r="DF16" s="1942"/>
      <c r="DG16" s="1871"/>
      <c r="DH16" s="1942"/>
      <c r="DI16" s="1871"/>
      <c r="DJ16" s="1942"/>
      <c r="DK16" s="1871"/>
      <c r="DL16" s="1942"/>
      <c r="DM16" s="1871"/>
      <c r="DN16" s="1942"/>
      <c r="DO16" s="1871"/>
      <c r="DP16" s="1942"/>
      <c r="DQ16" s="1871"/>
      <c r="DR16" s="1942"/>
      <c r="DS16" s="1871"/>
      <c r="DT16" s="1942"/>
      <c r="DU16" s="1871"/>
      <c r="DV16" s="1942"/>
      <c r="DW16" s="1871"/>
      <c r="DX16" s="1942"/>
      <c r="DY16" s="1871"/>
      <c r="DZ16" s="1942"/>
      <c r="EA16" s="1871"/>
      <c r="EB16" s="1942"/>
      <c r="EC16" s="1871"/>
      <c r="ED16" s="1942"/>
      <c r="EE16" s="1871"/>
      <c r="EF16" s="1942"/>
      <c r="EG16" s="1871"/>
      <c r="EH16" s="1942"/>
      <c r="EI16" s="1871"/>
      <c r="EJ16" s="1942"/>
      <c r="EK16" s="1871"/>
      <c r="EL16" s="1942"/>
      <c r="EM16" s="1871"/>
      <c r="EN16" s="1942"/>
      <c r="EO16" s="1871"/>
      <c r="EP16" s="1942"/>
      <c r="EQ16" s="1871"/>
      <c r="ER16" s="1942"/>
      <c r="ES16" s="1871"/>
      <c r="ET16" s="1942"/>
      <c r="EU16" s="1871"/>
      <c r="EV16" s="1942"/>
      <c r="EW16" s="1871"/>
      <c r="EX16" s="1942"/>
      <c r="EY16" s="1871"/>
      <c r="EZ16" s="1942"/>
      <c r="FA16" s="1871"/>
      <c r="FB16" s="1942"/>
      <c r="FC16" s="1871"/>
      <c r="FD16" s="1942"/>
      <c r="FE16" s="1871"/>
      <c r="FF16" s="1942"/>
      <c r="FG16" s="1871"/>
      <c r="FH16" s="1942"/>
      <c r="FI16" s="1871"/>
      <c r="FJ16" s="1942"/>
      <c r="FK16" s="1871"/>
      <c r="FL16" s="1942"/>
      <c r="FM16" s="1871"/>
      <c r="FN16" s="1942"/>
      <c r="FO16" s="1871"/>
      <c r="FP16" s="1942"/>
      <c r="FQ16" s="1871"/>
      <c r="FR16" s="1942"/>
      <c r="FS16" s="1871"/>
      <c r="FT16" s="1942"/>
      <c r="FU16" s="1871"/>
      <c r="FV16" s="1942"/>
      <c r="FW16" s="1871"/>
      <c r="FX16" s="1942"/>
      <c r="FY16" s="1871"/>
      <c r="FZ16" s="1942"/>
      <c r="GA16" s="1871"/>
      <c r="GB16" s="1942"/>
      <c r="GC16" s="1871"/>
      <c r="GD16" s="1942"/>
      <c r="GE16" s="1871"/>
      <c r="GF16" s="1942"/>
      <c r="GG16" s="1871"/>
      <c r="GH16" s="1942"/>
      <c r="GI16" s="1871"/>
      <c r="GJ16" s="1942"/>
      <c r="GK16" s="1871"/>
      <c r="GL16" s="1942"/>
      <c r="GM16" s="201"/>
      <c r="GN16" s="610"/>
    </row>
    <row r="17" spans="1:207" s="1910" customFormat="1" ht="22.5" customHeight="1">
      <c r="A17" s="3628"/>
      <c r="B17" s="409"/>
      <c r="D17" s="825" t="s">
        <v>594</v>
      </c>
      <c r="E17" s="826" t="s">
        <v>1090</v>
      </c>
      <c r="F17" s="822" t="s">
        <v>1091</v>
      </c>
      <c r="G17" s="698"/>
      <c r="H17" s="33"/>
      <c r="I17" s="698"/>
      <c r="J17" s="33"/>
      <c r="K17" s="1871"/>
      <c r="L17" s="1942"/>
      <c r="M17" s="1871"/>
      <c r="N17" s="1942"/>
      <c r="O17" s="1871"/>
      <c r="P17" s="1942"/>
      <c r="Q17" s="1871"/>
      <c r="R17" s="1942"/>
      <c r="S17" s="1871"/>
      <c r="T17" s="1942"/>
      <c r="U17" s="1871"/>
      <c r="V17" s="1942"/>
      <c r="W17" s="1871"/>
      <c r="X17" s="1942"/>
      <c r="Y17" s="1871"/>
      <c r="Z17" s="1942"/>
      <c r="AA17" s="1871"/>
      <c r="AB17" s="1942"/>
      <c r="AC17" s="1871"/>
      <c r="AD17" s="1942"/>
      <c r="AE17" s="1871"/>
      <c r="AF17" s="1942"/>
      <c r="AG17" s="1871"/>
      <c r="AH17" s="1942"/>
      <c r="AI17" s="1871"/>
      <c r="AJ17" s="1942"/>
      <c r="AK17" s="1871"/>
      <c r="AL17" s="1942"/>
      <c r="AM17" s="1871"/>
      <c r="AN17" s="1942"/>
      <c r="AO17" s="1871"/>
      <c r="AP17" s="1942"/>
      <c r="AQ17" s="1871"/>
      <c r="AR17" s="1942"/>
      <c r="AS17" s="1871"/>
      <c r="AT17" s="1942"/>
      <c r="AU17" s="1871"/>
      <c r="AV17" s="1942"/>
      <c r="AW17" s="1871"/>
      <c r="AX17" s="1942"/>
      <c r="AY17" s="1871"/>
      <c r="AZ17" s="1942"/>
      <c r="BA17" s="1871"/>
      <c r="BB17" s="1942"/>
      <c r="BC17" s="1871"/>
      <c r="BD17" s="1942"/>
      <c r="BE17" s="1871"/>
      <c r="BF17" s="1942"/>
      <c r="BG17" s="1871"/>
      <c r="BH17" s="1942"/>
      <c r="BI17" s="1871"/>
      <c r="BJ17" s="1942"/>
      <c r="BK17" s="1871"/>
      <c r="BL17" s="1942"/>
      <c r="BM17" s="1871"/>
      <c r="BN17" s="1942"/>
      <c r="BO17" s="1871"/>
      <c r="BP17" s="1942"/>
      <c r="BQ17" s="1871"/>
      <c r="BR17" s="1942"/>
      <c r="BS17" s="1871"/>
      <c r="BT17" s="1942"/>
      <c r="BU17" s="1871"/>
      <c r="BV17" s="1942"/>
      <c r="BW17" s="1871"/>
      <c r="BX17" s="1942"/>
      <c r="BY17" s="1871"/>
      <c r="BZ17" s="1942"/>
      <c r="CA17" s="1871"/>
      <c r="CB17" s="1942"/>
      <c r="CC17" s="1871"/>
      <c r="CD17" s="1942"/>
      <c r="CE17" s="1871"/>
      <c r="CF17" s="1942"/>
      <c r="CG17" s="1871"/>
      <c r="CH17" s="1942"/>
      <c r="CI17" s="1871"/>
      <c r="CJ17" s="1942"/>
      <c r="CK17" s="1871"/>
      <c r="CL17" s="1942"/>
      <c r="CM17" s="1871"/>
      <c r="CN17" s="1942"/>
      <c r="CO17" s="1871"/>
      <c r="CP17" s="1942"/>
      <c r="CQ17" s="1871"/>
      <c r="CR17" s="1942"/>
      <c r="CS17" s="1871"/>
      <c r="CT17" s="1942"/>
      <c r="CU17" s="1871"/>
      <c r="CV17" s="1942"/>
      <c r="CW17" s="1871"/>
      <c r="CX17" s="1942"/>
      <c r="CY17" s="1871"/>
      <c r="CZ17" s="1942"/>
      <c r="DA17" s="1871"/>
      <c r="DB17" s="1942"/>
      <c r="DC17" s="1871"/>
      <c r="DD17" s="1942"/>
      <c r="DE17" s="1871"/>
      <c r="DF17" s="1942"/>
      <c r="DG17" s="1871"/>
      <c r="DH17" s="1942"/>
      <c r="DI17" s="1871"/>
      <c r="DJ17" s="1942"/>
      <c r="DK17" s="1871"/>
      <c r="DL17" s="1942"/>
      <c r="DM17" s="1871"/>
      <c r="DN17" s="1942"/>
      <c r="DO17" s="1871"/>
      <c r="DP17" s="1942"/>
      <c r="DQ17" s="1871"/>
      <c r="DR17" s="1942"/>
      <c r="DS17" s="1871"/>
      <c r="DT17" s="1942"/>
      <c r="DU17" s="1871"/>
      <c r="DV17" s="1942"/>
      <c r="DW17" s="1871"/>
      <c r="DX17" s="1942"/>
      <c r="DY17" s="1871"/>
      <c r="DZ17" s="1942"/>
      <c r="EA17" s="1871"/>
      <c r="EB17" s="1942"/>
      <c r="EC17" s="1871"/>
      <c r="ED17" s="1942"/>
      <c r="EE17" s="1871"/>
      <c r="EF17" s="1942"/>
      <c r="EG17" s="1871"/>
      <c r="EH17" s="1942"/>
      <c r="EI17" s="1871"/>
      <c r="EJ17" s="1942"/>
      <c r="EK17" s="1871"/>
      <c r="EL17" s="1942"/>
      <c r="EM17" s="1871"/>
      <c r="EN17" s="1942"/>
      <c r="EO17" s="1871"/>
      <c r="EP17" s="1942"/>
      <c r="EQ17" s="1871"/>
      <c r="ER17" s="1942"/>
      <c r="ES17" s="1871"/>
      <c r="ET17" s="1942"/>
      <c r="EU17" s="1871"/>
      <c r="EV17" s="1942"/>
      <c r="EW17" s="1871"/>
      <c r="EX17" s="1942"/>
      <c r="EY17" s="1871"/>
      <c r="EZ17" s="1942"/>
      <c r="FA17" s="1871"/>
      <c r="FB17" s="1942"/>
      <c r="FC17" s="1871"/>
      <c r="FD17" s="1942"/>
      <c r="FE17" s="1871"/>
      <c r="FF17" s="1942"/>
      <c r="FG17" s="1871"/>
      <c r="FH17" s="1942"/>
      <c r="FI17" s="1871"/>
      <c r="FJ17" s="1942"/>
      <c r="FK17" s="1871"/>
      <c r="FL17" s="1942"/>
      <c r="FM17" s="1871"/>
      <c r="FN17" s="1942"/>
      <c r="FO17" s="1871"/>
      <c r="FP17" s="1942"/>
      <c r="FQ17" s="1871"/>
      <c r="FR17" s="1942"/>
      <c r="FS17" s="1871"/>
      <c r="FT17" s="1942"/>
      <c r="FU17" s="1871"/>
      <c r="FV17" s="1942"/>
      <c r="FW17" s="1871"/>
      <c r="FX17" s="1942"/>
      <c r="FY17" s="1871"/>
      <c r="FZ17" s="1942"/>
      <c r="GA17" s="1871"/>
      <c r="GB17" s="1942"/>
      <c r="GC17" s="1871"/>
      <c r="GD17" s="1942"/>
      <c r="GE17" s="1871"/>
      <c r="GF17" s="1942"/>
      <c r="GG17" s="1871"/>
      <c r="GH17" s="1942"/>
      <c r="GI17" s="1871"/>
      <c r="GJ17" s="1942"/>
      <c r="GK17" s="1871"/>
      <c r="GL17" s="1942"/>
      <c r="GM17" s="201"/>
      <c r="GN17" s="610"/>
    </row>
    <row r="18" spans="1:207" s="1910" customFormat="1" ht="33.75" customHeight="1">
      <c r="A18" s="3628"/>
      <c r="B18" s="409"/>
      <c r="D18" s="825" t="s">
        <v>596</v>
      </c>
      <c r="E18" s="826" t="s">
        <v>1092</v>
      </c>
      <c r="F18" s="822" t="s">
        <v>836</v>
      </c>
      <c r="G18" s="572"/>
      <c r="H18" s="33"/>
      <c r="I18" s="572"/>
      <c r="J18" s="33"/>
      <c r="K18" s="1872"/>
      <c r="L18" s="1942"/>
      <c r="M18" s="1872"/>
      <c r="N18" s="1942"/>
      <c r="O18" s="1872"/>
      <c r="P18" s="1942"/>
      <c r="Q18" s="1872"/>
      <c r="R18" s="1942"/>
      <c r="S18" s="1872"/>
      <c r="T18" s="1942"/>
      <c r="U18" s="1872"/>
      <c r="V18" s="1942"/>
      <c r="W18" s="1872"/>
      <c r="X18" s="1942"/>
      <c r="Y18" s="1872"/>
      <c r="Z18" s="1942"/>
      <c r="AA18" s="1872"/>
      <c r="AB18" s="1942"/>
      <c r="AC18" s="1872"/>
      <c r="AD18" s="1942"/>
      <c r="AE18" s="1872"/>
      <c r="AF18" s="1942"/>
      <c r="AG18" s="1872"/>
      <c r="AH18" s="1942"/>
      <c r="AI18" s="1872"/>
      <c r="AJ18" s="1942"/>
      <c r="AK18" s="1872"/>
      <c r="AL18" s="1942"/>
      <c r="AM18" s="1872"/>
      <c r="AN18" s="1942"/>
      <c r="AO18" s="1872"/>
      <c r="AP18" s="1942"/>
      <c r="AQ18" s="1872"/>
      <c r="AR18" s="1942"/>
      <c r="AS18" s="1872"/>
      <c r="AT18" s="1942"/>
      <c r="AU18" s="1872"/>
      <c r="AV18" s="1942"/>
      <c r="AW18" s="1872"/>
      <c r="AX18" s="1942"/>
      <c r="AY18" s="1872"/>
      <c r="AZ18" s="1942"/>
      <c r="BA18" s="1872"/>
      <c r="BB18" s="1942"/>
      <c r="BC18" s="1872"/>
      <c r="BD18" s="1942"/>
      <c r="BE18" s="1872"/>
      <c r="BF18" s="1942"/>
      <c r="BG18" s="1872"/>
      <c r="BH18" s="1942"/>
      <c r="BI18" s="1872"/>
      <c r="BJ18" s="1942"/>
      <c r="BK18" s="1872"/>
      <c r="BL18" s="1942"/>
      <c r="BM18" s="1872"/>
      <c r="BN18" s="1942"/>
      <c r="BO18" s="1872"/>
      <c r="BP18" s="1942"/>
      <c r="BQ18" s="1872"/>
      <c r="BR18" s="1942"/>
      <c r="BS18" s="1872"/>
      <c r="BT18" s="1942"/>
      <c r="BU18" s="1872"/>
      <c r="BV18" s="1942"/>
      <c r="BW18" s="1872"/>
      <c r="BX18" s="1942"/>
      <c r="BY18" s="1872"/>
      <c r="BZ18" s="1942"/>
      <c r="CA18" s="1872"/>
      <c r="CB18" s="1942"/>
      <c r="CC18" s="1872"/>
      <c r="CD18" s="1942"/>
      <c r="CE18" s="1872"/>
      <c r="CF18" s="1942"/>
      <c r="CG18" s="1872"/>
      <c r="CH18" s="1942"/>
      <c r="CI18" s="1872"/>
      <c r="CJ18" s="1942"/>
      <c r="CK18" s="1872"/>
      <c r="CL18" s="1942"/>
      <c r="CM18" s="1872"/>
      <c r="CN18" s="1942"/>
      <c r="CO18" s="1872"/>
      <c r="CP18" s="1942"/>
      <c r="CQ18" s="1872"/>
      <c r="CR18" s="1942"/>
      <c r="CS18" s="1872"/>
      <c r="CT18" s="1942"/>
      <c r="CU18" s="1872"/>
      <c r="CV18" s="1942"/>
      <c r="CW18" s="1872"/>
      <c r="CX18" s="1942"/>
      <c r="CY18" s="1872"/>
      <c r="CZ18" s="1942"/>
      <c r="DA18" s="1872"/>
      <c r="DB18" s="1942"/>
      <c r="DC18" s="1872"/>
      <c r="DD18" s="1942"/>
      <c r="DE18" s="1872"/>
      <c r="DF18" s="1942"/>
      <c r="DG18" s="1872"/>
      <c r="DH18" s="1942"/>
      <c r="DI18" s="1872"/>
      <c r="DJ18" s="1942"/>
      <c r="DK18" s="1872"/>
      <c r="DL18" s="1942"/>
      <c r="DM18" s="1872"/>
      <c r="DN18" s="1942"/>
      <c r="DO18" s="1872"/>
      <c r="DP18" s="1942"/>
      <c r="DQ18" s="1872"/>
      <c r="DR18" s="1942"/>
      <c r="DS18" s="1872"/>
      <c r="DT18" s="1942"/>
      <c r="DU18" s="1872"/>
      <c r="DV18" s="1942"/>
      <c r="DW18" s="1872"/>
      <c r="DX18" s="1942"/>
      <c r="DY18" s="1872"/>
      <c r="DZ18" s="1942"/>
      <c r="EA18" s="1872"/>
      <c r="EB18" s="1942"/>
      <c r="EC18" s="1872"/>
      <c r="ED18" s="1942"/>
      <c r="EE18" s="1872"/>
      <c r="EF18" s="1942"/>
      <c r="EG18" s="1872"/>
      <c r="EH18" s="1942"/>
      <c r="EI18" s="1872"/>
      <c r="EJ18" s="1942"/>
      <c r="EK18" s="1872"/>
      <c r="EL18" s="1942"/>
      <c r="EM18" s="1872"/>
      <c r="EN18" s="1942"/>
      <c r="EO18" s="1872"/>
      <c r="EP18" s="1942"/>
      <c r="EQ18" s="1872"/>
      <c r="ER18" s="1942"/>
      <c r="ES18" s="1872"/>
      <c r="ET18" s="1942"/>
      <c r="EU18" s="1872"/>
      <c r="EV18" s="1942"/>
      <c r="EW18" s="1872"/>
      <c r="EX18" s="1942"/>
      <c r="EY18" s="1872"/>
      <c r="EZ18" s="1942"/>
      <c r="FA18" s="1872"/>
      <c r="FB18" s="1942"/>
      <c r="FC18" s="1872"/>
      <c r="FD18" s="1942"/>
      <c r="FE18" s="1872"/>
      <c r="FF18" s="1942"/>
      <c r="FG18" s="1872"/>
      <c r="FH18" s="1942"/>
      <c r="FI18" s="1872"/>
      <c r="FJ18" s="1942"/>
      <c r="FK18" s="1872"/>
      <c r="FL18" s="1942"/>
      <c r="FM18" s="1872"/>
      <c r="FN18" s="1942"/>
      <c r="FO18" s="1872"/>
      <c r="FP18" s="1942"/>
      <c r="FQ18" s="1872"/>
      <c r="FR18" s="1942"/>
      <c r="FS18" s="1872"/>
      <c r="FT18" s="1942"/>
      <c r="FU18" s="1872"/>
      <c r="FV18" s="1942"/>
      <c r="FW18" s="1872"/>
      <c r="FX18" s="1942"/>
      <c r="FY18" s="1872"/>
      <c r="FZ18" s="1942"/>
      <c r="GA18" s="1872"/>
      <c r="GB18" s="1942"/>
      <c r="GC18" s="1872"/>
      <c r="GD18" s="1942"/>
      <c r="GE18" s="1872"/>
      <c r="GF18" s="1942"/>
      <c r="GG18" s="1872"/>
      <c r="GH18" s="1942"/>
      <c r="GI18" s="1872"/>
      <c r="GJ18" s="1942"/>
      <c r="GK18" s="1872"/>
      <c r="GL18" s="1942"/>
      <c r="GM18" s="201"/>
      <c r="GN18" s="610"/>
    </row>
    <row r="19" spans="1:207" ht="101.25" customHeight="1">
      <c r="A19" s="3628"/>
      <c r="D19" s="825" t="s">
        <v>88</v>
      </c>
      <c r="E19" s="192" t="s">
        <v>1093</v>
      </c>
      <c r="F19" s="552" t="s">
        <v>811</v>
      </c>
      <c r="G19" s="555"/>
      <c r="H19" s="554"/>
      <c r="I19" s="827"/>
      <c r="J19" s="554"/>
      <c r="K19" s="1934"/>
      <c r="L19" s="1870"/>
      <c r="M19" s="1934"/>
      <c r="N19" s="1870"/>
      <c r="O19" s="1934"/>
      <c r="P19" s="1870"/>
      <c r="Q19" s="1934"/>
      <c r="R19" s="1870"/>
      <c r="S19" s="1934"/>
      <c r="T19" s="1870"/>
      <c r="U19" s="1934"/>
      <c r="V19" s="1870"/>
      <c r="W19" s="1934"/>
      <c r="X19" s="1870"/>
      <c r="Y19" s="1934"/>
      <c r="Z19" s="1870"/>
      <c r="AA19" s="1934"/>
      <c r="AB19" s="1870"/>
      <c r="AC19" s="1934"/>
      <c r="AD19" s="1870"/>
      <c r="AE19" s="1934"/>
      <c r="AF19" s="1870"/>
      <c r="AG19" s="1934"/>
      <c r="AH19" s="1870"/>
      <c r="AI19" s="1934"/>
      <c r="AJ19" s="1870"/>
      <c r="AK19" s="1934"/>
      <c r="AL19" s="1870"/>
      <c r="AM19" s="1934"/>
      <c r="AN19" s="1870"/>
      <c r="AO19" s="1934"/>
      <c r="AP19" s="1870"/>
      <c r="AQ19" s="1934"/>
      <c r="AR19" s="1870"/>
      <c r="AS19" s="1934"/>
      <c r="AT19" s="1870"/>
      <c r="AU19" s="1934"/>
      <c r="AV19" s="1870"/>
      <c r="AW19" s="1934"/>
      <c r="AX19" s="1870"/>
      <c r="AY19" s="1934"/>
      <c r="AZ19" s="1870"/>
      <c r="BA19" s="1934"/>
      <c r="BB19" s="1870"/>
      <c r="BC19" s="1934"/>
      <c r="BD19" s="1870"/>
      <c r="BE19" s="1934"/>
      <c r="BF19" s="1870"/>
      <c r="BG19" s="1934"/>
      <c r="BH19" s="1870"/>
      <c r="BI19" s="1934"/>
      <c r="BJ19" s="1870"/>
      <c r="BK19" s="1934"/>
      <c r="BL19" s="1870"/>
      <c r="BM19" s="1934"/>
      <c r="BN19" s="1870"/>
      <c r="BO19" s="1934"/>
      <c r="BP19" s="1870"/>
      <c r="BQ19" s="1934"/>
      <c r="BR19" s="1870"/>
      <c r="BS19" s="1934"/>
      <c r="BT19" s="1870"/>
      <c r="BU19" s="1934"/>
      <c r="BV19" s="1870"/>
      <c r="BW19" s="1934"/>
      <c r="BX19" s="1870"/>
      <c r="BY19" s="1934"/>
      <c r="BZ19" s="1870"/>
      <c r="CA19" s="1934"/>
      <c r="CB19" s="1870"/>
      <c r="CC19" s="1934"/>
      <c r="CD19" s="1870"/>
      <c r="CE19" s="1934"/>
      <c r="CF19" s="1870"/>
      <c r="CG19" s="1934"/>
      <c r="CH19" s="1870"/>
      <c r="CI19" s="1934"/>
      <c r="CJ19" s="1870"/>
      <c r="CK19" s="1934"/>
      <c r="CL19" s="1870"/>
      <c r="CM19" s="1934"/>
      <c r="CN19" s="1870"/>
      <c r="CO19" s="1934"/>
      <c r="CP19" s="1870"/>
      <c r="CQ19" s="1934"/>
      <c r="CR19" s="1870"/>
      <c r="CS19" s="1934"/>
      <c r="CT19" s="1870"/>
      <c r="CU19" s="1934"/>
      <c r="CV19" s="1870"/>
      <c r="CW19" s="1934"/>
      <c r="CX19" s="1870"/>
      <c r="CY19" s="1934"/>
      <c r="CZ19" s="1870"/>
      <c r="DA19" s="1934"/>
      <c r="DB19" s="1870"/>
      <c r="DC19" s="1934"/>
      <c r="DD19" s="1870"/>
      <c r="DE19" s="1934"/>
      <c r="DF19" s="1870"/>
      <c r="DG19" s="1934"/>
      <c r="DH19" s="1870"/>
      <c r="DI19" s="1934"/>
      <c r="DJ19" s="1870"/>
      <c r="DK19" s="1934"/>
      <c r="DL19" s="1870"/>
      <c r="DM19" s="1934"/>
      <c r="DN19" s="1870"/>
      <c r="DO19" s="1934"/>
      <c r="DP19" s="1870"/>
      <c r="DQ19" s="1934"/>
      <c r="DR19" s="1870"/>
      <c r="DS19" s="1934"/>
      <c r="DT19" s="1870"/>
      <c r="DU19" s="1934"/>
      <c r="DV19" s="1870"/>
      <c r="DW19" s="1934"/>
      <c r="DX19" s="1870"/>
      <c r="DY19" s="1934"/>
      <c r="DZ19" s="1870"/>
      <c r="EA19" s="1934"/>
      <c r="EB19" s="1870"/>
      <c r="EC19" s="1934"/>
      <c r="ED19" s="1870"/>
      <c r="EE19" s="1934"/>
      <c r="EF19" s="1870"/>
      <c r="EG19" s="1934"/>
      <c r="EH19" s="1870"/>
      <c r="EI19" s="1934"/>
      <c r="EJ19" s="1870"/>
      <c r="EK19" s="1934"/>
      <c r="EL19" s="1870"/>
      <c r="EM19" s="1934"/>
      <c r="EN19" s="1870"/>
      <c r="EO19" s="1934"/>
      <c r="EP19" s="1870"/>
      <c r="EQ19" s="1934"/>
      <c r="ER19" s="1870"/>
      <c r="ES19" s="1934"/>
      <c r="ET19" s="1870"/>
      <c r="EU19" s="1934"/>
      <c r="EV19" s="1870"/>
      <c r="EW19" s="1934"/>
      <c r="EX19" s="1870"/>
      <c r="EY19" s="1934"/>
      <c r="EZ19" s="1870"/>
      <c r="FA19" s="1934"/>
      <c r="FB19" s="1870"/>
      <c r="FC19" s="1934"/>
      <c r="FD19" s="1870"/>
      <c r="FE19" s="1934"/>
      <c r="FF19" s="1870"/>
      <c r="FG19" s="1934"/>
      <c r="FH19" s="1870"/>
      <c r="FI19" s="1934"/>
      <c r="FJ19" s="1870"/>
      <c r="FK19" s="1934"/>
      <c r="FL19" s="1870"/>
      <c r="FM19" s="1934"/>
      <c r="FN19" s="1870"/>
      <c r="FO19" s="1934"/>
      <c r="FP19" s="1870"/>
      <c r="FQ19" s="1934"/>
      <c r="FR19" s="1870"/>
      <c r="FS19" s="1934"/>
      <c r="FT19" s="1870"/>
      <c r="FU19" s="1934"/>
      <c r="FV19" s="1870"/>
      <c r="FW19" s="1934"/>
      <c r="FX19" s="1870"/>
      <c r="FY19" s="1934"/>
      <c r="FZ19" s="1870"/>
      <c r="GA19" s="1934"/>
      <c r="GB19" s="1870"/>
      <c r="GC19" s="1934"/>
      <c r="GD19" s="1870"/>
      <c r="GE19" s="1934"/>
      <c r="GF19" s="1870"/>
      <c r="GG19" s="1934"/>
      <c r="GH19" s="1870"/>
      <c r="GI19" s="1934"/>
      <c r="GJ19" s="1870"/>
      <c r="GK19" s="1934"/>
      <c r="GL19" s="1870"/>
      <c r="GM19" s="201" t="s">
        <v>1094</v>
      </c>
      <c r="GN19" s="610"/>
    </row>
    <row r="20" spans="1:207" s="1910" customFormat="1" ht="18.75" customHeight="1">
      <c r="A20" s="3628"/>
      <c r="C20" s="828"/>
      <c r="D20" s="825" t="s">
        <v>1024</v>
      </c>
      <c r="E20" s="826" t="s">
        <v>1095</v>
      </c>
      <c r="F20" s="822" t="s">
        <v>566</v>
      </c>
      <c r="G20" s="822" t="s">
        <v>566</v>
      </c>
      <c r="H20" s="821" t="s">
        <v>566</v>
      </c>
      <c r="I20" s="822" t="s">
        <v>566</v>
      </c>
      <c r="J20" s="821" t="s">
        <v>566</v>
      </c>
      <c r="K20" s="1933" t="s">
        <v>566</v>
      </c>
      <c r="L20" s="1913" t="s">
        <v>566</v>
      </c>
      <c r="M20" s="1933" t="s">
        <v>566</v>
      </c>
      <c r="N20" s="1913" t="s">
        <v>566</v>
      </c>
      <c r="O20" s="1933" t="s">
        <v>566</v>
      </c>
      <c r="P20" s="1913" t="s">
        <v>566</v>
      </c>
      <c r="Q20" s="1933" t="s">
        <v>566</v>
      </c>
      <c r="R20" s="1913" t="s">
        <v>566</v>
      </c>
      <c r="S20" s="1933" t="s">
        <v>566</v>
      </c>
      <c r="T20" s="1913" t="s">
        <v>566</v>
      </c>
      <c r="U20" s="1933" t="s">
        <v>566</v>
      </c>
      <c r="V20" s="1913" t="s">
        <v>566</v>
      </c>
      <c r="W20" s="1933" t="s">
        <v>566</v>
      </c>
      <c r="X20" s="1913" t="s">
        <v>566</v>
      </c>
      <c r="Y20" s="1933" t="s">
        <v>566</v>
      </c>
      <c r="Z20" s="1913" t="s">
        <v>566</v>
      </c>
      <c r="AA20" s="1933" t="s">
        <v>566</v>
      </c>
      <c r="AB20" s="1913" t="s">
        <v>566</v>
      </c>
      <c r="AC20" s="1933" t="s">
        <v>566</v>
      </c>
      <c r="AD20" s="1913" t="s">
        <v>566</v>
      </c>
      <c r="AE20" s="1933" t="s">
        <v>566</v>
      </c>
      <c r="AF20" s="1913" t="s">
        <v>566</v>
      </c>
      <c r="AG20" s="1933" t="s">
        <v>566</v>
      </c>
      <c r="AH20" s="1913" t="s">
        <v>566</v>
      </c>
      <c r="AI20" s="1933" t="s">
        <v>566</v>
      </c>
      <c r="AJ20" s="1913" t="s">
        <v>566</v>
      </c>
      <c r="AK20" s="1933" t="s">
        <v>566</v>
      </c>
      <c r="AL20" s="1913" t="s">
        <v>566</v>
      </c>
      <c r="AM20" s="1933" t="s">
        <v>566</v>
      </c>
      <c r="AN20" s="1913" t="s">
        <v>566</v>
      </c>
      <c r="AO20" s="1933" t="s">
        <v>566</v>
      </c>
      <c r="AP20" s="1913" t="s">
        <v>566</v>
      </c>
      <c r="AQ20" s="1933" t="s">
        <v>566</v>
      </c>
      <c r="AR20" s="1913" t="s">
        <v>566</v>
      </c>
      <c r="AS20" s="1933" t="s">
        <v>566</v>
      </c>
      <c r="AT20" s="1913" t="s">
        <v>566</v>
      </c>
      <c r="AU20" s="1933" t="s">
        <v>566</v>
      </c>
      <c r="AV20" s="1913" t="s">
        <v>566</v>
      </c>
      <c r="AW20" s="1933" t="s">
        <v>566</v>
      </c>
      <c r="AX20" s="1913" t="s">
        <v>566</v>
      </c>
      <c r="AY20" s="1933" t="s">
        <v>566</v>
      </c>
      <c r="AZ20" s="1913" t="s">
        <v>566</v>
      </c>
      <c r="BA20" s="1933" t="s">
        <v>566</v>
      </c>
      <c r="BB20" s="1913" t="s">
        <v>566</v>
      </c>
      <c r="BC20" s="1933" t="s">
        <v>566</v>
      </c>
      <c r="BD20" s="1913" t="s">
        <v>566</v>
      </c>
      <c r="BE20" s="1933" t="s">
        <v>566</v>
      </c>
      <c r="BF20" s="1913" t="s">
        <v>566</v>
      </c>
      <c r="BG20" s="1933" t="s">
        <v>566</v>
      </c>
      <c r="BH20" s="1913" t="s">
        <v>566</v>
      </c>
      <c r="BI20" s="1933" t="s">
        <v>566</v>
      </c>
      <c r="BJ20" s="1913" t="s">
        <v>566</v>
      </c>
      <c r="BK20" s="1933" t="s">
        <v>566</v>
      </c>
      <c r="BL20" s="1913" t="s">
        <v>566</v>
      </c>
      <c r="BM20" s="1933" t="s">
        <v>566</v>
      </c>
      <c r="BN20" s="1913" t="s">
        <v>566</v>
      </c>
      <c r="BO20" s="1933" t="s">
        <v>566</v>
      </c>
      <c r="BP20" s="1913" t="s">
        <v>566</v>
      </c>
      <c r="BQ20" s="1933" t="s">
        <v>566</v>
      </c>
      <c r="BR20" s="1913" t="s">
        <v>566</v>
      </c>
      <c r="BS20" s="1933" t="s">
        <v>566</v>
      </c>
      <c r="BT20" s="1913" t="s">
        <v>566</v>
      </c>
      <c r="BU20" s="1933" t="s">
        <v>566</v>
      </c>
      <c r="BV20" s="1913" t="s">
        <v>566</v>
      </c>
      <c r="BW20" s="1933" t="s">
        <v>566</v>
      </c>
      <c r="BX20" s="1913" t="s">
        <v>566</v>
      </c>
      <c r="BY20" s="1933" t="s">
        <v>566</v>
      </c>
      <c r="BZ20" s="1913" t="s">
        <v>566</v>
      </c>
      <c r="CA20" s="1933" t="s">
        <v>566</v>
      </c>
      <c r="CB20" s="1913" t="s">
        <v>566</v>
      </c>
      <c r="CC20" s="1933" t="s">
        <v>566</v>
      </c>
      <c r="CD20" s="1913" t="s">
        <v>566</v>
      </c>
      <c r="CE20" s="1933" t="s">
        <v>566</v>
      </c>
      <c r="CF20" s="1913" t="s">
        <v>566</v>
      </c>
      <c r="CG20" s="1933" t="s">
        <v>566</v>
      </c>
      <c r="CH20" s="1913" t="s">
        <v>566</v>
      </c>
      <c r="CI20" s="1933" t="s">
        <v>566</v>
      </c>
      <c r="CJ20" s="1913" t="s">
        <v>566</v>
      </c>
      <c r="CK20" s="1933" t="s">
        <v>566</v>
      </c>
      <c r="CL20" s="1913" t="s">
        <v>566</v>
      </c>
      <c r="CM20" s="1933" t="s">
        <v>566</v>
      </c>
      <c r="CN20" s="1913" t="s">
        <v>566</v>
      </c>
      <c r="CO20" s="1933" t="s">
        <v>566</v>
      </c>
      <c r="CP20" s="1913" t="s">
        <v>566</v>
      </c>
      <c r="CQ20" s="1933" t="s">
        <v>566</v>
      </c>
      <c r="CR20" s="1913" t="s">
        <v>566</v>
      </c>
      <c r="CS20" s="1933" t="s">
        <v>566</v>
      </c>
      <c r="CT20" s="1913" t="s">
        <v>566</v>
      </c>
      <c r="CU20" s="1933" t="s">
        <v>566</v>
      </c>
      <c r="CV20" s="1913" t="s">
        <v>566</v>
      </c>
      <c r="CW20" s="1933" t="s">
        <v>566</v>
      </c>
      <c r="CX20" s="1913" t="s">
        <v>566</v>
      </c>
      <c r="CY20" s="1933" t="s">
        <v>566</v>
      </c>
      <c r="CZ20" s="1913" t="s">
        <v>566</v>
      </c>
      <c r="DA20" s="1933" t="s">
        <v>566</v>
      </c>
      <c r="DB20" s="1913" t="s">
        <v>566</v>
      </c>
      <c r="DC20" s="1933" t="s">
        <v>566</v>
      </c>
      <c r="DD20" s="1913" t="s">
        <v>566</v>
      </c>
      <c r="DE20" s="1933" t="s">
        <v>566</v>
      </c>
      <c r="DF20" s="1913" t="s">
        <v>566</v>
      </c>
      <c r="DG20" s="1933" t="s">
        <v>566</v>
      </c>
      <c r="DH20" s="1913" t="s">
        <v>566</v>
      </c>
      <c r="DI20" s="1933" t="s">
        <v>566</v>
      </c>
      <c r="DJ20" s="1913" t="s">
        <v>566</v>
      </c>
      <c r="DK20" s="1933" t="s">
        <v>566</v>
      </c>
      <c r="DL20" s="1913" t="s">
        <v>566</v>
      </c>
      <c r="DM20" s="1933" t="s">
        <v>566</v>
      </c>
      <c r="DN20" s="1913" t="s">
        <v>566</v>
      </c>
      <c r="DO20" s="1933" t="s">
        <v>566</v>
      </c>
      <c r="DP20" s="1913" t="s">
        <v>566</v>
      </c>
      <c r="DQ20" s="1933" t="s">
        <v>566</v>
      </c>
      <c r="DR20" s="1913" t="s">
        <v>566</v>
      </c>
      <c r="DS20" s="1933" t="s">
        <v>566</v>
      </c>
      <c r="DT20" s="1913" t="s">
        <v>566</v>
      </c>
      <c r="DU20" s="1933" t="s">
        <v>566</v>
      </c>
      <c r="DV20" s="1913" t="s">
        <v>566</v>
      </c>
      <c r="DW20" s="1933" t="s">
        <v>566</v>
      </c>
      <c r="DX20" s="1913" t="s">
        <v>566</v>
      </c>
      <c r="DY20" s="1933" t="s">
        <v>566</v>
      </c>
      <c r="DZ20" s="1913" t="s">
        <v>566</v>
      </c>
      <c r="EA20" s="1933" t="s">
        <v>566</v>
      </c>
      <c r="EB20" s="1913" t="s">
        <v>566</v>
      </c>
      <c r="EC20" s="1933" t="s">
        <v>566</v>
      </c>
      <c r="ED20" s="1913" t="s">
        <v>566</v>
      </c>
      <c r="EE20" s="1933" t="s">
        <v>566</v>
      </c>
      <c r="EF20" s="1913" t="s">
        <v>566</v>
      </c>
      <c r="EG20" s="1933" t="s">
        <v>566</v>
      </c>
      <c r="EH20" s="1913" t="s">
        <v>566</v>
      </c>
      <c r="EI20" s="1933" t="s">
        <v>566</v>
      </c>
      <c r="EJ20" s="1913" t="s">
        <v>566</v>
      </c>
      <c r="EK20" s="1933" t="s">
        <v>566</v>
      </c>
      <c r="EL20" s="1913" t="s">
        <v>566</v>
      </c>
      <c r="EM20" s="1933" t="s">
        <v>566</v>
      </c>
      <c r="EN20" s="1913" t="s">
        <v>566</v>
      </c>
      <c r="EO20" s="1933" t="s">
        <v>566</v>
      </c>
      <c r="EP20" s="1913" t="s">
        <v>566</v>
      </c>
      <c r="EQ20" s="1933" t="s">
        <v>566</v>
      </c>
      <c r="ER20" s="1913" t="s">
        <v>566</v>
      </c>
      <c r="ES20" s="1933" t="s">
        <v>566</v>
      </c>
      <c r="ET20" s="1913" t="s">
        <v>566</v>
      </c>
      <c r="EU20" s="1933" t="s">
        <v>566</v>
      </c>
      <c r="EV20" s="1913" t="s">
        <v>566</v>
      </c>
      <c r="EW20" s="1933" t="s">
        <v>566</v>
      </c>
      <c r="EX20" s="1913" t="s">
        <v>566</v>
      </c>
      <c r="EY20" s="1933" t="s">
        <v>566</v>
      </c>
      <c r="EZ20" s="1913" t="s">
        <v>566</v>
      </c>
      <c r="FA20" s="1933" t="s">
        <v>566</v>
      </c>
      <c r="FB20" s="1913" t="s">
        <v>566</v>
      </c>
      <c r="FC20" s="1933" t="s">
        <v>566</v>
      </c>
      <c r="FD20" s="1913" t="s">
        <v>566</v>
      </c>
      <c r="FE20" s="1933" t="s">
        <v>566</v>
      </c>
      <c r="FF20" s="1913" t="s">
        <v>566</v>
      </c>
      <c r="FG20" s="1933" t="s">
        <v>566</v>
      </c>
      <c r="FH20" s="1913" t="s">
        <v>566</v>
      </c>
      <c r="FI20" s="1933" t="s">
        <v>566</v>
      </c>
      <c r="FJ20" s="1913" t="s">
        <v>566</v>
      </c>
      <c r="FK20" s="1933" t="s">
        <v>566</v>
      </c>
      <c r="FL20" s="1913" t="s">
        <v>566</v>
      </c>
      <c r="FM20" s="1933" t="s">
        <v>566</v>
      </c>
      <c r="FN20" s="1913" t="s">
        <v>566</v>
      </c>
      <c r="FO20" s="1933" t="s">
        <v>566</v>
      </c>
      <c r="FP20" s="1913" t="s">
        <v>566</v>
      </c>
      <c r="FQ20" s="1933" t="s">
        <v>566</v>
      </c>
      <c r="FR20" s="1913" t="s">
        <v>566</v>
      </c>
      <c r="FS20" s="1933" t="s">
        <v>566</v>
      </c>
      <c r="FT20" s="1913" t="s">
        <v>566</v>
      </c>
      <c r="FU20" s="1933" t="s">
        <v>566</v>
      </c>
      <c r="FV20" s="1913" t="s">
        <v>566</v>
      </c>
      <c r="FW20" s="1933" t="s">
        <v>566</v>
      </c>
      <c r="FX20" s="1913" t="s">
        <v>566</v>
      </c>
      <c r="FY20" s="1933" t="s">
        <v>566</v>
      </c>
      <c r="FZ20" s="1913" t="s">
        <v>566</v>
      </c>
      <c r="GA20" s="1933" t="s">
        <v>566</v>
      </c>
      <c r="GB20" s="1913" t="s">
        <v>566</v>
      </c>
      <c r="GC20" s="1933" t="s">
        <v>566</v>
      </c>
      <c r="GD20" s="1913" t="s">
        <v>566</v>
      </c>
      <c r="GE20" s="1933" t="s">
        <v>566</v>
      </c>
      <c r="GF20" s="1913" t="s">
        <v>566</v>
      </c>
      <c r="GG20" s="1933" t="s">
        <v>566</v>
      </c>
      <c r="GH20" s="1913" t="s">
        <v>566</v>
      </c>
      <c r="GI20" s="1933" t="s">
        <v>566</v>
      </c>
      <c r="GJ20" s="1913" t="s">
        <v>566</v>
      </c>
      <c r="GK20" s="1933" t="s">
        <v>566</v>
      </c>
      <c r="GL20" s="1913" t="s">
        <v>566</v>
      </c>
      <c r="GM20" s="820"/>
      <c r="GN20" s="610"/>
      <c r="GY20" s="567"/>
    </row>
    <row r="21" spans="1:207" s="1910" customFormat="1" ht="33.75" customHeight="1">
      <c r="A21" s="3628"/>
      <c r="C21" s="828"/>
      <c r="D21" s="825" t="s">
        <v>1027</v>
      </c>
      <c r="E21" s="473" t="s">
        <v>1096</v>
      </c>
      <c r="F21" s="822" t="s">
        <v>1097</v>
      </c>
      <c r="G21" s="815"/>
      <c r="H21" s="33"/>
      <c r="I21" s="815"/>
      <c r="J21" s="33"/>
      <c r="K21" s="1873"/>
      <c r="L21" s="1942"/>
      <c r="M21" s="1873"/>
      <c r="N21" s="1942"/>
      <c r="O21" s="1873"/>
      <c r="P21" s="1942"/>
      <c r="Q21" s="1873"/>
      <c r="R21" s="1942"/>
      <c r="S21" s="1873"/>
      <c r="T21" s="1942"/>
      <c r="U21" s="1873"/>
      <c r="V21" s="1942"/>
      <c r="W21" s="1873"/>
      <c r="X21" s="1942"/>
      <c r="Y21" s="1873"/>
      <c r="Z21" s="1942"/>
      <c r="AA21" s="1873"/>
      <c r="AB21" s="1942"/>
      <c r="AC21" s="1873"/>
      <c r="AD21" s="1942"/>
      <c r="AE21" s="1873"/>
      <c r="AF21" s="1942"/>
      <c r="AG21" s="1873"/>
      <c r="AH21" s="1942"/>
      <c r="AI21" s="1873"/>
      <c r="AJ21" s="1942"/>
      <c r="AK21" s="1873"/>
      <c r="AL21" s="1942"/>
      <c r="AM21" s="1873"/>
      <c r="AN21" s="1942"/>
      <c r="AO21" s="1873"/>
      <c r="AP21" s="1942"/>
      <c r="AQ21" s="1873"/>
      <c r="AR21" s="1942"/>
      <c r="AS21" s="1873"/>
      <c r="AT21" s="1942"/>
      <c r="AU21" s="1873"/>
      <c r="AV21" s="1942"/>
      <c r="AW21" s="1873"/>
      <c r="AX21" s="1942"/>
      <c r="AY21" s="1873"/>
      <c r="AZ21" s="1942"/>
      <c r="BA21" s="1873"/>
      <c r="BB21" s="1942"/>
      <c r="BC21" s="1873"/>
      <c r="BD21" s="1942"/>
      <c r="BE21" s="1873"/>
      <c r="BF21" s="1942"/>
      <c r="BG21" s="1873"/>
      <c r="BH21" s="1942"/>
      <c r="BI21" s="1873"/>
      <c r="BJ21" s="1942"/>
      <c r="BK21" s="1873"/>
      <c r="BL21" s="1942"/>
      <c r="BM21" s="1873"/>
      <c r="BN21" s="1942"/>
      <c r="BO21" s="1873"/>
      <c r="BP21" s="1942"/>
      <c r="BQ21" s="1873"/>
      <c r="BR21" s="1942"/>
      <c r="BS21" s="1873"/>
      <c r="BT21" s="1942"/>
      <c r="BU21" s="1873"/>
      <c r="BV21" s="1942"/>
      <c r="BW21" s="1873"/>
      <c r="BX21" s="1942"/>
      <c r="BY21" s="1873"/>
      <c r="BZ21" s="1942"/>
      <c r="CA21" s="1873"/>
      <c r="CB21" s="1942"/>
      <c r="CC21" s="1873"/>
      <c r="CD21" s="1942"/>
      <c r="CE21" s="1873"/>
      <c r="CF21" s="1942"/>
      <c r="CG21" s="1873"/>
      <c r="CH21" s="1942"/>
      <c r="CI21" s="1873"/>
      <c r="CJ21" s="1942"/>
      <c r="CK21" s="1873"/>
      <c r="CL21" s="1942"/>
      <c r="CM21" s="1873"/>
      <c r="CN21" s="1942"/>
      <c r="CO21" s="1873"/>
      <c r="CP21" s="1942"/>
      <c r="CQ21" s="1873"/>
      <c r="CR21" s="1942"/>
      <c r="CS21" s="1873"/>
      <c r="CT21" s="1942"/>
      <c r="CU21" s="1873"/>
      <c r="CV21" s="1942"/>
      <c r="CW21" s="1873"/>
      <c r="CX21" s="1942"/>
      <c r="CY21" s="1873"/>
      <c r="CZ21" s="1942"/>
      <c r="DA21" s="1873"/>
      <c r="DB21" s="1942"/>
      <c r="DC21" s="1873"/>
      <c r="DD21" s="1942"/>
      <c r="DE21" s="1873"/>
      <c r="DF21" s="1942"/>
      <c r="DG21" s="1873"/>
      <c r="DH21" s="1942"/>
      <c r="DI21" s="1873"/>
      <c r="DJ21" s="1942"/>
      <c r="DK21" s="1873"/>
      <c r="DL21" s="1942"/>
      <c r="DM21" s="1873"/>
      <c r="DN21" s="1942"/>
      <c r="DO21" s="1873"/>
      <c r="DP21" s="1942"/>
      <c r="DQ21" s="1873"/>
      <c r="DR21" s="1942"/>
      <c r="DS21" s="1873"/>
      <c r="DT21" s="1942"/>
      <c r="DU21" s="1873"/>
      <c r="DV21" s="1942"/>
      <c r="DW21" s="1873"/>
      <c r="DX21" s="1942"/>
      <c r="DY21" s="1873"/>
      <c r="DZ21" s="1942"/>
      <c r="EA21" s="1873"/>
      <c r="EB21" s="1942"/>
      <c r="EC21" s="1873"/>
      <c r="ED21" s="1942"/>
      <c r="EE21" s="1873"/>
      <c r="EF21" s="1942"/>
      <c r="EG21" s="1873"/>
      <c r="EH21" s="1942"/>
      <c r="EI21" s="1873"/>
      <c r="EJ21" s="1942"/>
      <c r="EK21" s="1873"/>
      <c r="EL21" s="1942"/>
      <c r="EM21" s="1873"/>
      <c r="EN21" s="1942"/>
      <c r="EO21" s="1873"/>
      <c r="EP21" s="1942"/>
      <c r="EQ21" s="1873"/>
      <c r="ER21" s="1942"/>
      <c r="ES21" s="1873"/>
      <c r="ET21" s="1942"/>
      <c r="EU21" s="1873"/>
      <c r="EV21" s="1942"/>
      <c r="EW21" s="1873"/>
      <c r="EX21" s="1942"/>
      <c r="EY21" s="1873"/>
      <c r="EZ21" s="1942"/>
      <c r="FA21" s="1873"/>
      <c r="FB21" s="1942"/>
      <c r="FC21" s="1873"/>
      <c r="FD21" s="1942"/>
      <c r="FE21" s="1873"/>
      <c r="FF21" s="1942"/>
      <c r="FG21" s="1873"/>
      <c r="FH21" s="1942"/>
      <c r="FI21" s="1873"/>
      <c r="FJ21" s="1942"/>
      <c r="FK21" s="1873"/>
      <c r="FL21" s="1942"/>
      <c r="FM21" s="1873"/>
      <c r="FN21" s="1942"/>
      <c r="FO21" s="1873"/>
      <c r="FP21" s="1942"/>
      <c r="FQ21" s="1873"/>
      <c r="FR21" s="1942"/>
      <c r="FS21" s="1873"/>
      <c r="FT21" s="1942"/>
      <c r="FU21" s="1873"/>
      <c r="FV21" s="1942"/>
      <c r="FW21" s="1873"/>
      <c r="FX21" s="1942"/>
      <c r="FY21" s="1873"/>
      <c r="FZ21" s="1942"/>
      <c r="GA21" s="1873"/>
      <c r="GB21" s="1942"/>
      <c r="GC21" s="1873"/>
      <c r="GD21" s="1942"/>
      <c r="GE21" s="1873"/>
      <c r="GF21" s="1942"/>
      <c r="GG21" s="1873"/>
      <c r="GH21" s="1942"/>
      <c r="GI21" s="1873"/>
      <c r="GJ21" s="1942"/>
      <c r="GK21" s="1873"/>
      <c r="GL21" s="1942"/>
      <c r="GM21" s="820"/>
      <c r="GN21" s="610"/>
      <c r="GY21" s="567"/>
    </row>
    <row r="22" spans="1:207" s="1910" customFormat="1" ht="33.75" customHeight="1">
      <c r="A22" s="3628"/>
      <c r="C22" s="828"/>
      <c r="D22" s="825" t="s">
        <v>1030</v>
      </c>
      <c r="E22" s="473" t="s">
        <v>1098</v>
      </c>
      <c r="F22" s="822" t="s">
        <v>1099</v>
      </c>
      <c r="G22" s="815"/>
      <c r="H22" s="33"/>
      <c r="I22" s="815"/>
      <c r="J22" s="33"/>
      <c r="K22" s="1873"/>
      <c r="L22" s="1942"/>
      <c r="M22" s="1873"/>
      <c r="N22" s="1942"/>
      <c r="O22" s="1873"/>
      <c r="P22" s="1942"/>
      <c r="Q22" s="1873"/>
      <c r="R22" s="1942"/>
      <c r="S22" s="1873"/>
      <c r="T22" s="1942"/>
      <c r="U22" s="1873"/>
      <c r="V22" s="1942"/>
      <c r="W22" s="1873"/>
      <c r="X22" s="1942"/>
      <c r="Y22" s="1873"/>
      <c r="Z22" s="1942"/>
      <c r="AA22" s="1873"/>
      <c r="AB22" s="1942"/>
      <c r="AC22" s="1873"/>
      <c r="AD22" s="1942"/>
      <c r="AE22" s="1873"/>
      <c r="AF22" s="1942"/>
      <c r="AG22" s="1873"/>
      <c r="AH22" s="1942"/>
      <c r="AI22" s="1873"/>
      <c r="AJ22" s="1942"/>
      <c r="AK22" s="1873"/>
      <c r="AL22" s="1942"/>
      <c r="AM22" s="1873"/>
      <c r="AN22" s="1942"/>
      <c r="AO22" s="1873"/>
      <c r="AP22" s="1942"/>
      <c r="AQ22" s="1873"/>
      <c r="AR22" s="1942"/>
      <c r="AS22" s="1873"/>
      <c r="AT22" s="1942"/>
      <c r="AU22" s="1873"/>
      <c r="AV22" s="1942"/>
      <c r="AW22" s="1873"/>
      <c r="AX22" s="1942"/>
      <c r="AY22" s="1873"/>
      <c r="AZ22" s="1942"/>
      <c r="BA22" s="1873"/>
      <c r="BB22" s="1942"/>
      <c r="BC22" s="1873"/>
      <c r="BD22" s="1942"/>
      <c r="BE22" s="1873"/>
      <c r="BF22" s="1942"/>
      <c r="BG22" s="1873"/>
      <c r="BH22" s="1942"/>
      <c r="BI22" s="1873"/>
      <c r="BJ22" s="1942"/>
      <c r="BK22" s="1873"/>
      <c r="BL22" s="1942"/>
      <c r="BM22" s="1873"/>
      <c r="BN22" s="1942"/>
      <c r="BO22" s="1873"/>
      <c r="BP22" s="1942"/>
      <c r="BQ22" s="1873"/>
      <c r="BR22" s="1942"/>
      <c r="BS22" s="1873"/>
      <c r="BT22" s="1942"/>
      <c r="BU22" s="1873"/>
      <c r="BV22" s="1942"/>
      <c r="BW22" s="1873"/>
      <c r="BX22" s="1942"/>
      <c r="BY22" s="1873"/>
      <c r="BZ22" s="1942"/>
      <c r="CA22" s="1873"/>
      <c r="CB22" s="1942"/>
      <c r="CC22" s="1873"/>
      <c r="CD22" s="1942"/>
      <c r="CE22" s="1873"/>
      <c r="CF22" s="1942"/>
      <c r="CG22" s="1873"/>
      <c r="CH22" s="1942"/>
      <c r="CI22" s="1873"/>
      <c r="CJ22" s="1942"/>
      <c r="CK22" s="1873"/>
      <c r="CL22" s="1942"/>
      <c r="CM22" s="1873"/>
      <c r="CN22" s="1942"/>
      <c r="CO22" s="1873"/>
      <c r="CP22" s="1942"/>
      <c r="CQ22" s="1873"/>
      <c r="CR22" s="1942"/>
      <c r="CS22" s="1873"/>
      <c r="CT22" s="1942"/>
      <c r="CU22" s="1873"/>
      <c r="CV22" s="1942"/>
      <c r="CW22" s="1873"/>
      <c r="CX22" s="1942"/>
      <c r="CY22" s="1873"/>
      <c r="CZ22" s="1942"/>
      <c r="DA22" s="1873"/>
      <c r="DB22" s="1942"/>
      <c r="DC22" s="1873"/>
      <c r="DD22" s="1942"/>
      <c r="DE22" s="1873"/>
      <c r="DF22" s="1942"/>
      <c r="DG22" s="1873"/>
      <c r="DH22" s="1942"/>
      <c r="DI22" s="1873"/>
      <c r="DJ22" s="1942"/>
      <c r="DK22" s="1873"/>
      <c r="DL22" s="1942"/>
      <c r="DM22" s="1873"/>
      <c r="DN22" s="1942"/>
      <c r="DO22" s="1873"/>
      <c r="DP22" s="1942"/>
      <c r="DQ22" s="1873"/>
      <c r="DR22" s="1942"/>
      <c r="DS22" s="1873"/>
      <c r="DT22" s="1942"/>
      <c r="DU22" s="1873"/>
      <c r="DV22" s="1942"/>
      <c r="DW22" s="1873"/>
      <c r="DX22" s="1942"/>
      <c r="DY22" s="1873"/>
      <c r="DZ22" s="1942"/>
      <c r="EA22" s="1873"/>
      <c r="EB22" s="1942"/>
      <c r="EC22" s="1873"/>
      <c r="ED22" s="1942"/>
      <c r="EE22" s="1873"/>
      <c r="EF22" s="1942"/>
      <c r="EG22" s="1873"/>
      <c r="EH22" s="1942"/>
      <c r="EI22" s="1873"/>
      <c r="EJ22" s="1942"/>
      <c r="EK22" s="1873"/>
      <c r="EL22" s="1942"/>
      <c r="EM22" s="1873"/>
      <c r="EN22" s="1942"/>
      <c r="EO22" s="1873"/>
      <c r="EP22" s="1942"/>
      <c r="EQ22" s="1873"/>
      <c r="ER22" s="1942"/>
      <c r="ES22" s="1873"/>
      <c r="ET22" s="1942"/>
      <c r="EU22" s="1873"/>
      <c r="EV22" s="1942"/>
      <c r="EW22" s="1873"/>
      <c r="EX22" s="1942"/>
      <c r="EY22" s="1873"/>
      <c r="EZ22" s="1942"/>
      <c r="FA22" s="1873"/>
      <c r="FB22" s="1942"/>
      <c r="FC22" s="1873"/>
      <c r="FD22" s="1942"/>
      <c r="FE22" s="1873"/>
      <c r="FF22" s="1942"/>
      <c r="FG22" s="1873"/>
      <c r="FH22" s="1942"/>
      <c r="FI22" s="1873"/>
      <c r="FJ22" s="1942"/>
      <c r="FK22" s="1873"/>
      <c r="FL22" s="1942"/>
      <c r="FM22" s="1873"/>
      <c r="FN22" s="1942"/>
      <c r="FO22" s="1873"/>
      <c r="FP22" s="1942"/>
      <c r="FQ22" s="1873"/>
      <c r="FR22" s="1942"/>
      <c r="FS22" s="1873"/>
      <c r="FT22" s="1942"/>
      <c r="FU22" s="1873"/>
      <c r="FV22" s="1942"/>
      <c r="FW22" s="1873"/>
      <c r="FX22" s="1942"/>
      <c r="FY22" s="1873"/>
      <c r="FZ22" s="1942"/>
      <c r="GA22" s="1873"/>
      <c r="GB22" s="1942"/>
      <c r="GC22" s="1873"/>
      <c r="GD22" s="1942"/>
      <c r="GE22" s="1873"/>
      <c r="GF22" s="1942"/>
      <c r="GG22" s="1873"/>
      <c r="GH22" s="1942"/>
      <c r="GI22" s="1873"/>
      <c r="GJ22" s="1942"/>
      <c r="GK22" s="1873"/>
      <c r="GL22" s="1942"/>
      <c r="GM22" s="820"/>
      <c r="GN22" s="610"/>
      <c r="GY22" s="567"/>
    </row>
    <row r="23" spans="1:207" s="1910" customFormat="1" ht="22.5" customHeight="1">
      <c r="A23" s="3628"/>
      <c r="C23" s="828"/>
      <c r="D23" s="825" t="s">
        <v>1067</v>
      </c>
      <c r="E23" s="826" t="s">
        <v>1100</v>
      </c>
      <c r="F23" s="822" t="s">
        <v>566</v>
      </c>
      <c r="G23" s="822" t="s">
        <v>566</v>
      </c>
      <c r="H23" s="821" t="s">
        <v>566</v>
      </c>
      <c r="I23" s="822" t="s">
        <v>566</v>
      </c>
      <c r="J23" s="821" t="s">
        <v>566</v>
      </c>
      <c r="K23" s="1933" t="s">
        <v>566</v>
      </c>
      <c r="L23" s="1913" t="s">
        <v>566</v>
      </c>
      <c r="M23" s="1933" t="s">
        <v>566</v>
      </c>
      <c r="N23" s="1913" t="s">
        <v>566</v>
      </c>
      <c r="O23" s="1933" t="s">
        <v>566</v>
      </c>
      <c r="P23" s="1913" t="s">
        <v>566</v>
      </c>
      <c r="Q23" s="1933" t="s">
        <v>566</v>
      </c>
      <c r="R23" s="1913" t="s">
        <v>566</v>
      </c>
      <c r="S23" s="1933" t="s">
        <v>566</v>
      </c>
      <c r="T23" s="1913" t="s">
        <v>566</v>
      </c>
      <c r="U23" s="1933" t="s">
        <v>566</v>
      </c>
      <c r="V23" s="1913" t="s">
        <v>566</v>
      </c>
      <c r="W23" s="1933" t="s">
        <v>566</v>
      </c>
      <c r="X23" s="1913" t="s">
        <v>566</v>
      </c>
      <c r="Y23" s="1933" t="s">
        <v>566</v>
      </c>
      <c r="Z23" s="1913" t="s">
        <v>566</v>
      </c>
      <c r="AA23" s="1933" t="s">
        <v>566</v>
      </c>
      <c r="AB23" s="1913" t="s">
        <v>566</v>
      </c>
      <c r="AC23" s="1933" t="s">
        <v>566</v>
      </c>
      <c r="AD23" s="1913" t="s">
        <v>566</v>
      </c>
      <c r="AE23" s="1933" t="s">
        <v>566</v>
      </c>
      <c r="AF23" s="1913" t="s">
        <v>566</v>
      </c>
      <c r="AG23" s="1933" t="s">
        <v>566</v>
      </c>
      <c r="AH23" s="1913" t="s">
        <v>566</v>
      </c>
      <c r="AI23" s="1933" t="s">
        <v>566</v>
      </c>
      <c r="AJ23" s="1913" t="s">
        <v>566</v>
      </c>
      <c r="AK23" s="1933" t="s">
        <v>566</v>
      </c>
      <c r="AL23" s="1913" t="s">
        <v>566</v>
      </c>
      <c r="AM23" s="1933" t="s">
        <v>566</v>
      </c>
      <c r="AN23" s="1913" t="s">
        <v>566</v>
      </c>
      <c r="AO23" s="1933" t="s">
        <v>566</v>
      </c>
      <c r="AP23" s="1913" t="s">
        <v>566</v>
      </c>
      <c r="AQ23" s="1933" t="s">
        <v>566</v>
      </c>
      <c r="AR23" s="1913" t="s">
        <v>566</v>
      </c>
      <c r="AS23" s="1933" t="s">
        <v>566</v>
      </c>
      <c r="AT23" s="1913" t="s">
        <v>566</v>
      </c>
      <c r="AU23" s="1933" t="s">
        <v>566</v>
      </c>
      <c r="AV23" s="1913" t="s">
        <v>566</v>
      </c>
      <c r="AW23" s="1933" t="s">
        <v>566</v>
      </c>
      <c r="AX23" s="1913" t="s">
        <v>566</v>
      </c>
      <c r="AY23" s="1933" t="s">
        <v>566</v>
      </c>
      <c r="AZ23" s="1913" t="s">
        <v>566</v>
      </c>
      <c r="BA23" s="1933" t="s">
        <v>566</v>
      </c>
      <c r="BB23" s="1913" t="s">
        <v>566</v>
      </c>
      <c r="BC23" s="1933" t="s">
        <v>566</v>
      </c>
      <c r="BD23" s="1913" t="s">
        <v>566</v>
      </c>
      <c r="BE23" s="1933" t="s">
        <v>566</v>
      </c>
      <c r="BF23" s="1913" t="s">
        <v>566</v>
      </c>
      <c r="BG23" s="1933" t="s">
        <v>566</v>
      </c>
      <c r="BH23" s="1913" t="s">
        <v>566</v>
      </c>
      <c r="BI23" s="1933" t="s">
        <v>566</v>
      </c>
      <c r="BJ23" s="1913" t="s">
        <v>566</v>
      </c>
      <c r="BK23" s="1933" t="s">
        <v>566</v>
      </c>
      <c r="BL23" s="1913" t="s">
        <v>566</v>
      </c>
      <c r="BM23" s="1933" t="s">
        <v>566</v>
      </c>
      <c r="BN23" s="1913" t="s">
        <v>566</v>
      </c>
      <c r="BO23" s="1933" t="s">
        <v>566</v>
      </c>
      <c r="BP23" s="1913" t="s">
        <v>566</v>
      </c>
      <c r="BQ23" s="1933" t="s">
        <v>566</v>
      </c>
      <c r="BR23" s="1913" t="s">
        <v>566</v>
      </c>
      <c r="BS23" s="1933" t="s">
        <v>566</v>
      </c>
      <c r="BT23" s="1913" t="s">
        <v>566</v>
      </c>
      <c r="BU23" s="1933" t="s">
        <v>566</v>
      </c>
      <c r="BV23" s="1913" t="s">
        <v>566</v>
      </c>
      <c r="BW23" s="1933" t="s">
        <v>566</v>
      </c>
      <c r="BX23" s="1913" t="s">
        <v>566</v>
      </c>
      <c r="BY23" s="1933" t="s">
        <v>566</v>
      </c>
      <c r="BZ23" s="1913" t="s">
        <v>566</v>
      </c>
      <c r="CA23" s="1933" t="s">
        <v>566</v>
      </c>
      <c r="CB23" s="1913" t="s">
        <v>566</v>
      </c>
      <c r="CC23" s="1933" t="s">
        <v>566</v>
      </c>
      <c r="CD23" s="1913" t="s">
        <v>566</v>
      </c>
      <c r="CE23" s="1933" t="s">
        <v>566</v>
      </c>
      <c r="CF23" s="1913" t="s">
        <v>566</v>
      </c>
      <c r="CG23" s="1933" t="s">
        <v>566</v>
      </c>
      <c r="CH23" s="1913" t="s">
        <v>566</v>
      </c>
      <c r="CI23" s="1933" t="s">
        <v>566</v>
      </c>
      <c r="CJ23" s="1913" t="s">
        <v>566</v>
      </c>
      <c r="CK23" s="1933" t="s">
        <v>566</v>
      </c>
      <c r="CL23" s="1913" t="s">
        <v>566</v>
      </c>
      <c r="CM23" s="1933" t="s">
        <v>566</v>
      </c>
      <c r="CN23" s="1913" t="s">
        <v>566</v>
      </c>
      <c r="CO23" s="1933" t="s">
        <v>566</v>
      </c>
      <c r="CP23" s="1913" t="s">
        <v>566</v>
      </c>
      <c r="CQ23" s="1933" t="s">
        <v>566</v>
      </c>
      <c r="CR23" s="1913" t="s">
        <v>566</v>
      </c>
      <c r="CS23" s="1933" t="s">
        <v>566</v>
      </c>
      <c r="CT23" s="1913" t="s">
        <v>566</v>
      </c>
      <c r="CU23" s="1933" t="s">
        <v>566</v>
      </c>
      <c r="CV23" s="1913" t="s">
        <v>566</v>
      </c>
      <c r="CW23" s="1933" t="s">
        <v>566</v>
      </c>
      <c r="CX23" s="1913" t="s">
        <v>566</v>
      </c>
      <c r="CY23" s="1933" t="s">
        <v>566</v>
      </c>
      <c r="CZ23" s="1913" t="s">
        <v>566</v>
      </c>
      <c r="DA23" s="1933" t="s">
        <v>566</v>
      </c>
      <c r="DB23" s="1913" t="s">
        <v>566</v>
      </c>
      <c r="DC23" s="1933" t="s">
        <v>566</v>
      </c>
      <c r="DD23" s="1913" t="s">
        <v>566</v>
      </c>
      <c r="DE23" s="1933" t="s">
        <v>566</v>
      </c>
      <c r="DF23" s="1913" t="s">
        <v>566</v>
      </c>
      <c r="DG23" s="1933" t="s">
        <v>566</v>
      </c>
      <c r="DH23" s="1913" t="s">
        <v>566</v>
      </c>
      <c r="DI23" s="1933" t="s">
        <v>566</v>
      </c>
      <c r="DJ23" s="1913" t="s">
        <v>566</v>
      </c>
      <c r="DK23" s="1933" t="s">
        <v>566</v>
      </c>
      <c r="DL23" s="1913" t="s">
        <v>566</v>
      </c>
      <c r="DM23" s="1933" t="s">
        <v>566</v>
      </c>
      <c r="DN23" s="1913" t="s">
        <v>566</v>
      </c>
      <c r="DO23" s="1933" t="s">
        <v>566</v>
      </c>
      <c r="DP23" s="1913" t="s">
        <v>566</v>
      </c>
      <c r="DQ23" s="1933" t="s">
        <v>566</v>
      </c>
      <c r="DR23" s="1913" t="s">
        <v>566</v>
      </c>
      <c r="DS23" s="1933" t="s">
        <v>566</v>
      </c>
      <c r="DT23" s="1913" t="s">
        <v>566</v>
      </c>
      <c r="DU23" s="1933" t="s">
        <v>566</v>
      </c>
      <c r="DV23" s="1913" t="s">
        <v>566</v>
      </c>
      <c r="DW23" s="1933" t="s">
        <v>566</v>
      </c>
      <c r="DX23" s="1913" t="s">
        <v>566</v>
      </c>
      <c r="DY23" s="1933" t="s">
        <v>566</v>
      </c>
      <c r="DZ23" s="1913" t="s">
        <v>566</v>
      </c>
      <c r="EA23" s="1933" t="s">
        <v>566</v>
      </c>
      <c r="EB23" s="1913" t="s">
        <v>566</v>
      </c>
      <c r="EC23" s="1933" t="s">
        <v>566</v>
      </c>
      <c r="ED23" s="1913" t="s">
        <v>566</v>
      </c>
      <c r="EE23" s="1933" t="s">
        <v>566</v>
      </c>
      <c r="EF23" s="1913" t="s">
        <v>566</v>
      </c>
      <c r="EG23" s="1933" t="s">
        <v>566</v>
      </c>
      <c r="EH23" s="1913" t="s">
        <v>566</v>
      </c>
      <c r="EI23" s="1933" t="s">
        <v>566</v>
      </c>
      <c r="EJ23" s="1913" t="s">
        <v>566</v>
      </c>
      <c r="EK23" s="1933" t="s">
        <v>566</v>
      </c>
      <c r="EL23" s="1913" t="s">
        <v>566</v>
      </c>
      <c r="EM23" s="1933" t="s">
        <v>566</v>
      </c>
      <c r="EN23" s="1913" t="s">
        <v>566</v>
      </c>
      <c r="EO23" s="1933" t="s">
        <v>566</v>
      </c>
      <c r="EP23" s="1913" t="s">
        <v>566</v>
      </c>
      <c r="EQ23" s="1933" t="s">
        <v>566</v>
      </c>
      <c r="ER23" s="1913" t="s">
        <v>566</v>
      </c>
      <c r="ES23" s="1933" t="s">
        <v>566</v>
      </c>
      <c r="ET23" s="1913" t="s">
        <v>566</v>
      </c>
      <c r="EU23" s="1933" t="s">
        <v>566</v>
      </c>
      <c r="EV23" s="1913" t="s">
        <v>566</v>
      </c>
      <c r="EW23" s="1933" t="s">
        <v>566</v>
      </c>
      <c r="EX23" s="1913" t="s">
        <v>566</v>
      </c>
      <c r="EY23" s="1933" t="s">
        <v>566</v>
      </c>
      <c r="EZ23" s="1913" t="s">
        <v>566</v>
      </c>
      <c r="FA23" s="1933" t="s">
        <v>566</v>
      </c>
      <c r="FB23" s="1913" t="s">
        <v>566</v>
      </c>
      <c r="FC23" s="1933" t="s">
        <v>566</v>
      </c>
      <c r="FD23" s="1913" t="s">
        <v>566</v>
      </c>
      <c r="FE23" s="1933" t="s">
        <v>566</v>
      </c>
      <c r="FF23" s="1913" t="s">
        <v>566</v>
      </c>
      <c r="FG23" s="1933" t="s">
        <v>566</v>
      </c>
      <c r="FH23" s="1913" t="s">
        <v>566</v>
      </c>
      <c r="FI23" s="1933" t="s">
        <v>566</v>
      </c>
      <c r="FJ23" s="1913" t="s">
        <v>566</v>
      </c>
      <c r="FK23" s="1933" t="s">
        <v>566</v>
      </c>
      <c r="FL23" s="1913" t="s">
        <v>566</v>
      </c>
      <c r="FM23" s="1933" t="s">
        <v>566</v>
      </c>
      <c r="FN23" s="1913" t="s">
        <v>566</v>
      </c>
      <c r="FO23" s="1933" t="s">
        <v>566</v>
      </c>
      <c r="FP23" s="1913" t="s">
        <v>566</v>
      </c>
      <c r="FQ23" s="1933" t="s">
        <v>566</v>
      </c>
      <c r="FR23" s="1913" t="s">
        <v>566</v>
      </c>
      <c r="FS23" s="1933" t="s">
        <v>566</v>
      </c>
      <c r="FT23" s="1913" t="s">
        <v>566</v>
      </c>
      <c r="FU23" s="1933" t="s">
        <v>566</v>
      </c>
      <c r="FV23" s="1913" t="s">
        <v>566</v>
      </c>
      <c r="FW23" s="1933" t="s">
        <v>566</v>
      </c>
      <c r="FX23" s="1913" t="s">
        <v>566</v>
      </c>
      <c r="FY23" s="1933" t="s">
        <v>566</v>
      </c>
      <c r="FZ23" s="1913" t="s">
        <v>566</v>
      </c>
      <c r="GA23" s="1933" t="s">
        <v>566</v>
      </c>
      <c r="GB23" s="1913" t="s">
        <v>566</v>
      </c>
      <c r="GC23" s="1933" t="s">
        <v>566</v>
      </c>
      <c r="GD23" s="1913" t="s">
        <v>566</v>
      </c>
      <c r="GE23" s="1933" t="s">
        <v>566</v>
      </c>
      <c r="GF23" s="1913" t="s">
        <v>566</v>
      </c>
      <c r="GG23" s="1933" t="s">
        <v>566</v>
      </c>
      <c r="GH23" s="1913" t="s">
        <v>566</v>
      </c>
      <c r="GI23" s="1933" t="s">
        <v>566</v>
      </c>
      <c r="GJ23" s="1913" t="s">
        <v>566</v>
      </c>
      <c r="GK23" s="1933" t="s">
        <v>566</v>
      </c>
      <c r="GL23" s="1913" t="s">
        <v>566</v>
      </c>
      <c r="GM23" s="820"/>
      <c r="GN23" s="610"/>
      <c r="GY23" s="567"/>
    </row>
    <row r="24" spans="1:207" s="1910" customFormat="1" ht="22.5" customHeight="1">
      <c r="A24" s="3628"/>
      <c r="C24" s="828"/>
      <c r="D24" s="825" t="s">
        <v>1101</v>
      </c>
      <c r="E24" s="473" t="s">
        <v>1102</v>
      </c>
      <c r="F24" s="822" t="s">
        <v>1103</v>
      </c>
      <c r="G24" s="815"/>
      <c r="H24" s="577"/>
      <c r="I24" s="815"/>
      <c r="J24" s="577"/>
      <c r="K24" s="1873"/>
      <c r="L24" s="1874"/>
      <c r="M24" s="1873"/>
      <c r="N24" s="1874"/>
      <c r="O24" s="1873"/>
      <c r="P24" s="1874"/>
      <c r="Q24" s="1873"/>
      <c r="R24" s="1874"/>
      <c r="S24" s="1873"/>
      <c r="T24" s="1874"/>
      <c r="U24" s="1873"/>
      <c r="V24" s="1874"/>
      <c r="W24" s="1873"/>
      <c r="X24" s="1874"/>
      <c r="Y24" s="1873"/>
      <c r="Z24" s="1874"/>
      <c r="AA24" s="1873"/>
      <c r="AB24" s="1874"/>
      <c r="AC24" s="1873"/>
      <c r="AD24" s="1874"/>
      <c r="AE24" s="1873"/>
      <c r="AF24" s="1874"/>
      <c r="AG24" s="1873"/>
      <c r="AH24" s="1874"/>
      <c r="AI24" s="1873"/>
      <c r="AJ24" s="1874"/>
      <c r="AK24" s="1873"/>
      <c r="AL24" s="1874"/>
      <c r="AM24" s="1873"/>
      <c r="AN24" s="1874"/>
      <c r="AO24" s="1873"/>
      <c r="AP24" s="1874"/>
      <c r="AQ24" s="1873"/>
      <c r="AR24" s="1874"/>
      <c r="AS24" s="1873"/>
      <c r="AT24" s="1874"/>
      <c r="AU24" s="1873"/>
      <c r="AV24" s="1874"/>
      <c r="AW24" s="1873"/>
      <c r="AX24" s="1874"/>
      <c r="AY24" s="1873"/>
      <c r="AZ24" s="1874"/>
      <c r="BA24" s="1873"/>
      <c r="BB24" s="1874"/>
      <c r="BC24" s="1873"/>
      <c r="BD24" s="1874"/>
      <c r="BE24" s="1873"/>
      <c r="BF24" s="1874"/>
      <c r="BG24" s="1873"/>
      <c r="BH24" s="1874"/>
      <c r="BI24" s="1873"/>
      <c r="BJ24" s="1874"/>
      <c r="BK24" s="1873"/>
      <c r="BL24" s="1874"/>
      <c r="BM24" s="1873"/>
      <c r="BN24" s="1874"/>
      <c r="BO24" s="1873"/>
      <c r="BP24" s="1874"/>
      <c r="BQ24" s="1873"/>
      <c r="BR24" s="1874"/>
      <c r="BS24" s="1873"/>
      <c r="BT24" s="1874"/>
      <c r="BU24" s="1873"/>
      <c r="BV24" s="1874"/>
      <c r="BW24" s="1873"/>
      <c r="BX24" s="1874"/>
      <c r="BY24" s="1873"/>
      <c r="BZ24" s="1874"/>
      <c r="CA24" s="1873"/>
      <c r="CB24" s="1874"/>
      <c r="CC24" s="1873"/>
      <c r="CD24" s="1874"/>
      <c r="CE24" s="1873"/>
      <c r="CF24" s="1874"/>
      <c r="CG24" s="1873"/>
      <c r="CH24" s="1874"/>
      <c r="CI24" s="1873"/>
      <c r="CJ24" s="1874"/>
      <c r="CK24" s="1873"/>
      <c r="CL24" s="1874"/>
      <c r="CM24" s="1873"/>
      <c r="CN24" s="1874"/>
      <c r="CO24" s="1873"/>
      <c r="CP24" s="1874"/>
      <c r="CQ24" s="1873"/>
      <c r="CR24" s="1874"/>
      <c r="CS24" s="1873"/>
      <c r="CT24" s="1874"/>
      <c r="CU24" s="1873"/>
      <c r="CV24" s="1874"/>
      <c r="CW24" s="1873"/>
      <c r="CX24" s="1874"/>
      <c r="CY24" s="1873"/>
      <c r="CZ24" s="1874"/>
      <c r="DA24" s="1873"/>
      <c r="DB24" s="1874"/>
      <c r="DC24" s="1873"/>
      <c r="DD24" s="1874"/>
      <c r="DE24" s="1873"/>
      <c r="DF24" s="1874"/>
      <c r="DG24" s="1873"/>
      <c r="DH24" s="1874"/>
      <c r="DI24" s="1873"/>
      <c r="DJ24" s="1874"/>
      <c r="DK24" s="1873"/>
      <c r="DL24" s="1874"/>
      <c r="DM24" s="1873"/>
      <c r="DN24" s="1874"/>
      <c r="DO24" s="1873"/>
      <c r="DP24" s="1874"/>
      <c r="DQ24" s="1873"/>
      <c r="DR24" s="1874"/>
      <c r="DS24" s="1873"/>
      <c r="DT24" s="1874"/>
      <c r="DU24" s="1873"/>
      <c r="DV24" s="1874"/>
      <c r="DW24" s="1873"/>
      <c r="DX24" s="1874"/>
      <c r="DY24" s="1873"/>
      <c r="DZ24" s="1874"/>
      <c r="EA24" s="1873"/>
      <c r="EB24" s="1874"/>
      <c r="EC24" s="1873"/>
      <c r="ED24" s="1874"/>
      <c r="EE24" s="1873"/>
      <c r="EF24" s="1874"/>
      <c r="EG24" s="1873"/>
      <c r="EH24" s="1874"/>
      <c r="EI24" s="1873"/>
      <c r="EJ24" s="1874"/>
      <c r="EK24" s="1873"/>
      <c r="EL24" s="1874"/>
      <c r="EM24" s="1873"/>
      <c r="EN24" s="1874"/>
      <c r="EO24" s="1873"/>
      <c r="EP24" s="1874"/>
      <c r="EQ24" s="1873"/>
      <c r="ER24" s="1874"/>
      <c r="ES24" s="1873"/>
      <c r="ET24" s="1874"/>
      <c r="EU24" s="1873"/>
      <c r="EV24" s="1874"/>
      <c r="EW24" s="1873"/>
      <c r="EX24" s="1874"/>
      <c r="EY24" s="1873"/>
      <c r="EZ24" s="1874"/>
      <c r="FA24" s="1873"/>
      <c r="FB24" s="1874"/>
      <c r="FC24" s="1873"/>
      <c r="FD24" s="1874"/>
      <c r="FE24" s="1873"/>
      <c r="FF24" s="1874"/>
      <c r="FG24" s="1873"/>
      <c r="FH24" s="1874"/>
      <c r="FI24" s="1873"/>
      <c r="FJ24" s="1874"/>
      <c r="FK24" s="1873"/>
      <c r="FL24" s="1874"/>
      <c r="FM24" s="1873"/>
      <c r="FN24" s="1874"/>
      <c r="FO24" s="1873"/>
      <c r="FP24" s="1874"/>
      <c r="FQ24" s="1873"/>
      <c r="FR24" s="1874"/>
      <c r="FS24" s="1873"/>
      <c r="FT24" s="1874"/>
      <c r="FU24" s="1873"/>
      <c r="FV24" s="1874"/>
      <c r="FW24" s="1873"/>
      <c r="FX24" s="1874"/>
      <c r="FY24" s="1873"/>
      <c r="FZ24" s="1874"/>
      <c r="GA24" s="1873"/>
      <c r="GB24" s="1874"/>
      <c r="GC24" s="1873"/>
      <c r="GD24" s="1874"/>
      <c r="GE24" s="1873"/>
      <c r="GF24" s="1874"/>
      <c r="GG24" s="1873"/>
      <c r="GH24" s="1874"/>
      <c r="GI24" s="1873"/>
      <c r="GJ24" s="1874"/>
      <c r="GK24" s="1873"/>
      <c r="GL24" s="1874"/>
      <c r="GM24" s="820"/>
      <c r="GN24" s="610"/>
      <c r="GY24" s="567"/>
    </row>
    <row r="25" spans="1:207" s="1910" customFormat="1" ht="22.5" customHeight="1">
      <c r="A25" s="3628"/>
      <c r="C25" s="828"/>
      <c r="D25" s="825" t="s">
        <v>1104</v>
      </c>
      <c r="E25" s="473" t="s">
        <v>1105</v>
      </c>
      <c r="F25" s="822" t="s">
        <v>566</v>
      </c>
      <c r="G25" s="822" t="s">
        <v>566</v>
      </c>
      <c r="H25" s="821" t="s">
        <v>566</v>
      </c>
      <c r="I25" s="822" t="s">
        <v>566</v>
      </c>
      <c r="J25" s="821" t="s">
        <v>566</v>
      </c>
      <c r="K25" s="1933" t="s">
        <v>566</v>
      </c>
      <c r="L25" s="1913" t="s">
        <v>566</v>
      </c>
      <c r="M25" s="1933" t="s">
        <v>566</v>
      </c>
      <c r="N25" s="1913" t="s">
        <v>566</v>
      </c>
      <c r="O25" s="1933" t="s">
        <v>566</v>
      </c>
      <c r="P25" s="1913" t="s">
        <v>566</v>
      </c>
      <c r="Q25" s="1933" t="s">
        <v>566</v>
      </c>
      <c r="R25" s="1913" t="s">
        <v>566</v>
      </c>
      <c r="S25" s="1933" t="s">
        <v>566</v>
      </c>
      <c r="T25" s="1913" t="s">
        <v>566</v>
      </c>
      <c r="U25" s="1933" t="s">
        <v>566</v>
      </c>
      <c r="V25" s="1913" t="s">
        <v>566</v>
      </c>
      <c r="W25" s="1933" t="s">
        <v>566</v>
      </c>
      <c r="X25" s="1913" t="s">
        <v>566</v>
      </c>
      <c r="Y25" s="1933" t="s">
        <v>566</v>
      </c>
      <c r="Z25" s="1913" t="s">
        <v>566</v>
      </c>
      <c r="AA25" s="1933" t="s">
        <v>566</v>
      </c>
      <c r="AB25" s="1913" t="s">
        <v>566</v>
      </c>
      <c r="AC25" s="1933" t="s">
        <v>566</v>
      </c>
      <c r="AD25" s="1913" t="s">
        <v>566</v>
      </c>
      <c r="AE25" s="1933" t="s">
        <v>566</v>
      </c>
      <c r="AF25" s="1913" t="s">
        <v>566</v>
      </c>
      <c r="AG25" s="1933" t="s">
        <v>566</v>
      </c>
      <c r="AH25" s="1913" t="s">
        <v>566</v>
      </c>
      <c r="AI25" s="1933" t="s">
        <v>566</v>
      </c>
      <c r="AJ25" s="1913" t="s">
        <v>566</v>
      </c>
      <c r="AK25" s="1933" t="s">
        <v>566</v>
      </c>
      <c r="AL25" s="1913" t="s">
        <v>566</v>
      </c>
      <c r="AM25" s="1933" t="s">
        <v>566</v>
      </c>
      <c r="AN25" s="1913" t="s">
        <v>566</v>
      </c>
      <c r="AO25" s="1933" t="s">
        <v>566</v>
      </c>
      <c r="AP25" s="1913" t="s">
        <v>566</v>
      </c>
      <c r="AQ25" s="1933" t="s">
        <v>566</v>
      </c>
      <c r="AR25" s="1913" t="s">
        <v>566</v>
      </c>
      <c r="AS25" s="1933" t="s">
        <v>566</v>
      </c>
      <c r="AT25" s="1913" t="s">
        <v>566</v>
      </c>
      <c r="AU25" s="1933" t="s">
        <v>566</v>
      </c>
      <c r="AV25" s="1913" t="s">
        <v>566</v>
      </c>
      <c r="AW25" s="1933" t="s">
        <v>566</v>
      </c>
      <c r="AX25" s="1913" t="s">
        <v>566</v>
      </c>
      <c r="AY25" s="1933" t="s">
        <v>566</v>
      </c>
      <c r="AZ25" s="1913" t="s">
        <v>566</v>
      </c>
      <c r="BA25" s="1933" t="s">
        <v>566</v>
      </c>
      <c r="BB25" s="1913" t="s">
        <v>566</v>
      </c>
      <c r="BC25" s="1933" t="s">
        <v>566</v>
      </c>
      <c r="BD25" s="1913" t="s">
        <v>566</v>
      </c>
      <c r="BE25" s="1933" t="s">
        <v>566</v>
      </c>
      <c r="BF25" s="1913" t="s">
        <v>566</v>
      </c>
      <c r="BG25" s="1933" t="s">
        <v>566</v>
      </c>
      <c r="BH25" s="1913" t="s">
        <v>566</v>
      </c>
      <c r="BI25" s="1933" t="s">
        <v>566</v>
      </c>
      <c r="BJ25" s="1913" t="s">
        <v>566</v>
      </c>
      <c r="BK25" s="1933" t="s">
        <v>566</v>
      </c>
      <c r="BL25" s="1913" t="s">
        <v>566</v>
      </c>
      <c r="BM25" s="1933" t="s">
        <v>566</v>
      </c>
      <c r="BN25" s="1913" t="s">
        <v>566</v>
      </c>
      <c r="BO25" s="1933" t="s">
        <v>566</v>
      </c>
      <c r="BP25" s="1913" t="s">
        <v>566</v>
      </c>
      <c r="BQ25" s="1933" t="s">
        <v>566</v>
      </c>
      <c r="BR25" s="1913" t="s">
        <v>566</v>
      </c>
      <c r="BS25" s="1933" t="s">
        <v>566</v>
      </c>
      <c r="BT25" s="1913" t="s">
        <v>566</v>
      </c>
      <c r="BU25" s="1933" t="s">
        <v>566</v>
      </c>
      <c r="BV25" s="1913" t="s">
        <v>566</v>
      </c>
      <c r="BW25" s="1933" t="s">
        <v>566</v>
      </c>
      <c r="BX25" s="1913" t="s">
        <v>566</v>
      </c>
      <c r="BY25" s="1933" t="s">
        <v>566</v>
      </c>
      <c r="BZ25" s="1913" t="s">
        <v>566</v>
      </c>
      <c r="CA25" s="1933" t="s">
        <v>566</v>
      </c>
      <c r="CB25" s="1913" t="s">
        <v>566</v>
      </c>
      <c r="CC25" s="1933" t="s">
        <v>566</v>
      </c>
      <c r="CD25" s="1913" t="s">
        <v>566</v>
      </c>
      <c r="CE25" s="1933" t="s">
        <v>566</v>
      </c>
      <c r="CF25" s="1913" t="s">
        <v>566</v>
      </c>
      <c r="CG25" s="1933" t="s">
        <v>566</v>
      </c>
      <c r="CH25" s="1913" t="s">
        <v>566</v>
      </c>
      <c r="CI25" s="1933" t="s">
        <v>566</v>
      </c>
      <c r="CJ25" s="1913" t="s">
        <v>566</v>
      </c>
      <c r="CK25" s="1933" t="s">
        <v>566</v>
      </c>
      <c r="CL25" s="1913" t="s">
        <v>566</v>
      </c>
      <c r="CM25" s="1933" t="s">
        <v>566</v>
      </c>
      <c r="CN25" s="1913" t="s">
        <v>566</v>
      </c>
      <c r="CO25" s="1933" t="s">
        <v>566</v>
      </c>
      <c r="CP25" s="1913" t="s">
        <v>566</v>
      </c>
      <c r="CQ25" s="1933" t="s">
        <v>566</v>
      </c>
      <c r="CR25" s="1913" t="s">
        <v>566</v>
      </c>
      <c r="CS25" s="1933" t="s">
        <v>566</v>
      </c>
      <c r="CT25" s="1913" t="s">
        <v>566</v>
      </c>
      <c r="CU25" s="1933" t="s">
        <v>566</v>
      </c>
      <c r="CV25" s="1913" t="s">
        <v>566</v>
      </c>
      <c r="CW25" s="1933" t="s">
        <v>566</v>
      </c>
      <c r="CX25" s="1913" t="s">
        <v>566</v>
      </c>
      <c r="CY25" s="1933" t="s">
        <v>566</v>
      </c>
      <c r="CZ25" s="1913" t="s">
        <v>566</v>
      </c>
      <c r="DA25" s="1933" t="s">
        <v>566</v>
      </c>
      <c r="DB25" s="1913" t="s">
        <v>566</v>
      </c>
      <c r="DC25" s="1933" t="s">
        <v>566</v>
      </c>
      <c r="DD25" s="1913" t="s">
        <v>566</v>
      </c>
      <c r="DE25" s="1933" t="s">
        <v>566</v>
      </c>
      <c r="DF25" s="1913" t="s">
        <v>566</v>
      </c>
      <c r="DG25" s="1933" t="s">
        <v>566</v>
      </c>
      <c r="DH25" s="1913" t="s">
        <v>566</v>
      </c>
      <c r="DI25" s="1933" t="s">
        <v>566</v>
      </c>
      <c r="DJ25" s="1913" t="s">
        <v>566</v>
      </c>
      <c r="DK25" s="1933" t="s">
        <v>566</v>
      </c>
      <c r="DL25" s="1913" t="s">
        <v>566</v>
      </c>
      <c r="DM25" s="1933" t="s">
        <v>566</v>
      </c>
      <c r="DN25" s="1913" t="s">
        <v>566</v>
      </c>
      <c r="DO25" s="1933" t="s">
        <v>566</v>
      </c>
      <c r="DP25" s="1913" t="s">
        <v>566</v>
      </c>
      <c r="DQ25" s="1933" t="s">
        <v>566</v>
      </c>
      <c r="DR25" s="1913" t="s">
        <v>566</v>
      </c>
      <c r="DS25" s="1933" t="s">
        <v>566</v>
      </c>
      <c r="DT25" s="1913" t="s">
        <v>566</v>
      </c>
      <c r="DU25" s="1933" t="s">
        <v>566</v>
      </c>
      <c r="DV25" s="1913" t="s">
        <v>566</v>
      </c>
      <c r="DW25" s="1933" t="s">
        <v>566</v>
      </c>
      <c r="DX25" s="1913" t="s">
        <v>566</v>
      </c>
      <c r="DY25" s="1933" t="s">
        <v>566</v>
      </c>
      <c r="DZ25" s="1913" t="s">
        <v>566</v>
      </c>
      <c r="EA25" s="1933" t="s">
        <v>566</v>
      </c>
      <c r="EB25" s="1913" t="s">
        <v>566</v>
      </c>
      <c r="EC25" s="1933" t="s">
        <v>566</v>
      </c>
      <c r="ED25" s="1913" t="s">
        <v>566</v>
      </c>
      <c r="EE25" s="1933" t="s">
        <v>566</v>
      </c>
      <c r="EF25" s="1913" t="s">
        <v>566</v>
      </c>
      <c r="EG25" s="1933" t="s">
        <v>566</v>
      </c>
      <c r="EH25" s="1913" t="s">
        <v>566</v>
      </c>
      <c r="EI25" s="1933" t="s">
        <v>566</v>
      </c>
      <c r="EJ25" s="1913" t="s">
        <v>566</v>
      </c>
      <c r="EK25" s="1933" t="s">
        <v>566</v>
      </c>
      <c r="EL25" s="1913" t="s">
        <v>566</v>
      </c>
      <c r="EM25" s="1933" t="s">
        <v>566</v>
      </c>
      <c r="EN25" s="1913" t="s">
        <v>566</v>
      </c>
      <c r="EO25" s="1933" t="s">
        <v>566</v>
      </c>
      <c r="EP25" s="1913" t="s">
        <v>566</v>
      </c>
      <c r="EQ25" s="1933" t="s">
        <v>566</v>
      </c>
      <c r="ER25" s="1913" t="s">
        <v>566</v>
      </c>
      <c r="ES25" s="1933" t="s">
        <v>566</v>
      </c>
      <c r="ET25" s="1913" t="s">
        <v>566</v>
      </c>
      <c r="EU25" s="1933" t="s">
        <v>566</v>
      </c>
      <c r="EV25" s="1913" t="s">
        <v>566</v>
      </c>
      <c r="EW25" s="1933" t="s">
        <v>566</v>
      </c>
      <c r="EX25" s="1913" t="s">
        <v>566</v>
      </c>
      <c r="EY25" s="1933" t="s">
        <v>566</v>
      </c>
      <c r="EZ25" s="1913" t="s">
        <v>566</v>
      </c>
      <c r="FA25" s="1933" t="s">
        <v>566</v>
      </c>
      <c r="FB25" s="1913" t="s">
        <v>566</v>
      </c>
      <c r="FC25" s="1933" t="s">
        <v>566</v>
      </c>
      <c r="FD25" s="1913" t="s">
        <v>566</v>
      </c>
      <c r="FE25" s="1933" t="s">
        <v>566</v>
      </c>
      <c r="FF25" s="1913" t="s">
        <v>566</v>
      </c>
      <c r="FG25" s="1933" t="s">
        <v>566</v>
      </c>
      <c r="FH25" s="1913" t="s">
        <v>566</v>
      </c>
      <c r="FI25" s="1933" t="s">
        <v>566</v>
      </c>
      <c r="FJ25" s="1913" t="s">
        <v>566</v>
      </c>
      <c r="FK25" s="1933" t="s">
        <v>566</v>
      </c>
      <c r="FL25" s="1913" t="s">
        <v>566</v>
      </c>
      <c r="FM25" s="1933" t="s">
        <v>566</v>
      </c>
      <c r="FN25" s="1913" t="s">
        <v>566</v>
      </c>
      <c r="FO25" s="1933" t="s">
        <v>566</v>
      </c>
      <c r="FP25" s="1913" t="s">
        <v>566</v>
      </c>
      <c r="FQ25" s="1933" t="s">
        <v>566</v>
      </c>
      <c r="FR25" s="1913" t="s">
        <v>566</v>
      </c>
      <c r="FS25" s="1933" t="s">
        <v>566</v>
      </c>
      <c r="FT25" s="1913" t="s">
        <v>566</v>
      </c>
      <c r="FU25" s="1933" t="s">
        <v>566</v>
      </c>
      <c r="FV25" s="1913" t="s">
        <v>566</v>
      </c>
      <c r="FW25" s="1933" t="s">
        <v>566</v>
      </c>
      <c r="FX25" s="1913" t="s">
        <v>566</v>
      </c>
      <c r="FY25" s="1933" t="s">
        <v>566</v>
      </c>
      <c r="FZ25" s="1913" t="s">
        <v>566</v>
      </c>
      <c r="GA25" s="1933" t="s">
        <v>566</v>
      </c>
      <c r="GB25" s="1913" t="s">
        <v>566</v>
      </c>
      <c r="GC25" s="1933" t="s">
        <v>566</v>
      </c>
      <c r="GD25" s="1913" t="s">
        <v>566</v>
      </c>
      <c r="GE25" s="1933" t="s">
        <v>566</v>
      </c>
      <c r="GF25" s="1913" t="s">
        <v>566</v>
      </c>
      <c r="GG25" s="1933" t="s">
        <v>566</v>
      </c>
      <c r="GH25" s="1913" t="s">
        <v>566</v>
      </c>
      <c r="GI25" s="1933" t="s">
        <v>566</v>
      </c>
      <c r="GJ25" s="1913" t="s">
        <v>566</v>
      </c>
      <c r="GK25" s="1933" t="s">
        <v>566</v>
      </c>
      <c r="GL25" s="1913" t="s">
        <v>566</v>
      </c>
      <c r="GM25" s="820"/>
      <c r="GN25" s="610"/>
      <c r="GY25" s="567"/>
    </row>
    <row r="26" spans="1:207" s="1910" customFormat="1" ht="18.75" customHeight="1">
      <c r="A26" s="3628"/>
      <c r="C26" s="828"/>
      <c r="D26" s="825" t="s">
        <v>1106</v>
      </c>
      <c r="E26" s="450" t="s">
        <v>1107</v>
      </c>
      <c r="F26" s="822" t="s">
        <v>1108</v>
      </c>
      <c r="G26" s="572"/>
      <c r="H26" s="577"/>
      <c r="I26" s="572"/>
      <c r="J26" s="577"/>
      <c r="K26" s="1872"/>
      <c r="L26" s="1874"/>
      <c r="M26" s="1872"/>
      <c r="N26" s="1874"/>
      <c r="O26" s="1872"/>
      <c r="P26" s="1874"/>
      <c r="Q26" s="1872"/>
      <c r="R26" s="1874"/>
      <c r="S26" s="1872"/>
      <c r="T26" s="1874"/>
      <c r="U26" s="1872"/>
      <c r="V26" s="1874"/>
      <c r="W26" s="1872"/>
      <c r="X26" s="1874"/>
      <c r="Y26" s="1872"/>
      <c r="Z26" s="1874"/>
      <c r="AA26" s="1872"/>
      <c r="AB26" s="1874"/>
      <c r="AC26" s="1872"/>
      <c r="AD26" s="1874"/>
      <c r="AE26" s="1872"/>
      <c r="AF26" s="1874"/>
      <c r="AG26" s="1872"/>
      <c r="AH26" s="1874"/>
      <c r="AI26" s="1872"/>
      <c r="AJ26" s="1874"/>
      <c r="AK26" s="1872"/>
      <c r="AL26" s="1874"/>
      <c r="AM26" s="1872"/>
      <c r="AN26" s="1874"/>
      <c r="AO26" s="1872"/>
      <c r="AP26" s="1874"/>
      <c r="AQ26" s="1872"/>
      <c r="AR26" s="1874"/>
      <c r="AS26" s="1872"/>
      <c r="AT26" s="1874"/>
      <c r="AU26" s="1872"/>
      <c r="AV26" s="1874"/>
      <c r="AW26" s="1872"/>
      <c r="AX26" s="1874"/>
      <c r="AY26" s="1872"/>
      <c r="AZ26" s="1874"/>
      <c r="BA26" s="1872"/>
      <c r="BB26" s="1874"/>
      <c r="BC26" s="1872"/>
      <c r="BD26" s="1874"/>
      <c r="BE26" s="1872"/>
      <c r="BF26" s="1874"/>
      <c r="BG26" s="1872"/>
      <c r="BH26" s="1874"/>
      <c r="BI26" s="1872"/>
      <c r="BJ26" s="1874"/>
      <c r="BK26" s="1872"/>
      <c r="BL26" s="1874"/>
      <c r="BM26" s="1872"/>
      <c r="BN26" s="1874"/>
      <c r="BO26" s="1872"/>
      <c r="BP26" s="1874"/>
      <c r="BQ26" s="1872"/>
      <c r="BR26" s="1874"/>
      <c r="BS26" s="1872"/>
      <c r="BT26" s="1874"/>
      <c r="BU26" s="1872"/>
      <c r="BV26" s="1874"/>
      <c r="BW26" s="1872"/>
      <c r="BX26" s="1874"/>
      <c r="BY26" s="1872"/>
      <c r="BZ26" s="1874"/>
      <c r="CA26" s="1872"/>
      <c r="CB26" s="1874"/>
      <c r="CC26" s="1872"/>
      <c r="CD26" s="1874"/>
      <c r="CE26" s="1872"/>
      <c r="CF26" s="1874"/>
      <c r="CG26" s="1872"/>
      <c r="CH26" s="1874"/>
      <c r="CI26" s="1872"/>
      <c r="CJ26" s="1874"/>
      <c r="CK26" s="1872"/>
      <c r="CL26" s="1874"/>
      <c r="CM26" s="1872"/>
      <c r="CN26" s="1874"/>
      <c r="CO26" s="1872"/>
      <c r="CP26" s="1874"/>
      <c r="CQ26" s="1872"/>
      <c r="CR26" s="1874"/>
      <c r="CS26" s="1872"/>
      <c r="CT26" s="1874"/>
      <c r="CU26" s="1872"/>
      <c r="CV26" s="1874"/>
      <c r="CW26" s="1872"/>
      <c r="CX26" s="1874"/>
      <c r="CY26" s="1872"/>
      <c r="CZ26" s="1874"/>
      <c r="DA26" s="1872"/>
      <c r="DB26" s="1874"/>
      <c r="DC26" s="1872"/>
      <c r="DD26" s="1874"/>
      <c r="DE26" s="1872"/>
      <c r="DF26" s="1874"/>
      <c r="DG26" s="1872"/>
      <c r="DH26" s="1874"/>
      <c r="DI26" s="1872"/>
      <c r="DJ26" s="1874"/>
      <c r="DK26" s="1872"/>
      <c r="DL26" s="1874"/>
      <c r="DM26" s="1872"/>
      <c r="DN26" s="1874"/>
      <c r="DO26" s="1872"/>
      <c r="DP26" s="1874"/>
      <c r="DQ26" s="1872"/>
      <c r="DR26" s="1874"/>
      <c r="DS26" s="1872"/>
      <c r="DT26" s="1874"/>
      <c r="DU26" s="1872"/>
      <c r="DV26" s="1874"/>
      <c r="DW26" s="1872"/>
      <c r="DX26" s="1874"/>
      <c r="DY26" s="1872"/>
      <c r="DZ26" s="1874"/>
      <c r="EA26" s="1872"/>
      <c r="EB26" s="1874"/>
      <c r="EC26" s="1872"/>
      <c r="ED26" s="1874"/>
      <c r="EE26" s="1872"/>
      <c r="EF26" s="1874"/>
      <c r="EG26" s="1872"/>
      <c r="EH26" s="1874"/>
      <c r="EI26" s="1872"/>
      <c r="EJ26" s="1874"/>
      <c r="EK26" s="1872"/>
      <c r="EL26" s="1874"/>
      <c r="EM26" s="1872"/>
      <c r="EN26" s="1874"/>
      <c r="EO26" s="1872"/>
      <c r="EP26" s="1874"/>
      <c r="EQ26" s="1872"/>
      <c r="ER26" s="1874"/>
      <c r="ES26" s="1872"/>
      <c r="ET26" s="1874"/>
      <c r="EU26" s="1872"/>
      <c r="EV26" s="1874"/>
      <c r="EW26" s="1872"/>
      <c r="EX26" s="1874"/>
      <c r="EY26" s="1872"/>
      <c r="EZ26" s="1874"/>
      <c r="FA26" s="1872"/>
      <c r="FB26" s="1874"/>
      <c r="FC26" s="1872"/>
      <c r="FD26" s="1874"/>
      <c r="FE26" s="1872"/>
      <c r="FF26" s="1874"/>
      <c r="FG26" s="1872"/>
      <c r="FH26" s="1874"/>
      <c r="FI26" s="1872"/>
      <c r="FJ26" s="1874"/>
      <c r="FK26" s="1872"/>
      <c r="FL26" s="1874"/>
      <c r="FM26" s="1872"/>
      <c r="FN26" s="1874"/>
      <c r="FO26" s="1872"/>
      <c r="FP26" s="1874"/>
      <c r="FQ26" s="1872"/>
      <c r="FR26" s="1874"/>
      <c r="FS26" s="1872"/>
      <c r="FT26" s="1874"/>
      <c r="FU26" s="1872"/>
      <c r="FV26" s="1874"/>
      <c r="FW26" s="1872"/>
      <c r="FX26" s="1874"/>
      <c r="FY26" s="1872"/>
      <c r="FZ26" s="1874"/>
      <c r="GA26" s="1872"/>
      <c r="GB26" s="1874"/>
      <c r="GC26" s="1872"/>
      <c r="GD26" s="1874"/>
      <c r="GE26" s="1872"/>
      <c r="GF26" s="1874"/>
      <c r="GG26" s="1872"/>
      <c r="GH26" s="1874"/>
      <c r="GI26" s="1872"/>
      <c r="GJ26" s="1874"/>
      <c r="GK26" s="1872"/>
      <c r="GL26" s="1874"/>
      <c r="GM26" s="820"/>
      <c r="GN26" s="610"/>
      <c r="GY26" s="567"/>
    </row>
    <row r="27" spans="1:207" s="1910" customFormat="1" ht="18.75" customHeight="1">
      <c r="A27" s="3628"/>
      <c r="C27" s="828"/>
      <c r="D27" s="825" t="s">
        <v>1109</v>
      </c>
      <c r="E27" s="450" t="s">
        <v>1110</v>
      </c>
      <c r="F27" s="822" t="s">
        <v>1111</v>
      </c>
      <c r="G27" s="572"/>
      <c r="H27" s="577"/>
      <c r="I27" s="572"/>
      <c r="J27" s="577"/>
      <c r="K27" s="1872"/>
      <c r="L27" s="1874"/>
      <c r="M27" s="1872"/>
      <c r="N27" s="1874"/>
      <c r="O27" s="1872"/>
      <c r="P27" s="1874"/>
      <c r="Q27" s="1872"/>
      <c r="R27" s="1874"/>
      <c r="S27" s="1872"/>
      <c r="T27" s="1874"/>
      <c r="U27" s="1872"/>
      <c r="V27" s="1874"/>
      <c r="W27" s="1872"/>
      <c r="X27" s="1874"/>
      <c r="Y27" s="1872"/>
      <c r="Z27" s="1874"/>
      <c r="AA27" s="1872"/>
      <c r="AB27" s="1874"/>
      <c r="AC27" s="1872"/>
      <c r="AD27" s="1874"/>
      <c r="AE27" s="1872"/>
      <c r="AF27" s="1874"/>
      <c r="AG27" s="1872"/>
      <c r="AH27" s="1874"/>
      <c r="AI27" s="1872"/>
      <c r="AJ27" s="1874"/>
      <c r="AK27" s="1872"/>
      <c r="AL27" s="1874"/>
      <c r="AM27" s="1872"/>
      <c r="AN27" s="1874"/>
      <c r="AO27" s="1872"/>
      <c r="AP27" s="1874"/>
      <c r="AQ27" s="1872"/>
      <c r="AR27" s="1874"/>
      <c r="AS27" s="1872"/>
      <c r="AT27" s="1874"/>
      <c r="AU27" s="1872"/>
      <c r="AV27" s="1874"/>
      <c r="AW27" s="1872"/>
      <c r="AX27" s="1874"/>
      <c r="AY27" s="1872"/>
      <c r="AZ27" s="1874"/>
      <c r="BA27" s="1872"/>
      <c r="BB27" s="1874"/>
      <c r="BC27" s="1872"/>
      <c r="BD27" s="1874"/>
      <c r="BE27" s="1872"/>
      <c r="BF27" s="1874"/>
      <c r="BG27" s="1872"/>
      <c r="BH27" s="1874"/>
      <c r="BI27" s="1872"/>
      <c r="BJ27" s="1874"/>
      <c r="BK27" s="1872"/>
      <c r="BL27" s="1874"/>
      <c r="BM27" s="1872"/>
      <c r="BN27" s="1874"/>
      <c r="BO27" s="1872"/>
      <c r="BP27" s="1874"/>
      <c r="BQ27" s="1872"/>
      <c r="BR27" s="1874"/>
      <c r="BS27" s="1872"/>
      <c r="BT27" s="1874"/>
      <c r="BU27" s="1872"/>
      <c r="BV27" s="1874"/>
      <c r="BW27" s="1872"/>
      <c r="BX27" s="1874"/>
      <c r="BY27" s="1872"/>
      <c r="BZ27" s="1874"/>
      <c r="CA27" s="1872"/>
      <c r="CB27" s="1874"/>
      <c r="CC27" s="1872"/>
      <c r="CD27" s="1874"/>
      <c r="CE27" s="1872"/>
      <c r="CF27" s="1874"/>
      <c r="CG27" s="1872"/>
      <c r="CH27" s="1874"/>
      <c r="CI27" s="1872"/>
      <c r="CJ27" s="1874"/>
      <c r="CK27" s="1872"/>
      <c r="CL27" s="1874"/>
      <c r="CM27" s="1872"/>
      <c r="CN27" s="1874"/>
      <c r="CO27" s="1872"/>
      <c r="CP27" s="1874"/>
      <c r="CQ27" s="1872"/>
      <c r="CR27" s="1874"/>
      <c r="CS27" s="1872"/>
      <c r="CT27" s="1874"/>
      <c r="CU27" s="1872"/>
      <c r="CV27" s="1874"/>
      <c r="CW27" s="1872"/>
      <c r="CX27" s="1874"/>
      <c r="CY27" s="1872"/>
      <c r="CZ27" s="1874"/>
      <c r="DA27" s="1872"/>
      <c r="DB27" s="1874"/>
      <c r="DC27" s="1872"/>
      <c r="DD27" s="1874"/>
      <c r="DE27" s="1872"/>
      <c r="DF27" s="1874"/>
      <c r="DG27" s="1872"/>
      <c r="DH27" s="1874"/>
      <c r="DI27" s="1872"/>
      <c r="DJ27" s="1874"/>
      <c r="DK27" s="1872"/>
      <c r="DL27" s="1874"/>
      <c r="DM27" s="1872"/>
      <c r="DN27" s="1874"/>
      <c r="DO27" s="1872"/>
      <c r="DP27" s="1874"/>
      <c r="DQ27" s="1872"/>
      <c r="DR27" s="1874"/>
      <c r="DS27" s="1872"/>
      <c r="DT27" s="1874"/>
      <c r="DU27" s="1872"/>
      <c r="DV27" s="1874"/>
      <c r="DW27" s="1872"/>
      <c r="DX27" s="1874"/>
      <c r="DY27" s="1872"/>
      <c r="DZ27" s="1874"/>
      <c r="EA27" s="1872"/>
      <c r="EB27" s="1874"/>
      <c r="EC27" s="1872"/>
      <c r="ED27" s="1874"/>
      <c r="EE27" s="1872"/>
      <c r="EF27" s="1874"/>
      <c r="EG27" s="1872"/>
      <c r="EH27" s="1874"/>
      <c r="EI27" s="1872"/>
      <c r="EJ27" s="1874"/>
      <c r="EK27" s="1872"/>
      <c r="EL27" s="1874"/>
      <c r="EM27" s="1872"/>
      <c r="EN27" s="1874"/>
      <c r="EO27" s="1872"/>
      <c r="EP27" s="1874"/>
      <c r="EQ27" s="1872"/>
      <c r="ER27" s="1874"/>
      <c r="ES27" s="1872"/>
      <c r="ET27" s="1874"/>
      <c r="EU27" s="1872"/>
      <c r="EV27" s="1874"/>
      <c r="EW27" s="1872"/>
      <c r="EX27" s="1874"/>
      <c r="EY27" s="1872"/>
      <c r="EZ27" s="1874"/>
      <c r="FA27" s="1872"/>
      <c r="FB27" s="1874"/>
      <c r="FC27" s="1872"/>
      <c r="FD27" s="1874"/>
      <c r="FE27" s="1872"/>
      <c r="FF27" s="1874"/>
      <c r="FG27" s="1872"/>
      <c r="FH27" s="1874"/>
      <c r="FI27" s="1872"/>
      <c r="FJ27" s="1874"/>
      <c r="FK27" s="1872"/>
      <c r="FL27" s="1874"/>
      <c r="FM27" s="1872"/>
      <c r="FN27" s="1874"/>
      <c r="FO27" s="1872"/>
      <c r="FP27" s="1874"/>
      <c r="FQ27" s="1872"/>
      <c r="FR27" s="1874"/>
      <c r="FS27" s="1872"/>
      <c r="FT27" s="1874"/>
      <c r="FU27" s="1872"/>
      <c r="FV27" s="1874"/>
      <c r="FW27" s="1872"/>
      <c r="FX27" s="1874"/>
      <c r="FY27" s="1872"/>
      <c r="FZ27" s="1874"/>
      <c r="GA27" s="1872"/>
      <c r="GB27" s="1874"/>
      <c r="GC27" s="1872"/>
      <c r="GD27" s="1874"/>
      <c r="GE27" s="1872"/>
      <c r="GF27" s="1874"/>
      <c r="GG27" s="1872"/>
      <c r="GH27" s="1874"/>
      <c r="GI27" s="1872"/>
      <c r="GJ27" s="1874"/>
      <c r="GK27" s="1872"/>
      <c r="GL27" s="1874"/>
      <c r="GM27" s="820"/>
      <c r="GN27" s="610"/>
      <c r="GY27" s="567"/>
    </row>
    <row r="28" spans="1:207" s="1910" customFormat="1" ht="18.75" customHeight="1">
      <c r="A28" s="3628"/>
      <c r="C28" s="828"/>
      <c r="D28" s="825" t="s">
        <v>1112</v>
      </c>
      <c r="E28" s="473" t="s">
        <v>1113</v>
      </c>
      <c r="F28" s="822" t="s">
        <v>566</v>
      </c>
      <c r="G28" s="822" t="s">
        <v>566</v>
      </c>
      <c r="H28" s="821" t="s">
        <v>566</v>
      </c>
      <c r="I28" s="822" t="s">
        <v>566</v>
      </c>
      <c r="J28" s="821" t="s">
        <v>566</v>
      </c>
      <c r="K28" s="1933" t="s">
        <v>566</v>
      </c>
      <c r="L28" s="1913" t="s">
        <v>566</v>
      </c>
      <c r="M28" s="1933" t="s">
        <v>566</v>
      </c>
      <c r="N28" s="1913" t="s">
        <v>566</v>
      </c>
      <c r="O28" s="1933" t="s">
        <v>566</v>
      </c>
      <c r="P28" s="1913" t="s">
        <v>566</v>
      </c>
      <c r="Q28" s="1933" t="s">
        <v>566</v>
      </c>
      <c r="R28" s="1913" t="s">
        <v>566</v>
      </c>
      <c r="S28" s="1933" t="s">
        <v>566</v>
      </c>
      <c r="T28" s="1913" t="s">
        <v>566</v>
      </c>
      <c r="U28" s="1933" t="s">
        <v>566</v>
      </c>
      <c r="V28" s="1913" t="s">
        <v>566</v>
      </c>
      <c r="W28" s="1933" t="s">
        <v>566</v>
      </c>
      <c r="X28" s="1913" t="s">
        <v>566</v>
      </c>
      <c r="Y28" s="1933" t="s">
        <v>566</v>
      </c>
      <c r="Z28" s="1913" t="s">
        <v>566</v>
      </c>
      <c r="AA28" s="1933" t="s">
        <v>566</v>
      </c>
      <c r="AB28" s="1913" t="s">
        <v>566</v>
      </c>
      <c r="AC28" s="1933" t="s">
        <v>566</v>
      </c>
      <c r="AD28" s="1913" t="s">
        <v>566</v>
      </c>
      <c r="AE28" s="1933" t="s">
        <v>566</v>
      </c>
      <c r="AF28" s="1913" t="s">
        <v>566</v>
      </c>
      <c r="AG28" s="1933" t="s">
        <v>566</v>
      </c>
      <c r="AH28" s="1913" t="s">
        <v>566</v>
      </c>
      <c r="AI28" s="1933" t="s">
        <v>566</v>
      </c>
      <c r="AJ28" s="1913" t="s">
        <v>566</v>
      </c>
      <c r="AK28" s="1933" t="s">
        <v>566</v>
      </c>
      <c r="AL28" s="1913" t="s">
        <v>566</v>
      </c>
      <c r="AM28" s="1933" t="s">
        <v>566</v>
      </c>
      <c r="AN28" s="1913" t="s">
        <v>566</v>
      </c>
      <c r="AO28" s="1933" t="s">
        <v>566</v>
      </c>
      <c r="AP28" s="1913" t="s">
        <v>566</v>
      </c>
      <c r="AQ28" s="1933" t="s">
        <v>566</v>
      </c>
      <c r="AR28" s="1913" t="s">
        <v>566</v>
      </c>
      <c r="AS28" s="1933" t="s">
        <v>566</v>
      </c>
      <c r="AT28" s="1913" t="s">
        <v>566</v>
      </c>
      <c r="AU28" s="1933" t="s">
        <v>566</v>
      </c>
      <c r="AV28" s="1913" t="s">
        <v>566</v>
      </c>
      <c r="AW28" s="1933" t="s">
        <v>566</v>
      </c>
      <c r="AX28" s="1913" t="s">
        <v>566</v>
      </c>
      <c r="AY28" s="1933" t="s">
        <v>566</v>
      </c>
      <c r="AZ28" s="1913" t="s">
        <v>566</v>
      </c>
      <c r="BA28" s="1933" t="s">
        <v>566</v>
      </c>
      <c r="BB28" s="1913" t="s">
        <v>566</v>
      </c>
      <c r="BC28" s="1933" t="s">
        <v>566</v>
      </c>
      <c r="BD28" s="1913" t="s">
        <v>566</v>
      </c>
      <c r="BE28" s="1933" t="s">
        <v>566</v>
      </c>
      <c r="BF28" s="1913" t="s">
        <v>566</v>
      </c>
      <c r="BG28" s="1933" t="s">
        <v>566</v>
      </c>
      <c r="BH28" s="1913" t="s">
        <v>566</v>
      </c>
      <c r="BI28" s="1933" t="s">
        <v>566</v>
      </c>
      <c r="BJ28" s="1913" t="s">
        <v>566</v>
      </c>
      <c r="BK28" s="1933" t="s">
        <v>566</v>
      </c>
      <c r="BL28" s="1913" t="s">
        <v>566</v>
      </c>
      <c r="BM28" s="1933" t="s">
        <v>566</v>
      </c>
      <c r="BN28" s="1913" t="s">
        <v>566</v>
      </c>
      <c r="BO28" s="1933" t="s">
        <v>566</v>
      </c>
      <c r="BP28" s="1913" t="s">
        <v>566</v>
      </c>
      <c r="BQ28" s="1933" t="s">
        <v>566</v>
      </c>
      <c r="BR28" s="1913" t="s">
        <v>566</v>
      </c>
      <c r="BS28" s="1933" t="s">
        <v>566</v>
      </c>
      <c r="BT28" s="1913" t="s">
        <v>566</v>
      </c>
      <c r="BU28" s="1933" t="s">
        <v>566</v>
      </c>
      <c r="BV28" s="1913" t="s">
        <v>566</v>
      </c>
      <c r="BW28" s="1933" t="s">
        <v>566</v>
      </c>
      <c r="BX28" s="1913" t="s">
        <v>566</v>
      </c>
      <c r="BY28" s="1933" t="s">
        <v>566</v>
      </c>
      <c r="BZ28" s="1913" t="s">
        <v>566</v>
      </c>
      <c r="CA28" s="1933" t="s">
        <v>566</v>
      </c>
      <c r="CB28" s="1913" t="s">
        <v>566</v>
      </c>
      <c r="CC28" s="1933" t="s">
        <v>566</v>
      </c>
      <c r="CD28" s="1913" t="s">
        <v>566</v>
      </c>
      <c r="CE28" s="1933" t="s">
        <v>566</v>
      </c>
      <c r="CF28" s="1913" t="s">
        <v>566</v>
      </c>
      <c r="CG28" s="1933" t="s">
        <v>566</v>
      </c>
      <c r="CH28" s="1913" t="s">
        <v>566</v>
      </c>
      <c r="CI28" s="1933" t="s">
        <v>566</v>
      </c>
      <c r="CJ28" s="1913" t="s">
        <v>566</v>
      </c>
      <c r="CK28" s="1933" t="s">
        <v>566</v>
      </c>
      <c r="CL28" s="1913" t="s">
        <v>566</v>
      </c>
      <c r="CM28" s="1933" t="s">
        <v>566</v>
      </c>
      <c r="CN28" s="1913" t="s">
        <v>566</v>
      </c>
      <c r="CO28" s="1933" t="s">
        <v>566</v>
      </c>
      <c r="CP28" s="1913" t="s">
        <v>566</v>
      </c>
      <c r="CQ28" s="1933" t="s">
        <v>566</v>
      </c>
      <c r="CR28" s="1913" t="s">
        <v>566</v>
      </c>
      <c r="CS28" s="1933" t="s">
        <v>566</v>
      </c>
      <c r="CT28" s="1913" t="s">
        <v>566</v>
      </c>
      <c r="CU28" s="1933" t="s">
        <v>566</v>
      </c>
      <c r="CV28" s="1913" t="s">
        <v>566</v>
      </c>
      <c r="CW28" s="1933" t="s">
        <v>566</v>
      </c>
      <c r="CX28" s="1913" t="s">
        <v>566</v>
      </c>
      <c r="CY28" s="1933" t="s">
        <v>566</v>
      </c>
      <c r="CZ28" s="1913" t="s">
        <v>566</v>
      </c>
      <c r="DA28" s="1933" t="s">
        <v>566</v>
      </c>
      <c r="DB28" s="1913" t="s">
        <v>566</v>
      </c>
      <c r="DC28" s="1933" t="s">
        <v>566</v>
      </c>
      <c r="DD28" s="1913" t="s">
        <v>566</v>
      </c>
      <c r="DE28" s="1933" t="s">
        <v>566</v>
      </c>
      <c r="DF28" s="1913" t="s">
        <v>566</v>
      </c>
      <c r="DG28" s="1933" t="s">
        <v>566</v>
      </c>
      <c r="DH28" s="1913" t="s">
        <v>566</v>
      </c>
      <c r="DI28" s="1933" t="s">
        <v>566</v>
      </c>
      <c r="DJ28" s="1913" t="s">
        <v>566</v>
      </c>
      <c r="DK28" s="1933" t="s">
        <v>566</v>
      </c>
      <c r="DL28" s="1913" t="s">
        <v>566</v>
      </c>
      <c r="DM28" s="1933" t="s">
        <v>566</v>
      </c>
      <c r="DN28" s="1913" t="s">
        <v>566</v>
      </c>
      <c r="DO28" s="1933" t="s">
        <v>566</v>
      </c>
      <c r="DP28" s="1913" t="s">
        <v>566</v>
      </c>
      <c r="DQ28" s="1933" t="s">
        <v>566</v>
      </c>
      <c r="DR28" s="1913" t="s">
        <v>566</v>
      </c>
      <c r="DS28" s="1933" t="s">
        <v>566</v>
      </c>
      <c r="DT28" s="1913" t="s">
        <v>566</v>
      </c>
      <c r="DU28" s="1933" t="s">
        <v>566</v>
      </c>
      <c r="DV28" s="1913" t="s">
        <v>566</v>
      </c>
      <c r="DW28" s="1933" t="s">
        <v>566</v>
      </c>
      <c r="DX28" s="1913" t="s">
        <v>566</v>
      </c>
      <c r="DY28" s="1933" t="s">
        <v>566</v>
      </c>
      <c r="DZ28" s="1913" t="s">
        <v>566</v>
      </c>
      <c r="EA28" s="1933" t="s">
        <v>566</v>
      </c>
      <c r="EB28" s="1913" t="s">
        <v>566</v>
      </c>
      <c r="EC28" s="1933" t="s">
        <v>566</v>
      </c>
      <c r="ED28" s="1913" t="s">
        <v>566</v>
      </c>
      <c r="EE28" s="1933" t="s">
        <v>566</v>
      </c>
      <c r="EF28" s="1913" t="s">
        <v>566</v>
      </c>
      <c r="EG28" s="1933" t="s">
        <v>566</v>
      </c>
      <c r="EH28" s="1913" t="s">
        <v>566</v>
      </c>
      <c r="EI28" s="1933" t="s">
        <v>566</v>
      </c>
      <c r="EJ28" s="1913" t="s">
        <v>566</v>
      </c>
      <c r="EK28" s="1933" t="s">
        <v>566</v>
      </c>
      <c r="EL28" s="1913" t="s">
        <v>566</v>
      </c>
      <c r="EM28" s="1933" t="s">
        <v>566</v>
      </c>
      <c r="EN28" s="1913" t="s">
        <v>566</v>
      </c>
      <c r="EO28" s="1933" t="s">
        <v>566</v>
      </c>
      <c r="EP28" s="1913" t="s">
        <v>566</v>
      </c>
      <c r="EQ28" s="1933" t="s">
        <v>566</v>
      </c>
      <c r="ER28" s="1913" t="s">
        <v>566</v>
      </c>
      <c r="ES28" s="1933" t="s">
        <v>566</v>
      </c>
      <c r="ET28" s="1913" t="s">
        <v>566</v>
      </c>
      <c r="EU28" s="1933" t="s">
        <v>566</v>
      </c>
      <c r="EV28" s="1913" t="s">
        <v>566</v>
      </c>
      <c r="EW28" s="1933" t="s">
        <v>566</v>
      </c>
      <c r="EX28" s="1913" t="s">
        <v>566</v>
      </c>
      <c r="EY28" s="1933" t="s">
        <v>566</v>
      </c>
      <c r="EZ28" s="1913" t="s">
        <v>566</v>
      </c>
      <c r="FA28" s="1933" t="s">
        <v>566</v>
      </c>
      <c r="FB28" s="1913" t="s">
        <v>566</v>
      </c>
      <c r="FC28" s="1933" t="s">
        <v>566</v>
      </c>
      <c r="FD28" s="1913" t="s">
        <v>566</v>
      </c>
      <c r="FE28" s="1933" t="s">
        <v>566</v>
      </c>
      <c r="FF28" s="1913" t="s">
        <v>566</v>
      </c>
      <c r="FG28" s="1933" t="s">
        <v>566</v>
      </c>
      <c r="FH28" s="1913" t="s">
        <v>566</v>
      </c>
      <c r="FI28" s="1933" t="s">
        <v>566</v>
      </c>
      <c r="FJ28" s="1913" t="s">
        <v>566</v>
      </c>
      <c r="FK28" s="1933" t="s">
        <v>566</v>
      </c>
      <c r="FL28" s="1913" t="s">
        <v>566</v>
      </c>
      <c r="FM28" s="1933" t="s">
        <v>566</v>
      </c>
      <c r="FN28" s="1913" t="s">
        <v>566</v>
      </c>
      <c r="FO28" s="1933" t="s">
        <v>566</v>
      </c>
      <c r="FP28" s="1913" t="s">
        <v>566</v>
      </c>
      <c r="FQ28" s="1933" t="s">
        <v>566</v>
      </c>
      <c r="FR28" s="1913" t="s">
        <v>566</v>
      </c>
      <c r="FS28" s="1933" t="s">
        <v>566</v>
      </c>
      <c r="FT28" s="1913" t="s">
        <v>566</v>
      </c>
      <c r="FU28" s="1933" t="s">
        <v>566</v>
      </c>
      <c r="FV28" s="1913" t="s">
        <v>566</v>
      </c>
      <c r="FW28" s="1933" t="s">
        <v>566</v>
      </c>
      <c r="FX28" s="1913" t="s">
        <v>566</v>
      </c>
      <c r="FY28" s="1933" t="s">
        <v>566</v>
      </c>
      <c r="FZ28" s="1913" t="s">
        <v>566</v>
      </c>
      <c r="GA28" s="1933" t="s">
        <v>566</v>
      </c>
      <c r="GB28" s="1913" t="s">
        <v>566</v>
      </c>
      <c r="GC28" s="1933" t="s">
        <v>566</v>
      </c>
      <c r="GD28" s="1913" t="s">
        <v>566</v>
      </c>
      <c r="GE28" s="1933" t="s">
        <v>566</v>
      </c>
      <c r="GF28" s="1913" t="s">
        <v>566</v>
      </c>
      <c r="GG28" s="1933" t="s">
        <v>566</v>
      </c>
      <c r="GH28" s="1913" t="s">
        <v>566</v>
      </c>
      <c r="GI28" s="1933" t="s">
        <v>566</v>
      </c>
      <c r="GJ28" s="1913" t="s">
        <v>566</v>
      </c>
      <c r="GK28" s="1933" t="s">
        <v>566</v>
      </c>
      <c r="GL28" s="1913" t="s">
        <v>566</v>
      </c>
      <c r="GM28" s="820"/>
      <c r="GN28" s="610"/>
      <c r="GY28" s="567"/>
    </row>
    <row r="29" spans="1:207" s="1910" customFormat="1" ht="18.75" customHeight="1">
      <c r="A29" s="3628"/>
      <c r="C29" s="828"/>
      <c r="D29" s="825" t="s">
        <v>1114</v>
      </c>
      <c r="E29" s="450" t="s">
        <v>1107</v>
      </c>
      <c r="F29" s="822" t="s">
        <v>1115</v>
      </c>
      <c r="G29" s="572"/>
      <c r="H29" s="577"/>
      <c r="I29" s="572"/>
      <c r="J29" s="577"/>
      <c r="K29" s="1872"/>
      <c r="L29" s="1874"/>
      <c r="M29" s="1872"/>
      <c r="N29" s="1874"/>
      <c r="O29" s="1872"/>
      <c r="P29" s="1874"/>
      <c r="Q29" s="1872"/>
      <c r="R29" s="1874"/>
      <c r="S29" s="1872"/>
      <c r="T29" s="1874"/>
      <c r="U29" s="1872"/>
      <c r="V29" s="1874"/>
      <c r="W29" s="1872"/>
      <c r="X29" s="1874"/>
      <c r="Y29" s="1872"/>
      <c r="Z29" s="1874"/>
      <c r="AA29" s="1872"/>
      <c r="AB29" s="1874"/>
      <c r="AC29" s="1872"/>
      <c r="AD29" s="1874"/>
      <c r="AE29" s="1872"/>
      <c r="AF29" s="1874"/>
      <c r="AG29" s="1872"/>
      <c r="AH29" s="1874"/>
      <c r="AI29" s="1872"/>
      <c r="AJ29" s="1874"/>
      <c r="AK29" s="1872"/>
      <c r="AL29" s="1874"/>
      <c r="AM29" s="1872"/>
      <c r="AN29" s="1874"/>
      <c r="AO29" s="1872"/>
      <c r="AP29" s="1874"/>
      <c r="AQ29" s="1872"/>
      <c r="AR29" s="1874"/>
      <c r="AS29" s="1872"/>
      <c r="AT29" s="1874"/>
      <c r="AU29" s="1872"/>
      <c r="AV29" s="1874"/>
      <c r="AW29" s="1872"/>
      <c r="AX29" s="1874"/>
      <c r="AY29" s="1872"/>
      <c r="AZ29" s="1874"/>
      <c r="BA29" s="1872"/>
      <c r="BB29" s="1874"/>
      <c r="BC29" s="1872"/>
      <c r="BD29" s="1874"/>
      <c r="BE29" s="1872"/>
      <c r="BF29" s="1874"/>
      <c r="BG29" s="1872"/>
      <c r="BH29" s="1874"/>
      <c r="BI29" s="1872"/>
      <c r="BJ29" s="1874"/>
      <c r="BK29" s="1872"/>
      <c r="BL29" s="1874"/>
      <c r="BM29" s="1872"/>
      <c r="BN29" s="1874"/>
      <c r="BO29" s="1872"/>
      <c r="BP29" s="1874"/>
      <c r="BQ29" s="1872"/>
      <c r="BR29" s="1874"/>
      <c r="BS29" s="1872"/>
      <c r="BT29" s="1874"/>
      <c r="BU29" s="1872"/>
      <c r="BV29" s="1874"/>
      <c r="BW29" s="1872"/>
      <c r="BX29" s="1874"/>
      <c r="BY29" s="1872"/>
      <c r="BZ29" s="1874"/>
      <c r="CA29" s="1872"/>
      <c r="CB29" s="1874"/>
      <c r="CC29" s="1872"/>
      <c r="CD29" s="1874"/>
      <c r="CE29" s="1872"/>
      <c r="CF29" s="1874"/>
      <c r="CG29" s="1872"/>
      <c r="CH29" s="1874"/>
      <c r="CI29" s="1872"/>
      <c r="CJ29" s="1874"/>
      <c r="CK29" s="1872"/>
      <c r="CL29" s="1874"/>
      <c r="CM29" s="1872"/>
      <c r="CN29" s="1874"/>
      <c r="CO29" s="1872"/>
      <c r="CP29" s="1874"/>
      <c r="CQ29" s="1872"/>
      <c r="CR29" s="1874"/>
      <c r="CS29" s="1872"/>
      <c r="CT29" s="1874"/>
      <c r="CU29" s="1872"/>
      <c r="CV29" s="1874"/>
      <c r="CW29" s="1872"/>
      <c r="CX29" s="1874"/>
      <c r="CY29" s="1872"/>
      <c r="CZ29" s="1874"/>
      <c r="DA29" s="1872"/>
      <c r="DB29" s="1874"/>
      <c r="DC29" s="1872"/>
      <c r="DD29" s="1874"/>
      <c r="DE29" s="1872"/>
      <c r="DF29" s="1874"/>
      <c r="DG29" s="1872"/>
      <c r="DH29" s="1874"/>
      <c r="DI29" s="1872"/>
      <c r="DJ29" s="1874"/>
      <c r="DK29" s="1872"/>
      <c r="DL29" s="1874"/>
      <c r="DM29" s="1872"/>
      <c r="DN29" s="1874"/>
      <c r="DO29" s="1872"/>
      <c r="DP29" s="1874"/>
      <c r="DQ29" s="1872"/>
      <c r="DR29" s="1874"/>
      <c r="DS29" s="1872"/>
      <c r="DT29" s="1874"/>
      <c r="DU29" s="1872"/>
      <c r="DV29" s="1874"/>
      <c r="DW29" s="1872"/>
      <c r="DX29" s="1874"/>
      <c r="DY29" s="1872"/>
      <c r="DZ29" s="1874"/>
      <c r="EA29" s="1872"/>
      <c r="EB29" s="1874"/>
      <c r="EC29" s="1872"/>
      <c r="ED29" s="1874"/>
      <c r="EE29" s="1872"/>
      <c r="EF29" s="1874"/>
      <c r="EG29" s="1872"/>
      <c r="EH29" s="1874"/>
      <c r="EI29" s="1872"/>
      <c r="EJ29" s="1874"/>
      <c r="EK29" s="1872"/>
      <c r="EL29" s="1874"/>
      <c r="EM29" s="1872"/>
      <c r="EN29" s="1874"/>
      <c r="EO29" s="1872"/>
      <c r="EP29" s="1874"/>
      <c r="EQ29" s="1872"/>
      <c r="ER29" s="1874"/>
      <c r="ES29" s="1872"/>
      <c r="ET29" s="1874"/>
      <c r="EU29" s="1872"/>
      <c r="EV29" s="1874"/>
      <c r="EW29" s="1872"/>
      <c r="EX29" s="1874"/>
      <c r="EY29" s="1872"/>
      <c r="EZ29" s="1874"/>
      <c r="FA29" s="1872"/>
      <c r="FB29" s="1874"/>
      <c r="FC29" s="1872"/>
      <c r="FD29" s="1874"/>
      <c r="FE29" s="1872"/>
      <c r="FF29" s="1874"/>
      <c r="FG29" s="1872"/>
      <c r="FH29" s="1874"/>
      <c r="FI29" s="1872"/>
      <c r="FJ29" s="1874"/>
      <c r="FK29" s="1872"/>
      <c r="FL29" s="1874"/>
      <c r="FM29" s="1872"/>
      <c r="FN29" s="1874"/>
      <c r="FO29" s="1872"/>
      <c r="FP29" s="1874"/>
      <c r="FQ29" s="1872"/>
      <c r="FR29" s="1874"/>
      <c r="FS29" s="1872"/>
      <c r="FT29" s="1874"/>
      <c r="FU29" s="1872"/>
      <c r="FV29" s="1874"/>
      <c r="FW29" s="1872"/>
      <c r="FX29" s="1874"/>
      <c r="FY29" s="1872"/>
      <c r="FZ29" s="1874"/>
      <c r="GA29" s="1872"/>
      <c r="GB29" s="1874"/>
      <c r="GC29" s="1872"/>
      <c r="GD29" s="1874"/>
      <c r="GE29" s="1872"/>
      <c r="GF29" s="1874"/>
      <c r="GG29" s="1872"/>
      <c r="GH29" s="1874"/>
      <c r="GI29" s="1872"/>
      <c r="GJ29" s="1874"/>
      <c r="GK29" s="1872"/>
      <c r="GL29" s="1874"/>
      <c r="GM29" s="820"/>
      <c r="GN29" s="610"/>
      <c r="GY29" s="567"/>
    </row>
    <row r="30" spans="1:207" s="1910" customFormat="1" ht="18.75" customHeight="1">
      <c r="A30" s="3628"/>
      <c r="C30" s="828"/>
      <c r="D30" s="825" t="s">
        <v>1116</v>
      </c>
      <c r="E30" s="450" t="s">
        <v>1117</v>
      </c>
      <c r="F30" s="822" t="s">
        <v>1118</v>
      </c>
      <c r="G30" s="572"/>
      <c r="H30" s="577"/>
      <c r="I30" s="572"/>
      <c r="J30" s="577"/>
      <c r="K30" s="1872"/>
      <c r="L30" s="1874"/>
      <c r="M30" s="1872"/>
      <c r="N30" s="1874"/>
      <c r="O30" s="1872"/>
      <c r="P30" s="1874"/>
      <c r="Q30" s="1872"/>
      <c r="R30" s="1874"/>
      <c r="S30" s="1872"/>
      <c r="T30" s="1874"/>
      <c r="U30" s="1872"/>
      <c r="V30" s="1874"/>
      <c r="W30" s="1872"/>
      <c r="X30" s="1874"/>
      <c r="Y30" s="1872"/>
      <c r="Z30" s="1874"/>
      <c r="AA30" s="1872"/>
      <c r="AB30" s="1874"/>
      <c r="AC30" s="1872"/>
      <c r="AD30" s="1874"/>
      <c r="AE30" s="1872"/>
      <c r="AF30" s="1874"/>
      <c r="AG30" s="1872"/>
      <c r="AH30" s="1874"/>
      <c r="AI30" s="1872"/>
      <c r="AJ30" s="1874"/>
      <c r="AK30" s="1872"/>
      <c r="AL30" s="1874"/>
      <c r="AM30" s="1872"/>
      <c r="AN30" s="1874"/>
      <c r="AO30" s="1872"/>
      <c r="AP30" s="1874"/>
      <c r="AQ30" s="1872"/>
      <c r="AR30" s="1874"/>
      <c r="AS30" s="1872"/>
      <c r="AT30" s="1874"/>
      <c r="AU30" s="1872"/>
      <c r="AV30" s="1874"/>
      <c r="AW30" s="1872"/>
      <c r="AX30" s="1874"/>
      <c r="AY30" s="1872"/>
      <c r="AZ30" s="1874"/>
      <c r="BA30" s="1872"/>
      <c r="BB30" s="1874"/>
      <c r="BC30" s="1872"/>
      <c r="BD30" s="1874"/>
      <c r="BE30" s="1872"/>
      <c r="BF30" s="1874"/>
      <c r="BG30" s="1872"/>
      <c r="BH30" s="1874"/>
      <c r="BI30" s="1872"/>
      <c r="BJ30" s="1874"/>
      <c r="BK30" s="1872"/>
      <c r="BL30" s="1874"/>
      <c r="BM30" s="1872"/>
      <c r="BN30" s="1874"/>
      <c r="BO30" s="1872"/>
      <c r="BP30" s="1874"/>
      <c r="BQ30" s="1872"/>
      <c r="BR30" s="1874"/>
      <c r="BS30" s="1872"/>
      <c r="BT30" s="1874"/>
      <c r="BU30" s="1872"/>
      <c r="BV30" s="1874"/>
      <c r="BW30" s="1872"/>
      <c r="BX30" s="1874"/>
      <c r="BY30" s="1872"/>
      <c r="BZ30" s="1874"/>
      <c r="CA30" s="1872"/>
      <c r="CB30" s="1874"/>
      <c r="CC30" s="1872"/>
      <c r="CD30" s="1874"/>
      <c r="CE30" s="1872"/>
      <c r="CF30" s="1874"/>
      <c r="CG30" s="1872"/>
      <c r="CH30" s="1874"/>
      <c r="CI30" s="1872"/>
      <c r="CJ30" s="1874"/>
      <c r="CK30" s="1872"/>
      <c r="CL30" s="1874"/>
      <c r="CM30" s="1872"/>
      <c r="CN30" s="1874"/>
      <c r="CO30" s="1872"/>
      <c r="CP30" s="1874"/>
      <c r="CQ30" s="1872"/>
      <c r="CR30" s="1874"/>
      <c r="CS30" s="1872"/>
      <c r="CT30" s="1874"/>
      <c r="CU30" s="1872"/>
      <c r="CV30" s="1874"/>
      <c r="CW30" s="1872"/>
      <c r="CX30" s="1874"/>
      <c r="CY30" s="1872"/>
      <c r="CZ30" s="1874"/>
      <c r="DA30" s="1872"/>
      <c r="DB30" s="1874"/>
      <c r="DC30" s="1872"/>
      <c r="DD30" s="1874"/>
      <c r="DE30" s="1872"/>
      <c r="DF30" s="1874"/>
      <c r="DG30" s="1872"/>
      <c r="DH30" s="1874"/>
      <c r="DI30" s="1872"/>
      <c r="DJ30" s="1874"/>
      <c r="DK30" s="1872"/>
      <c r="DL30" s="1874"/>
      <c r="DM30" s="1872"/>
      <c r="DN30" s="1874"/>
      <c r="DO30" s="1872"/>
      <c r="DP30" s="1874"/>
      <c r="DQ30" s="1872"/>
      <c r="DR30" s="1874"/>
      <c r="DS30" s="1872"/>
      <c r="DT30" s="1874"/>
      <c r="DU30" s="1872"/>
      <c r="DV30" s="1874"/>
      <c r="DW30" s="1872"/>
      <c r="DX30" s="1874"/>
      <c r="DY30" s="1872"/>
      <c r="DZ30" s="1874"/>
      <c r="EA30" s="1872"/>
      <c r="EB30" s="1874"/>
      <c r="EC30" s="1872"/>
      <c r="ED30" s="1874"/>
      <c r="EE30" s="1872"/>
      <c r="EF30" s="1874"/>
      <c r="EG30" s="1872"/>
      <c r="EH30" s="1874"/>
      <c r="EI30" s="1872"/>
      <c r="EJ30" s="1874"/>
      <c r="EK30" s="1872"/>
      <c r="EL30" s="1874"/>
      <c r="EM30" s="1872"/>
      <c r="EN30" s="1874"/>
      <c r="EO30" s="1872"/>
      <c r="EP30" s="1874"/>
      <c r="EQ30" s="1872"/>
      <c r="ER30" s="1874"/>
      <c r="ES30" s="1872"/>
      <c r="ET30" s="1874"/>
      <c r="EU30" s="1872"/>
      <c r="EV30" s="1874"/>
      <c r="EW30" s="1872"/>
      <c r="EX30" s="1874"/>
      <c r="EY30" s="1872"/>
      <c r="EZ30" s="1874"/>
      <c r="FA30" s="1872"/>
      <c r="FB30" s="1874"/>
      <c r="FC30" s="1872"/>
      <c r="FD30" s="1874"/>
      <c r="FE30" s="1872"/>
      <c r="FF30" s="1874"/>
      <c r="FG30" s="1872"/>
      <c r="FH30" s="1874"/>
      <c r="FI30" s="1872"/>
      <c r="FJ30" s="1874"/>
      <c r="FK30" s="1872"/>
      <c r="FL30" s="1874"/>
      <c r="FM30" s="1872"/>
      <c r="FN30" s="1874"/>
      <c r="FO30" s="1872"/>
      <c r="FP30" s="1874"/>
      <c r="FQ30" s="1872"/>
      <c r="FR30" s="1874"/>
      <c r="FS30" s="1872"/>
      <c r="FT30" s="1874"/>
      <c r="FU30" s="1872"/>
      <c r="FV30" s="1874"/>
      <c r="FW30" s="1872"/>
      <c r="FX30" s="1874"/>
      <c r="FY30" s="1872"/>
      <c r="FZ30" s="1874"/>
      <c r="GA30" s="1872"/>
      <c r="GB30" s="1874"/>
      <c r="GC30" s="1872"/>
      <c r="GD30" s="1874"/>
      <c r="GE30" s="1872"/>
      <c r="GF30" s="1874"/>
      <c r="GG30" s="1872"/>
      <c r="GH30" s="1874"/>
      <c r="GI30" s="1872"/>
      <c r="GJ30" s="1874"/>
      <c r="GK30" s="1872"/>
      <c r="GL30" s="1874"/>
      <c r="GM30" s="820"/>
      <c r="GN30" s="610"/>
      <c r="GY30" s="567"/>
    </row>
    <row r="31" spans="1:207" ht="126.75" customHeight="1">
      <c r="A31" s="3628"/>
      <c r="D31" s="825" t="s">
        <v>108</v>
      </c>
      <c r="E31" s="192" t="s">
        <v>1119</v>
      </c>
      <c r="F31" s="552" t="s">
        <v>823</v>
      </c>
      <c r="G31" s="454"/>
      <c r="H31" s="554"/>
      <c r="I31" s="454"/>
      <c r="J31" s="554"/>
      <c r="K31" s="1848"/>
      <c r="L31" s="1870"/>
      <c r="M31" s="1848"/>
      <c r="N31" s="1870"/>
      <c r="O31" s="1848"/>
      <c r="P31" s="1870"/>
      <c r="Q31" s="1848"/>
      <c r="R31" s="1870"/>
      <c r="S31" s="1848"/>
      <c r="T31" s="1870"/>
      <c r="U31" s="1848"/>
      <c r="V31" s="1870"/>
      <c r="W31" s="1848"/>
      <c r="X31" s="1870"/>
      <c r="Y31" s="1848"/>
      <c r="Z31" s="1870"/>
      <c r="AA31" s="1848"/>
      <c r="AB31" s="1870"/>
      <c r="AC31" s="1848"/>
      <c r="AD31" s="1870"/>
      <c r="AE31" s="1848"/>
      <c r="AF31" s="1870"/>
      <c r="AG31" s="1848"/>
      <c r="AH31" s="1870"/>
      <c r="AI31" s="1848"/>
      <c r="AJ31" s="1870"/>
      <c r="AK31" s="1848"/>
      <c r="AL31" s="1870"/>
      <c r="AM31" s="1848"/>
      <c r="AN31" s="1870"/>
      <c r="AO31" s="1848"/>
      <c r="AP31" s="1870"/>
      <c r="AQ31" s="1848"/>
      <c r="AR31" s="1870"/>
      <c r="AS31" s="1848"/>
      <c r="AT31" s="1870"/>
      <c r="AU31" s="1848"/>
      <c r="AV31" s="1870"/>
      <c r="AW31" s="1848"/>
      <c r="AX31" s="1870"/>
      <c r="AY31" s="1848"/>
      <c r="AZ31" s="1870"/>
      <c r="BA31" s="1848"/>
      <c r="BB31" s="1870"/>
      <c r="BC31" s="1848"/>
      <c r="BD31" s="1870"/>
      <c r="BE31" s="1848"/>
      <c r="BF31" s="1870"/>
      <c r="BG31" s="1848"/>
      <c r="BH31" s="1870"/>
      <c r="BI31" s="1848"/>
      <c r="BJ31" s="1870"/>
      <c r="BK31" s="1848"/>
      <c r="BL31" s="1870"/>
      <c r="BM31" s="1848"/>
      <c r="BN31" s="1870"/>
      <c r="BO31" s="1848"/>
      <c r="BP31" s="1870"/>
      <c r="BQ31" s="1848"/>
      <c r="BR31" s="1870"/>
      <c r="BS31" s="1848"/>
      <c r="BT31" s="1870"/>
      <c r="BU31" s="1848"/>
      <c r="BV31" s="1870"/>
      <c r="BW31" s="1848"/>
      <c r="BX31" s="1870"/>
      <c r="BY31" s="1848"/>
      <c r="BZ31" s="1870"/>
      <c r="CA31" s="1848"/>
      <c r="CB31" s="1870"/>
      <c r="CC31" s="1848"/>
      <c r="CD31" s="1870"/>
      <c r="CE31" s="1848"/>
      <c r="CF31" s="1870"/>
      <c r="CG31" s="1848"/>
      <c r="CH31" s="1870"/>
      <c r="CI31" s="1848"/>
      <c r="CJ31" s="1870"/>
      <c r="CK31" s="1848"/>
      <c r="CL31" s="1870"/>
      <c r="CM31" s="1848"/>
      <c r="CN31" s="1870"/>
      <c r="CO31" s="1848"/>
      <c r="CP31" s="1870"/>
      <c r="CQ31" s="1848"/>
      <c r="CR31" s="1870"/>
      <c r="CS31" s="1848"/>
      <c r="CT31" s="1870"/>
      <c r="CU31" s="1848"/>
      <c r="CV31" s="1870"/>
      <c r="CW31" s="1848"/>
      <c r="CX31" s="1870"/>
      <c r="CY31" s="1848"/>
      <c r="CZ31" s="1870"/>
      <c r="DA31" s="1848"/>
      <c r="DB31" s="1870"/>
      <c r="DC31" s="1848"/>
      <c r="DD31" s="1870"/>
      <c r="DE31" s="1848"/>
      <c r="DF31" s="1870"/>
      <c r="DG31" s="1848"/>
      <c r="DH31" s="1870"/>
      <c r="DI31" s="1848"/>
      <c r="DJ31" s="1870"/>
      <c r="DK31" s="1848"/>
      <c r="DL31" s="1870"/>
      <c r="DM31" s="1848"/>
      <c r="DN31" s="1870"/>
      <c r="DO31" s="1848"/>
      <c r="DP31" s="1870"/>
      <c r="DQ31" s="1848"/>
      <c r="DR31" s="1870"/>
      <c r="DS31" s="1848"/>
      <c r="DT31" s="1870"/>
      <c r="DU31" s="1848"/>
      <c r="DV31" s="1870"/>
      <c r="DW31" s="1848"/>
      <c r="DX31" s="1870"/>
      <c r="DY31" s="1848"/>
      <c r="DZ31" s="1870"/>
      <c r="EA31" s="1848"/>
      <c r="EB31" s="1870"/>
      <c r="EC31" s="1848"/>
      <c r="ED31" s="1870"/>
      <c r="EE31" s="1848"/>
      <c r="EF31" s="1870"/>
      <c r="EG31" s="1848"/>
      <c r="EH31" s="1870"/>
      <c r="EI31" s="1848"/>
      <c r="EJ31" s="1870"/>
      <c r="EK31" s="1848"/>
      <c r="EL31" s="1870"/>
      <c r="EM31" s="1848"/>
      <c r="EN31" s="1870"/>
      <c r="EO31" s="1848"/>
      <c r="EP31" s="1870"/>
      <c r="EQ31" s="1848"/>
      <c r="ER31" s="1870"/>
      <c r="ES31" s="1848"/>
      <c r="ET31" s="1870"/>
      <c r="EU31" s="1848"/>
      <c r="EV31" s="1870"/>
      <c r="EW31" s="1848"/>
      <c r="EX31" s="1870"/>
      <c r="EY31" s="1848"/>
      <c r="EZ31" s="1870"/>
      <c r="FA31" s="1848"/>
      <c r="FB31" s="1870"/>
      <c r="FC31" s="1848"/>
      <c r="FD31" s="1870"/>
      <c r="FE31" s="1848"/>
      <c r="FF31" s="1870"/>
      <c r="FG31" s="1848"/>
      <c r="FH31" s="1870"/>
      <c r="FI31" s="1848"/>
      <c r="FJ31" s="1870"/>
      <c r="FK31" s="1848"/>
      <c r="FL31" s="1870"/>
      <c r="FM31" s="1848"/>
      <c r="FN31" s="1870"/>
      <c r="FO31" s="1848"/>
      <c r="FP31" s="1870"/>
      <c r="FQ31" s="1848"/>
      <c r="FR31" s="1870"/>
      <c r="FS31" s="1848"/>
      <c r="FT31" s="1870"/>
      <c r="FU31" s="1848"/>
      <c r="FV31" s="1870"/>
      <c r="FW31" s="1848"/>
      <c r="FX31" s="1870"/>
      <c r="FY31" s="1848"/>
      <c r="FZ31" s="1870"/>
      <c r="GA31" s="1848"/>
      <c r="GB31" s="1870"/>
      <c r="GC31" s="1848"/>
      <c r="GD31" s="1870"/>
      <c r="GE31" s="1848"/>
      <c r="GF31" s="1870"/>
      <c r="GG31" s="1848"/>
      <c r="GH31" s="1870"/>
      <c r="GI31" s="1848"/>
      <c r="GJ31" s="1870"/>
      <c r="GK31" s="1848"/>
      <c r="GL31" s="1870"/>
      <c r="GM31" s="201" t="s">
        <v>1120</v>
      </c>
      <c r="GN31" s="610"/>
    </row>
    <row r="32" spans="1:207" ht="56.25" customHeight="1">
      <c r="A32" s="3628"/>
      <c r="D32" s="825" t="s">
        <v>89</v>
      </c>
      <c r="E32" s="192" t="s">
        <v>1121</v>
      </c>
      <c r="F32" s="436" t="s">
        <v>1091</v>
      </c>
      <c r="G32" s="454"/>
      <c r="H32" s="554"/>
      <c r="I32" s="454"/>
      <c r="J32" s="554"/>
      <c r="K32" s="1848"/>
      <c r="L32" s="1870"/>
      <c r="M32" s="1848"/>
      <c r="N32" s="1870"/>
      <c r="O32" s="1848"/>
      <c r="P32" s="1870"/>
      <c r="Q32" s="1848"/>
      <c r="R32" s="1870"/>
      <c r="S32" s="1848"/>
      <c r="T32" s="1870"/>
      <c r="U32" s="1848"/>
      <c r="V32" s="1870"/>
      <c r="W32" s="1848"/>
      <c r="X32" s="1870"/>
      <c r="Y32" s="1848"/>
      <c r="Z32" s="1870"/>
      <c r="AA32" s="1848"/>
      <c r="AB32" s="1870"/>
      <c r="AC32" s="1848"/>
      <c r="AD32" s="1870"/>
      <c r="AE32" s="1848"/>
      <c r="AF32" s="1870"/>
      <c r="AG32" s="1848"/>
      <c r="AH32" s="1870"/>
      <c r="AI32" s="1848"/>
      <c r="AJ32" s="1870"/>
      <c r="AK32" s="1848"/>
      <c r="AL32" s="1870"/>
      <c r="AM32" s="1848"/>
      <c r="AN32" s="1870"/>
      <c r="AO32" s="1848"/>
      <c r="AP32" s="1870"/>
      <c r="AQ32" s="1848"/>
      <c r="AR32" s="1870"/>
      <c r="AS32" s="1848"/>
      <c r="AT32" s="1870"/>
      <c r="AU32" s="1848"/>
      <c r="AV32" s="1870"/>
      <c r="AW32" s="1848"/>
      <c r="AX32" s="1870"/>
      <c r="AY32" s="1848"/>
      <c r="AZ32" s="1870"/>
      <c r="BA32" s="1848"/>
      <c r="BB32" s="1870"/>
      <c r="BC32" s="1848"/>
      <c r="BD32" s="1870"/>
      <c r="BE32" s="1848"/>
      <c r="BF32" s="1870"/>
      <c r="BG32" s="1848"/>
      <c r="BH32" s="1870"/>
      <c r="BI32" s="1848"/>
      <c r="BJ32" s="1870"/>
      <c r="BK32" s="1848"/>
      <c r="BL32" s="1870"/>
      <c r="BM32" s="1848"/>
      <c r="BN32" s="1870"/>
      <c r="BO32" s="1848"/>
      <c r="BP32" s="1870"/>
      <c r="BQ32" s="1848"/>
      <c r="BR32" s="1870"/>
      <c r="BS32" s="1848"/>
      <c r="BT32" s="1870"/>
      <c r="BU32" s="1848"/>
      <c r="BV32" s="1870"/>
      <c r="BW32" s="1848"/>
      <c r="BX32" s="1870"/>
      <c r="BY32" s="1848"/>
      <c r="BZ32" s="1870"/>
      <c r="CA32" s="1848"/>
      <c r="CB32" s="1870"/>
      <c r="CC32" s="1848"/>
      <c r="CD32" s="1870"/>
      <c r="CE32" s="1848"/>
      <c r="CF32" s="1870"/>
      <c r="CG32" s="1848"/>
      <c r="CH32" s="1870"/>
      <c r="CI32" s="1848"/>
      <c r="CJ32" s="1870"/>
      <c r="CK32" s="1848"/>
      <c r="CL32" s="1870"/>
      <c r="CM32" s="1848"/>
      <c r="CN32" s="1870"/>
      <c r="CO32" s="1848"/>
      <c r="CP32" s="1870"/>
      <c r="CQ32" s="1848"/>
      <c r="CR32" s="1870"/>
      <c r="CS32" s="1848"/>
      <c r="CT32" s="1870"/>
      <c r="CU32" s="1848"/>
      <c r="CV32" s="1870"/>
      <c r="CW32" s="1848"/>
      <c r="CX32" s="1870"/>
      <c r="CY32" s="1848"/>
      <c r="CZ32" s="1870"/>
      <c r="DA32" s="1848"/>
      <c r="DB32" s="1870"/>
      <c r="DC32" s="1848"/>
      <c r="DD32" s="1870"/>
      <c r="DE32" s="1848"/>
      <c r="DF32" s="1870"/>
      <c r="DG32" s="1848"/>
      <c r="DH32" s="1870"/>
      <c r="DI32" s="1848"/>
      <c r="DJ32" s="1870"/>
      <c r="DK32" s="1848"/>
      <c r="DL32" s="1870"/>
      <c r="DM32" s="1848"/>
      <c r="DN32" s="1870"/>
      <c r="DO32" s="1848"/>
      <c r="DP32" s="1870"/>
      <c r="DQ32" s="1848"/>
      <c r="DR32" s="1870"/>
      <c r="DS32" s="1848"/>
      <c r="DT32" s="1870"/>
      <c r="DU32" s="1848"/>
      <c r="DV32" s="1870"/>
      <c r="DW32" s="1848"/>
      <c r="DX32" s="1870"/>
      <c r="DY32" s="1848"/>
      <c r="DZ32" s="1870"/>
      <c r="EA32" s="1848"/>
      <c r="EB32" s="1870"/>
      <c r="EC32" s="1848"/>
      <c r="ED32" s="1870"/>
      <c r="EE32" s="1848"/>
      <c r="EF32" s="1870"/>
      <c r="EG32" s="1848"/>
      <c r="EH32" s="1870"/>
      <c r="EI32" s="1848"/>
      <c r="EJ32" s="1870"/>
      <c r="EK32" s="1848"/>
      <c r="EL32" s="1870"/>
      <c r="EM32" s="1848"/>
      <c r="EN32" s="1870"/>
      <c r="EO32" s="1848"/>
      <c r="EP32" s="1870"/>
      <c r="EQ32" s="1848"/>
      <c r="ER32" s="1870"/>
      <c r="ES32" s="1848"/>
      <c r="ET32" s="1870"/>
      <c r="EU32" s="1848"/>
      <c r="EV32" s="1870"/>
      <c r="EW32" s="1848"/>
      <c r="EX32" s="1870"/>
      <c r="EY32" s="1848"/>
      <c r="EZ32" s="1870"/>
      <c r="FA32" s="1848"/>
      <c r="FB32" s="1870"/>
      <c r="FC32" s="1848"/>
      <c r="FD32" s="1870"/>
      <c r="FE32" s="1848"/>
      <c r="FF32" s="1870"/>
      <c r="FG32" s="1848"/>
      <c r="FH32" s="1870"/>
      <c r="FI32" s="1848"/>
      <c r="FJ32" s="1870"/>
      <c r="FK32" s="1848"/>
      <c r="FL32" s="1870"/>
      <c r="FM32" s="1848"/>
      <c r="FN32" s="1870"/>
      <c r="FO32" s="1848"/>
      <c r="FP32" s="1870"/>
      <c r="FQ32" s="1848"/>
      <c r="FR32" s="1870"/>
      <c r="FS32" s="1848"/>
      <c r="FT32" s="1870"/>
      <c r="FU32" s="1848"/>
      <c r="FV32" s="1870"/>
      <c r="FW32" s="1848"/>
      <c r="FX32" s="1870"/>
      <c r="FY32" s="1848"/>
      <c r="FZ32" s="1870"/>
      <c r="GA32" s="1848"/>
      <c r="GB32" s="1870"/>
      <c r="GC32" s="1848"/>
      <c r="GD32" s="1870"/>
      <c r="GE32" s="1848"/>
      <c r="GF32" s="1870"/>
      <c r="GG32" s="1848"/>
      <c r="GH32" s="1870"/>
      <c r="GI32" s="1848"/>
      <c r="GJ32" s="1870"/>
      <c r="GK32" s="1848"/>
      <c r="GL32" s="1870"/>
      <c r="GM32" s="201" t="s">
        <v>1122</v>
      </c>
      <c r="GN32" s="610"/>
    </row>
    <row r="33" spans="1:195" ht="11.25" customHeight="1">
      <c r="A33" s="3628"/>
      <c r="E33" s="556"/>
      <c r="F33" s="98"/>
      <c r="G33" s="98"/>
      <c r="H33" s="98"/>
      <c r="I33" s="98"/>
      <c r="J33" s="98"/>
      <c r="K33" s="1897"/>
      <c r="L33" s="1897"/>
      <c r="M33" s="1897"/>
      <c r="N33" s="1897"/>
      <c r="O33" s="1897"/>
      <c r="P33" s="1897"/>
      <c r="Q33" s="1897"/>
      <c r="R33" s="1897"/>
      <c r="S33" s="1897"/>
      <c r="T33" s="1897"/>
      <c r="U33" s="1897"/>
      <c r="V33" s="1897"/>
      <c r="W33" s="1897"/>
      <c r="X33" s="1897"/>
      <c r="Y33" s="1897"/>
      <c r="Z33" s="1897"/>
      <c r="AA33" s="1897"/>
      <c r="AB33" s="1897"/>
      <c r="AC33" s="1897"/>
      <c r="AD33" s="1897"/>
      <c r="AE33" s="1897"/>
      <c r="AF33" s="1897"/>
      <c r="AG33" s="1897"/>
      <c r="AH33" s="1897"/>
      <c r="AI33" s="1897"/>
      <c r="AJ33" s="1897"/>
      <c r="AK33" s="1897"/>
      <c r="AL33" s="1897"/>
      <c r="AM33" s="1897"/>
      <c r="AN33" s="1897"/>
      <c r="AO33" s="1897"/>
      <c r="AP33" s="1897"/>
      <c r="AQ33" s="1897"/>
      <c r="AR33" s="1897"/>
      <c r="AS33" s="1897"/>
      <c r="AT33" s="1897"/>
      <c r="AU33" s="1897"/>
      <c r="AV33" s="1897"/>
      <c r="AW33" s="1897"/>
      <c r="AX33" s="1897"/>
      <c r="AY33" s="1897"/>
      <c r="AZ33" s="1897"/>
      <c r="BA33" s="1897"/>
      <c r="BB33" s="1897"/>
      <c r="BC33" s="1897"/>
      <c r="BD33" s="1897"/>
      <c r="BE33" s="1897"/>
      <c r="BF33" s="1897"/>
      <c r="BG33" s="1897"/>
      <c r="BH33" s="1897"/>
      <c r="BI33" s="1897"/>
      <c r="BJ33" s="1897"/>
      <c r="BK33" s="1897"/>
      <c r="BL33" s="1897"/>
      <c r="BM33" s="1897"/>
      <c r="BN33" s="1897"/>
      <c r="BO33" s="1897"/>
      <c r="BP33" s="1897"/>
      <c r="BQ33" s="1897"/>
      <c r="BR33" s="1897"/>
      <c r="BS33" s="1897"/>
      <c r="BT33" s="1897"/>
      <c r="BU33" s="1897"/>
      <c r="BV33" s="1897"/>
      <c r="BW33" s="1897"/>
      <c r="BX33" s="1897"/>
      <c r="BY33" s="1897"/>
      <c r="BZ33" s="1897"/>
      <c r="CA33" s="1897"/>
      <c r="CB33" s="1897"/>
      <c r="CC33" s="1897"/>
      <c r="CD33" s="1897"/>
      <c r="CE33" s="1897"/>
      <c r="CF33" s="1897"/>
      <c r="CG33" s="1897"/>
      <c r="CH33" s="1897"/>
      <c r="CI33" s="1897"/>
      <c r="CJ33" s="1897"/>
      <c r="CK33" s="1897"/>
      <c r="CL33" s="1897"/>
      <c r="CM33" s="1897"/>
      <c r="CN33" s="1897"/>
      <c r="CO33" s="1897"/>
      <c r="CP33" s="1897"/>
      <c r="CQ33" s="1897"/>
      <c r="CR33" s="1897"/>
      <c r="CS33" s="1897"/>
      <c r="CT33" s="1897"/>
      <c r="CU33" s="1897"/>
      <c r="CV33" s="1897"/>
      <c r="CW33" s="1897"/>
      <c r="CX33" s="1897"/>
      <c r="CY33" s="1897"/>
      <c r="CZ33" s="1897"/>
      <c r="DA33" s="1897"/>
      <c r="DB33" s="1897"/>
      <c r="DC33" s="1897"/>
      <c r="DD33" s="1897"/>
      <c r="DE33" s="1897"/>
      <c r="DF33" s="1897"/>
      <c r="DG33" s="1897"/>
      <c r="DH33" s="1897"/>
      <c r="DI33" s="1897"/>
      <c r="DJ33" s="1897"/>
      <c r="DK33" s="1897"/>
      <c r="DL33" s="1897"/>
      <c r="DM33" s="1897"/>
      <c r="DN33" s="1897"/>
      <c r="DO33" s="1897"/>
      <c r="DP33" s="1897"/>
      <c r="DQ33" s="1897"/>
      <c r="DR33" s="1897"/>
      <c r="DS33" s="1897"/>
      <c r="DT33" s="1897"/>
      <c r="DU33" s="1897"/>
      <c r="DV33" s="1897"/>
      <c r="DW33" s="1897"/>
      <c r="DX33" s="1897"/>
      <c r="DY33" s="1897"/>
      <c r="DZ33" s="1897"/>
      <c r="EA33" s="1897"/>
      <c r="EB33" s="1897"/>
      <c r="EC33" s="1897"/>
      <c r="ED33" s="1897"/>
      <c r="EE33" s="1897"/>
      <c r="EF33" s="1897"/>
      <c r="EG33" s="1897"/>
      <c r="EH33" s="1897"/>
      <c r="EI33" s="1897"/>
      <c r="EJ33" s="1897"/>
      <c r="EK33" s="1897"/>
      <c r="EL33" s="1897"/>
      <c r="EM33" s="1897"/>
      <c r="EN33" s="1897"/>
      <c r="EO33" s="1897"/>
      <c r="EP33" s="1897"/>
      <c r="EQ33" s="1897"/>
      <c r="ER33" s="1897"/>
      <c r="ES33" s="1897"/>
      <c r="ET33" s="1897"/>
      <c r="EU33" s="1897"/>
      <c r="EV33" s="1897"/>
      <c r="EW33" s="1897"/>
      <c r="EX33" s="1897"/>
      <c r="EY33" s="1897"/>
      <c r="EZ33" s="1897"/>
      <c r="FA33" s="1897"/>
      <c r="FB33" s="1897"/>
      <c r="FC33" s="1897"/>
      <c r="FD33" s="1897"/>
      <c r="FE33" s="1897"/>
      <c r="FF33" s="1897"/>
      <c r="FG33" s="1897"/>
      <c r="FH33" s="1897"/>
      <c r="FI33" s="1897"/>
      <c r="FJ33" s="1897"/>
      <c r="FK33" s="1897"/>
      <c r="FL33" s="1897"/>
      <c r="FM33" s="1897"/>
      <c r="FN33" s="1897"/>
      <c r="FO33" s="1897"/>
      <c r="FP33" s="1897"/>
      <c r="FQ33" s="1897"/>
      <c r="FR33" s="1897"/>
      <c r="FS33" s="1897"/>
      <c r="FT33" s="1897"/>
      <c r="FU33" s="1897"/>
      <c r="FV33" s="1897"/>
      <c r="FW33" s="1897"/>
      <c r="FX33" s="1897"/>
      <c r="FY33" s="1897"/>
      <c r="FZ33" s="1897"/>
      <c r="GA33" s="1897"/>
      <c r="GB33" s="1897"/>
      <c r="GC33" s="1897"/>
      <c r="GD33" s="1897"/>
      <c r="GE33" s="1897"/>
      <c r="GF33" s="1897"/>
      <c r="GG33" s="1897"/>
      <c r="GH33" s="1897"/>
      <c r="GI33" s="1897"/>
      <c r="GJ33" s="1897"/>
      <c r="GK33" s="1897"/>
      <c r="GL33" s="1897"/>
      <c r="GM33" s="98"/>
    </row>
    <row r="34" spans="1:195" ht="12.75" customHeight="1">
      <c r="A34" s="3628"/>
      <c r="D34" s="2">
        <v>1</v>
      </c>
      <c r="E34" s="246" t="s">
        <v>1123</v>
      </c>
    </row>
    <row r="35" spans="1:195" ht="11.25" customHeight="1">
      <c r="A35" s="3628"/>
      <c r="D35" s="277"/>
      <c r="E35" s="246" t="s">
        <v>1124</v>
      </c>
    </row>
    <row r="36" spans="1:195" s="1910" customFormat="1" ht="11.25" customHeight="1">
      <c r="A36" s="903"/>
      <c r="B36" s="416"/>
      <c r="D36" s="904"/>
      <c r="E36" s="905"/>
    </row>
    <row r="37" spans="1:195" s="1910" customFormat="1" ht="22.5" hidden="1" customHeight="1">
      <c r="A37" s="3628" t="s">
        <v>1125</v>
      </c>
      <c r="B37" s="409"/>
      <c r="D37" s="825">
        <v>1</v>
      </c>
      <c r="E37" s="597" t="s">
        <v>1126</v>
      </c>
      <c r="F37" s="552" t="s">
        <v>1081</v>
      </c>
      <c r="G37" s="454"/>
      <c r="H37" s="417"/>
      <c r="I37" s="454"/>
      <c r="J37" s="417"/>
      <c r="K37" s="1848"/>
      <c r="L37" s="1875"/>
      <c r="M37" s="1848"/>
      <c r="N37" s="1875"/>
      <c r="O37" s="1848"/>
      <c r="P37" s="1875"/>
      <c r="Q37" s="1848"/>
      <c r="R37" s="1875"/>
      <c r="S37" s="1848"/>
      <c r="T37" s="1875"/>
      <c r="U37" s="1848"/>
      <c r="V37" s="1875"/>
      <c r="W37" s="1848"/>
      <c r="X37" s="1875"/>
      <c r="Y37" s="1848"/>
      <c r="Z37" s="1875"/>
      <c r="AA37" s="1848"/>
      <c r="AB37" s="1875"/>
      <c r="AC37" s="1848"/>
      <c r="AD37" s="1875"/>
      <c r="AE37" s="1848"/>
      <c r="AF37" s="1875"/>
      <c r="AG37" s="1848"/>
      <c r="AH37" s="1875"/>
      <c r="AI37" s="1848"/>
      <c r="AJ37" s="1875"/>
      <c r="AK37" s="1848"/>
      <c r="AL37" s="1875"/>
      <c r="AM37" s="1848"/>
      <c r="AN37" s="1875"/>
      <c r="AO37" s="1848"/>
      <c r="AP37" s="1875"/>
      <c r="AQ37" s="1848"/>
      <c r="AR37" s="1875"/>
      <c r="AS37" s="1848"/>
      <c r="AT37" s="1875"/>
      <c r="AU37" s="1848"/>
      <c r="AV37" s="1875"/>
      <c r="AW37" s="1848"/>
      <c r="AX37" s="1875"/>
      <c r="AY37" s="1848"/>
      <c r="AZ37" s="1875"/>
      <c r="BA37" s="1848"/>
      <c r="BB37" s="1875"/>
      <c r="BC37" s="1848"/>
      <c r="BD37" s="1875"/>
      <c r="BE37" s="1848"/>
      <c r="BF37" s="1875"/>
      <c r="BG37" s="1848"/>
      <c r="BH37" s="1875"/>
      <c r="BI37" s="1848"/>
      <c r="BJ37" s="1875"/>
      <c r="BK37" s="1848"/>
      <c r="BL37" s="1875"/>
      <c r="BM37" s="1848"/>
      <c r="BN37" s="1875"/>
      <c r="BO37" s="1848"/>
      <c r="BP37" s="1875"/>
      <c r="BQ37" s="1848"/>
      <c r="BR37" s="1875"/>
      <c r="BS37" s="1848"/>
      <c r="BT37" s="1875"/>
      <c r="BU37" s="1848"/>
      <c r="BV37" s="1875"/>
      <c r="BW37" s="1848"/>
      <c r="BX37" s="1875"/>
      <c r="BY37" s="1848"/>
      <c r="BZ37" s="1875"/>
      <c r="CA37" s="1848"/>
      <c r="CB37" s="1875"/>
      <c r="CC37" s="1848"/>
      <c r="CD37" s="1875"/>
      <c r="CE37" s="1848"/>
      <c r="CF37" s="1875"/>
      <c r="CG37" s="1848"/>
      <c r="CH37" s="1875"/>
      <c r="CI37" s="1848"/>
      <c r="CJ37" s="1875"/>
      <c r="CK37" s="1848"/>
      <c r="CL37" s="1875"/>
      <c r="CM37" s="1848"/>
      <c r="CN37" s="1875"/>
      <c r="CO37" s="1848"/>
      <c r="CP37" s="1875"/>
      <c r="CQ37" s="1848"/>
      <c r="CR37" s="1875"/>
      <c r="CS37" s="1848"/>
      <c r="CT37" s="1875"/>
      <c r="CU37" s="1848"/>
      <c r="CV37" s="1875"/>
      <c r="CW37" s="1848"/>
      <c r="CX37" s="1875"/>
      <c r="CY37" s="1848"/>
      <c r="CZ37" s="1875"/>
      <c r="DA37" s="1848"/>
      <c r="DB37" s="1875"/>
      <c r="DC37" s="1848"/>
      <c r="DD37" s="1875"/>
      <c r="DE37" s="1848"/>
      <c r="DF37" s="1875"/>
      <c r="DG37" s="1848"/>
      <c r="DH37" s="1875"/>
      <c r="DI37" s="1848"/>
      <c r="DJ37" s="1875"/>
      <c r="DK37" s="1848"/>
      <c r="DL37" s="1875"/>
      <c r="DM37" s="1848"/>
      <c r="DN37" s="1875"/>
      <c r="DO37" s="1848"/>
      <c r="DP37" s="1875"/>
      <c r="DQ37" s="1848"/>
      <c r="DR37" s="1875"/>
      <c r="DS37" s="1848"/>
      <c r="DT37" s="1875"/>
      <c r="DU37" s="1848"/>
      <c r="DV37" s="1875"/>
      <c r="DW37" s="1848"/>
      <c r="DX37" s="1875"/>
      <c r="DY37" s="1848"/>
      <c r="DZ37" s="1875"/>
      <c r="EA37" s="1848"/>
      <c r="EB37" s="1875"/>
      <c r="EC37" s="1848"/>
      <c r="ED37" s="1875"/>
      <c r="EE37" s="1848"/>
      <c r="EF37" s="1875"/>
      <c r="EG37" s="1848"/>
      <c r="EH37" s="1875"/>
      <c r="EI37" s="1848"/>
      <c r="EJ37" s="1875"/>
      <c r="EK37" s="1848"/>
      <c r="EL37" s="1875"/>
      <c r="EM37" s="1848"/>
      <c r="EN37" s="1875"/>
      <c r="EO37" s="1848"/>
      <c r="EP37" s="1875"/>
      <c r="EQ37" s="1848"/>
      <c r="ER37" s="1875"/>
      <c r="ES37" s="1848"/>
      <c r="ET37" s="1875"/>
      <c r="EU37" s="1848"/>
      <c r="EV37" s="1875"/>
      <c r="EW37" s="1848"/>
      <c r="EX37" s="1875"/>
      <c r="EY37" s="1848"/>
      <c r="EZ37" s="1875"/>
      <c r="FA37" s="1848"/>
      <c r="FB37" s="1875"/>
      <c r="FC37" s="1848"/>
      <c r="FD37" s="1875"/>
      <c r="FE37" s="1848"/>
      <c r="FF37" s="1875"/>
      <c r="FG37" s="1848"/>
      <c r="FH37" s="1875"/>
      <c r="FI37" s="1848"/>
      <c r="FJ37" s="1875"/>
      <c r="FK37" s="1848"/>
      <c r="FL37" s="1875"/>
      <c r="FM37" s="1848"/>
      <c r="FN37" s="1875"/>
      <c r="FO37" s="1848"/>
      <c r="FP37" s="1875"/>
      <c r="FQ37" s="1848"/>
      <c r="FR37" s="1875"/>
      <c r="FS37" s="1848"/>
      <c r="FT37" s="1875"/>
      <c r="FU37" s="1848"/>
      <c r="FV37" s="1875"/>
      <c r="FW37" s="1848"/>
      <c r="FX37" s="1875"/>
      <c r="FY37" s="1848"/>
      <c r="FZ37" s="1875"/>
      <c r="GA37" s="1848"/>
      <c r="GB37" s="1875"/>
      <c r="GC37" s="1848"/>
      <c r="GD37" s="1875"/>
      <c r="GE37" s="1848"/>
      <c r="GF37" s="1875"/>
      <c r="GG37" s="1848"/>
      <c r="GH37" s="1875"/>
      <c r="GI37" s="1848"/>
      <c r="GJ37" s="1875"/>
      <c r="GK37" s="1848"/>
      <c r="GL37" s="1875"/>
      <c r="GM37" s="201" t="s">
        <v>1127</v>
      </c>
    </row>
    <row r="38" spans="1:195" s="1910" customFormat="1" ht="22.5" hidden="1" customHeight="1">
      <c r="A38" s="3628"/>
      <c r="B38" s="409"/>
      <c r="D38" s="561" t="s">
        <v>107</v>
      </c>
      <c r="E38" s="902" t="s">
        <v>1128</v>
      </c>
      <c r="F38" s="906" t="s">
        <v>811</v>
      </c>
      <c r="G38" s="906" t="s">
        <v>811</v>
      </c>
      <c r="H38" s="900"/>
      <c r="I38" s="906" t="s">
        <v>811</v>
      </c>
      <c r="J38" s="900"/>
      <c r="K38" s="1876" t="s">
        <v>811</v>
      </c>
      <c r="L38" s="1877"/>
      <c r="M38" s="1876" t="s">
        <v>811</v>
      </c>
      <c r="N38" s="1877"/>
      <c r="O38" s="1876" t="s">
        <v>811</v>
      </c>
      <c r="P38" s="1877"/>
      <c r="Q38" s="1876" t="s">
        <v>811</v>
      </c>
      <c r="R38" s="1877"/>
      <c r="S38" s="1876" t="s">
        <v>811</v>
      </c>
      <c r="T38" s="1877"/>
      <c r="U38" s="1876" t="s">
        <v>811</v>
      </c>
      <c r="V38" s="1877"/>
      <c r="W38" s="1876" t="s">
        <v>811</v>
      </c>
      <c r="X38" s="1877"/>
      <c r="Y38" s="1876" t="s">
        <v>811</v>
      </c>
      <c r="Z38" s="1877"/>
      <c r="AA38" s="1876" t="s">
        <v>811</v>
      </c>
      <c r="AB38" s="1877"/>
      <c r="AC38" s="1876" t="s">
        <v>811</v>
      </c>
      <c r="AD38" s="1877"/>
      <c r="AE38" s="1876" t="s">
        <v>811</v>
      </c>
      <c r="AF38" s="1877"/>
      <c r="AG38" s="1876" t="s">
        <v>811</v>
      </c>
      <c r="AH38" s="1877"/>
      <c r="AI38" s="1876" t="s">
        <v>811</v>
      </c>
      <c r="AJ38" s="1877"/>
      <c r="AK38" s="1876" t="s">
        <v>811</v>
      </c>
      <c r="AL38" s="1877"/>
      <c r="AM38" s="1876" t="s">
        <v>811</v>
      </c>
      <c r="AN38" s="1877"/>
      <c r="AO38" s="1876" t="s">
        <v>811</v>
      </c>
      <c r="AP38" s="1877"/>
      <c r="AQ38" s="1876" t="s">
        <v>811</v>
      </c>
      <c r="AR38" s="1877"/>
      <c r="AS38" s="1876" t="s">
        <v>811</v>
      </c>
      <c r="AT38" s="1877"/>
      <c r="AU38" s="1876" t="s">
        <v>811</v>
      </c>
      <c r="AV38" s="1877"/>
      <c r="AW38" s="1876" t="s">
        <v>811</v>
      </c>
      <c r="AX38" s="1877"/>
      <c r="AY38" s="1876" t="s">
        <v>811</v>
      </c>
      <c r="AZ38" s="1877"/>
      <c r="BA38" s="1876" t="s">
        <v>811</v>
      </c>
      <c r="BB38" s="1877"/>
      <c r="BC38" s="1876" t="s">
        <v>811</v>
      </c>
      <c r="BD38" s="1877"/>
      <c r="BE38" s="1876" t="s">
        <v>811</v>
      </c>
      <c r="BF38" s="1877"/>
      <c r="BG38" s="1876" t="s">
        <v>811</v>
      </c>
      <c r="BH38" s="1877"/>
      <c r="BI38" s="1876" t="s">
        <v>811</v>
      </c>
      <c r="BJ38" s="1877"/>
      <c r="BK38" s="1876" t="s">
        <v>811</v>
      </c>
      <c r="BL38" s="1877"/>
      <c r="BM38" s="1876" t="s">
        <v>811</v>
      </c>
      <c r="BN38" s="1877"/>
      <c r="BO38" s="1876" t="s">
        <v>811</v>
      </c>
      <c r="BP38" s="1877"/>
      <c r="BQ38" s="1876" t="s">
        <v>811</v>
      </c>
      <c r="BR38" s="1877"/>
      <c r="BS38" s="1876" t="s">
        <v>811</v>
      </c>
      <c r="BT38" s="1877"/>
      <c r="BU38" s="1876" t="s">
        <v>811</v>
      </c>
      <c r="BV38" s="1877"/>
      <c r="BW38" s="1876" t="s">
        <v>811</v>
      </c>
      <c r="BX38" s="1877"/>
      <c r="BY38" s="1876" t="s">
        <v>811</v>
      </c>
      <c r="BZ38" s="1877"/>
      <c r="CA38" s="1876" t="s">
        <v>811</v>
      </c>
      <c r="CB38" s="1877"/>
      <c r="CC38" s="1876" t="s">
        <v>811</v>
      </c>
      <c r="CD38" s="1877"/>
      <c r="CE38" s="1876" t="s">
        <v>811</v>
      </c>
      <c r="CF38" s="1877"/>
      <c r="CG38" s="1876" t="s">
        <v>811</v>
      </c>
      <c r="CH38" s="1877"/>
      <c r="CI38" s="1876" t="s">
        <v>811</v>
      </c>
      <c r="CJ38" s="1877"/>
      <c r="CK38" s="1876" t="s">
        <v>811</v>
      </c>
      <c r="CL38" s="1877"/>
      <c r="CM38" s="1876" t="s">
        <v>811</v>
      </c>
      <c r="CN38" s="1877"/>
      <c r="CO38" s="1876" t="s">
        <v>811</v>
      </c>
      <c r="CP38" s="1877"/>
      <c r="CQ38" s="1876" t="s">
        <v>811</v>
      </c>
      <c r="CR38" s="1877"/>
      <c r="CS38" s="1876" t="s">
        <v>811</v>
      </c>
      <c r="CT38" s="1877"/>
      <c r="CU38" s="1876" t="s">
        <v>811</v>
      </c>
      <c r="CV38" s="1877"/>
      <c r="CW38" s="1876" t="s">
        <v>811</v>
      </c>
      <c r="CX38" s="1877"/>
      <c r="CY38" s="1876" t="s">
        <v>811</v>
      </c>
      <c r="CZ38" s="1877"/>
      <c r="DA38" s="1876" t="s">
        <v>811</v>
      </c>
      <c r="DB38" s="1877"/>
      <c r="DC38" s="1876" t="s">
        <v>811</v>
      </c>
      <c r="DD38" s="1877"/>
      <c r="DE38" s="1876" t="s">
        <v>811</v>
      </c>
      <c r="DF38" s="1877"/>
      <c r="DG38" s="1876" t="s">
        <v>811</v>
      </c>
      <c r="DH38" s="1877"/>
      <c r="DI38" s="1876" t="s">
        <v>811</v>
      </c>
      <c r="DJ38" s="1877"/>
      <c r="DK38" s="1876" t="s">
        <v>811</v>
      </c>
      <c r="DL38" s="1877"/>
      <c r="DM38" s="1876" t="s">
        <v>811</v>
      </c>
      <c r="DN38" s="1877"/>
      <c r="DO38" s="1876" t="s">
        <v>811</v>
      </c>
      <c r="DP38" s="1877"/>
      <c r="DQ38" s="1876" t="s">
        <v>811</v>
      </c>
      <c r="DR38" s="1877"/>
      <c r="DS38" s="1876" t="s">
        <v>811</v>
      </c>
      <c r="DT38" s="1877"/>
      <c r="DU38" s="1876" t="s">
        <v>811</v>
      </c>
      <c r="DV38" s="1877"/>
      <c r="DW38" s="1876" t="s">
        <v>811</v>
      </c>
      <c r="DX38" s="1877"/>
      <c r="DY38" s="1876" t="s">
        <v>811</v>
      </c>
      <c r="DZ38" s="1877"/>
      <c r="EA38" s="1876" t="s">
        <v>811</v>
      </c>
      <c r="EB38" s="1877"/>
      <c r="EC38" s="1876" t="s">
        <v>811</v>
      </c>
      <c r="ED38" s="1877"/>
      <c r="EE38" s="1876" t="s">
        <v>811</v>
      </c>
      <c r="EF38" s="1877"/>
      <c r="EG38" s="1876" t="s">
        <v>811</v>
      </c>
      <c r="EH38" s="1877"/>
      <c r="EI38" s="1876" t="s">
        <v>811</v>
      </c>
      <c r="EJ38" s="1877"/>
      <c r="EK38" s="1876" t="s">
        <v>811</v>
      </c>
      <c r="EL38" s="1877"/>
      <c r="EM38" s="1876" t="s">
        <v>811</v>
      </c>
      <c r="EN38" s="1877"/>
      <c r="EO38" s="1876" t="s">
        <v>811</v>
      </c>
      <c r="EP38" s="1877"/>
      <c r="EQ38" s="1876" t="s">
        <v>811</v>
      </c>
      <c r="ER38" s="1877"/>
      <c r="ES38" s="1876" t="s">
        <v>811</v>
      </c>
      <c r="ET38" s="1877"/>
      <c r="EU38" s="1876" t="s">
        <v>811</v>
      </c>
      <c r="EV38" s="1877"/>
      <c r="EW38" s="1876" t="s">
        <v>811</v>
      </c>
      <c r="EX38" s="1877"/>
      <c r="EY38" s="1876" t="s">
        <v>811</v>
      </c>
      <c r="EZ38" s="1877"/>
      <c r="FA38" s="1876" t="s">
        <v>811</v>
      </c>
      <c r="FB38" s="1877"/>
      <c r="FC38" s="1876" t="s">
        <v>811</v>
      </c>
      <c r="FD38" s="1877"/>
      <c r="FE38" s="1876" t="s">
        <v>811</v>
      </c>
      <c r="FF38" s="1877"/>
      <c r="FG38" s="1876" t="s">
        <v>811</v>
      </c>
      <c r="FH38" s="1877"/>
      <c r="FI38" s="1876" t="s">
        <v>811</v>
      </c>
      <c r="FJ38" s="1877"/>
      <c r="FK38" s="1876" t="s">
        <v>811</v>
      </c>
      <c r="FL38" s="1877"/>
      <c r="FM38" s="1876" t="s">
        <v>811</v>
      </c>
      <c r="FN38" s="1877"/>
      <c r="FO38" s="1876" t="s">
        <v>811</v>
      </c>
      <c r="FP38" s="1877"/>
      <c r="FQ38" s="1876" t="s">
        <v>811</v>
      </c>
      <c r="FR38" s="1877"/>
      <c r="FS38" s="1876" t="s">
        <v>811</v>
      </c>
      <c r="FT38" s="1877"/>
      <c r="FU38" s="1876" t="s">
        <v>811</v>
      </c>
      <c r="FV38" s="1877"/>
      <c r="FW38" s="1876" t="s">
        <v>811</v>
      </c>
      <c r="FX38" s="1877"/>
      <c r="FY38" s="1876" t="s">
        <v>811</v>
      </c>
      <c r="FZ38" s="1877"/>
      <c r="GA38" s="1876" t="s">
        <v>811</v>
      </c>
      <c r="GB38" s="1877"/>
      <c r="GC38" s="1876" t="s">
        <v>811</v>
      </c>
      <c r="GD38" s="1877"/>
      <c r="GE38" s="1876" t="s">
        <v>811</v>
      </c>
      <c r="GF38" s="1877"/>
      <c r="GG38" s="1876" t="s">
        <v>811</v>
      </c>
      <c r="GH38" s="1877"/>
      <c r="GI38" s="1876" t="s">
        <v>811</v>
      </c>
      <c r="GJ38" s="1877"/>
      <c r="GK38" s="1876" t="s">
        <v>811</v>
      </c>
      <c r="GL38" s="1877"/>
      <c r="GM38" s="901"/>
    </row>
    <row r="39" spans="1:195" s="1910" customFormat="1" ht="33.75" hidden="1" customHeight="1">
      <c r="A39" s="3628"/>
      <c r="B39" s="409"/>
      <c r="D39" s="557" t="s">
        <v>982</v>
      </c>
      <c r="E39" s="613" t="s">
        <v>1129</v>
      </c>
      <c r="F39" s="552" t="s">
        <v>1130</v>
      </c>
      <c r="G39" s="560"/>
      <c r="H39" s="893"/>
      <c r="I39" s="560"/>
      <c r="J39" s="893"/>
      <c r="K39" s="1935"/>
      <c r="L39" s="1878"/>
      <c r="M39" s="1935"/>
      <c r="N39" s="1878"/>
      <c r="O39" s="1935"/>
      <c r="P39" s="1878"/>
      <c r="Q39" s="1935"/>
      <c r="R39" s="1878"/>
      <c r="S39" s="1935"/>
      <c r="T39" s="1878"/>
      <c r="U39" s="1935"/>
      <c r="V39" s="1878"/>
      <c r="W39" s="1935"/>
      <c r="X39" s="1878"/>
      <c r="Y39" s="1935"/>
      <c r="Z39" s="1878"/>
      <c r="AA39" s="1935"/>
      <c r="AB39" s="1878"/>
      <c r="AC39" s="1935"/>
      <c r="AD39" s="1878"/>
      <c r="AE39" s="1935"/>
      <c r="AF39" s="1878"/>
      <c r="AG39" s="1935"/>
      <c r="AH39" s="1878"/>
      <c r="AI39" s="1935"/>
      <c r="AJ39" s="1878"/>
      <c r="AK39" s="1935"/>
      <c r="AL39" s="1878"/>
      <c r="AM39" s="1935"/>
      <c r="AN39" s="1878"/>
      <c r="AO39" s="1935"/>
      <c r="AP39" s="1878"/>
      <c r="AQ39" s="1935"/>
      <c r="AR39" s="1878"/>
      <c r="AS39" s="1935"/>
      <c r="AT39" s="1878"/>
      <c r="AU39" s="1935"/>
      <c r="AV39" s="1878"/>
      <c r="AW39" s="1935"/>
      <c r="AX39" s="1878"/>
      <c r="AY39" s="1935"/>
      <c r="AZ39" s="1878"/>
      <c r="BA39" s="1935"/>
      <c r="BB39" s="1878"/>
      <c r="BC39" s="1935"/>
      <c r="BD39" s="1878"/>
      <c r="BE39" s="1935"/>
      <c r="BF39" s="1878"/>
      <c r="BG39" s="1935"/>
      <c r="BH39" s="1878"/>
      <c r="BI39" s="1935"/>
      <c r="BJ39" s="1878"/>
      <c r="BK39" s="1935"/>
      <c r="BL39" s="1878"/>
      <c r="BM39" s="1935"/>
      <c r="BN39" s="1878"/>
      <c r="BO39" s="1935"/>
      <c r="BP39" s="1878"/>
      <c r="BQ39" s="1935"/>
      <c r="BR39" s="1878"/>
      <c r="BS39" s="1935"/>
      <c r="BT39" s="1878"/>
      <c r="BU39" s="1935"/>
      <c r="BV39" s="1878"/>
      <c r="BW39" s="1935"/>
      <c r="BX39" s="1878"/>
      <c r="BY39" s="1935"/>
      <c r="BZ39" s="1878"/>
      <c r="CA39" s="1935"/>
      <c r="CB39" s="1878"/>
      <c r="CC39" s="1935"/>
      <c r="CD39" s="1878"/>
      <c r="CE39" s="1935"/>
      <c r="CF39" s="1878"/>
      <c r="CG39" s="1935"/>
      <c r="CH39" s="1878"/>
      <c r="CI39" s="1935"/>
      <c r="CJ39" s="1878"/>
      <c r="CK39" s="1935"/>
      <c r="CL39" s="1878"/>
      <c r="CM39" s="1935"/>
      <c r="CN39" s="1878"/>
      <c r="CO39" s="1935"/>
      <c r="CP39" s="1878"/>
      <c r="CQ39" s="1935"/>
      <c r="CR39" s="1878"/>
      <c r="CS39" s="1935"/>
      <c r="CT39" s="1878"/>
      <c r="CU39" s="1935"/>
      <c r="CV39" s="1878"/>
      <c r="CW39" s="1935"/>
      <c r="CX39" s="1878"/>
      <c r="CY39" s="1935"/>
      <c r="CZ39" s="1878"/>
      <c r="DA39" s="1935"/>
      <c r="DB39" s="1878"/>
      <c r="DC39" s="1935"/>
      <c r="DD39" s="1878"/>
      <c r="DE39" s="1935"/>
      <c r="DF39" s="1878"/>
      <c r="DG39" s="1935"/>
      <c r="DH39" s="1878"/>
      <c r="DI39" s="1935"/>
      <c r="DJ39" s="1878"/>
      <c r="DK39" s="1935"/>
      <c r="DL39" s="1878"/>
      <c r="DM39" s="1935"/>
      <c r="DN39" s="1878"/>
      <c r="DO39" s="1935"/>
      <c r="DP39" s="1878"/>
      <c r="DQ39" s="1935"/>
      <c r="DR39" s="1878"/>
      <c r="DS39" s="1935"/>
      <c r="DT39" s="1878"/>
      <c r="DU39" s="1935"/>
      <c r="DV39" s="1878"/>
      <c r="DW39" s="1935"/>
      <c r="DX39" s="1878"/>
      <c r="DY39" s="1935"/>
      <c r="DZ39" s="1878"/>
      <c r="EA39" s="1935"/>
      <c r="EB39" s="1878"/>
      <c r="EC39" s="1935"/>
      <c r="ED39" s="1878"/>
      <c r="EE39" s="1935"/>
      <c r="EF39" s="1878"/>
      <c r="EG39" s="1935"/>
      <c r="EH39" s="1878"/>
      <c r="EI39" s="1935"/>
      <c r="EJ39" s="1878"/>
      <c r="EK39" s="1935"/>
      <c r="EL39" s="1878"/>
      <c r="EM39" s="1935"/>
      <c r="EN39" s="1878"/>
      <c r="EO39" s="1935"/>
      <c r="EP39" s="1878"/>
      <c r="EQ39" s="1935"/>
      <c r="ER39" s="1878"/>
      <c r="ES39" s="1935"/>
      <c r="ET39" s="1878"/>
      <c r="EU39" s="1935"/>
      <c r="EV39" s="1878"/>
      <c r="EW39" s="1935"/>
      <c r="EX39" s="1878"/>
      <c r="EY39" s="1935"/>
      <c r="EZ39" s="1878"/>
      <c r="FA39" s="1935"/>
      <c r="FB39" s="1878"/>
      <c r="FC39" s="1935"/>
      <c r="FD39" s="1878"/>
      <c r="FE39" s="1935"/>
      <c r="FF39" s="1878"/>
      <c r="FG39" s="1935"/>
      <c r="FH39" s="1878"/>
      <c r="FI39" s="1935"/>
      <c r="FJ39" s="1878"/>
      <c r="FK39" s="1935"/>
      <c r="FL39" s="1878"/>
      <c r="FM39" s="1935"/>
      <c r="FN39" s="1878"/>
      <c r="FO39" s="1935"/>
      <c r="FP39" s="1878"/>
      <c r="FQ39" s="1935"/>
      <c r="FR39" s="1878"/>
      <c r="FS39" s="1935"/>
      <c r="FT39" s="1878"/>
      <c r="FU39" s="1935"/>
      <c r="FV39" s="1878"/>
      <c r="FW39" s="1935"/>
      <c r="FX39" s="1878"/>
      <c r="FY39" s="1935"/>
      <c r="FZ39" s="1878"/>
      <c r="GA39" s="1935"/>
      <c r="GB39" s="1878"/>
      <c r="GC39" s="1935"/>
      <c r="GD39" s="1878"/>
      <c r="GE39" s="1935"/>
      <c r="GF39" s="1878"/>
      <c r="GG39" s="1935"/>
      <c r="GH39" s="1878"/>
      <c r="GI39" s="1935"/>
      <c r="GJ39" s="1878"/>
      <c r="GK39" s="1935"/>
      <c r="GL39" s="1878"/>
      <c r="GM39" s="201" t="s">
        <v>1131</v>
      </c>
    </row>
    <row r="40" spans="1:195" s="1910" customFormat="1" ht="33.75" hidden="1" customHeight="1">
      <c r="A40" s="3628"/>
      <c r="B40" s="409"/>
      <c r="D40" s="557" t="s">
        <v>985</v>
      </c>
      <c r="E40" s="613" t="s">
        <v>1132</v>
      </c>
      <c r="F40" s="897" t="s">
        <v>1133</v>
      </c>
      <c r="G40" s="630"/>
      <c r="H40" s="893"/>
      <c r="I40" s="630"/>
      <c r="J40" s="893"/>
      <c r="K40" s="1879"/>
      <c r="L40" s="1878"/>
      <c r="M40" s="1879"/>
      <c r="N40" s="1878"/>
      <c r="O40" s="1879"/>
      <c r="P40" s="1878"/>
      <c r="Q40" s="1879"/>
      <c r="R40" s="1878"/>
      <c r="S40" s="1879"/>
      <c r="T40" s="1878"/>
      <c r="U40" s="1879"/>
      <c r="V40" s="1878"/>
      <c r="W40" s="1879"/>
      <c r="X40" s="1878"/>
      <c r="Y40" s="1879"/>
      <c r="Z40" s="1878"/>
      <c r="AA40" s="1879"/>
      <c r="AB40" s="1878"/>
      <c r="AC40" s="1879"/>
      <c r="AD40" s="1878"/>
      <c r="AE40" s="1879"/>
      <c r="AF40" s="1878"/>
      <c r="AG40" s="1879"/>
      <c r="AH40" s="1878"/>
      <c r="AI40" s="1879"/>
      <c r="AJ40" s="1878"/>
      <c r="AK40" s="1879"/>
      <c r="AL40" s="1878"/>
      <c r="AM40" s="1879"/>
      <c r="AN40" s="1878"/>
      <c r="AO40" s="1879"/>
      <c r="AP40" s="1878"/>
      <c r="AQ40" s="1879"/>
      <c r="AR40" s="1878"/>
      <c r="AS40" s="1879"/>
      <c r="AT40" s="1878"/>
      <c r="AU40" s="1879"/>
      <c r="AV40" s="1878"/>
      <c r="AW40" s="1879"/>
      <c r="AX40" s="1878"/>
      <c r="AY40" s="1879"/>
      <c r="AZ40" s="1878"/>
      <c r="BA40" s="1879"/>
      <c r="BB40" s="1878"/>
      <c r="BC40" s="1879"/>
      <c r="BD40" s="1878"/>
      <c r="BE40" s="1879"/>
      <c r="BF40" s="1878"/>
      <c r="BG40" s="1879"/>
      <c r="BH40" s="1878"/>
      <c r="BI40" s="1879"/>
      <c r="BJ40" s="1878"/>
      <c r="BK40" s="1879"/>
      <c r="BL40" s="1878"/>
      <c r="BM40" s="1879"/>
      <c r="BN40" s="1878"/>
      <c r="BO40" s="1879"/>
      <c r="BP40" s="1878"/>
      <c r="BQ40" s="1879"/>
      <c r="BR40" s="1878"/>
      <c r="BS40" s="1879"/>
      <c r="BT40" s="1878"/>
      <c r="BU40" s="1879"/>
      <c r="BV40" s="1878"/>
      <c r="BW40" s="1879"/>
      <c r="BX40" s="1878"/>
      <c r="BY40" s="1879"/>
      <c r="BZ40" s="1878"/>
      <c r="CA40" s="1879"/>
      <c r="CB40" s="1878"/>
      <c r="CC40" s="1879"/>
      <c r="CD40" s="1878"/>
      <c r="CE40" s="1879"/>
      <c r="CF40" s="1878"/>
      <c r="CG40" s="1879"/>
      <c r="CH40" s="1878"/>
      <c r="CI40" s="1879"/>
      <c r="CJ40" s="1878"/>
      <c r="CK40" s="1879"/>
      <c r="CL40" s="1878"/>
      <c r="CM40" s="1879"/>
      <c r="CN40" s="1878"/>
      <c r="CO40" s="1879"/>
      <c r="CP40" s="1878"/>
      <c r="CQ40" s="1879"/>
      <c r="CR40" s="1878"/>
      <c r="CS40" s="1879"/>
      <c r="CT40" s="1878"/>
      <c r="CU40" s="1879"/>
      <c r="CV40" s="1878"/>
      <c r="CW40" s="1879"/>
      <c r="CX40" s="1878"/>
      <c r="CY40" s="1879"/>
      <c r="CZ40" s="1878"/>
      <c r="DA40" s="1879"/>
      <c r="DB40" s="1878"/>
      <c r="DC40" s="1879"/>
      <c r="DD40" s="1878"/>
      <c r="DE40" s="1879"/>
      <c r="DF40" s="1878"/>
      <c r="DG40" s="1879"/>
      <c r="DH40" s="1878"/>
      <c r="DI40" s="1879"/>
      <c r="DJ40" s="1878"/>
      <c r="DK40" s="1879"/>
      <c r="DL40" s="1878"/>
      <c r="DM40" s="1879"/>
      <c r="DN40" s="1878"/>
      <c r="DO40" s="1879"/>
      <c r="DP40" s="1878"/>
      <c r="DQ40" s="1879"/>
      <c r="DR40" s="1878"/>
      <c r="DS40" s="1879"/>
      <c r="DT40" s="1878"/>
      <c r="DU40" s="1879"/>
      <c r="DV40" s="1878"/>
      <c r="DW40" s="1879"/>
      <c r="DX40" s="1878"/>
      <c r="DY40" s="1879"/>
      <c r="DZ40" s="1878"/>
      <c r="EA40" s="1879"/>
      <c r="EB40" s="1878"/>
      <c r="EC40" s="1879"/>
      <c r="ED40" s="1878"/>
      <c r="EE40" s="1879"/>
      <c r="EF40" s="1878"/>
      <c r="EG40" s="1879"/>
      <c r="EH40" s="1878"/>
      <c r="EI40" s="1879"/>
      <c r="EJ40" s="1878"/>
      <c r="EK40" s="1879"/>
      <c r="EL40" s="1878"/>
      <c r="EM40" s="1879"/>
      <c r="EN40" s="1878"/>
      <c r="EO40" s="1879"/>
      <c r="EP40" s="1878"/>
      <c r="EQ40" s="1879"/>
      <c r="ER40" s="1878"/>
      <c r="ES40" s="1879"/>
      <c r="ET40" s="1878"/>
      <c r="EU40" s="1879"/>
      <c r="EV40" s="1878"/>
      <c r="EW40" s="1879"/>
      <c r="EX40" s="1878"/>
      <c r="EY40" s="1879"/>
      <c r="EZ40" s="1878"/>
      <c r="FA40" s="1879"/>
      <c r="FB40" s="1878"/>
      <c r="FC40" s="1879"/>
      <c r="FD40" s="1878"/>
      <c r="FE40" s="1879"/>
      <c r="FF40" s="1878"/>
      <c r="FG40" s="1879"/>
      <c r="FH40" s="1878"/>
      <c r="FI40" s="1879"/>
      <c r="FJ40" s="1878"/>
      <c r="FK40" s="1879"/>
      <c r="FL40" s="1878"/>
      <c r="FM40" s="1879"/>
      <c r="FN40" s="1878"/>
      <c r="FO40" s="1879"/>
      <c r="FP40" s="1878"/>
      <c r="FQ40" s="1879"/>
      <c r="FR40" s="1878"/>
      <c r="FS40" s="1879"/>
      <c r="FT40" s="1878"/>
      <c r="FU40" s="1879"/>
      <c r="FV40" s="1878"/>
      <c r="FW40" s="1879"/>
      <c r="FX40" s="1878"/>
      <c r="FY40" s="1879"/>
      <c r="FZ40" s="1878"/>
      <c r="GA40" s="1879"/>
      <c r="GB40" s="1878"/>
      <c r="GC40" s="1879"/>
      <c r="GD40" s="1878"/>
      <c r="GE40" s="1879"/>
      <c r="GF40" s="1878"/>
      <c r="GG40" s="1879"/>
      <c r="GH40" s="1878"/>
      <c r="GI40" s="1879"/>
      <c r="GJ40" s="1878"/>
      <c r="GK40" s="1879"/>
      <c r="GL40" s="1878"/>
      <c r="GM40" s="201" t="s">
        <v>1134</v>
      </c>
    </row>
    <row r="41" spans="1:195" s="1910" customFormat="1" ht="22.5" hidden="1" customHeight="1">
      <c r="A41" s="3628"/>
      <c r="B41" s="409"/>
      <c r="D41" s="557" t="s">
        <v>87</v>
      </c>
      <c r="E41" s="612" t="s">
        <v>1135</v>
      </c>
      <c r="F41" s="552" t="s">
        <v>811</v>
      </c>
      <c r="G41" s="552" t="s">
        <v>811</v>
      </c>
      <c r="H41" s="894"/>
      <c r="I41" s="552" t="s">
        <v>811</v>
      </c>
      <c r="J41" s="894"/>
      <c r="K41" s="1869" t="s">
        <v>811</v>
      </c>
      <c r="L41" s="1880"/>
      <c r="M41" s="1869" t="s">
        <v>811</v>
      </c>
      <c r="N41" s="1880"/>
      <c r="O41" s="1869" t="s">
        <v>811</v>
      </c>
      <c r="P41" s="1880"/>
      <c r="Q41" s="1869" t="s">
        <v>811</v>
      </c>
      <c r="R41" s="1880"/>
      <c r="S41" s="1869" t="s">
        <v>811</v>
      </c>
      <c r="T41" s="1880"/>
      <c r="U41" s="1869" t="s">
        <v>811</v>
      </c>
      <c r="V41" s="1880"/>
      <c r="W41" s="1869" t="s">
        <v>811</v>
      </c>
      <c r="X41" s="1880"/>
      <c r="Y41" s="1869" t="s">
        <v>811</v>
      </c>
      <c r="Z41" s="1880"/>
      <c r="AA41" s="1869" t="s">
        <v>811</v>
      </c>
      <c r="AB41" s="1880"/>
      <c r="AC41" s="1869" t="s">
        <v>811</v>
      </c>
      <c r="AD41" s="1880"/>
      <c r="AE41" s="1869" t="s">
        <v>811</v>
      </c>
      <c r="AF41" s="1880"/>
      <c r="AG41" s="1869" t="s">
        <v>811</v>
      </c>
      <c r="AH41" s="1880"/>
      <c r="AI41" s="1869" t="s">
        <v>811</v>
      </c>
      <c r="AJ41" s="1880"/>
      <c r="AK41" s="1869" t="s">
        <v>811</v>
      </c>
      <c r="AL41" s="1880"/>
      <c r="AM41" s="1869" t="s">
        <v>811</v>
      </c>
      <c r="AN41" s="1880"/>
      <c r="AO41" s="1869" t="s">
        <v>811</v>
      </c>
      <c r="AP41" s="1880"/>
      <c r="AQ41" s="1869" t="s">
        <v>811</v>
      </c>
      <c r="AR41" s="1880"/>
      <c r="AS41" s="1869" t="s">
        <v>811</v>
      </c>
      <c r="AT41" s="1880"/>
      <c r="AU41" s="1869" t="s">
        <v>811</v>
      </c>
      <c r="AV41" s="1880"/>
      <c r="AW41" s="1869" t="s">
        <v>811</v>
      </c>
      <c r="AX41" s="1880"/>
      <c r="AY41" s="1869" t="s">
        <v>811</v>
      </c>
      <c r="AZ41" s="1880"/>
      <c r="BA41" s="1869" t="s">
        <v>811</v>
      </c>
      <c r="BB41" s="1880"/>
      <c r="BC41" s="1869" t="s">
        <v>811</v>
      </c>
      <c r="BD41" s="1880"/>
      <c r="BE41" s="1869" t="s">
        <v>811</v>
      </c>
      <c r="BF41" s="1880"/>
      <c r="BG41" s="1869" t="s">
        <v>811</v>
      </c>
      <c r="BH41" s="1880"/>
      <c r="BI41" s="1869" t="s">
        <v>811</v>
      </c>
      <c r="BJ41" s="1880"/>
      <c r="BK41" s="1869" t="s">
        <v>811</v>
      </c>
      <c r="BL41" s="1880"/>
      <c r="BM41" s="1869" t="s">
        <v>811</v>
      </c>
      <c r="BN41" s="1880"/>
      <c r="BO41" s="1869" t="s">
        <v>811</v>
      </c>
      <c r="BP41" s="1880"/>
      <c r="BQ41" s="1869" t="s">
        <v>811</v>
      </c>
      <c r="BR41" s="1880"/>
      <c r="BS41" s="1869" t="s">
        <v>811</v>
      </c>
      <c r="BT41" s="1880"/>
      <c r="BU41" s="1869" t="s">
        <v>811</v>
      </c>
      <c r="BV41" s="1880"/>
      <c r="BW41" s="1869" t="s">
        <v>811</v>
      </c>
      <c r="BX41" s="1880"/>
      <c r="BY41" s="1869" t="s">
        <v>811</v>
      </c>
      <c r="BZ41" s="1880"/>
      <c r="CA41" s="1869" t="s">
        <v>811</v>
      </c>
      <c r="CB41" s="1880"/>
      <c r="CC41" s="1869" t="s">
        <v>811</v>
      </c>
      <c r="CD41" s="1880"/>
      <c r="CE41" s="1869" t="s">
        <v>811</v>
      </c>
      <c r="CF41" s="1880"/>
      <c r="CG41" s="1869" t="s">
        <v>811</v>
      </c>
      <c r="CH41" s="1880"/>
      <c r="CI41" s="1869" t="s">
        <v>811</v>
      </c>
      <c r="CJ41" s="1880"/>
      <c r="CK41" s="1869" t="s">
        <v>811</v>
      </c>
      <c r="CL41" s="1880"/>
      <c r="CM41" s="1869" t="s">
        <v>811</v>
      </c>
      <c r="CN41" s="1880"/>
      <c r="CO41" s="1869" t="s">
        <v>811</v>
      </c>
      <c r="CP41" s="1880"/>
      <c r="CQ41" s="1869" t="s">
        <v>811</v>
      </c>
      <c r="CR41" s="1880"/>
      <c r="CS41" s="1869" t="s">
        <v>811</v>
      </c>
      <c r="CT41" s="1880"/>
      <c r="CU41" s="1869" t="s">
        <v>811</v>
      </c>
      <c r="CV41" s="1880"/>
      <c r="CW41" s="1869" t="s">
        <v>811</v>
      </c>
      <c r="CX41" s="1880"/>
      <c r="CY41" s="1869" t="s">
        <v>811</v>
      </c>
      <c r="CZ41" s="1880"/>
      <c r="DA41" s="1869" t="s">
        <v>811</v>
      </c>
      <c r="DB41" s="1880"/>
      <c r="DC41" s="1869" t="s">
        <v>811</v>
      </c>
      <c r="DD41" s="1880"/>
      <c r="DE41" s="1869" t="s">
        <v>811</v>
      </c>
      <c r="DF41" s="1880"/>
      <c r="DG41" s="1869" t="s">
        <v>811</v>
      </c>
      <c r="DH41" s="1880"/>
      <c r="DI41" s="1869" t="s">
        <v>811</v>
      </c>
      <c r="DJ41" s="1880"/>
      <c r="DK41" s="1869" t="s">
        <v>811</v>
      </c>
      <c r="DL41" s="1880"/>
      <c r="DM41" s="1869" t="s">
        <v>811</v>
      </c>
      <c r="DN41" s="1880"/>
      <c r="DO41" s="1869" t="s">
        <v>811</v>
      </c>
      <c r="DP41" s="1880"/>
      <c r="DQ41" s="1869" t="s">
        <v>811</v>
      </c>
      <c r="DR41" s="1880"/>
      <c r="DS41" s="1869" t="s">
        <v>811</v>
      </c>
      <c r="DT41" s="1880"/>
      <c r="DU41" s="1869" t="s">
        <v>811</v>
      </c>
      <c r="DV41" s="1880"/>
      <c r="DW41" s="1869" t="s">
        <v>811</v>
      </c>
      <c r="DX41" s="1880"/>
      <c r="DY41" s="1869" t="s">
        <v>811</v>
      </c>
      <c r="DZ41" s="1880"/>
      <c r="EA41" s="1869" t="s">
        <v>811</v>
      </c>
      <c r="EB41" s="1880"/>
      <c r="EC41" s="1869" t="s">
        <v>811</v>
      </c>
      <c r="ED41" s="1880"/>
      <c r="EE41" s="1869" t="s">
        <v>811</v>
      </c>
      <c r="EF41" s="1880"/>
      <c r="EG41" s="1869" t="s">
        <v>811</v>
      </c>
      <c r="EH41" s="1880"/>
      <c r="EI41" s="1869" t="s">
        <v>811</v>
      </c>
      <c r="EJ41" s="1880"/>
      <c r="EK41" s="1869" t="s">
        <v>811</v>
      </c>
      <c r="EL41" s="1880"/>
      <c r="EM41" s="1869" t="s">
        <v>811</v>
      </c>
      <c r="EN41" s="1880"/>
      <c r="EO41" s="1869" t="s">
        <v>811</v>
      </c>
      <c r="EP41" s="1880"/>
      <c r="EQ41" s="1869" t="s">
        <v>811</v>
      </c>
      <c r="ER41" s="1880"/>
      <c r="ES41" s="1869" t="s">
        <v>811</v>
      </c>
      <c r="ET41" s="1880"/>
      <c r="EU41" s="1869" t="s">
        <v>811</v>
      </c>
      <c r="EV41" s="1880"/>
      <c r="EW41" s="1869" t="s">
        <v>811</v>
      </c>
      <c r="EX41" s="1880"/>
      <c r="EY41" s="1869" t="s">
        <v>811</v>
      </c>
      <c r="EZ41" s="1880"/>
      <c r="FA41" s="1869" t="s">
        <v>811</v>
      </c>
      <c r="FB41" s="1880"/>
      <c r="FC41" s="1869" t="s">
        <v>811</v>
      </c>
      <c r="FD41" s="1880"/>
      <c r="FE41" s="1869" t="s">
        <v>811</v>
      </c>
      <c r="FF41" s="1880"/>
      <c r="FG41" s="1869" t="s">
        <v>811</v>
      </c>
      <c r="FH41" s="1880"/>
      <c r="FI41" s="1869" t="s">
        <v>811</v>
      </c>
      <c r="FJ41" s="1880"/>
      <c r="FK41" s="1869" t="s">
        <v>811</v>
      </c>
      <c r="FL41" s="1880"/>
      <c r="FM41" s="1869" t="s">
        <v>811</v>
      </c>
      <c r="FN41" s="1880"/>
      <c r="FO41" s="1869" t="s">
        <v>811</v>
      </c>
      <c r="FP41" s="1880"/>
      <c r="FQ41" s="1869" t="s">
        <v>811</v>
      </c>
      <c r="FR41" s="1880"/>
      <c r="FS41" s="1869" t="s">
        <v>811</v>
      </c>
      <c r="FT41" s="1880"/>
      <c r="FU41" s="1869" t="s">
        <v>811</v>
      </c>
      <c r="FV41" s="1880"/>
      <c r="FW41" s="1869" t="s">
        <v>811</v>
      </c>
      <c r="FX41" s="1880"/>
      <c r="FY41" s="1869" t="s">
        <v>811</v>
      </c>
      <c r="FZ41" s="1880"/>
      <c r="GA41" s="1869" t="s">
        <v>811</v>
      </c>
      <c r="GB41" s="1880"/>
      <c r="GC41" s="1869" t="s">
        <v>811</v>
      </c>
      <c r="GD41" s="1880"/>
      <c r="GE41" s="1869" t="s">
        <v>811</v>
      </c>
      <c r="GF41" s="1880"/>
      <c r="GG41" s="1869" t="s">
        <v>811</v>
      </c>
      <c r="GH41" s="1880"/>
      <c r="GI41" s="1869" t="s">
        <v>811</v>
      </c>
      <c r="GJ41" s="1880"/>
      <c r="GK41" s="1869" t="s">
        <v>811</v>
      </c>
      <c r="GL41" s="1880"/>
      <c r="GM41" s="213"/>
    </row>
    <row r="42" spans="1:195" s="1910" customFormat="1" ht="45" hidden="1" customHeight="1">
      <c r="A42" s="3628"/>
      <c r="B42" s="409"/>
      <c r="D42" s="557" t="s">
        <v>586</v>
      </c>
      <c r="E42" s="613" t="s">
        <v>1136</v>
      </c>
      <c r="F42" s="552" t="s">
        <v>823</v>
      </c>
      <c r="G42" s="454"/>
      <c r="H42" s="894"/>
      <c r="I42" s="454"/>
      <c r="J42" s="894"/>
      <c r="K42" s="1848"/>
      <c r="L42" s="1880"/>
      <c r="M42" s="1848"/>
      <c r="N42" s="1880"/>
      <c r="O42" s="1848"/>
      <c r="P42" s="1880"/>
      <c r="Q42" s="1848"/>
      <c r="R42" s="1880"/>
      <c r="S42" s="1848"/>
      <c r="T42" s="1880"/>
      <c r="U42" s="1848"/>
      <c r="V42" s="1880"/>
      <c r="W42" s="1848"/>
      <c r="X42" s="1880"/>
      <c r="Y42" s="1848"/>
      <c r="Z42" s="1880"/>
      <c r="AA42" s="1848"/>
      <c r="AB42" s="1880"/>
      <c r="AC42" s="1848"/>
      <c r="AD42" s="1880"/>
      <c r="AE42" s="1848"/>
      <c r="AF42" s="1880"/>
      <c r="AG42" s="1848"/>
      <c r="AH42" s="1880"/>
      <c r="AI42" s="1848"/>
      <c r="AJ42" s="1880"/>
      <c r="AK42" s="1848"/>
      <c r="AL42" s="1880"/>
      <c r="AM42" s="1848"/>
      <c r="AN42" s="1880"/>
      <c r="AO42" s="1848"/>
      <c r="AP42" s="1880"/>
      <c r="AQ42" s="1848"/>
      <c r="AR42" s="1880"/>
      <c r="AS42" s="1848"/>
      <c r="AT42" s="1880"/>
      <c r="AU42" s="1848"/>
      <c r="AV42" s="1880"/>
      <c r="AW42" s="1848"/>
      <c r="AX42" s="1880"/>
      <c r="AY42" s="1848"/>
      <c r="AZ42" s="1880"/>
      <c r="BA42" s="1848"/>
      <c r="BB42" s="1880"/>
      <c r="BC42" s="1848"/>
      <c r="BD42" s="1880"/>
      <c r="BE42" s="1848"/>
      <c r="BF42" s="1880"/>
      <c r="BG42" s="1848"/>
      <c r="BH42" s="1880"/>
      <c r="BI42" s="1848"/>
      <c r="BJ42" s="1880"/>
      <c r="BK42" s="1848"/>
      <c r="BL42" s="1880"/>
      <c r="BM42" s="1848"/>
      <c r="BN42" s="1880"/>
      <c r="BO42" s="1848"/>
      <c r="BP42" s="1880"/>
      <c r="BQ42" s="1848"/>
      <c r="BR42" s="1880"/>
      <c r="BS42" s="1848"/>
      <c r="BT42" s="1880"/>
      <c r="BU42" s="1848"/>
      <c r="BV42" s="1880"/>
      <c r="BW42" s="1848"/>
      <c r="BX42" s="1880"/>
      <c r="BY42" s="1848"/>
      <c r="BZ42" s="1880"/>
      <c r="CA42" s="1848"/>
      <c r="CB42" s="1880"/>
      <c r="CC42" s="1848"/>
      <c r="CD42" s="1880"/>
      <c r="CE42" s="1848"/>
      <c r="CF42" s="1880"/>
      <c r="CG42" s="1848"/>
      <c r="CH42" s="1880"/>
      <c r="CI42" s="1848"/>
      <c r="CJ42" s="1880"/>
      <c r="CK42" s="1848"/>
      <c r="CL42" s="1880"/>
      <c r="CM42" s="1848"/>
      <c r="CN42" s="1880"/>
      <c r="CO42" s="1848"/>
      <c r="CP42" s="1880"/>
      <c r="CQ42" s="1848"/>
      <c r="CR42" s="1880"/>
      <c r="CS42" s="1848"/>
      <c r="CT42" s="1880"/>
      <c r="CU42" s="1848"/>
      <c r="CV42" s="1880"/>
      <c r="CW42" s="1848"/>
      <c r="CX42" s="1880"/>
      <c r="CY42" s="1848"/>
      <c r="CZ42" s="1880"/>
      <c r="DA42" s="1848"/>
      <c r="DB42" s="1880"/>
      <c r="DC42" s="1848"/>
      <c r="DD42" s="1880"/>
      <c r="DE42" s="1848"/>
      <c r="DF42" s="1880"/>
      <c r="DG42" s="1848"/>
      <c r="DH42" s="1880"/>
      <c r="DI42" s="1848"/>
      <c r="DJ42" s="1880"/>
      <c r="DK42" s="1848"/>
      <c r="DL42" s="1880"/>
      <c r="DM42" s="1848"/>
      <c r="DN42" s="1880"/>
      <c r="DO42" s="1848"/>
      <c r="DP42" s="1880"/>
      <c r="DQ42" s="1848"/>
      <c r="DR42" s="1880"/>
      <c r="DS42" s="1848"/>
      <c r="DT42" s="1880"/>
      <c r="DU42" s="1848"/>
      <c r="DV42" s="1880"/>
      <c r="DW42" s="1848"/>
      <c r="DX42" s="1880"/>
      <c r="DY42" s="1848"/>
      <c r="DZ42" s="1880"/>
      <c r="EA42" s="1848"/>
      <c r="EB42" s="1880"/>
      <c r="EC42" s="1848"/>
      <c r="ED42" s="1880"/>
      <c r="EE42" s="1848"/>
      <c r="EF42" s="1880"/>
      <c r="EG42" s="1848"/>
      <c r="EH42" s="1880"/>
      <c r="EI42" s="1848"/>
      <c r="EJ42" s="1880"/>
      <c r="EK42" s="1848"/>
      <c r="EL42" s="1880"/>
      <c r="EM42" s="1848"/>
      <c r="EN42" s="1880"/>
      <c r="EO42" s="1848"/>
      <c r="EP42" s="1880"/>
      <c r="EQ42" s="1848"/>
      <c r="ER42" s="1880"/>
      <c r="ES42" s="1848"/>
      <c r="ET42" s="1880"/>
      <c r="EU42" s="1848"/>
      <c r="EV42" s="1880"/>
      <c r="EW42" s="1848"/>
      <c r="EX42" s="1880"/>
      <c r="EY42" s="1848"/>
      <c r="EZ42" s="1880"/>
      <c r="FA42" s="1848"/>
      <c r="FB42" s="1880"/>
      <c r="FC42" s="1848"/>
      <c r="FD42" s="1880"/>
      <c r="FE42" s="1848"/>
      <c r="FF42" s="1880"/>
      <c r="FG42" s="1848"/>
      <c r="FH42" s="1880"/>
      <c r="FI42" s="1848"/>
      <c r="FJ42" s="1880"/>
      <c r="FK42" s="1848"/>
      <c r="FL42" s="1880"/>
      <c r="FM42" s="1848"/>
      <c r="FN42" s="1880"/>
      <c r="FO42" s="1848"/>
      <c r="FP42" s="1880"/>
      <c r="FQ42" s="1848"/>
      <c r="FR42" s="1880"/>
      <c r="FS42" s="1848"/>
      <c r="FT42" s="1880"/>
      <c r="FU42" s="1848"/>
      <c r="FV42" s="1880"/>
      <c r="FW42" s="1848"/>
      <c r="FX42" s="1880"/>
      <c r="FY42" s="1848"/>
      <c r="FZ42" s="1880"/>
      <c r="GA42" s="1848"/>
      <c r="GB42" s="1880"/>
      <c r="GC42" s="1848"/>
      <c r="GD42" s="1880"/>
      <c r="GE42" s="1848"/>
      <c r="GF42" s="1880"/>
      <c r="GG42" s="1848"/>
      <c r="GH42" s="1880"/>
      <c r="GI42" s="1848"/>
      <c r="GJ42" s="1880"/>
      <c r="GK42" s="1848"/>
      <c r="GL42" s="1880"/>
      <c r="GM42" s="213" t="s">
        <v>1137</v>
      </c>
    </row>
    <row r="43" spans="1:195" s="1910" customFormat="1" ht="45" hidden="1" customHeight="1">
      <c r="A43" s="3628"/>
      <c r="B43" s="409"/>
      <c r="D43" s="557" t="s">
        <v>594</v>
      </c>
      <c r="E43" s="559" t="s">
        <v>1138</v>
      </c>
      <c r="F43" s="898" t="s">
        <v>823</v>
      </c>
      <c r="G43" s="631"/>
      <c r="H43" s="893"/>
      <c r="I43" s="631"/>
      <c r="J43" s="893"/>
      <c r="K43" s="1861"/>
      <c r="L43" s="1878"/>
      <c r="M43" s="1861"/>
      <c r="N43" s="1878"/>
      <c r="O43" s="1861"/>
      <c r="P43" s="1878"/>
      <c r="Q43" s="1861"/>
      <c r="R43" s="1878"/>
      <c r="S43" s="1861"/>
      <c r="T43" s="1878"/>
      <c r="U43" s="1861"/>
      <c r="V43" s="1878"/>
      <c r="W43" s="1861"/>
      <c r="X43" s="1878"/>
      <c r="Y43" s="1861"/>
      <c r="Z43" s="1878"/>
      <c r="AA43" s="1861"/>
      <c r="AB43" s="1878"/>
      <c r="AC43" s="1861"/>
      <c r="AD43" s="1878"/>
      <c r="AE43" s="1861"/>
      <c r="AF43" s="1878"/>
      <c r="AG43" s="1861"/>
      <c r="AH43" s="1878"/>
      <c r="AI43" s="1861"/>
      <c r="AJ43" s="1878"/>
      <c r="AK43" s="1861"/>
      <c r="AL43" s="1878"/>
      <c r="AM43" s="1861"/>
      <c r="AN43" s="1878"/>
      <c r="AO43" s="1861"/>
      <c r="AP43" s="1878"/>
      <c r="AQ43" s="1861"/>
      <c r="AR43" s="1878"/>
      <c r="AS43" s="1861"/>
      <c r="AT43" s="1878"/>
      <c r="AU43" s="1861"/>
      <c r="AV43" s="1878"/>
      <c r="AW43" s="1861"/>
      <c r="AX43" s="1878"/>
      <c r="AY43" s="1861"/>
      <c r="AZ43" s="1878"/>
      <c r="BA43" s="1861"/>
      <c r="BB43" s="1878"/>
      <c r="BC43" s="1861"/>
      <c r="BD43" s="1878"/>
      <c r="BE43" s="1861"/>
      <c r="BF43" s="1878"/>
      <c r="BG43" s="1861"/>
      <c r="BH43" s="1878"/>
      <c r="BI43" s="1861"/>
      <c r="BJ43" s="1878"/>
      <c r="BK43" s="1861"/>
      <c r="BL43" s="1878"/>
      <c r="BM43" s="1861"/>
      <c r="BN43" s="1878"/>
      <c r="BO43" s="1861"/>
      <c r="BP43" s="1878"/>
      <c r="BQ43" s="1861"/>
      <c r="BR43" s="1878"/>
      <c r="BS43" s="1861"/>
      <c r="BT43" s="1878"/>
      <c r="BU43" s="1861"/>
      <c r="BV43" s="1878"/>
      <c r="BW43" s="1861"/>
      <c r="BX43" s="1878"/>
      <c r="BY43" s="1861"/>
      <c r="BZ43" s="1878"/>
      <c r="CA43" s="1861"/>
      <c r="CB43" s="1878"/>
      <c r="CC43" s="1861"/>
      <c r="CD43" s="1878"/>
      <c r="CE43" s="1861"/>
      <c r="CF43" s="1878"/>
      <c r="CG43" s="1861"/>
      <c r="CH43" s="1878"/>
      <c r="CI43" s="1861"/>
      <c r="CJ43" s="1878"/>
      <c r="CK43" s="1861"/>
      <c r="CL43" s="1878"/>
      <c r="CM43" s="1861"/>
      <c r="CN43" s="1878"/>
      <c r="CO43" s="1861"/>
      <c r="CP43" s="1878"/>
      <c r="CQ43" s="1861"/>
      <c r="CR43" s="1878"/>
      <c r="CS43" s="1861"/>
      <c r="CT43" s="1878"/>
      <c r="CU43" s="1861"/>
      <c r="CV43" s="1878"/>
      <c r="CW43" s="1861"/>
      <c r="CX43" s="1878"/>
      <c r="CY43" s="1861"/>
      <c r="CZ43" s="1878"/>
      <c r="DA43" s="1861"/>
      <c r="DB43" s="1878"/>
      <c r="DC43" s="1861"/>
      <c r="DD43" s="1878"/>
      <c r="DE43" s="1861"/>
      <c r="DF43" s="1878"/>
      <c r="DG43" s="1861"/>
      <c r="DH43" s="1878"/>
      <c r="DI43" s="1861"/>
      <c r="DJ43" s="1878"/>
      <c r="DK43" s="1861"/>
      <c r="DL43" s="1878"/>
      <c r="DM43" s="1861"/>
      <c r="DN43" s="1878"/>
      <c r="DO43" s="1861"/>
      <c r="DP43" s="1878"/>
      <c r="DQ43" s="1861"/>
      <c r="DR43" s="1878"/>
      <c r="DS43" s="1861"/>
      <c r="DT43" s="1878"/>
      <c r="DU43" s="1861"/>
      <c r="DV43" s="1878"/>
      <c r="DW43" s="1861"/>
      <c r="DX43" s="1878"/>
      <c r="DY43" s="1861"/>
      <c r="DZ43" s="1878"/>
      <c r="EA43" s="1861"/>
      <c r="EB43" s="1878"/>
      <c r="EC43" s="1861"/>
      <c r="ED43" s="1878"/>
      <c r="EE43" s="1861"/>
      <c r="EF43" s="1878"/>
      <c r="EG43" s="1861"/>
      <c r="EH43" s="1878"/>
      <c r="EI43" s="1861"/>
      <c r="EJ43" s="1878"/>
      <c r="EK43" s="1861"/>
      <c r="EL43" s="1878"/>
      <c r="EM43" s="1861"/>
      <c r="EN43" s="1878"/>
      <c r="EO43" s="1861"/>
      <c r="EP43" s="1878"/>
      <c r="EQ43" s="1861"/>
      <c r="ER43" s="1878"/>
      <c r="ES43" s="1861"/>
      <c r="ET43" s="1878"/>
      <c r="EU43" s="1861"/>
      <c r="EV43" s="1878"/>
      <c r="EW43" s="1861"/>
      <c r="EX43" s="1878"/>
      <c r="EY43" s="1861"/>
      <c r="EZ43" s="1878"/>
      <c r="FA43" s="1861"/>
      <c r="FB43" s="1878"/>
      <c r="FC43" s="1861"/>
      <c r="FD43" s="1878"/>
      <c r="FE43" s="1861"/>
      <c r="FF43" s="1878"/>
      <c r="FG43" s="1861"/>
      <c r="FH43" s="1878"/>
      <c r="FI43" s="1861"/>
      <c r="FJ43" s="1878"/>
      <c r="FK43" s="1861"/>
      <c r="FL43" s="1878"/>
      <c r="FM43" s="1861"/>
      <c r="FN43" s="1878"/>
      <c r="FO43" s="1861"/>
      <c r="FP43" s="1878"/>
      <c r="FQ43" s="1861"/>
      <c r="FR43" s="1878"/>
      <c r="FS43" s="1861"/>
      <c r="FT43" s="1878"/>
      <c r="FU43" s="1861"/>
      <c r="FV43" s="1878"/>
      <c r="FW43" s="1861"/>
      <c r="FX43" s="1878"/>
      <c r="FY43" s="1861"/>
      <c r="FZ43" s="1878"/>
      <c r="GA43" s="1861"/>
      <c r="GB43" s="1878"/>
      <c r="GC43" s="1861"/>
      <c r="GD43" s="1878"/>
      <c r="GE43" s="1861"/>
      <c r="GF43" s="1878"/>
      <c r="GG43" s="1861"/>
      <c r="GH43" s="1878"/>
      <c r="GI43" s="1861"/>
      <c r="GJ43" s="1878"/>
      <c r="GK43" s="1861"/>
      <c r="GL43" s="1878"/>
      <c r="GM43" s="213" t="s">
        <v>1139</v>
      </c>
    </row>
    <row r="44" spans="1:195" s="1910" customFormat="1" ht="11.25" hidden="1" customHeight="1">
      <c r="A44" s="3628"/>
      <c r="B44" s="409"/>
      <c r="D44" s="557" t="s">
        <v>88</v>
      </c>
      <c r="E44" s="558" t="s">
        <v>1140</v>
      </c>
      <c r="F44" s="552" t="s">
        <v>1130</v>
      </c>
      <c r="G44" s="560"/>
      <c r="H44" s="893"/>
      <c r="I44" s="560"/>
      <c r="J44" s="893"/>
      <c r="K44" s="1935"/>
      <c r="L44" s="1878"/>
      <c r="M44" s="1935"/>
      <c r="N44" s="1878"/>
      <c r="O44" s="1935"/>
      <c r="P44" s="1878"/>
      <c r="Q44" s="1935"/>
      <c r="R44" s="1878"/>
      <c r="S44" s="1935"/>
      <c r="T44" s="1878"/>
      <c r="U44" s="1935"/>
      <c r="V44" s="1878"/>
      <c r="W44" s="1935"/>
      <c r="X44" s="1878"/>
      <c r="Y44" s="1935"/>
      <c r="Z44" s="1878"/>
      <c r="AA44" s="1935"/>
      <c r="AB44" s="1878"/>
      <c r="AC44" s="1935"/>
      <c r="AD44" s="1878"/>
      <c r="AE44" s="1935"/>
      <c r="AF44" s="1878"/>
      <c r="AG44" s="1935"/>
      <c r="AH44" s="1878"/>
      <c r="AI44" s="1935"/>
      <c r="AJ44" s="1878"/>
      <c r="AK44" s="1935"/>
      <c r="AL44" s="1878"/>
      <c r="AM44" s="1935"/>
      <c r="AN44" s="1878"/>
      <c r="AO44" s="1935"/>
      <c r="AP44" s="1878"/>
      <c r="AQ44" s="1935"/>
      <c r="AR44" s="1878"/>
      <c r="AS44" s="1935"/>
      <c r="AT44" s="1878"/>
      <c r="AU44" s="1935"/>
      <c r="AV44" s="1878"/>
      <c r="AW44" s="1935"/>
      <c r="AX44" s="1878"/>
      <c r="AY44" s="1935"/>
      <c r="AZ44" s="1878"/>
      <c r="BA44" s="1935"/>
      <c r="BB44" s="1878"/>
      <c r="BC44" s="1935"/>
      <c r="BD44" s="1878"/>
      <c r="BE44" s="1935"/>
      <c r="BF44" s="1878"/>
      <c r="BG44" s="1935"/>
      <c r="BH44" s="1878"/>
      <c r="BI44" s="1935"/>
      <c r="BJ44" s="1878"/>
      <c r="BK44" s="1935"/>
      <c r="BL44" s="1878"/>
      <c r="BM44" s="1935"/>
      <c r="BN44" s="1878"/>
      <c r="BO44" s="1935"/>
      <c r="BP44" s="1878"/>
      <c r="BQ44" s="1935"/>
      <c r="BR44" s="1878"/>
      <c r="BS44" s="1935"/>
      <c r="BT44" s="1878"/>
      <c r="BU44" s="1935"/>
      <c r="BV44" s="1878"/>
      <c r="BW44" s="1935"/>
      <c r="BX44" s="1878"/>
      <c r="BY44" s="1935"/>
      <c r="BZ44" s="1878"/>
      <c r="CA44" s="1935"/>
      <c r="CB44" s="1878"/>
      <c r="CC44" s="1935"/>
      <c r="CD44" s="1878"/>
      <c r="CE44" s="1935"/>
      <c r="CF44" s="1878"/>
      <c r="CG44" s="1935"/>
      <c r="CH44" s="1878"/>
      <c r="CI44" s="1935"/>
      <c r="CJ44" s="1878"/>
      <c r="CK44" s="1935"/>
      <c r="CL44" s="1878"/>
      <c r="CM44" s="1935"/>
      <c r="CN44" s="1878"/>
      <c r="CO44" s="1935"/>
      <c r="CP44" s="1878"/>
      <c r="CQ44" s="1935"/>
      <c r="CR44" s="1878"/>
      <c r="CS44" s="1935"/>
      <c r="CT44" s="1878"/>
      <c r="CU44" s="1935"/>
      <c r="CV44" s="1878"/>
      <c r="CW44" s="1935"/>
      <c r="CX44" s="1878"/>
      <c r="CY44" s="1935"/>
      <c r="CZ44" s="1878"/>
      <c r="DA44" s="1935"/>
      <c r="DB44" s="1878"/>
      <c r="DC44" s="1935"/>
      <c r="DD44" s="1878"/>
      <c r="DE44" s="1935"/>
      <c r="DF44" s="1878"/>
      <c r="DG44" s="1935"/>
      <c r="DH44" s="1878"/>
      <c r="DI44" s="1935"/>
      <c r="DJ44" s="1878"/>
      <c r="DK44" s="1935"/>
      <c r="DL44" s="1878"/>
      <c r="DM44" s="1935"/>
      <c r="DN44" s="1878"/>
      <c r="DO44" s="1935"/>
      <c r="DP44" s="1878"/>
      <c r="DQ44" s="1935"/>
      <c r="DR44" s="1878"/>
      <c r="DS44" s="1935"/>
      <c r="DT44" s="1878"/>
      <c r="DU44" s="1935"/>
      <c r="DV44" s="1878"/>
      <c r="DW44" s="1935"/>
      <c r="DX44" s="1878"/>
      <c r="DY44" s="1935"/>
      <c r="DZ44" s="1878"/>
      <c r="EA44" s="1935"/>
      <c r="EB44" s="1878"/>
      <c r="EC44" s="1935"/>
      <c r="ED44" s="1878"/>
      <c r="EE44" s="1935"/>
      <c r="EF44" s="1878"/>
      <c r="EG44" s="1935"/>
      <c r="EH44" s="1878"/>
      <c r="EI44" s="1935"/>
      <c r="EJ44" s="1878"/>
      <c r="EK44" s="1935"/>
      <c r="EL44" s="1878"/>
      <c r="EM44" s="1935"/>
      <c r="EN44" s="1878"/>
      <c r="EO44" s="1935"/>
      <c r="EP44" s="1878"/>
      <c r="EQ44" s="1935"/>
      <c r="ER44" s="1878"/>
      <c r="ES44" s="1935"/>
      <c r="ET44" s="1878"/>
      <c r="EU44" s="1935"/>
      <c r="EV44" s="1878"/>
      <c r="EW44" s="1935"/>
      <c r="EX44" s="1878"/>
      <c r="EY44" s="1935"/>
      <c r="EZ44" s="1878"/>
      <c r="FA44" s="1935"/>
      <c r="FB44" s="1878"/>
      <c r="FC44" s="1935"/>
      <c r="FD44" s="1878"/>
      <c r="FE44" s="1935"/>
      <c r="FF44" s="1878"/>
      <c r="FG44" s="1935"/>
      <c r="FH44" s="1878"/>
      <c r="FI44" s="1935"/>
      <c r="FJ44" s="1878"/>
      <c r="FK44" s="1935"/>
      <c r="FL44" s="1878"/>
      <c r="FM44" s="1935"/>
      <c r="FN44" s="1878"/>
      <c r="FO44" s="1935"/>
      <c r="FP44" s="1878"/>
      <c r="FQ44" s="1935"/>
      <c r="FR44" s="1878"/>
      <c r="FS44" s="1935"/>
      <c r="FT44" s="1878"/>
      <c r="FU44" s="1935"/>
      <c r="FV44" s="1878"/>
      <c r="FW44" s="1935"/>
      <c r="FX44" s="1878"/>
      <c r="FY44" s="1935"/>
      <c r="FZ44" s="1878"/>
      <c r="GA44" s="1935"/>
      <c r="GB44" s="1878"/>
      <c r="GC44" s="1935"/>
      <c r="GD44" s="1878"/>
      <c r="GE44" s="1935"/>
      <c r="GF44" s="1878"/>
      <c r="GG44" s="1935"/>
      <c r="GH44" s="1878"/>
      <c r="GI44" s="1935"/>
      <c r="GJ44" s="1878"/>
      <c r="GK44" s="1935"/>
      <c r="GL44" s="1878"/>
      <c r="GM44" s="201"/>
    </row>
    <row r="45" spans="1:195" s="1910" customFormat="1" ht="11.25" hidden="1" customHeight="1">
      <c r="A45" s="3628"/>
      <c r="B45" s="409"/>
      <c r="D45" s="557" t="s">
        <v>1024</v>
      </c>
      <c r="E45" s="559" t="s">
        <v>1141</v>
      </c>
      <c r="F45" s="552" t="s">
        <v>1130</v>
      </c>
      <c r="G45" s="560"/>
      <c r="H45" s="893"/>
      <c r="I45" s="560"/>
      <c r="J45" s="893"/>
      <c r="K45" s="1935"/>
      <c r="L45" s="1878"/>
      <c r="M45" s="1935"/>
      <c r="N45" s="1878"/>
      <c r="O45" s="1935"/>
      <c r="P45" s="1878"/>
      <c r="Q45" s="1935"/>
      <c r="R45" s="1878"/>
      <c r="S45" s="1935"/>
      <c r="T45" s="1878"/>
      <c r="U45" s="1935"/>
      <c r="V45" s="1878"/>
      <c r="W45" s="1935"/>
      <c r="X45" s="1878"/>
      <c r="Y45" s="1935"/>
      <c r="Z45" s="1878"/>
      <c r="AA45" s="1935"/>
      <c r="AB45" s="1878"/>
      <c r="AC45" s="1935"/>
      <c r="AD45" s="1878"/>
      <c r="AE45" s="1935"/>
      <c r="AF45" s="1878"/>
      <c r="AG45" s="1935"/>
      <c r="AH45" s="1878"/>
      <c r="AI45" s="1935"/>
      <c r="AJ45" s="1878"/>
      <c r="AK45" s="1935"/>
      <c r="AL45" s="1878"/>
      <c r="AM45" s="1935"/>
      <c r="AN45" s="1878"/>
      <c r="AO45" s="1935"/>
      <c r="AP45" s="1878"/>
      <c r="AQ45" s="1935"/>
      <c r="AR45" s="1878"/>
      <c r="AS45" s="1935"/>
      <c r="AT45" s="1878"/>
      <c r="AU45" s="1935"/>
      <c r="AV45" s="1878"/>
      <c r="AW45" s="1935"/>
      <c r="AX45" s="1878"/>
      <c r="AY45" s="1935"/>
      <c r="AZ45" s="1878"/>
      <c r="BA45" s="1935"/>
      <c r="BB45" s="1878"/>
      <c r="BC45" s="1935"/>
      <c r="BD45" s="1878"/>
      <c r="BE45" s="1935"/>
      <c r="BF45" s="1878"/>
      <c r="BG45" s="1935"/>
      <c r="BH45" s="1878"/>
      <c r="BI45" s="1935"/>
      <c r="BJ45" s="1878"/>
      <c r="BK45" s="1935"/>
      <c r="BL45" s="1878"/>
      <c r="BM45" s="1935"/>
      <c r="BN45" s="1878"/>
      <c r="BO45" s="1935"/>
      <c r="BP45" s="1878"/>
      <c r="BQ45" s="1935"/>
      <c r="BR45" s="1878"/>
      <c r="BS45" s="1935"/>
      <c r="BT45" s="1878"/>
      <c r="BU45" s="1935"/>
      <c r="BV45" s="1878"/>
      <c r="BW45" s="1935"/>
      <c r="BX45" s="1878"/>
      <c r="BY45" s="1935"/>
      <c r="BZ45" s="1878"/>
      <c r="CA45" s="1935"/>
      <c r="CB45" s="1878"/>
      <c r="CC45" s="1935"/>
      <c r="CD45" s="1878"/>
      <c r="CE45" s="1935"/>
      <c r="CF45" s="1878"/>
      <c r="CG45" s="1935"/>
      <c r="CH45" s="1878"/>
      <c r="CI45" s="1935"/>
      <c r="CJ45" s="1878"/>
      <c r="CK45" s="1935"/>
      <c r="CL45" s="1878"/>
      <c r="CM45" s="1935"/>
      <c r="CN45" s="1878"/>
      <c r="CO45" s="1935"/>
      <c r="CP45" s="1878"/>
      <c r="CQ45" s="1935"/>
      <c r="CR45" s="1878"/>
      <c r="CS45" s="1935"/>
      <c r="CT45" s="1878"/>
      <c r="CU45" s="1935"/>
      <c r="CV45" s="1878"/>
      <c r="CW45" s="1935"/>
      <c r="CX45" s="1878"/>
      <c r="CY45" s="1935"/>
      <c r="CZ45" s="1878"/>
      <c r="DA45" s="1935"/>
      <c r="DB45" s="1878"/>
      <c r="DC45" s="1935"/>
      <c r="DD45" s="1878"/>
      <c r="DE45" s="1935"/>
      <c r="DF45" s="1878"/>
      <c r="DG45" s="1935"/>
      <c r="DH45" s="1878"/>
      <c r="DI45" s="1935"/>
      <c r="DJ45" s="1878"/>
      <c r="DK45" s="1935"/>
      <c r="DL45" s="1878"/>
      <c r="DM45" s="1935"/>
      <c r="DN45" s="1878"/>
      <c r="DO45" s="1935"/>
      <c r="DP45" s="1878"/>
      <c r="DQ45" s="1935"/>
      <c r="DR45" s="1878"/>
      <c r="DS45" s="1935"/>
      <c r="DT45" s="1878"/>
      <c r="DU45" s="1935"/>
      <c r="DV45" s="1878"/>
      <c r="DW45" s="1935"/>
      <c r="DX45" s="1878"/>
      <c r="DY45" s="1935"/>
      <c r="DZ45" s="1878"/>
      <c r="EA45" s="1935"/>
      <c r="EB45" s="1878"/>
      <c r="EC45" s="1935"/>
      <c r="ED45" s="1878"/>
      <c r="EE45" s="1935"/>
      <c r="EF45" s="1878"/>
      <c r="EG45" s="1935"/>
      <c r="EH45" s="1878"/>
      <c r="EI45" s="1935"/>
      <c r="EJ45" s="1878"/>
      <c r="EK45" s="1935"/>
      <c r="EL45" s="1878"/>
      <c r="EM45" s="1935"/>
      <c r="EN45" s="1878"/>
      <c r="EO45" s="1935"/>
      <c r="EP45" s="1878"/>
      <c r="EQ45" s="1935"/>
      <c r="ER45" s="1878"/>
      <c r="ES45" s="1935"/>
      <c r="ET45" s="1878"/>
      <c r="EU45" s="1935"/>
      <c r="EV45" s="1878"/>
      <c r="EW45" s="1935"/>
      <c r="EX45" s="1878"/>
      <c r="EY45" s="1935"/>
      <c r="EZ45" s="1878"/>
      <c r="FA45" s="1935"/>
      <c r="FB45" s="1878"/>
      <c r="FC45" s="1935"/>
      <c r="FD45" s="1878"/>
      <c r="FE45" s="1935"/>
      <c r="FF45" s="1878"/>
      <c r="FG45" s="1935"/>
      <c r="FH45" s="1878"/>
      <c r="FI45" s="1935"/>
      <c r="FJ45" s="1878"/>
      <c r="FK45" s="1935"/>
      <c r="FL45" s="1878"/>
      <c r="FM45" s="1935"/>
      <c r="FN45" s="1878"/>
      <c r="FO45" s="1935"/>
      <c r="FP45" s="1878"/>
      <c r="FQ45" s="1935"/>
      <c r="FR45" s="1878"/>
      <c r="FS45" s="1935"/>
      <c r="FT45" s="1878"/>
      <c r="FU45" s="1935"/>
      <c r="FV45" s="1878"/>
      <c r="FW45" s="1935"/>
      <c r="FX45" s="1878"/>
      <c r="FY45" s="1935"/>
      <c r="FZ45" s="1878"/>
      <c r="GA45" s="1935"/>
      <c r="GB45" s="1878"/>
      <c r="GC45" s="1935"/>
      <c r="GD45" s="1878"/>
      <c r="GE45" s="1935"/>
      <c r="GF45" s="1878"/>
      <c r="GG45" s="1935"/>
      <c r="GH45" s="1878"/>
      <c r="GI45" s="1935"/>
      <c r="GJ45" s="1878"/>
      <c r="GK45" s="1935"/>
      <c r="GL45" s="1878"/>
      <c r="GM45" s="201"/>
    </row>
    <row r="46" spans="1:195" s="1910" customFormat="1" ht="11.25" hidden="1" customHeight="1">
      <c r="A46" s="3628"/>
      <c r="B46" s="409"/>
      <c r="D46" s="557" t="s">
        <v>1067</v>
      </c>
      <c r="E46" s="559" t="s">
        <v>1142</v>
      </c>
      <c r="F46" s="552" t="s">
        <v>1130</v>
      </c>
      <c r="G46" s="560"/>
      <c r="H46" s="893"/>
      <c r="I46" s="560"/>
      <c r="J46" s="893"/>
      <c r="K46" s="1935"/>
      <c r="L46" s="1878"/>
      <c r="M46" s="1935"/>
      <c r="N46" s="1878"/>
      <c r="O46" s="1935"/>
      <c r="P46" s="1878"/>
      <c r="Q46" s="1935"/>
      <c r="R46" s="1878"/>
      <c r="S46" s="1935"/>
      <c r="T46" s="1878"/>
      <c r="U46" s="1935"/>
      <c r="V46" s="1878"/>
      <c r="W46" s="1935"/>
      <c r="X46" s="1878"/>
      <c r="Y46" s="1935"/>
      <c r="Z46" s="1878"/>
      <c r="AA46" s="1935"/>
      <c r="AB46" s="1878"/>
      <c r="AC46" s="1935"/>
      <c r="AD46" s="1878"/>
      <c r="AE46" s="1935"/>
      <c r="AF46" s="1878"/>
      <c r="AG46" s="1935"/>
      <c r="AH46" s="1878"/>
      <c r="AI46" s="1935"/>
      <c r="AJ46" s="1878"/>
      <c r="AK46" s="1935"/>
      <c r="AL46" s="1878"/>
      <c r="AM46" s="1935"/>
      <c r="AN46" s="1878"/>
      <c r="AO46" s="1935"/>
      <c r="AP46" s="1878"/>
      <c r="AQ46" s="1935"/>
      <c r="AR46" s="1878"/>
      <c r="AS46" s="1935"/>
      <c r="AT46" s="1878"/>
      <c r="AU46" s="1935"/>
      <c r="AV46" s="1878"/>
      <c r="AW46" s="1935"/>
      <c r="AX46" s="1878"/>
      <c r="AY46" s="1935"/>
      <c r="AZ46" s="1878"/>
      <c r="BA46" s="1935"/>
      <c r="BB46" s="1878"/>
      <c r="BC46" s="1935"/>
      <c r="BD46" s="1878"/>
      <c r="BE46" s="1935"/>
      <c r="BF46" s="1878"/>
      <c r="BG46" s="1935"/>
      <c r="BH46" s="1878"/>
      <c r="BI46" s="1935"/>
      <c r="BJ46" s="1878"/>
      <c r="BK46" s="1935"/>
      <c r="BL46" s="1878"/>
      <c r="BM46" s="1935"/>
      <c r="BN46" s="1878"/>
      <c r="BO46" s="1935"/>
      <c r="BP46" s="1878"/>
      <c r="BQ46" s="1935"/>
      <c r="BR46" s="1878"/>
      <c r="BS46" s="1935"/>
      <c r="BT46" s="1878"/>
      <c r="BU46" s="1935"/>
      <c r="BV46" s="1878"/>
      <c r="BW46" s="1935"/>
      <c r="BX46" s="1878"/>
      <c r="BY46" s="1935"/>
      <c r="BZ46" s="1878"/>
      <c r="CA46" s="1935"/>
      <c r="CB46" s="1878"/>
      <c r="CC46" s="1935"/>
      <c r="CD46" s="1878"/>
      <c r="CE46" s="1935"/>
      <c r="CF46" s="1878"/>
      <c r="CG46" s="1935"/>
      <c r="CH46" s="1878"/>
      <c r="CI46" s="1935"/>
      <c r="CJ46" s="1878"/>
      <c r="CK46" s="1935"/>
      <c r="CL46" s="1878"/>
      <c r="CM46" s="1935"/>
      <c r="CN46" s="1878"/>
      <c r="CO46" s="1935"/>
      <c r="CP46" s="1878"/>
      <c r="CQ46" s="1935"/>
      <c r="CR46" s="1878"/>
      <c r="CS46" s="1935"/>
      <c r="CT46" s="1878"/>
      <c r="CU46" s="1935"/>
      <c r="CV46" s="1878"/>
      <c r="CW46" s="1935"/>
      <c r="CX46" s="1878"/>
      <c r="CY46" s="1935"/>
      <c r="CZ46" s="1878"/>
      <c r="DA46" s="1935"/>
      <c r="DB46" s="1878"/>
      <c r="DC46" s="1935"/>
      <c r="DD46" s="1878"/>
      <c r="DE46" s="1935"/>
      <c r="DF46" s="1878"/>
      <c r="DG46" s="1935"/>
      <c r="DH46" s="1878"/>
      <c r="DI46" s="1935"/>
      <c r="DJ46" s="1878"/>
      <c r="DK46" s="1935"/>
      <c r="DL46" s="1878"/>
      <c r="DM46" s="1935"/>
      <c r="DN46" s="1878"/>
      <c r="DO46" s="1935"/>
      <c r="DP46" s="1878"/>
      <c r="DQ46" s="1935"/>
      <c r="DR46" s="1878"/>
      <c r="DS46" s="1935"/>
      <c r="DT46" s="1878"/>
      <c r="DU46" s="1935"/>
      <c r="DV46" s="1878"/>
      <c r="DW46" s="1935"/>
      <c r="DX46" s="1878"/>
      <c r="DY46" s="1935"/>
      <c r="DZ46" s="1878"/>
      <c r="EA46" s="1935"/>
      <c r="EB46" s="1878"/>
      <c r="EC46" s="1935"/>
      <c r="ED46" s="1878"/>
      <c r="EE46" s="1935"/>
      <c r="EF46" s="1878"/>
      <c r="EG46" s="1935"/>
      <c r="EH46" s="1878"/>
      <c r="EI46" s="1935"/>
      <c r="EJ46" s="1878"/>
      <c r="EK46" s="1935"/>
      <c r="EL46" s="1878"/>
      <c r="EM46" s="1935"/>
      <c r="EN46" s="1878"/>
      <c r="EO46" s="1935"/>
      <c r="EP46" s="1878"/>
      <c r="EQ46" s="1935"/>
      <c r="ER46" s="1878"/>
      <c r="ES46" s="1935"/>
      <c r="ET46" s="1878"/>
      <c r="EU46" s="1935"/>
      <c r="EV46" s="1878"/>
      <c r="EW46" s="1935"/>
      <c r="EX46" s="1878"/>
      <c r="EY46" s="1935"/>
      <c r="EZ46" s="1878"/>
      <c r="FA46" s="1935"/>
      <c r="FB46" s="1878"/>
      <c r="FC46" s="1935"/>
      <c r="FD46" s="1878"/>
      <c r="FE46" s="1935"/>
      <c r="FF46" s="1878"/>
      <c r="FG46" s="1935"/>
      <c r="FH46" s="1878"/>
      <c r="FI46" s="1935"/>
      <c r="FJ46" s="1878"/>
      <c r="FK46" s="1935"/>
      <c r="FL46" s="1878"/>
      <c r="FM46" s="1935"/>
      <c r="FN46" s="1878"/>
      <c r="FO46" s="1935"/>
      <c r="FP46" s="1878"/>
      <c r="FQ46" s="1935"/>
      <c r="FR46" s="1878"/>
      <c r="FS46" s="1935"/>
      <c r="FT46" s="1878"/>
      <c r="FU46" s="1935"/>
      <c r="FV46" s="1878"/>
      <c r="FW46" s="1935"/>
      <c r="FX46" s="1878"/>
      <c r="FY46" s="1935"/>
      <c r="FZ46" s="1878"/>
      <c r="GA46" s="1935"/>
      <c r="GB46" s="1878"/>
      <c r="GC46" s="1935"/>
      <c r="GD46" s="1878"/>
      <c r="GE46" s="1935"/>
      <c r="GF46" s="1878"/>
      <c r="GG46" s="1935"/>
      <c r="GH46" s="1878"/>
      <c r="GI46" s="1935"/>
      <c r="GJ46" s="1878"/>
      <c r="GK46" s="1935"/>
      <c r="GL46" s="1878"/>
      <c r="GM46" s="201"/>
    </row>
    <row r="47" spans="1:195" s="1910" customFormat="1" ht="11.25" hidden="1" customHeight="1">
      <c r="A47" s="3628"/>
      <c r="B47" s="409"/>
      <c r="D47" s="557" t="s">
        <v>1070</v>
      </c>
      <c r="E47" s="559" t="s">
        <v>1143</v>
      </c>
      <c r="F47" s="552" t="s">
        <v>1130</v>
      </c>
      <c r="G47" s="560"/>
      <c r="H47" s="893"/>
      <c r="I47" s="560"/>
      <c r="J47" s="893"/>
      <c r="K47" s="1935"/>
      <c r="L47" s="1878"/>
      <c r="M47" s="1935"/>
      <c r="N47" s="1878"/>
      <c r="O47" s="1935"/>
      <c r="P47" s="1878"/>
      <c r="Q47" s="1935"/>
      <c r="R47" s="1878"/>
      <c r="S47" s="1935"/>
      <c r="T47" s="1878"/>
      <c r="U47" s="1935"/>
      <c r="V47" s="1878"/>
      <c r="W47" s="1935"/>
      <c r="X47" s="1878"/>
      <c r="Y47" s="1935"/>
      <c r="Z47" s="1878"/>
      <c r="AA47" s="1935"/>
      <c r="AB47" s="1878"/>
      <c r="AC47" s="1935"/>
      <c r="AD47" s="1878"/>
      <c r="AE47" s="1935"/>
      <c r="AF47" s="1878"/>
      <c r="AG47" s="1935"/>
      <c r="AH47" s="1878"/>
      <c r="AI47" s="1935"/>
      <c r="AJ47" s="1878"/>
      <c r="AK47" s="1935"/>
      <c r="AL47" s="1878"/>
      <c r="AM47" s="1935"/>
      <c r="AN47" s="1878"/>
      <c r="AO47" s="1935"/>
      <c r="AP47" s="1878"/>
      <c r="AQ47" s="1935"/>
      <c r="AR47" s="1878"/>
      <c r="AS47" s="1935"/>
      <c r="AT47" s="1878"/>
      <c r="AU47" s="1935"/>
      <c r="AV47" s="1878"/>
      <c r="AW47" s="1935"/>
      <c r="AX47" s="1878"/>
      <c r="AY47" s="1935"/>
      <c r="AZ47" s="1878"/>
      <c r="BA47" s="1935"/>
      <c r="BB47" s="1878"/>
      <c r="BC47" s="1935"/>
      <c r="BD47" s="1878"/>
      <c r="BE47" s="1935"/>
      <c r="BF47" s="1878"/>
      <c r="BG47" s="1935"/>
      <c r="BH47" s="1878"/>
      <c r="BI47" s="1935"/>
      <c r="BJ47" s="1878"/>
      <c r="BK47" s="1935"/>
      <c r="BL47" s="1878"/>
      <c r="BM47" s="1935"/>
      <c r="BN47" s="1878"/>
      <c r="BO47" s="1935"/>
      <c r="BP47" s="1878"/>
      <c r="BQ47" s="1935"/>
      <c r="BR47" s="1878"/>
      <c r="BS47" s="1935"/>
      <c r="BT47" s="1878"/>
      <c r="BU47" s="1935"/>
      <c r="BV47" s="1878"/>
      <c r="BW47" s="1935"/>
      <c r="BX47" s="1878"/>
      <c r="BY47" s="1935"/>
      <c r="BZ47" s="1878"/>
      <c r="CA47" s="1935"/>
      <c r="CB47" s="1878"/>
      <c r="CC47" s="1935"/>
      <c r="CD47" s="1878"/>
      <c r="CE47" s="1935"/>
      <c r="CF47" s="1878"/>
      <c r="CG47" s="1935"/>
      <c r="CH47" s="1878"/>
      <c r="CI47" s="1935"/>
      <c r="CJ47" s="1878"/>
      <c r="CK47" s="1935"/>
      <c r="CL47" s="1878"/>
      <c r="CM47" s="1935"/>
      <c r="CN47" s="1878"/>
      <c r="CO47" s="1935"/>
      <c r="CP47" s="1878"/>
      <c r="CQ47" s="1935"/>
      <c r="CR47" s="1878"/>
      <c r="CS47" s="1935"/>
      <c r="CT47" s="1878"/>
      <c r="CU47" s="1935"/>
      <c r="CV47" s="1878"/>
      <c r="CW47" s="1935"/>
      <c r="CX47" s="1878"/>
      <c r="CY47" s="1935"/>
      <c r="CZ47" s="1878"/>
      <c r="DA47" s="1935"/>
      <c r="DB47" s="1878"/>
      <c r="DC47" s="1935"/>
      <c r="DD47" s="1878"/>
      <c r="DE47" s="1935"/>
      <c r="DF47" s="1878"/>
      <c r="DG47" s="1935"/>
      <c r="DH47" s="1878"/>
      <c r="DI47" s="1935"/>
      <c r="DJ47" s="1878"/>
      <c r="DK47" s="1935"/>
      <c r="DL47" s="1878"/>
      <c r="DM47" s="1935"/>
      <c r="DN47" s="1878"/>
      <c r="DO47" s="1935"/>
      <c r="DP47" s="1878"/>
      <c r="DQ47" s="1935"/>
      <c r="DR47" s="1878"/>
      <c r="DS47" s="1935"/>
      <c r="DT47" s="1878"/>
      <c r="DU47" s="1935"/>
      <c r="DV47" s="1878"/>
      <c r="DW47" s="1935"/>
      <c r="DX47" s="1878"/>
      <c r="DY47" s="1935"/>
      <c r="DZ47" s="1878"/>
      <c r="EA47" s="1935"/>
      <c r="EB47" s="1878"/>
      <c r="EC47" s="1935"/>
      <c r="ED47" s="1878"/>
      <c r="EE47" s="1935"/>
      <c r="EF47" s="1878"/>
      <c r="EG47" s="1935"/>
      <c r="EH47" s="1878"/>
      <c r="EI47" s="1935"/>
      <c r="EJ47" s="1878"/>
      <c r="EK47" s="1935"/>
      <c r="EL47" s="1878"/>
      <c r="EM47" s="1935"/>
      <c r="EN47" s="1878"/>
      <c r="EO47" s="1935"/>
      <c r="EP47" s="1878"/>
      <c r="EQ47" s="1935"/>
      <c r="ER47" s="1878"/>
      <c r="ES47" s="1935"/>
      <c r="ET47" s="1878"/>
      <c r="EU47" s="1935"/>
      <c r="EV47" s="1878"/>
      <c r="EW47" s="1935"/>
      <c r="EX47" s="1878"/>
      <c r="EY47" s="1935"/>
      <c r="EZ47" s="1878"/>
      <c r="FA47" s="1935"/>
      <c r="FB47" s="1878"/>
      <c r="FC47" s="1935"/>
      <c r="FD47" s="1878"/>
      <c r="FE47" s="1935"/>
      <c r="FF47" s="1878"/>
      <c r="FG47" s="1935"/>
      <c r="FH47" s="1878"/>
      <c r="FI47" s="1935"/>
      <c r="FJ47" s="1878"/>
      <c r="FK47" s="1935"/>
      <c r="FL47" s="1878"/>
      <c r="FM47" s="1935"/>
      <c r="FN47" s="1878"/>
      <c r="FO47" s="1935"/>
      <c r="FP47" s="1878"/>
      <c r="FQ47" s="1935"/>
      <c r="FR47" s="1878"/>
      <c r="FS47" s="1935"/>
      <c r="FT47" s="1878"/>
      <c r="FU47" s="1935"/>
      <c r="FV47" s="1878"/>
      <c r="FW47" s="1935"/>
      <c r="FX47" s="1878"/>
      <c r="FY47" s="1935"/>
      <c r="FZ47" s="1878"/>
      <c r="GA47" s="1935"/>
      <c r="GB47" s="1878"/>
      <c r="GC47" s="1935"/>
      <c r="GD47" s="1878"/>
      <c r="GE47" s="1935"/>
      <c r="GF47" s="1878"/>
      <c r="GG47" s="1935"/>
      <c r="GH47" s="1878"/>
      <c r="GI47" s="1935"/>
      <c r="GJ47" s="1878"/>
      <c r="GK47" s="1935"/>
      <c r="GL47" s="1878"/>
      <c r="GM47" s="201"/>
    </row>
    <row r="48" spans="1:195" s="1910" customFormat="1" ht="11.25" hidden="1" customHeight="1">
      <c r="A48" s="3628"/>
      <c r="B48" s="409"/>
      <c r="D48" s="557" t="s">
        <v>1144</v>
      </c>
      <c r="E48" s="563" t="s">
        <v>1145</v>
      </c>
      <c r="F48" s="552" t="s">
        <v>1130</v>
      </c>
      <c r="G48" s="560"/>
      <c r="H48" s="893"/>
      <c r="I48" s="560"/>
      <c r="J48" s="893"/>
      <c r="K48" s="1935"/>
      <c r="L48" s="1878"/>
      <c r="M48" s="1935"/>
      <c r="N48" s="1878"/>
      <c r="O48" s="1935"/>
      <c r="P48" s="1878"/>
      <c r="Q48" s="1935"/>
      <c r="R48" s="1878"/>
      <c r="S48" s="1935"/>
      <c r="T48" s="1878"/>
      <c r="U48" s="1935"/>
      <c r="V48" s="1878"/>
      <c r="W48" s="1935"/>
      <c r="X48" s="1878"/>
      <c r="Y48" s="1935"/>
      <c r="Z48" s="1878"/>
      <c r="AA48" s="1935"/>
      <c r="AB48" s="1878"/>
      <c r="AC48" s="1935"/>
      <c r="AD48" s="1878"/>
      <c r="AE48" s="1935"/>
      <c r="AF48" s="1878"/>
      <c r="AG48" s="1935"/>
      <c r="AH48" s="1878"/>
      <c r="AI48" s="1935"/>
      <c r="AJ48" s="1878"/>
      <c r="AK48" s="1935"/>
      <c r="AL48" s="1878"/>
      <c r="AM48" s="1935"/>
      <c r="AN48" s="1878"/>
      <c r="AO48" s="1935"/>
      <c r="AP48" s="1878"/>
      <c r="AQ48" s="1935"/>
      <c r="AR48" s="1878"/>
      <c r="AS48" s="1935"/>
      <c r="AT48" s="1878"/>
      <c r="AU48" s="1935"/>
      <c r="AV48" s="1878"/>
      <c r="AW48" s="1935"/>
      <c r="AX48" s="1878"/>
      <c r="AY48" s="1935"/>
      <c r="AZ48" s="1878"/>
      <c r="BA48" s="1935"/>
      <c r="BB48" s="1878"/>
      <c r="BC48" s="1935"/>
      <c r="BD48" s="1878"/>
      <c r="BE48" s="1935"/>
      <c r="BF48" s="1878"/>
      <c r="BG48" s="1935"/>
      <c r="BH48" s="1878"/>
      <c r="BI48" s="1935"/>
      <c r="BJ48" s="1878"/>
      <c r="BK48" s="1935"/>
      <c r="BL48" s="1878"/>
      <c r="BM48" s="1935"/>
      <c r="BN48" s="1878"/>
      <c r="BO48" s="1935"/>
      <c r="BP48" s="1878"/>
      <c r="BQ48" s="1935"/>
      <c r="BR48" s="1878"/>
      <c r="BS48" s="1935"/>
      <c r="BT48" s="1878"/>
      <c r="BU48" s="1935"/>
      <c r="BV48" s="1878"/>
      <c r="BW48" s="1935"/>
      <c r="BX48" s="1878"/>
      <c r="BY48" s="1935"/>
      <c r="BZ48" s="1878"/>
      <c r="CA48" s="1935"/>
      <c r="CB48" s="1878"/>
      <c r="CC48" s="1935"/>
      <c r="CD48" s="1878"/>
      <c r="CE48" s="1935"/>
      <c r="CF48" s="1878"/>
      <c r="CG48" s="1935"/>
      <c r="CH48" s="1878"/>
      <c r="CI48" s="1935"/>
      <c r="CJ48" s="1878"/>
      <c r="CK48" s="1935"/>
      <c r="CL48" s="1878"/>
      <c r="CM48" s="1935"/>
      <c r="CN48" s="1878"/>
      <c r="CO48" s="1935"/>
      <c r="CP48" s="1878"/>
      <c r="CQ48" s="1935"/>
      <c r="CR48" s="1878"/>
      <c r="CS48" s="1935"/>
      <c r="CT48" s="1878"/>
      <c r="CU48" s="1935"/>
      <c r="CV48" s="1878"/>
      <c r="CW48" s="1935"/>
      <c r="CX48" s="1878"/>
      <c r="CY48" s="1935"/>
      <c r="CZ48" s="1878"/>
      <c r="DA48" s="1935"/>
      <c r="DB48" s="1878"/>
      <c r="DC48" s="1935"/>
      <c r="DD48" s="1878"/>
      <c r="DE48" s="1935"/>
      <c r="DF48" s="1878"/>
      <c r="DG48" s="1935"/>
      <c r="DH48" s="1878"/>
      <c r="DI48" s="1935"/>
      <c r="DJ48" s="1878"/>
      <c r="DK48" s="1935"/>
      <c r="DL48" s="1878"/>
      <c r="DM48" s="1935"/>
      <c r="DN48" s="1878"/>
      <c r="DO48" s="1935"/>
      <c r="DP48" s="1878"/>
      <c r="DQ48" s="1935"/>
      <c r="DR48" s="1878"/>
      <c r="DS48" s="1935"/>
      <c r="DT48" s="1878"/>
      <c r="DU48" s="1935"/>
      <c r="DV48" s="1878"/>
      <c r="DW48" s="1935"/>
      <c r="DX48" s="1878"/>
      <c r="DY48" s="1935"/>
      <c r="DZ48" s="1878"/>
      <c r="EA48" s="1935"/>
      <c r="EB48" s="1878"/>
      <c r="EC48" s="1935"/>
      <c r="ED48" s="1878"/>
      <c r="EE48" s="1935"/>
      <c r="EF48" s="1878"/>
      <c r="EG48" s="1935"/>
      <c r="EH48" s="1878"/>
      <c r="EI48" s="1935"/>
      <c r="EJ48" s="1878"/>
      <c r="EK48" s="1935"/>
      <c r="EL48" s="1878"/>
      <c r="EM48" s="1935"/>
      <c r="EN48" s="1878"/>
      <c r="EO48" s="1935"/>
      <c r="EP48" s="1878"/>
      <c r="EQ48" s="1935"/>
      <c r="ER48" s="1878"/>
      <c r="ES48" s="1935"/>
      <c r="ET48" s="1878"/>
      <c r="EU48" s="1935"/>
      <c r="EV48" s="1878"/>
      <c r="EW48" s="1935"/>
      <c r="EX48" s="1878"/>
      <c r="EY48" s="1935"/>
      <c r="EZ48" s="1878"/>
      <c r="FA48" s="1935"/>
      <c r="FB48" s="1878"/>
      <c r="FC48" s="1935"/>
      <c r="FD48" s="1878"/>
      <c r="FE48" s="1935"/>
      <c r="FF48" s="1878"/>
      <c r="FG48" s="1935"/>
      <c r="FH48" s="1878"/>
      <c r="FI48" s="1935"/>
      <c r="FJ48" s="1878"/>
      <c r="FK48" s="1935"/>
      <c r="FL48" s="1878"/>
      <c r="FM48" s="1935"/>
      <c r="FN48" s="1878"/>
      <c r="FO48" s="1935"/>
      <c r="FP48" s="1878"/>
      <c r="FQ48" s="1935"/>
      <c r="FR48" s="1878"/>
      <c r="FS48" s="1935"/>
      <c r="FT48" s="1878"/>
      <c r="FU48" s="1935"/>
      <c r="FV48" s="1878"/>
      <c r="FW48" s="1935"/>
      <c r="FX48" s="1878"/>
      <c r="FY48" s="1935"/>
      <c r="FZ48" s="1878"/>
      <c r="GA48" s="1935"/>
      <c r="GB48" s="1878"/>
      <c r="GC48" s="1935"/>
      <c r="GD48" s="1878"/>
      <c r="GE48" s="1935"/>
      <c r="GF48" s="1878"/>
      <c r="GG48" s="1935"/>
      <c r="GH48" s="1878"/>
      <c r="GI48" s="1935"/>
      <c r="GJ48" s="1878"/>
      <c r="GK48" s="1935"/>
      <c r="GL48" s="1878"/>
      <c r="GM48" s="201"/>
    </row>
    <row r="49" spans="1:195" s="1910" customFormat="1" ht="11.25" hidden="1" customHeight="1">
      <c r="A49" s="3628"/>
      <c r="B49" s="409"/>
      <c r="D49" s="557" t="s">
        <v>1146</v>
      </c>
      <c r="E49" s="563" t="s">
        <v>1147</v>
      </c>
      <c r="F49" s="552" t="s">
        <v>1130</v>
      </c>
      <c r="G49" s="560"/>
      <c r="H49" s="893"/>
      <c r="I49" s="560"/>
      <c r="J49" s="893"/>
      <c r="K49" s="1935"/>
      <c r="L49" s="1878"/>
      <c r="M49" s="1935"/>
      <c r="N49" s="1878"/>
      <c r="O49" s="1935"/>
      <c r="P49" s="1878"/>
      <c r="Q49" s="1935"/>
      <c r="R49" s="1878"/>
      <c r="S49" s="1935"/>
      <c r="T49" s="1878"/>
      <c r="U49" s="1935"/>
      <c r="V49" s="1878"/>
      <c r="W49" s="1935"/>
      <c r="X49" s="1878"/>
      <c r="Y49" s="1935"/>
      <c r="Z49" s="1878"/>
      <c r="AA49" s="1935"/>
      <c r="AB49" s="1878"/>
      <c r="AC49" s="1935"/>
      <c r="AD49" s="1878"/>
      <c r="AE49" s="1935"/>
      <c r="AF49" s="1878"/>
      <c r="AG49" s="1935"/>
      <c r="AH49" s="1878"/>
      <c r="AI49" s="1935"/>
      <c r="AJ49" s="1878"/>
      <c r="AK49" s="1935"/>
      <c r="AL49" s="1878"/>
      <c r="AM49" s="1935"/>
      <c r="AN49" s="1878"/>
      <c r="AO49" s="1935"/>
      <c r="AP49" s="1878"/>
      <c r="AQ49" s="1935"/>
      <c r="AR49" s="1878"/>
      <c r="AS49" s="1935"/>
      <c r="AT49" s="1878"/>
      <c r="AU49" s="1935"/>
      <c r="AV49" s="1878"/>
      <c r="AW49" s="1935"/>
      <c r="AX49" s="1878"/>
      <c r="AY49" s="1935"/>
      <c r="AZ49" s="1878"/>
      <c r="BA49" s="1935"/>
      <c r="BB49" s="1878"/>
      <c r="BC49" s="1935"/>
      <c r="BD49" s="1878"/>
      <c r="BE49" s="1935"/>
      <c r="BF49" s="1878"/>
      <c r="BG49" s="1935"/>
      <c r="BH49" s="1878"/>
      <c r="BI49" s="1935"/>
      <c r="BJ49" s="1878"/>
      <c r="BK49" s="1935"/>
      <c r="BL49" s="1878"/>
      <c r="BM49" s="1935"/>
      <c r="BN49" s="1878"/>
      <c r="BO49" s="1935"/>
      <c r="BP49" s="1878"/>
      <c r="BQ49" s="1935"/>
      <c r="BR49" s="1878"/>
      <c r="BS49" s="1935"/>
      <c r="BT49" s="1878"/>
      <c r="BU49" s="1935"/>
      <c r="BV49" s="1878"/>
      <c r="BW49" s="1935"/>
      <c r="BX49" s="1878"/>
      <c r="BY49" s="1935"/>
      <c r="BZ49" s="1878"/>
      <c r="CA49" s="1935"/>
      <c r="CB49" s="1878"/>
      <c r="CC49" s="1935"/>
      <c r="CD49" s="1878"/>
      <c r="CE49" s="1935"/>
      <c r="CF49" s="1878"/>
      <c r="CG49" s="1935"/>
      <c r="CH49" s="1878"/>
      <c r="CI49" s="1935"/>
      <c r="CJ49" s="1878"/>
      <c r="CK49" s="1935"/>
      <c r="CL49" s="1878"/>
      <c r="CM49" s="1935"/>
      <c r="CN49" s="1878"/>
      <c r="CO49" s="1935"/>
      <c r="CP49" s="1878"/>
      <c r="CQ49" s="1935"/>
      <c r="CR49" s="1878"/>
      <c r="CS49" s="1935"/>
      <c r="CT49" s="1878"/>
      <c r="CU49" s="1935"/>
      <c r="CV49" s="1878"/>
      <c r="CW49" s="1935"/>
      <c r="CX49" s="1878"/>
      <c r="CY49" s="1935"/>
      <c r="CZ49" s="1878"/>
      <c r="DA49" s="1935"/>
      <c r="DB49" s="1878"/>
      <c r="DC49" s="1935"/>
      <c r="DD49" s="1878"/>
      <c r="DE49" s="1935"/>
      <c r="DF49" s="1878"/>
      <c r="DG49" s="1935"/>
      <c r="DH49" s="1878"/>
      <c r="DI49" s="1935"/>
      <c r="DJ49" s="1878"/>
      <c r="DK49" s="1935"/>
      <c r="DL49" s="1878"/>
      <c r="DM49" s="1935"/>
      <c r="DN49" s="1878"/>
      <c r="DO49" s="1935"/>
      <c r="DP49" s="1878"/>
      <c r="DQ49" s="1935"/>
      <c r="DR49" s="1878"/>
      <c r="DS49" s="1935"/>
      <c r="DT49" s="1878"/>
      <c r="DU49" s="1935"/>
      <c r="DV49" s="1878"/>
      <c r="DW49" s="1935"/>
      <c r="DX49" s="1878"/>
      <c r="DY49" s="1935"/>
      <c r="DZ49" s="1878"/>
      <c r="EA49" s="1935"/>
      <c r="EB49" s="1878"/>
      <c r="EC49" s="1935"/>
      <c r="ED49" s="1878"/>
      <c r="EE49" s="1935"/>
      <c r="EF49" s="1878"/>
      <c r="EG49" s="1935"/>
      <c r="EH49" s="1878"/>
      <c r="EI49" s="1935"/>
      <c r="EJ49" s="1878"/>
      <c r="EK49" s="1935"/>
      <c r="EL49" s="1878"/>
      <c r="EM49" s="1935"/>
      <c r="EN49" s="1878"/>
      <c r="EO49" s="1935"/>
      <c r="EP49" s="1878"/>
      <c r="EQ49" s="1935"/>
      <c r="ER49" s="1878"/>
      <c r="ES49" s="1935"/>
      <c r="ET49" s="1878"/>
      <c r="EU49" s="1935"/>
      <c r="EV49" s="1878"/>
      <c r="EW49" s="1935"/>
      <c r="EX49" s="1878"/>
      <c r="EY49" s="1935"/>
      <c r="EZ49" s="1878"/>
      <c r="FA49" s="1935"/>
      <c r="FB49" s="1878"/>
      <c r="FC49" s="1935"/>
      <c r="FD49" s="1878"/>
      <c r="FE49" s="1935"/>
      <c r="FF49" s="1878"/>
      <c r="FG49" s="1935"/>
      <c r="FH49" s="1878"/>
      <c r="FI49" s="1935"/>
      <c r="FJ49" s="1878"/>
      <c r="FK49" s="1935"/>
      <c r="FL49" s="1878"/>
      <c r="FM49" s="1935"/>
      <c r="FN49" s="1878"/>
      <c r="FO49" s="1935"/>
      <c r="FP49" s="1878"/>
      <c r="FQ49" s="1935"/>
      <c r="FR49" s="1878"/>
      <c r="FS49" s="1935"/>
      <c r="FT49" s="1878"/>
      <c r="FU49" s="1935"/>
      <c r="FV49" s="1878"/>
      <c r="FW49" s="1935"/>
      <c r="FX49" s="1878"/>
      <c r="FY49" s="1935"/>
      <c r="FZ49" s="1878"/>
      <c r="GA49" s="1935"/>
      <c r="GB49" s="1878"/>
      <c r="GC49" s="1935"/>
      <c r="GD49" s="1878"/>
      <c r="GE49" s="1935"/>
      <c r="GF49" s="1878"/>
      <c r="GG49" s="1935"/>
      <c r="GH49" s="1878"/>
      <c r="GI49" s="1935"/>
      <c r="GJ49" s="1878"/>
      <c r="GK49" s="1935"/>
      <c r="GL49" s="1878"/>
      <c r="GM49" s="201"/>
    </row>
    <row r="50" spans="1:195" s="1910" customFormat="1" ht="11.25" hidden="1" customHeight="1">
      <c r="A50" s="3628"/>
      <c r="B50" s="409"/>
      <c r="D50" s="557" t="s">
        <v>1148</v>
      </c>
      <c r="E50" s="559" t="s">
        <v>1149</v>
      </c>
      <c r="F50" s="552" t="s">
        <v>1130</v>
      </c>
      <c r="G50" s="560"/>
      <c r="H50" s="893"/>
      <c r="I50" s="560"/>
      <c r="J50" s="893"/>
      <c r="K50" s="1935"/>
      <c r="L50" s="1878"/>
      <c r="M50" s="1935"/>
      <c r="N50" s="1878"/>
      <c r="O50" s="1935"/>
      <c r="P50" s="1878"/>
      <c r="Q50" s="1935"/>
      <c r="R50" s="1878"/>
      <c r="S50" s="1935"/>
      <c r="T50" s="1878"/>
      <c r="U50" s="1935"/>
      <c r="V50" s="1878"/>
      <c r="W50" s="1935"/>
      <c r="X50" s="1878"/>
      <c r="Y50" s="1935"/>
      <c r="Z50" s="1878"/>
      <c r="AA50" s="1935"/>
      <c r="AB50" s="1878"/>
      <c r="AC50" s="1935"/>
      <c r="AD50" s="1878"/>
      <c r="AE50" s="1935"/>
      <c r="AF50" s="1878"/>
      <c r="AG50" s="1935"/>
      <c r="AH50" s="1878"/>
      <c r="AI50" s="1935"/>
      <c r="AJ50" s="1878"/>
      <c r="AK50" s="1935"/>
      <c r="AL50" s="1878"/>
      <c r="AM50" s="1935"/>
      <c r="AN50" s="1878"/>
      <c r="AO50" s="1935"/>
      <c r="AP50" s="1878"/>
      <c r="AQ50" s="1935"/>
      <c r="AR50" s="1878"/>
      <c r="AS50" s="1935"/>
      <c r="AT50" s="1878"/>
      <c r="AU50" s="1935"/>
      <c r="AV50" s="1878"/>
      <c r="AW50" s="1935"/>
      <c r="AX50" s="1878"/>
      <c r="AY50" s="1935"/>
      <c r="AZ50" s="1878"/>
      <c r="BA50" s="1935"/>
      <c r="BB50" s="1878"/>
      <c r="BC50" s="1935"/>
      <c r="BD50" s="1878"/>
      <c r="BE50" s="1935"/>
      <c r="BF50" s="1878"/>
      <c r="BG50" s="1935"/>
      <c r="BH50" s="1878"/>
      <c r="BI50" s="1935"/>
      <c r="BJ50" s="1878"/>
      <c r="BK50" s="1935"/>
      <c r="BL50" s="1878"/>
      <c r="BM50" s="1935"/>
      <c r="BN50" s="1878"/>
      <c r="BO50" s="1935"/>
      <c r="BP50" s="1878"/>
      <c r="BQ50" s="1935"/>
      <c r="BR50" s="1878"/>
      <c r="BS50" s="1935"/>
      <c r="BT50" s="1878"/>
      <c r="BU50" s="1935"/>
      <c r="BV50" s="1878"/>
      <c r="BW50" s="1935"/>
      <c r="BX50" s="1878"/>
      <c r="BY50" s="1935"/>
      <c r="BZ50" s="1878"/>
      <c r="CA50" s="1935"/>
      <c r="CB50" s="1878"/>
      <c r="CC50" s="1935"/>
      <c r="CD50" s="1878"/>
      <c r="CE50" s="1935"/>
      <c r="CF50" s="1878"/>
      <c r="CG50" s="1935"/>
      <c r="CH50" s="1878"/>
      <c r="CI50" s="1935"/>
      <c r="CJ50" s="1878"/>
      <c r="CK50" s="1935"/>
      <c r="CL50" s="1878"/>
      <c r="CM50" s="1935"/>
      <c r="CN50" s="1878"/>
      <c r="CO50" s="1935"/>
      <c r="CP50" s="1878"/>
      <c r="CQ50" s="1935"/>
      <c r="CR50" s="1878"/>
      <c r="CS50" s="1935"/>
      <c r="CT50" s="1878"/>
      <c r="CU50" s="1935"/>
      <c r="CV50" s="1878"/>
      <c r="CW50" s="1935"/>
      <c r="CX50" s="1878"/>
      <c r="CY50" s="1935"/>
      <c r="CZ50" s="1878"/>
      <c r="DA50" s="1935"/>
      <c r="DB50" s="1878"/>
      <c r="DC50" s="1935"/>
      <c r="DD50" s="1878"/>
      <c r="DE50" s="1935"/>
      <c r="DF50" s="1878"/>
      <c r="DG50" s="1935"/>
      <c r="DH50" s="1878"/>
      <c r="DI50" s="1935"/>
      <c r="DJ50" s="1878"/>
      <c r="DK50" s="1935"/>
      <c r="DL50" s="1878"/>
      <c r="DM50" s="1935"/>
      <c r="DN50" s="1878"/>
      <c r="DO50" s="1935"/>
      <c r="DP50" s="1878"/>
      <c r="DQ50" s="1935"/>
      <c r="DR50" s="1878"/>
      <c r="DS50" s="1935"/>
      <c r="DT50" s="1878"/>
      <c r="DU50" s="1935"/>
      <c r="DV50" s="1878"/>
      <c r="DW50" s="1935"/>
      <c r="DX50" s="1878"/>
      <c r="DY50" s="1935"/>
      <c r="DZ50" s="1878"/>
      <c r="EA50" s="1935"/>
      <c r="EB50" s="1878"/>
      <c r="EC50" s="1935"/>
      <c r="ED50" s="1878"/>
      <c r="EE50" s="1935"/>
      <c r="EF50" s="1878"/>
      <c r="EG50" s="1935"/>
      <c r="EH50" s="1878"/>
      <c r="EI50" s="1935"/>
      <c r="EJ50" s="1878"/>
      <c r="EK50" s="1935"/>
      <c r="EL50" s="1878"/>
      <c r="EM50" s="1935"/>
      <c r="EN50" s="1878"/>
      <c r="EO50" s="1935"/>
      <c r="EP50" s="1878"/>
      <c r="EQ50" s="1935"/>
      <c r="ER50" s="1878"/>
      <c r="ES50" s="1935"/>
      <c r="ET50" s="1878"/>
      <c r="EU50" s="1935"/>
      <c r="EV50" s="1878"/>
      <c r="EW50" s="1935"/>
      <c r="EX50" s="1878"/>
      <c r="EY50" s="1935"/>
      <c r="EZ50" s="1878"/>
      <c r="FA50" s="1935"/>
      <c r="FB50" s="1878"/>
      <c r="FC50" s="1935"/>
      <c r="FD50" s="1878"/>
      <c r="FE50" s="1935"/>
      <c r="FF50" s="1878"/>
      <c r="FG50" s="1935"/>
      <c r="FH50" s="1878"/>
      <c r="FI50" s="1935"/>
      <c r="FJ50" s="1878"/>
      <c r="FK50" s="1935"/>
      <c r="FL50" s="1878"/>
      <c r="FM50" s="1935"/>
      <c r="FN50" s="1878"/>
      <c r="FO50" s="1935"/>
      <c r="FP50" s="1878"/>
      <c r="FQ50" s="1935"/>
      <c r="FR50" s="1878"/>
      <c r="FS50" s="1935"/>
      <c r="FT50" s="1878"/>
      <c r="FU50" s="1935"/>
      <c r="FV50" s="1878"/>
      <c r="FW50" s="1935"/>
      <c r="FX50" s="1878"/>
      <c r="FY50" s="1935"/>
      <c r="FZ50" s="1878"/>
      <c r="GA50" s="1935"/>
      <c r="GB50" s="1878"/>
      <c r="GC50" s="1935"/>
      <c r="GD50" s="1878"/>
      <c r="GE50" s="1935"/>
      <c r="GF50" s="1878"/>
      <c r="GG50" s="1935"/>
      <c r="GH50" s="1878"/>
      <c r="GI50" s="1935"/>
      <c r="GJ50" s="1878"/>
      <c r="GK50" s="1935"/>
      <c r="GL50" s="1878"/>
      <c r="GM50" s="201"/>
    </row>
    <row r="51" spans="1:195" s="1910" customFormat="1" ht="11.25" hidden="1" customHeight="1">
      <c r="A51" s="3628"/>
      <c r="B51" s="409"/>
      <c r="D51" s="557" t="s">
        <v>1150</v>
      </c>
      <c r="E51" s="559" t="s">
        <v>1151</v>
      </c>
      <c r="F51" s="552" t="s">
        <v>1130</v>
      </c>
      <c r="G51" s="560"/>
      <c r="H51" s="893"/>
      <c r="I51" s="560"/>
      <c r="J51" s="893"/>
      <c r="K51" s="1935"/>
      <c r="L51" s="1878"/>
      <c r="M51" s="1935"/>
      <c r="N51" s="1878"/>
      <c r="O51" s="1935"/>
      <c r="P51" s="1878"/>
      <c r="Q51" s="1935"/>
      <c r="R51" s="1878"/>
      <c r="S51" s="1935"/>
      <c r="T51" s="1878"/>
      <c r="U51" s="1935"/>
      <c r="V51" s="1878"/>
      <c r="W51" s="1935"/>
      <c r="X51" s="1878"/>
      <c r="Y51" s="1935"/>
      <c r="Z51" s="1878"/>
      <c r="AA51" s="1935"/>
      <c r="AB51" s="1878"/>
      <c r="AC51" s="1935"/>
      <c r="AD51" s="1878"/>
      <c r="AE51" s="1935"/>
      <c r="AF51" s="1878"/>
      <c r="AG51" s="1935"/>
      <c r="AH51" s="1878"/>
      <c r="AI51" s="1935"/>
      <c r="AJ51" s="1878"/>
      <c r="AK51" s="1935"/>
      <c r="AL51" s="1878"/>
      <c r="AM51" s="1935"/>
      <c r="AN51" s="1878"/>
      <c r="AO51" s="1935"/>
      <c r="AP51" s="1878"/>
      <c r="AQ51" s="1935"/>
      <c r="AR51" s="1878"/>
      <c r="AS51" s="1935"/>
      <c r="AT51" s="1878"/>
      <c r="AU51" s="1935"/>
      <c r="AV51" s="1878"/>
      <c r="AW51" s="1935"/>
      <c r="AX51" s="1878"/>
      <c r="AY51" s="1935"/>
      <c r="AZ51" s="1878"/>
      <c r="BA51" s="1935"/>
      <c r="BB51" s="1878"/>
      <c r="BC51" s="1935"/>
      <c r="BD51" s="1878"/>
      <c r="BE51" s="1935"/>
      <c r="BF51" s="1878"/>
      <c r="BG51" s="1935"/>
      <c r="BH51" s="1878"/>
      <c r="BI51" s="1935"/>
      <c r="BJ51" s="1878"/>
      <c r="BK51" s="1935"/>
      <c r="BL51" s="1878"/>
      <c r="BM51" s="1935"/>
      <c r="BN51" s="1878"/>
      <c r="BO51" s="1935"/>
      <c r="BP51" s="1878"/>
      <c r="BQ51" s="1935"/>
      <c r="BR51" s="1878"/>
      <c r="BS51" s="1935"/>
      <c r="BT51" s="1878"/>
      <c r="BU51" s="1935"/>
      <c r="BV51" s="1878"/>
      <c r="BW51" s="1935"/>
      <c r="BX51" s="1878"/>
      <c r="BY51" s="1935"/>
      <c r="BZ51" s="1878"/>
      <c r="CA51" s="1935"/>
      <c r="CB51" s="1878"/>
      <c r="CC51" s="1935"/>
      <c r="CD51" s="1878"/>
      <c r="CE51" s="1935"/>
      <c r="CF51" s="1878"/>
      <c r="CG51" s="1935"/>
      <c r="CH51" s="1878"/>
      <c r="CI51" s="1935"/>
      <c r="CJ51" s="1878"/>
      <c r="CK51" s="1935"/>
      <c r="CL51" s="1878"/>
      <c r="CM51" s="1935"/>
      <c r="CN51" s="1878"/>
      <c r="CO51" s="1935"/>
      <c r="CP51" s="1878"/>
      <c r="CQ51" s="1935"/>
      <c r="CR51" s="1878"/>
      <c r="CS51" s="1935"/>
      <c r="CT51" s="1878"/>
      <c r="CU51" s="1935"/>
      <c r="CV51" s="1878"/>
      <c r="CW51" s="1935"/>
      <c r="CX51" s="1878"/>
      <c r="CY51" s="1935"/>
      <c r="CZ51" s="1878"/>
      <c r="DA51" s="1935"/>
      <c r="DB51" s="1878"/>
      <c r="DC51" s="1935"/>
      <c r="DD51" s="1878"/>
      <c r="DE51" s="1935"/>
      <c r="DF51" s="1878"/>
      <c r="DG51" s="1935"/>
      <c r="DH51" s="1878"/>
      <c r="DI51" s="1935"/>
      <c r="DJ51" s="1878"/>
      <c r="DK51" s="1935"/>
      <c r="DL51" s="1878"/>
      <c r="DM51" s="1935"/>
      <c r="DN51" s="1878"/>
      <c r="DO51" s="1935"/>
      <c r="DP51" s="1878"/>
      <c r="DQ51" s="1935"/>
      <c r="DR51" s="1878"/>
      <c r="DS51" s="1935"/>
      <c r="DT51" s="1878"/>
      <c r="DU51" s="1935"/>
      <c r="DV51" s="1878"/>
      <c r="DW51" s="1935"/>
      <c r="DX51" s="1878"/>
      <c r="DY51" s="1935"/>
      <c r="DZ51" s="1878"/>
      <c r="EA51" s="1935"/>
      <c r="EB51" s="1878"/>
      <c r="EC51" s="1935"/>
      <c r="ED51" s="1878"/>
      <c r="EE51" s="1935"/>
      <c r="EF51" s="1878"/>
      <c r="EG51" s="1935"/>
      <c r="EH51" s="1878"/>
      <c r="EI51" s="1935"/>
      <c r="EJ51" s="1878"/>
      <c r="EK51" s="1935"/>
      <c r="EL51" s="1878"/>
      <c r="EM51" s="1935"/>
      <c r="EN51" s="1878"/>
      <c r="EO51" s="1935"/>
      <c r="EP51" s="1878"/>
      <c r="EQ51" s="1935"/>
      <c r="ER51" s="1878"/>
      <c r="ES51" s="1935"/>
      <c r="ET51" s="1878"/>
      <c r="EU51" s="1935"/>
      <c r="EV51" s="1878"/>
      <c r="EW51" s="1935"/>
      <c r="EX51" s="1878"/>
      <c r="EY51" s="1935"/>
      <c r="EZ51" s="1878"/>
      <c r="FA51" s="1935"/>
      <c r="FB51" s="1878"/>
      <c r="FC51" s="1935"/>
      <c r="FD51" s="1878"/>
      <c r="FE51" s="1935"/>
      <c r="FF51" s="1878"/>
      <c r="FG51" s="1935"/>
      <c r="FH51" s="1878"/>
      <c r="FI51" s="1935"/>
      <c r="FJ51" s="1878"/>
      <c r="FK51" s="1935"/>
      <c r="FL51" s="1878"/>
      <c r="FM51" s="1935"/>
      <c r="FN51" s="1878"/>
      <c r="FO51" s="1935"/>
      <c r="FP51" s="1878"/>
      <c r="FQ51" s="1935"/>
      <c r="FR51" s="1878"/>
      <c r="FS51" s="1935"/>
      <c r="FT51" s="1878"/>
      <c r="FU51" s="1935"/>
      <c r="FV51" s="1878"/>
      <c r="FW51" s="1935"/>
      <c r="FX51" s="1878"/>
      <c r="FY51" s="1935"/>
      <c r="FZ51" s="1878"/>
      <c r="GA51" s="1935"/>
      <c r="GB51" s="1878"/>
      <c r="GC51" s="1935"/>
      <c r="GD51" s="1878"/>
      <c r="GE51" s="1935"/>
      <c r="GF51" s="1878"/>
      <c r="GG51" s="1935"/>
      <c r="GH51" s="1878"/>
      <c r="GI51" s="1935"/>
      <c r="GJ51" s="1878"/>
      <c r="GK51" s="1935"/>
      <c r="GL51" s="1878"/>
      <c r="GM51" s="201"/>
    </row>
    <row r="52" spans="1:195" s="1910" customFormat="1" ht="45" hidden="1" customHeight="1">
      <c r="A52" s="3628"/>
      <c r="B52" s="409"/>
      <c r="D52" s="557" t="s">
        <v>108</v>
      </c>
      <c r="E52" s="558" t="s">
        <v>1152</v>
      </c>
      <c r="F52" s="552" t="s">
        <v>1130</v>
      </c>
      <c r="G52" s="560"/>
      <c r="H52" s="893"/>
      <c r="I52" s="560"/>
      <c r="J52" s="893"/>
      <c r="K52" s="1935"/>
      <c r="L52" s="1878"/>
      <c r="M52" s="1935"/>
      <c r="N52" s="1878"/>
      <c r="O52" s="1935"/>
      <c r="P52" s="1878"/>
      <c r="Q52" s="1935"/>
      <c r="R52" s="1878"/>
      <c r="S52" s="1935"/>
      <c r="T52" s="1878"/>
      <c r="U52" s="1935"/>
      <c r="V52" s="1878"/>
      <c r="W52" s="1935"/>
      <c r="X52" s="1878"/>
      <c r="Y52" s="1935"/>
      <c r="Z52" s="1878"/>
      <c r="AA52" s="1935"/>
      <c r="AB52" s="1878"/>
      <c r="AC52" s="1935"/>
      <c r="AD52" s="1878"/>
      <c r="AE52" s="1935"/>
      <c r="AF52" s="1878"/>
      <c r="AG52" s="1935"/>
      <c r="AH52" s="1878"/>
      <c r="AI52" s="1935"/>
      <c r="AJ52" s="1878"/>
      <c r="AK52" s="1935"/>
      <c r="AL52" s="1878"/>
      <c r="AM52" s="1935"/>
      <c r="AN52" s="1878"/>
      <c r="AO52" s="1935"/>
      <c r="AP52" s="1878"/>
      <c r="AQ52" s="1935"/>
      <c r="AR52" s="1878"/>
      <c r="AS52" s="1935"/>
      <c r="AT52" s="1878"/>
      <c r="AU52" s="1935"/>
      <c r="AV52" s="1878"/>
      <c r="AW52" s="1935"/>
      <c r="AX52" s="1878"/>
      <c r="AY52" s="1935"/>
      <c r="AZ52" s="1878"/>
      <c r="BA52" s="1935"/>
      <c r="BB52" s="1878"/>
      <c r="BC52" s="1935"/>
      <c r="BD52" s="1878"/>
      <c r="BE52" s="1935"/>
      <c r="BF52" s="1878"/>
      <c r="BG52" s="1935"/>
      <c r="BH52" s="1878"/>
      <c r="BI52" s="1935"/>
      <c r="BJ52" s="1878"/>
      <c r="BK52" s="1935"/>
      <c r="BL52" s="1878"/>
      <c r="BM52" s="1935"/>
      <c r="BN52" s="1878"/>
      <c r="BO52" s="1935"/>
      <c r="BP52" s="1878"/>
      <c r="BQ52" s="1935"/>
      <c r="BR52" s="1878"/>
      <c r="BS52" s="1935"/>
      <c r="BT52" s="1878"/>
      <c r="BU52" s="1935"/>
      <c r="BV52" s="1878"/>
      <c r="BW52" s="1935"/>
      <c r="BX52" s="1878"/>
      <c r="BY52" s="1935"/>
      <c r="BZ52" s="1878"/>
      <c r="CA52" s="1935"/>
      <c r="CB52" s="1878"/>
      <c r="CC52" s="1935"/>
      <c r="CD52" s="1878"/>
      <c r="CE52" s="1935"/>
      <c r="CF52" s="1878"/>
      <c r="CG52" s="1935"/>
      <c r="CH52" s="1878"/>
      <c r="CI52" s="1935"/>
      <c r="CJ52" s="1878"/>
      <c r="CK52" s="1935"/>
      <c r="CL52" s="1878"/>
      <c r="CM52" s="1935"/>
      <c r="CN52" s="1878"/>
      <c r="CO52" s="1935"/>
      <c r="CP52" s="1878"/>
      <c r="CQ52" s="1935"/>
      <c r="CR52" s="1878"/>
      <c r="CS52" s="1935"/>
      <c r="CT52" s="1878"/>
      <c r="CU52" s="1935"/>
      <c r="CV52" s="1878"/>
      <c r="CW52" s="1935"/>
      <c r="CX52" s="1878"/>
      <c r="CY52" s="1935"/>
      <c r="CZ52" s="1878"/>
      <c r="DA52" s="1935"/>
      <c r="DB52" s="1878"/>
      <c r="DC52" s="1935"/>
      <c r="DD52" s="1878"/>
      <c r="DE52" s="1935"/>
      <c r="DF52" s="1878"/>
      <c r="DG52" s="1935"/>
      <c r="DH52" s="1878"/>
      <c r="DI52" s="1935"/>
      <c r="DJ52" s="1878"/>
      <c r="DK52" s="1935"/>
      <c r="DL52" s="1878"/>
      <c r="DM52" s="1935"/>
      <c r="DN52" s="1878"/>
      <c r="DO52" s="1935"/>
      <c r="DP52" s="1878"/>
      <c r="DQ52" s="1935"/>
      <c r="DR52" s="1878"/>
      <c r="DS52" s="1935"/>
      <c r="DT52" s="1878"/>
      <c r="DU52" s="1935"/>
      <c r="DV52" s="1878"/>
      <c r="DW52" s="1935"/>
      <c r="DX52" s="1878"/>
      <c r="DY52" s="1935"/>
      <c r="DZ52" s="1878"/>
      <c r="EA52" s="1935"/>
      <c r="EB52" s="1878"/>
      <c r="EC52" s="1935"/>
      <c r="ED52" s="1878"/>
      <c r="EE52" s="1935"/>
      <c r="EF52" s="1878"/>
      <c r="EG52" s="1935"/>
      <c r="EH52" s="1878"/>
      <c r="EI52" s="1935"/>
      <c r="EJ52" s="1878"/>
      <c r="EK52" s="1935"/>
      <c r="EL52" s="1878"/>
      <c r="EM52" s="1935"/>
      <c r="EN52" s="1878"/>
      <c r="EO52" s="1935"/>
      <c r="EP52" s="1878"/>
      <c r="EQ52" s="1935"/>
      <c r="ER52" s="1878"/>
      <c r="ES52" s="1935"/>
      <c r="ET52" s="1878"/>
      <c r="EU52" s="1935"/>
      <c r="EV52" s="1878"/>
      <c r="EW52" s="1935"/>
      <c r="EX52" s="1878"/>
      <c r="EY52" s="1935"/>
      <c r="EZ52" s="1878"/>
      <c r="FA52" s="1935"/>
      <c r="FB52" s="1878"/>
      <c r="FC52" s="1935"/>
      <c r="FD52" s="1878"/>
      <c r="FE52" s="1935"/>
      <c r="FF52" s="1878"/>
      <c r="FG52" s="1935"/>
      <c r="FH52" s="1878"/>
      <c r="FI52" s="1935"/>
      <c r="FJ52" s="1878"/>
      <c r="FK52" s="1935"/>
      <c r="FL52" s="1878"/>
      <c r="FM52" s="1935"/>
      <c r="FN52" s="1878"/>
      <c r="FO52" s="1935"/>
      <c r="FP52" s="1878"/>
      <c r="FQ52" s="1935"/>
      <c r="FR52" s="1878"/>
      <c r="FS52" s="1935"/>
      <c r="FT52" s="1878"/>
      <c r="FU52" s="1935"/>
      <c r="FV52" s="1878"/>
      <c r="FW52" s="1935"/>
      <c r="FX52" s="1878"/>
      <c r="FY52" s="1935"/>
      <c r="FZ52" s="1878"/>
      <c r="GA52" s="1935"/>
      <c r="GB52" s="1878"/>
      <c r="GC52" s="1935"/>
      <c r="GD52" s="1878"/>
      <c r="GE52" s="1935"/>
      <c r="GF52" s="1878"/>
      <c r="GG52" s="1935"/>
      <c r="GH52" s="1878"/>
      <c r="GI52" s="1935"/>
      <c r="GJ52" s="1878"/>
      <c r="GK52" s="1935"/>
      <c r="GL52" s="1878"/>
      <c r="GM52" s="201"/>
    </row>
    <row r="53" spans="1:195" s="1910" customFormat="1" ht="11.25" hidden="1" customHeight="1">
      <c r="A53" s="3628"/>
      <c r="B53" s="409"/>
      <c r="D53" s="557" t="s">
        <v>575</v>
      </c>
      <c r="E53" s="559" t="s">
        <v>1141</v>
      </c>
      <c r="F53" s="552" t="s">
        <v>1130</v>
      </c>
      <c r="G53" s="560"/>
      <c r="H53" s="893"/>
      <c r="I53" s="560"/>
      <c r="J53" s="893"/>
      <c r="K53" s="1935"/>
      <c r="L53" s="1878"/>
      <c r="M53" s="1935"/>
      <c r="N53" s="1878"/>
      <c r="O53" s="1935"/>
      <c r="P53" s="1878"/>
      <c r="Q53" s="1935"/>
      <c r="R53" s="1878"/>
      <c r="S53" s="1935"/>
      <c r="T53" s="1878"/>
      <c r="U53" s="1935"/>
      <c r="V53" s="1878"/>
      <c r="W53" s="1935"/>
      <c r="X53" s="1878"/>
      <c r="Y53" s="1935"/>
      <c r="Z53" s="1878"/>
      <c r="AA53" s="1935"/>
      <c r="AB53" s="1878"/>
      <c r="AC53" s="1935"/>
      <c r="AD53" s="1878"/>
      <c r="AE53" s="1935"/>
      <c r="AF53" s="1878"/>
      <c r="AG53" s="1935"/>
      <c r="AH53" s="1878"/>
      <c r="AI53" s="1935"/>
      <c r="AJ53" s="1878"/>
      <c r="AK53" s="1935"/>
      <c r="AL53" s="1878"/>
      <c r="AM53" s="1935"/>
      <c r="AN53" s="1878"/>
      <c r="AO53" s="1935"/>
      <c r="AP53" s="1878"/>
      <c r="AQ53" s="1935"/>
      <c r="AR53" s="1878"/>
      <c r="AS53" s="1935"/>
      <c r="AT53" s="1878"/>
      <c r="AU53" s="1935"/>
      <c r="AV53" s="1878"/>
      <c r="AW53" s="1935"/>
      <c r="AX53" s="1878"/>
      <c r="AY53" s="1935"/>
      <c r="AZ53" s="1878"/>
      <c r="BA53" s="1935"/>
      <c r="BB53" s="1878"/>
      <c r="BC53" s="1935"/>
      <c r="BD53" s="1878"/>
      <c r="BE53" s="1935"/>
      <c r="BF53" s="1878"/>
      <c r="BG53" s="1935"/>
      <c r="BH53" s="1878"/>
      <c r="BI53" s="1935"/>
      <c r="BJ53" s="1878"/>
      <c r="BK53" s="1935"/>
      <c r="BL53" s="1878"/>
      <c r="BM53" s="1935"/>
      <c r="BN53" s="1878"/>
      <c r="BO53" s="1935"/>
      <c r="BP53" s="1878"/>
      <c r="BQ53" s="1935"/>
      <c r="BR53" s="1878"/>
      <c r="BS53" s="1935"/>
      <c r="BT53" s="1878"/>
      <c r="BU53" s="1935"/>
      <c r="BV53" s="1878"/>
      <c r="BW53" s="1935"/>
      <c r="BX53" s="1878"/>
      <c r="BY53" s="1935"/>
      <c r="BZ53" s="1878"/>
      <c r="CA53" s="1935"/>
      <c r="CB53" s="1878"/>
      <c r="CC53" s="1935"/>
      <c r="CD53" s="1878"/>
      <c r="CE53" s="1935"/>
      <c r="CF53" s="1878"/>
      <c r="CG53" s="1935"/>
      <c r="CH53" s="1878"/>
      <c r="CI53" s="1935"/>
      <c r="CJ53" s="1878"/>
      <c r="CK53" s="1935"/>
      <c r="CL53" s="1878"/>
      <c r="CM53" s="1935"/>
      <c r="CN53" s="1878"/>
      <c r="CO53" s="1935"/>
      <c r="CP53" s="1878"/>
      <c r="CQ53" s="1935"/>
      <c r="CR53" s="1878"/>
      <c r="CS53" s="1935"/>
      <c r="CT53" s="1878"/>
      <c r="CU53" s="1935"/>
      <c r="CV53" s="1878"/>
      <c r="CW53" s="1935"/>
      <c r="CX53" s="1878"/>
      <c r="CY53" s="1935"/>
      <c r="CZ53" s="1878"/>
      <c r="DA53" s="1935"/>
      <c r="DB53" s="1878"/>
      <c r="DC53" s="1935"/>
      <c r="DD53" s="1878"/>
      <c r="DE53" s="1935"/>
      <c r="DF53" s="1878"/>
      <c r="DG53" s="1935"/>
      <c r="DH53" s="1878"/>
      <c r="DI53" s="1935"/>
      <c r="DJ53" s="1878"/>
      <c r="DK53" s="1935"/>
      <c r="DL53" s="1878"/>
      <c r="DM53" s="1935"/>
      <c r="DN53" s="1878"/>
      <c r="DO53" s="1935"/>
      <c r="DP53" s="1878"/>
      <c r="DQ53" s="1935"/>
      <c r="DR53" s="1878"/>
      <c r="DS53" s="1935"/>
      <c r="DT53" s="1878"/>
      <c r="DU53" s="1935"/>
      <c r="DV53" s="1878"/>
      <c r="DW53" s="1935"/>
      <c r="DX53" s="1878"/>
      <c r="DY53" s="1935"/>
      <c r="DZ53" s="1878"/>
      <c r="EA53" s="1935"/>
      <c r="EB53" s="1878"/>
      <c r="EC53" s="1935"/>
      <c r="ED53" s="1878"/>
      <c r="EE53" s="1935"/>
      <c r="EF53" s="1878"/>
      <c r="EG53" s="1935"/>
      <c r="EH53" s="1878"/>
      <c r="EI53" s="1935"/>
      <c r="EJ53" s="1878"/>
      <c r="EK53" s="1935"/>
      <c r="EL53" s="1878"/>
      <c r="EM53" s="1935"/>
      <c r="EN53" s="1878"/>
      <c r="EO53" s="1935"/>
      <c r="EP53" s="1878"/>
      <c r="EQ53" s="1935"/>
      <c r="ER53" s="1878"/>
      <c r="ES53" s="1935"/>
      <c r="ET53" s="1878"/>
      <c r="EU53" s="1935"/>
      <c r="EV53" s="1878"/>
      <c r="EW53" s="1935"/>
      <c r="EX53" s="1878"/>
      <c r="EY53" s="1935"/>
      <c r="EZ53" s="1878"/>
      <c r="FA53" s="1935"/>
      <c r="FB53" s="1878"/>
      <c r="FC53" s="1935"/>
      <c r="FD53" s="1878"/>
      <c r="FE53" s="1935"/>
      <c r="FF53" s="1878"/>
      <c r="FG53" s="1935"/>
      <c r="FH53" s="1878"/>
      <c r="FI53" s="1935"/>
      <c r="FJ53" s="1878"/>
      <c r="FK53" s="1935"/>
      <c r="FL53" s="1878"/>
      <c r="FM53" s="1935"/>
      <c r="FN53" s="1878"/>
      <c r="FO53" s="1935"/>
      <c r="FP53" s="1878"/>
      <c r="FQ53" s="1935"/>
      <c r="FR53" s="1878"/>
      <c r="FS53" s="1935"/>
      <c r="FT53" s="1878"/>
      <c r="FU53" s="1935"/>
      <c r="FV53" s="1878"/>
      <c r="FW53" s="1935"/>
      <c r="FX53" s="1878"/>
      <c r="FY53" s="1935"/>
      <c r="FZ53" s="1878"/>
      <c r="GA53" s="1935"/>
      <c r="GB53" s="1878"/>
      <c r="GC53" s="1935"/>
      <c r="GD53" s="1878"/>
      <c r="GE53" s="1935"/>
      <c r="GF53" s="1878"/>
      <c r="GG53" s="1935"/>
      <c r="GH53" s="1878"/>
      <c r="GI53" s="1935"/>
      <c r="GJ53" s="1878"/>
      <c r="GK53" s="1935"/>
      <c r="GL53" s="1878"/>
      <c r="GM53" s="201"/>
    </row>
    <row r="54" spans="1:195" s="1910" customFormat="1" ht="11.25" hidden="1" customHeight="1">
      <c r="A54" s="3628"/>
      <c r="B54" s="409"/>
      <c r="D54" s="557" t="s">
        <v>577</v>
      </c>
      <c r="E54" s="559" t="s">
        <v>1142</v>
      </c>
      <c r="F54" s="552" t="s">
        <v>1130</v>
      </c>
      <c r="G54" s="560"/>
      <c r="H54" s="893"/>
      <c r="I54" s="560"/>
      <c r="J54" s="893"/>
      <c r="K54" s="1935"/>
      <c r="L54" s="1878"/>
      <c r="M54" s="1935"/>
      <c r="N54" s="1878"/>
      <c r="O54" s="1935"/>
      <c r="P54" s="1878"/>
      <c r="Q54" s="1935"/>
      <c r="R54" s="1878"/>
      <c r="S54" s="1935"/>
      <c r="T54" s="1878"/>
      <c r="U54" s="1935"/>
      <c r="V54" s="1878"/>
      <c r="W54" s="1935"/>
      <c r="X54" s="1878"/>
      <c r="Y54" s="1935"/>
      <c r="Z54" s="1878"/>
      <c r="AA54" s="1935"/>
      <c r="AB54" s="1878"/>
      <c r="AC54" s="1935"/>
      <c r="AD54" s="1878"/>
      <c r="AE54" s="1935"/>
      <c r="AF54" s="1878"/>
      <c r="AG54" s="1935"/>
      <c r="AH54" s="1878"/>
      <c r="AI54" s="1935"/>
      <c r="AJ54" s="1878"/>
      <c r="AK54" s="1935"/>
      <c r="AL54" s="1878"/>
      <c r="AM54" s="1935"/>
      <c r="AN54" s="1878"/>
      <c r="AO54" s="1935"/>
      <c r="AP54" s="1878"/>
      <c r="AQ54" s="1935"/>
      <c r="AR54" s="1878"/>
      <c r="AS54" s="1935"/>
      <c r="AT54" s="1878"/>
      <c r="AU54" s="1935"/>
      <c r="AV54" s="1878"/>
      <c r="AW54" s="1935"/>
      <c r="AX54" s="1878"/>
      <c r="AY54" s="1935"/>
      <c r="AZ54" s="1878"/>
      <c r="BA54" s="1935"/>
      <c r="BB54" s="1878"/>
      <c r="BC54" s="1935"/>
      <c r="BD54" s="1878"/>
      <c r="BE54" s="1935"/>
      <c r="BF54" s="1878"/>
      <c r="BG54" s="1935"/>
      <c r="BH54" s="1878"/>
      <c r="BI54" s="1935"/>
      <c r="BJ54" s="1878"/>
      <c r="BK54" s="1935"/>
      <c r="BL54" s="1878"/>
      <c r="BM54" s="1935"/>
      <c r="BN54" s="1878"/>
      <c r="BO54" s="1935"/>
      <c r="BP54" s="1878"/>
      <c r="BQ54" s="1935"/>
      <c r="BR54" s="1878"/>
      <c r="BS54" s="1935"/>
      <c r="BT54" s="1878"/>
      <c r="BU54" s="1935"/>
      <c r="BV54" s="1878"/>
      <c r="BW54" s="1935"/>
      <c r="BX54" s="1878"/>
      <c r="BY54" s="1935"/>
      <c r="BZ54" s="1878"/>
      <c r="CA54" s="1935"/>
      <c r="CB54" s="1878"/>
      <c r="CC54" s="1935"/>
      <c r="CD54" s="1878"/>
      <c r="CE54" s="1935"/>
      <c r="CF54" s="1878"/>
      <c r="CG54" s="1935"/>
      <c r="CH54" s="1878"/>
      <c r="CI54" s="1935"/>
      <c r="CJ54" s="1878"/>
      <c r="CK54" s="1935"/>
      <c r="CL54" s="1878"/>
      <c r="CM54" s="1935"/>
      <c r="CN54" s="1878"/>
      <c r="CO54" s="1935"/>
      <c r="CP54" s="1878"/>
      <c r="CQ54" s="1935"/>
      <c r="CR54" s="1878"/>
      <c r="CS54" s="1935"/>
      <c r="CT54" s="1878"/>
      <c r="CU54" s="1935"/>
      <c r="CV54" s="1878"/>
      <c r="CW54" s="1935"/>
      <c r="CX54" s="1878"/>
      <c r="CY54" s="1935"/>
      <c r="CZ54" s="1878"/>
      <c r="DA54" s="1935"/>
      <c r="DB54" s="1878"/>
      <c r="DC54" s="1935"/>
      <c r="DD54" s="1878"/>
      <c r="DE54" s="1935"/>
      <c r="DF54" s="1878"/>
      <c r="DG54" s="1935"/>
      <c r="DH54" s="1878"/>
      <c r="DI54" s="1935"/>
      <c r="DJ54" s="1878"/>
      <c r="DK54" s="1935"/>
      <c r="DL54" s="1878"/>
      <c r="DM54" s="1935"/>
      <c r="DN54" s="1878"/>
      <c r="DO54" s="1935"/>
      <c r="DP54" s="1878"/>
      <c r="DQ54" s="1935"/>
      <c r="DR54" s="1878"/>
      <c r="DS54" s="1935"/>
      <c r="DT54" s="1878"/>
      <c r="DU54" s="1935"/>
      <c r="DV54" s="1878"/>
      <c r="DW54" s="1935"/>
      <c r="DX54" s="1878"/>
      <c r="DY54" s="1935"/>
      <c r="DZ54" s="1878"/>
      <c r="EA54" s="1935"/>
      <c r="EB54" s="1878"/>
      <c r="EC54" s="1935"/>
      <c r="ED54" s="1878"/>
      <c r="EE54" s="1935"/>
      <c r="EF54" s="1878"/>
      <c r="EG54" s="1935"/>
      <c r="EH54" s="1878"/>
      <c r="EI54" s="1935"/>
      <c r="EJ54" s="1878"/>
      <c r="EK54" s="1935"/>
      <c r="EL54" s="1878"/>
      <c r="EM54" s="1935"/>
      <c r="EN54" s="1878"/>
      <c r="EO54" s="1935"/>
      <c r="EP54" s="1878"/>
      <c r="EQ54" s="1935"/>
      <c r="ER54" s="1878"/>
      <c r="ES54" s="1935"/>
      <c r="ET54" s="1878"/>
      <c r="EU54" s="1935"/>
      <c r="EV54" s="1878"/>
      <c r="EW54" s="1935"/>
      <c r="EX54" s="1878"/>
      <c r="EY54" s="1935"/>
      <c r="EZ54" s="1878"/>
      <c r="FA54" s="1935"/>
      <c r="FB54" s="1878"/>
      <c r="FC54" s="1935"/>
      <c r="FD54" s="1878"/>
      <c r="FE54" s="1935"/>
      <c r="FF54" s="1878"/>
      <c r="FG54" s="1935"/>
      <c r="FH54" s="1878"/>
      <c r="FI54" s="1935"/>
      <c r="FJ54" s="1878"/>
      <c r="FK54" s="1935"/>
      <c r="FL54" s="1878"/>
      <c r="FM54" s="1935"/>
      <c r="FN54" s="1878"/>
      <c r="FO54" s="1935"/>
      <c r="FP54" s="1878"/>
      <c r="FQ54" s="1935"/>
      <c r="FR54" s="1878"/>
      <c r="FS54" s="1935"/>
      <c r="FT54" s="1878"/>
      <c r="FU54" s="1935"/>
      <c r="FV54" s="1878"/>
      <c r="FW54" s="1935"/>
      <c r="FX54" s="1878"/>
      <c r="FY54" s="1935"/>
      <c r="FZ54" s="1878"/>
      <c r="GA54" s="1935"/>
      <c r="GB54" s="1878"/>
      <c r="GC54" s="1935"/>
      <c r="GD54" s="1878"/>
      <c r="GE54" s="1935"/>
      <c r="GF54" s="1878"/>
      <c r="GG54" s="1935"/>
      <c r="GH54" s="1878"/>
      <c r="GI54" s="1935"/>
      <c r="GJ54" s="1878"/>
      <c r="GK54" s="1935"/>
      <c r="GL54" s="1878"/>
      <c r="GM54" s="201"/>
    </row>
    <row r="55" spans="1:195" s="1910" customFormat="1" ht="11.25" hidden="1" customHeight="1">
      <c r="A55" s="3628"/>
      <c r="B55" s="409"/>
      <c r="D55" s="557" t="s">
        <v>580</v>
      </c>
      <c r="E55" s="559" t="s">
        <v>1143</v>
      </c>
      <c r="F55" s="552" t="s">
        <v>1130</v>
      </c>
      <c r="G55" s="560"/>
      <c r="H55" s="893"/>
      <c r="I55" s="560"/>
      <c r="J55" s="893"/>
      <c r="K55" s="1935"/>
      <c r="L55" s="1878"/>
      <c r="M55" s="1935"/>
      <c r="N55" s="1878"/>
      <c r="O55" s="1935"/>
      <c r="P55" s="1878"/>
      <c r="Q55" s="1935"/>
      <c r="R55" s="1878"/>
      <c r="S55" s="1935"/>
      <c r="T55" s="1878"/>
      <c r="U55" s="1935"/>
      <c r="V55" s="1878"/>
      <c r="W55" s="1935"/>
      <c r="X55" s="1878"/>
      <c r="Y55" s="1935"/>
      <c r="Z55" s="1878"/>
      <c r="AA55" s="1935"/>
      <c r="AB55" s="1878"/>
      <c r="AC55" s="1935"/>
      <c r="AD55" s="1878"/>
      <c r="AE55" s="1935"/>
      <c r="AF55" s="1878"/>
      <c r="AG55" s="1935"/>
      <c r="AH55" s="1878"/>
      <c r="AI55" s="1935"/>
      <c r="AJ55" s="1878"/>
      <c r="AK55" s="1935"/>
      <c r="AL55" s="1878"/>
      <c r="AM55" s="1935"/>
      <c r="AN55" s="1878"/>
      <c r="AO55" s="1935"/>
      <c r="AP55" s="1878"/>
      <c r="AQ55" s="1935"/>
      <c r="AR55" s="1878"/>
      <c r="AS55" s="1935"/>
      <c r="AT55" s="1878"/>
      <c r="AU55" s="1935"/>
      <c r="AV55" s="1878"/>
      <c r="AW55" s="1935"/>
      <c r="AX55" s="1878"/>
      <c r="AY55" s="1935"/>
      <c r="AZ55" s="1878"/>
      <c r="BA55" s="1935"/>
      <c r="BB55" s="1878"/>
      <c r="BC55" s="1935"/>
      <c r="BD55" s="1878"/>
      <c r="BE55" s="1935"/>
      <c r="BF55" s="1878"/>
      <c r="BG55" s="1935"/>
      <c r="BH55" s="1878"/>
      <c r="BI55" s="1935"/>
      <c r="BJ55" s="1878"/>
      <c r="BK55" s="1935"/>
      <c r="BL55" s="1878"/>
      <c r="BM55" s="1935"/>
      <c r="BN55" s="1878"/>
      <c r="BO55" s="1935"/>
      <c r="BP55" s="1878"/>
      <c r="BQ55" s="1935"/>
      <c r="BR55" s="1878"/>
      <c r="BS55" s="1935"/>
      <c r="BT55" s="1878"/>
      <c r="BU55" s="1935"/>
      <c r="BV55" s="1878"/>
      <c r="BW55" s="1935"/>
      <c r="BX55" s="1878"/>
      <c r="BY55" s="1935"/>
      <c r="BZ55" s="1878"/>
      <c r="CA55" s="1935"/>
      <c r="CB55" s="1878"/>
      <c r="CC55" s="1935"/>
      <c r="CD55" s="1878"/>
      <c r="CE55" s="1935"/>
      <c r="CF55" s="1878"/>
      <c r="CG55" s="1935"/>
      <c r="CH55" s="1878"/>
      <c r="CI55" s="1935"/>
      <c r="CJ55" s="1878"/>
      <c r="CK55" s="1935"/>
      <c r="CL55" s="1878"/>
      <c r="CM55" s="1935"/>
      <c r="CN55" s="1878"/>
      <c r="CO55" s="1935"/>
      <c r="CP55" s="1878"/>
      <c r="CQ55" s="1935"/>
      <c r="CR55" s="1878"/>
      <c r="CS55" s="1935"/>
      <c r="CT55" s="1878"/>
      <c r="CU55" s="1935"/>
      <c r="CV55" s="1878"/>
      <c r="CW55" s="1935"/>
      <c r="CX55" s="1878"/>
      <c r="CY55" s="1935"/>
      <c r="CZ55" s="1878"/>
      <c r="DA55" s="1935"/>
      <c r="DB55" s="1878"/>
      <c r="DC55" s="1935"/>
      <c r="DD55" s="1878"/>
      <c r="DE55" s="1935"/>
      <c r="DF55" s="1878"/>
      <c r="DG55" s="1935"/>
      <c r="DH55" s="1878"/>
      <c r="DI55" s="1935"/>
      <c r="DJ55" s="1878"/>
      <c r="DK55" s="1935"/>
      <c r="DL55" s="1878"/>
      <c r="DM55" s="1935"/>
      <c r="DN55" s="1878"/>
      <c r="DO55" s="1935"/>
      <c r="DP55" s="1878"/>
      <c r="DQ55" s="1935"/>
      <c r="DR55" s="1878"/>
      <c r="DS55" s="1935"/>
      <c r="DT55" s="1878"/>
      <c r="DU55" s="1935"/>
      <c r="DV55" s="1878"/>
      <c r="DW55" s="1935"/>
      <c r="DX55" s="1878"/>
      <c r="DY55" s="1935"/>
      <c r="DZ55" s="1878"/>
      <c r="EA55" s="1935"/>
      <c r="EB55" s="1878"/>
      <c r="EC55" s="1935"/>
      <c r="ED55" s="1878"/>
      <c r="EE55" s="1935"/>
      <c r="EF55" s="1878"/>
      <c r="EG55" s="1935"/>
      <c r="EH55" s="1878"/>
      <c r="EI55" s="1935"/>
      <c r="EJ55" s="1878"/>
      <c r="EK55" s="1935"/>
      <c r="EL55" s="1878"/>
      <c r="EM55" s="1935"/>
      <c r="EN55" s="1878"/>
      <c r="EO55" s="1935"/>
      <c r="EP55" s="1878"/>
      <c r="EQ55" s="1935"/>
      <c r="ER55" s="1878"/>
      <c r="ES55" s="1935"/>
      <c r="ET55" s="1878"/>
      <c r="EU55" s="1935"/>
      <c r="EV55" s="1878"/>
      <c r="EW55" s="1935"/>
      <c r="EX55" s="1878"/>
      <c r="EY55" s="1935"/>
      <c r="EZ55" s="1878"/>
      <c r="FA55" s="1935"/>
      <c r="FB55" s="1878"/>
      <c r="FC55" s="1935"/>
      <c r="FD55" s="1878"/>
      <c r="FE55" s="1935"/>
      <c r="FF55" s="1878"/>
      <c r="FG55" s="1935"/>
      <c r="FH55" s="1878"/>
      <c r="FI55" s="1935"/>
      <c r="FJ55" s="1878"/>
      <c r="FK55" s="1935"/>
      <c r="FL55" s="1878"/>
      <c r="FM55" s="1935"/>
      <c r="FN55" s="1878"/>
      <c r="FO55" s="1935"/>
      <c r="FP55" s="1878"/>
      <c r="FQ55" s="1935"/>
      <c r="FR55" s="1878"/>
      <c r="FS55" s="1935"/>
      <c r="FT55" s="1878"/>
      <c r="FU55" s="1935"/>
      <c r="FV55" s="1878"/>
      <c r="FW55" s="1935"/>
      <c r="FX55" s="1878"/>
      <c r="FY55" s="1935"/>
      <c r="FZ55" s="1878"/>
      <c r="GA55" s="1935"/>
      <c r="GB55" s="1878"/>
      <c r="GC55" s="1935"/>
      <c r="GD55" s="1878"/>
      <c r="GE55" s="1935"/>
      <c r="GF55" s="1878"/>
      <c r="GG55" s="1935"/>
      <c r="GH55" s="1878"/>
      <c r="GI55" s="1935"/>
      <c r="GJ55" s="1878"/>
      <c r="GK55" s="1935"/>
      <c r="GL55" s="1878"/>
      <c r="GM55" s="201"/>
    </row>
    <row r="56" spans="1:195" s="1910" customFormat="1" ht="11.25" hidden="1" customHeight="1">
      <c r="A56" s="3628"/>
      <c r="B56" s="409"/>
      <c r="D56" s="557" t="s">
        <v>1153</v>
      </c>
      <c r="E56" s="563" t="s">
        <v>1145</v>
      </c>
      <c r="F56" s="552" t="s">
        <v>1130</v>
      </c>
      <c r="G56" s="560"/>
      <c r="H56" s="893"/>
      <c r="I56" s="560"/>
      <c r="J56" s="893"/>
      <c r="K56" s="1935"/>
      <c r="L56" s="1878"/>
      <c r="M56" s="1935"/>
      <c r="N56" s="1878"/>
      <c r="O56" s="1935"/>
      <c r="P56" s="1878"/>
      <c r="Q56" s="1935"/>
      <c r="R56" s="1878"/>
      <c r="S56" s="1935"/>
      <c r="T56" s="1878"/>
      <c r="U56" s="1935"/>
      <c r="V56" s="1878"/>
      <c r="W56" s="1935"/>
      <c r="X56" s="1878"/>
      <c r="Y56" s="1935"/>
      <c r="Z56" s="1878"/>
      <c r="AA56" s="1935"/>
      <c r="AB56" s="1878"/>
      <c r="AC56" s="1935"/>
      <c r="AD56" s="1878"/>
      <c r="AE56" s="1935"/>
      <c r="AF56" s="1878"/>
      <c r="AG56" s="1935"/>
      <c r="AH56" s="1878"/>
      <c r="AI56" s="1935"/>
      <c r="AJ56" s="1878"/>
      <c r="AK56" s="1935"/>
      <c r="AL56" s="1878"/>
      <c r="AM56" s="1935"/>
      <c r="AN56" s="1878"/>
      <c r="AO56" s="1935"/>
      <c r="AP56" s="1878"/>
      <c r="AQ56" s="1935"/>
      <c r="AR56" s="1878"/>
      <c r="AS56" s="1935"/>
      <c r="AT56" s="1878"/>
      <c r="AU56" s="1935"/>
      <c r="AV56" s="1878"/>
      <c r="AW56" s="1935"/>
      <c r="AX56" s="1878"/>
      <c r="AY56" s="1935"/>
      <c r="AZ56" s="1878"/>
      <c r="BA56" s="1935"/>
      <c r="BB56" s="1878"/>
      <c r="BC56" s="1935"/>
      <c r="BD56" s="1878"/>
      <c r="BE56" s="1935"/>
      <c r="BF56" s="1878"/>
      <c r="BG56" s="1935"/>
      <c r="BH56" s="1878"/>
      <c r="BI56" s="1935"/>
      <c r="BJ56" s="1878"/>
      <c r="BK56" s="1935"/>
      <c r="BL56" s="1878"/>
      <c r="BM56" s="1935"/>
      <c r="BN56" s="1878"/>
      <c r="BO56" s="1935"/>
      <c r="BP56" s="1878"/>
      <c r="BQ56" s="1935"/>
      <c r="BR56" s="1878"/>
      <c r="BS56" s="1935"/>
      <c r="BT56" s="1878"/>
      <c r="BU56" s="1935"/>
      <c r="BV56" s="1878"/>
      <c r="BW56" s="1935"/>
      <c r="BX56" s="1878"/>
      <c r="BY56" s="1935"/>
      <c r="BZ56" s="1878"/>
      <c r="CA56" s="1935"/>
      <c r="CB56" s="1878"/>
      <c r="CC56" s="1935"/>
      <c r="CD56" s="1878"/>
      <c r="CE56" s="1935"/>
      <c r="CF56" s="1878"/>
      <c r="CG56" s="1935"/>
      <c r="CH56" s="1878"/>
      <c r="CI56" s="1935"/>
      <c r="CJ56" s="1878"/>
      <c r="CK56" s="1935"/>
      <c r="CL56" s="1878"/>
      <c r="CM56" s="1935"/>
      <c r="CN56" s="1878"/>
      <c r="CO56" s="1935"/>
      <c r="CP56" s="1878"/>
      <c r="CQ56" s="1935"/>
      <c r="CR56" s="1878"/>
      <c r="CS56" s="1935"/>
      <c r="CT56" s="1878"/>
      <c r="CU56" s="1935"/>
      <c r="CV56" s="1878"/>
      <c r="CW56" s="1935"/>
      <c r="CX56" s="1878"/>
      <c r="CY56" s="1935"/>
      <c r="CZ56" s="1878"/>
      <c r="DA56" s="1935"/>
      <c r="DB56" s="1878"/>
      <c r="DC56" s="1935"/>
      <c r="DD56" s="1878"/>
      <c r="DE56" s="1935"/>
      <c r="DF56" s="1878"/>
      <c r="DG56" s="1935"/>
      <c r="DH56" s="1878"/>
      <c r="DI56" s="1935"/>
      <c r="DJ56" s="1878"/>
      <c r="DK56" s="1935"/>
      <c r="DL56" s="1878"/>
      <c r="DM56" s="1935"/>
      <c r="DN56" s="1878"/>
      <c r="DO56" s="1935"/>
      <c r="DP56" s="1878"/>
      <c r="DQ56" s="1935"/>
      <c r="DR56" s="1878"/>
      <c r="DS56" s="1935"/>
      <c r="DT56" s="1878"/>
      <c r="DU56" s="1935"/>
      <c r="DV56" s="1878"/>
      <c r="DW56" s="1935"/>
      <c r="DX56" s="1878"/>
      <c r="DY56" s="1935"/>
      <c r="DZ56" s="1878"/>
      <c r="EA56" s="1935"/>
      <c r="EB56" s="1878"/>
      <c r="EC56" s="1935"/>
      <c r="ED56" s="1878"/>
      <c r="EE56" s="1935"/>
      <c r="EF56" s="1878"/>
      <c r="EG56" s="1935"/>
      <c r="EH56" s="1878"/>
      <c r="EI56" s="1935"/>
      <c r="EJ56" s="1878"/>
      <c r="EK56" s="1935"/>
      <c r="EL56" s="1878"/>
      <c r="EM56" s="1935"/>
      <c r="EN56" s="1878"/>
      <c r="EO56" s="1935"/>
      <c r="EP56" s="1878"/>
      <c r="EQ56" s="1935"/>
      <c r="ER56" s="1878"/>
      <c r="ES56" s="1935"/>
      <c r="ET56" s="1878"/>
      <c r="EU56" s="1935"/>
      <c r="EV56" s="1878"/>
      <c r="EW56" s="1935"/>
      <c r="EX56" s="1878"/>
      <c r="EY56" s="1935"/>
      <c r="EZ56" s="1878"/>
      <c r="FA56" s="1935"/>
      <c r="FB56" s="1878"/>
      <c r="FC56" s="1935"/>
      <c r="FD56" s="1878"/>
      <c r="FE56" s="1935"/>
      <c r="FF56" s="1878"/>
      <c r="FG56" s="1935"/>
      <c r="FH56" s="1878"/>
      <c r="FI56" s="1935"/>
      <c r="FJ56" s="1878"/>
      <c r="FK56" s="1935"/>
      <c r="FL56" s="1878"/>
      <c r="FM56" s="1935"/>
      <c r="FN56" s="1878"/>
      <c r="FO56" s="1935"/>
      <c r="FP56" s="1878"/>
      <c r="FQ56" s="1935"/>
      <c r="FR56" s="1878"/>
      <c r="FS56" s="1935"/>
      <c r="FT56" s="1878"/>
      <c r="FU56" s="1935"/>
      <c r="FV56" s="1878"/>
      <c r="FW56" s="1935"/>
      <c r="FX56" s="1878"/>
      <c r="FY56" s="1935"/>
      <c r="FZ56" s="1878"/>
      <c r="GA56" s="1935"/>
      <c r="GB56" s="1878"/>
      <c r="GC56" s="1935"/>
      <c r="GD56" s="1878"/>
      <c r="GE56" s="1935"/>
      <c r="GF56" s="1878"/>
      <c r="GG56" s="1935"/>
      <c r="GH56" s="1878"/>
      <c r="GI56" s="1935"/>
      <c r="GJ56" s="1878"/>
      <c r="GK56" s="1935"/>
      <c r="GL56" s="1878"/>
      <c r="GM56" s="201"/>
    </row>
    <row r="57" spans="1:195" s="1910" customFormat="1" ht="11.25" hidden="1" customHeight="1">
      <c r="A57" s="3628"/>
      <c r="B57" s="409"/>
      <c r="D57" s="557" t="s">
        <v>1154</v>
      </c>
      <c r="E57" s="563" t="s">
        <v>1147</v>
      </c>
      <c r="F57" s="552" t="s">
        <v>1130</v>
      </c>
      <c r="G57" s="560"/>
      <c r="H57" s="893"/>
      <c r="I57" s="560"/>
      <c r="J57" s="893"/>
      <c r="K57" s="1935"/>
      <c r="L57" s="1878"/>
      <c r="M57" s="1935"/>
      <c r="N57" s="1878"/>
      <c r="O57" s="1935"/>
      <c r="P57" s="1878"/>
      <c r="Q57" s="1935"/>
      <c r="R57" s="1878"/>
      <c r="S57" s="1935"/>
      <c r="T57" s="1878"/>
      <c r="U57" s="1935"/>
      <c r="V57" s="1878"/>
      <c r="W57" s="1935"/>
      <c r="X57" s="1878"/>
      <c r="Y57" s="1935"/>
      <c r="Z57" s="1878"/>
      <c r="AA57" s="1935"/>
      <c r="AB57" s="1878"/>
      <c r="AC57" s="1935"/>
      <c r="AD57" s="1878"/>
      <c r="AE57" s="1935"/>
      <c r="AF57" s="1878"/>
      <c r="AG57" s="1935"/>
      <c r="AH57" s="1878"/>
      <c r="AI57" s="1935"/>
      <c r="AJ57" s="1878"/>
      <c r="AK57" s="1935"/>
      <c r="AL57" s="1878"/>
      <c r="AM57" s="1935"/>
      <c r="AN57" s="1878"/>
      <c r="AO57" s="1935"/>
      <c r="AP57" s="1878"/>
      <c r="AQ57" s="1935"/>
      <c r="AR57" s="1878"/>
      <c r="AS57" s="1935"/>
      <c r="AT57" s="1878"/>
      <c r="AU57" s="1935"/>
      <c r="AV57" s="1878"/>
      <c r="AW57" s="1935"/>
      <c r="AX57" s="1878"/>
      <c r="AY57" s="1935"/>
      <c r="AZ57" s="1878"/>
      <c r="BA57" s="1935"/>
      <c r="BB57" s="1878"/>
      <c r="BC57" s="1935"/>
      <c r="BD57" s="1878"/>
      <c r="BE57" s="1935"/>
      <c r="BF57" s="1878"/>
      <c r="BG57" s="1935"/>
      <c r="BH57" s="1878"/>
      <c r="BI57" s="1935"/>
      <c r="BJ57" s="1878"/>
      <c r="BK57" s="1935"/>
      <c r="BL57" s="1878"/>
      <c r="BM57" s="1935"/>
      <c r="BN57" s="1878"/>
      <c r="BO57" s="1935"/>
      <c r="BP57" s="1878"/>
      <c r="BQ57" s="1935"/>
      <c r="BR57" s="1878"/>
      <c r="BS57" s="1935"/>
      <c r="BT57" s="1878"/>
      <c r="BU57" s="1935"/>
      <c r="BV57" s="1878"/>
      <c r="BW57" s="1935"/>
      <c r="BX57" s="1878"/>
      <c r="BY57" s="1935"/>
      <c r="BZ57" s="1878"/>
      <c r="CA57" s="1935"/>
      <c r="CB57" s="1878"/>
      <c r="CC57" s="1935"/>
      <c r="CD57" s="1878"/>
      <c r="CE57" s="1935"/>
      <c r="CF57" s="1878"/>
      <c r="CG57" s="1935"/>
      <c r="CH57" s="1878"/>
      <c r="CI57" s="1935"/>
      <c r="CJ57" s="1878"/>
      <c r="CK57" s="1935"/>
      <c r="CL57" s="1878"/>
      <c r="CM57" s="1935"/>
      <c r="CN57" s="1878"/>
      <c r="CO57" s="1935"/>
      <c r="CP57" s="1878"/>
      <c r="CQ57" s="1935"/>
      <c r="CR57" s="1878"/>
      <c r="CS57" s="1935"/>
      <c r="CT57" s="1878"/>
      <c r="CU57" s="1935"/>
      <c r="CV57" s="1878"/>
      <c r="CW57" s="1935"/>
      <c r="CX57" s="1878"/>
      <c r="CY57" s="1935"/>
      <c r="CZ57" s="1878"/>
      <c r="DA57" s="1935"/>
      <c r="DB57" s="1878"/>
      <c r="DC57" s="1935"/>
      <c r="DD57" s="1878"/>
      <c r="DE57" s="1935"/>
      <c r="DF57" s="1878"/>
      <c r="DG57" s="1935"/>
      <c r="DH57" s="1878"/>
      <c r="DI57" s="1935"/>
      <c r="DJ57" s="1878"/>
      <c r="DK57" s="1935"/>
      <c r="DL57" s="1878"/>
      <c r="DM57" s="1935"/>
      <c r="DN57" s="1878"/>
      <c r="DO57" s="1935"/>
      <c r="DP57" s="1878"/>
      <c r="DQ57" s="1935"/>
      <c r="DR57" s="1878"/>
      <c r="DS57" s="1935"/>
      <c r="DT57" s="1878"/>
      <c r="DU57" s="1935"/>
      <c r="DV57" s="1878"/>
      <c r="DW57" s="1935"/>
      <c r="DX57" s="1878"/>
      <c r="DY57" s="1935"/>
      <c r="DZ57" s="1878"/>
      <c r="EA57" s="1935"/>
      <c r="EB57" s="1878"/>
      <c r="EC57" s="1935"/>
      <c r="ED57" s="1878"/>
      <c r="EE57" s="1935"/>
      <c r="EF57" s="1878"/>
      <c r="EG57" s="1935"/>
      <c r="EH57" s="1878"/>
      <c r="EI57" s="1935"/>
      <c r="EJ57" s="1878"/>
      <c r="EK57" s="1935"/>
      <c r="EL57" s="1878"/>
      <c r="EM57" s="1935"/>
      <c r="EN57" s="1878"/>
      <c r="EO57" s="1935"/>
      <c r="EP57" s="1878"/>
      <c r="EQ57" s="1935"/>
      <c r="ER57" s="1878"/>
      <c r="ES57" s="1935"/>
      <c r="ET57" s="1878"/>
      <c r="EU57" s="1935"/>
      <c r="EV57" s="1878"/>
      <c r="EW57" s="1935"/>
      <c r="EX57" s="1878"/>
      <c r="EY57" s="1935"/>
      <c r="EZ57" s="1878"/>
      <c r="FA57" s="1935"/>
      <c r="FB57" s="1878"/>
      <c r="FC57" s="1935"/>
      <c r="FD57" s="1878"/>
      <c r="FE57" s="1935"/>
      <c r="FF57" s="1878"/>
      <c r="FG57" s="1935"/>
      <c r="FH57" s="1878"/>
      <c r="FI57" s="1935"/>
      <c r="FJ57" s="1878"/>
      <c r="FK57" s="1935"/>
      <c r="FL57" s="1878"/>
      <c r="FM57" s="1935"/>
      <c r="FN57" s="1878"/>
      <c r="FO57" s="1935"/>
      <c r="FP57" s="1878"/>
      <c r="FQ57" s="1935"/>
      <c r="FR57" s="1878"/>
      <c r="FS57" s="1935"/>
      <c r="FT57" s="1878"/>
      <c r="FU57" s="1935"/>
      <c r="FV57" s="1878"/>
      <c r="FW57" s="1935"/>
      <c r="FX57" s="1878"/>
      <c r="FY57" s="1935"/>
      <c r="FZ57" s="1878"/>
      <c r="GA57" s="1935"/>
      <c r="GB57" s="1878"/>
      <c r="GC57" s="1935"/>
      <c r="GD57" s="1878"/>
      <c r="GE57" s="1935"/>
      <c r="GF57" s="1878"/>
      <c r="GG57" s="1935"/>
      <c r="GH57" s="1878"/>
      <c r="GI57" s="1935"/>
      <c r="GJ57" s="1878"/>
      <c r="GK57" s="1935"/>
      <c r="GL57" s="1878"/>
      <c r="GM57" s="201"/>
    </row>
    <row r="58" spans="1:195" s="1910" customFormat="1" ht="11.25" hidden="1" customHeight="1">
      <c r="A58" s="3628"/>
      <c r="B58" s="409"/>
      <c r="D58" s="557" t="s">
        <v>582</v>
      </c>
      <c r="E58" s="559" t="s">
        <v>1149</v>
      </c>
      <c r="F58" s="552" t="s">
        <v>1130</v>
      </c>
      <c r="G58" s="560"/>
      <c r="H58" s="893"/>
      <c r="I58" s="560"/>
      <c r="J58" s="893"/>
      <c r="K58" s="1935"/>
      <c r="L58" s="1878"/>
      <c r="M58" s="1935"/>
      <c r="N58" s="1878"/>
      <c r="O58" s="1935"/>
      <c r="P58" s="1878"/>
      <c r="Q58" s="1935"/>
      <c r="R58" s="1878"/>
      <c r="S58" s="1935"/>
      <c r="T58" s="1878"/>
      <c r="U58" s="1935"/>
      <c r="V58" s="1878"/>
      <c r="W58" s="1935"/>
      <c r="X58" s="1878"/>
      <c r="Y58" s="1935"/>
      <c r="Z58" s="1878"/>
      <c r="AA58" s="1935"/>
      <c r="AB58" s="1878"/>
      <c r="AC58" s="1935"/>
      <c r="AD58" s="1878"/>
      <c r="AE58" s="1935"/>
      <c r="AF58" s="1878"/>
      <c r="AG58" s="1935"/>
      <c r="AH58" s="1878"/>
      <c r="AI58" s="1935"/>
      <c r="AJ58" s="1878"/>
      <c r="AK58" s="1935"/>
      <c r="AL58" s="1878"/>
      <c r="AM58" s="1935"/>
      <c r="AN58" s="1878"/>
      <c r="AO58" s="1935"/>
      <c r="AP58" s="1878"/>
      <c r="AQ58" s="1935"/>
      <c r="AR58" s="1878"/>
      <c r="AS58" s="1935"/>
      <c r="AT58" s="1878"/>
      <c r="AU58" s="1935"/>
      <c r="AV58" s="1878"/>
      <c r="AW58" s="1935"/>
      <c r="AX58" s="1878"/>
      <c r="AY58" s="1935"/>
      <c r="AZ58" s="1878"/>
      <c r="BA58" s="1935"/>
      <c r="BB58" s="1878"/>
      <c r="BC58" s="1935"/>
      <c r="BD58" s="1878"/>
      <c r="BE58" s="1935"/>
      <c r="BF58" s="1878"/>
      <c r="BG58" s="1935"/>
      <c r="BH58" s="1878"/>
      <c r="BI58" s="1935"/>
      <c r="BJ58" s="1878"/>
      <c r="BK58" s="1935"/>
      <c r="BL58" s="1878"/>
      <c r="BM58" s="1935"/>
      <c r="BN58" s="1878"/>
      <c r="BO58" s="1935"/>
      <c r="BP58" s="1878"/>
      <c r="BQ58" s="1935"/>
      <c r="BR58" s="1878"/>
      <c r="BS58" s="1935"/>
      <c r="BT58" s="1878"/>
      <c r="BU58" s="1935"/>
      <c r="BV58" s="1878"/>
      <c r="BW58" s="1935"/>
      <c r="BX58" s="1878"/>
      <c r="BY58" s="1935"/>
      <c r="BZ58" s="1878"/>
      <c r="CA58" s="1935"/>
      <c r="CB58" s="1878"/>
      <c r="CC58" s="1935"/>
      <c r="CD58" s="1878"/>
      <c r="CE58" s="1935"/>
      <c r="CF58" s="1878"/>
      <c r="CG58" s="1935"/>
      <c r="CH58" s="1878"/>
      <c r="CI58" s="1935"/>
      <c r="CJ58" s="1878"/>
      <c r="CK58" s="1935"/>
      <c r="CL58" s="1878"/>
      <c r="CM58" s="1935"/>
      <c r="CN58" s="1878"/>
      <c r="CO58" s="1935"/>
      <c r="CP58" s="1878"/>
      <c r="CQ58" s="1935"/>
      <c r="CR58" s="1878"/>
      <c r="CS58" s="1935"/>
      <c r="CT58" s="1878"/>
      <c r="CU58" s="1935"/>
      <c r="CV58" s="1878"/>
      <c r="CW58" s="1935"/>
      <c r="CX58" s="1878"/>
      <c r="CY58" s="1935"/>
      <c r="CZ58" s="1878"/>
      <c r="DA58" s="1935"/>
      <c r="DB58" s="1878"/>
      <c r="DC58" s="1935"/>
      <c r="DD58" s="1878"/>
      <c r="DE58" s="1935"/>
      <c r="DF58" s="1878"/>
      <c r="DG58" s="1935"/>
      <c r="DH58" s="1878"/>
      <c r="DI58" s="1935"/>
      <c r="DJ58" s="1878"/>
      <c r="DK58" s="1935"/>
      <c r="DL58" s="1878"/>
      <c r="DM58" s="1935"/>
      <c r="DN58" s="1878"/>
      <c r="DO58" s="1935"/>
      <c r="DP58" s="1878"/>
      <c r="DQ58" s="1935"/>
      <c r="DR58" s="1878"/>
      <c r="DS58" s="1935"/>
      <c r="DT58" s="1878"/>
      <c r="DU58" s="1935"/>
      <c r="DV58" s="1878"/>
      <c r="DW58" s="1935"/>
      <c r="DX58" s="1878"/>
      <c r="DY58" s="1935"/>
      <c r="DZ58" s="1878"/>
      <c r="EA58" s="1935"/>
      <c r="EB58" s="1878"/>
      <c r="EC58" s="1935"/>
      <c r="ED58" s="1878"/>
      <c r="EE58" s="1935"/>
      <c r="EF58" s="1878"/>
      <c r="EG58" s="1935"/>
      <c r="EH58" s="1878"/>
      <c r="EI58" s="1935"/>
      <c r="EJ58" s="1878"/>
      <c r="EK58" s="1935"/>
      <c r="EL58" s="1878"/>
      <c r="EM58" s="1935"/>
      <c r="EN58" s="1878"/>
      <c r="EO58" s="1935"/>
      <c r="EP58" s="1878"/>
      <c r="EQ58" s="1935"/>
      <c r="ER58" s="1878"/>
      <c r="ES58" s="1935"/>
      <c r="ET58" s="1878"/>
      <c r="EU58" s="1935"/>
      <c r="EV58" s="1878"/>
      <c r="EW58" s="1935"/>
      <c r="EX58" s="1878"/>
      <c r="EY58" s="1935"/>
      <c r="EZ58" s="1878"/>
      <c r="FA58" s="1935"/>
      <c r="FB58" s="1878"/>
      <c r="FC58" s="1935"/>
      <c r="FD58" s="1878"/>
      <c r="FE58" s="1935"/>
      <c r="FF58" s="1878"/>
      <c r="FG58" s="1935"/>
      <c r="FH58" s="1878"/>
      <c r="FI58" s="1935"/>
      <c r="FJ58" s="1878"/>
      <c r="FK58" s="1935"/>
      <c r="FL58" s="1878"/>
      <c r="FM58" s="1935"/>
      <c r="FN58" s="1878"/>
      <c r="FO58" s="1935"/>
      <c r="FP58" s="1878"/>
      <c r="FQ58" s="1935"/>
      <c r="FR58" s="1878"/>
      <c r="FS58" s="1935"/>
      <c r="FT58" s="1878"/>
      <c r="FU58" s="1935"/>
      <c r="FV58" s="1878"/>
      <c r="FW58" s="1935"/>
      <c r="FX58" s="1878"/>
      <c r="FY58" s="1935"/>
      <c r="FZ58" s="1878"/>
      <c r="GA58" s="1935"/>
      <c r="GB58" s="1878"/>
      <c r="GC58" s="1935"/>
      <c r="GD58" s="1878"/>
      <c r="GE58" s="1935"/>
      <c r="GF58" s="1878"/>
      <c r="GG58" s="1935"/>
      <c r="GH58" s="1878"/>
      <c r="GI58" s="1935"/>
      <c r="GJ58" s="1878"/>
      <c r="GK58" s="1935"/>
      <c r="GL58" s="1878"/>
      <c r="GM58" s="201"/>
    </row>
    <row r="59" spans="1:195" s="1910" customFormat="1" ht="11.25" hidden="1" customHeight="1">
      <c r="A59" s="3628"/>
      <c r="B59" s="409"/>
      <c r="D59" s="557" t="s">
        <v>1155</v>
      </c>
      <c r="E59" s="559" t="s">
        <v>1151</v>
      </c>
      <c r="F59" s="552" t="s">
        <v>1130</v>
      </c>
      <c r="G59" s="560"/>
      <c r="H59" s="893"/>
      <c r="I59" s="560"/>
      <c r="J59" s="893"/>
      <c r="K59" s="1935"/>
      <c r="L59" s="1878"/>
      <c r="M59" s="1935"/>
      <c r="N59" s="1878"/>
      <c r="O59" s="1935"/>
      <c r="P59" s="1878"/>
      <c r="Q59" s="1935"/>
      <c r="R59" s="1878"/>
      <c r="S59" s="1935"/>
      <c r="T59" s="1878"/>
      <c r="U59" s="1935"/>
      <c r="V59" s="1878"/>
      <c r="W59" s="1935"/>
      <c r="X59" s="1878"/>
      <c r="Y59" s="1935"/>
      <c r="Z59" s="1878"/>
      <c r="AA59" s="1935"/>
      <c r="AB59" s="1878"/>
      <c r="AC59" s="1935"/>
      <c r="AD59" s="1878"/>
      <c r="AE59" s="1935"/>
      <c r="AF59" s="1878"/>
      <c r="AG59" s="1935"/>
      <c r="AH59" s="1878"/>
      <c r="AI59" s="1935"/>
      <c r="AJ59" s="1878"/>
      <c r="AK59" s="1935"/>
      <c r="AL59" s="1878"/>
      <c r="AM59" s="1935"/>
      <c r="AN59" s="1878"/>
      <c r="AO59" s="1935"/>
      <c r="AP59" s="1878"/>
      <c r="AQ59" s="1935"/>
      <c r="AR59" s="1878"/>
      <c r="AS59" s="1935"/>
      <c r="AT59" s="1878"/>
      <c r="AU59" s="1935"/>
      <c r="AV59" s="1878"/>
      <c r="AW59" s="1935"/>
      <c r="AX59" s="1878"/>
      <c r="AY59" s="1935"/>
      <c r="AZ59" s="1878"/>
      <c r="BA59" s="1935"/>
      <c r="BB59" s="1878"/>
      <c r="BC59" s="1935"/>
      <c r="BD59" s="1878"/>
      <c r="BE59" s="1935"/>
      <c r="BF59" s="1878"/>
      <c r="BG59" s="1935"/>
      <c r="BH59" s="1878"/>
      <c r="BI59" s="1935"/>
      <c r="BJ59" s="1878"/>
      <c r="BK59" s="1935"/>
      <c r="BL59" s="1878"/>
      <c r="BM59" s="1935"/>
      <c r="BN59" s="1878"/>
      <c r="BO59" s="1935"/>
      <c r="BP59" s="1878"/>
      <c r="BQ59" s="1935"/>
      <c r="BR59" s="1878"/>
      <c r="BS59" s="1935"/>
      <c r="BT59" s="1878"/>
      <c r="BU59" s="1935"/>
      <c r="BV59" s="1878"/>
      <c r="BW59" s="1935"/>
      <c r="BX59" s="1878"/>
      <c r="BY59" s="1935"/>
      <c r="BZ59" s="1878"/>
      <c r="CA59" s="1935"/>
      <c r="CB59" s="1878"/>
      <c r="CC59" s="1935"/>
      <c r="CD59" s="1878"/>
      <c r="CE59" s="1935"/>
      <c r="CF59" s="1878"/>
      <c r="CG59" s="1935"/>
      <c r="CH59" s="1878"/>
      <c r="CI59" s="1935"/>
      <c r="CJ59" s="1878"/>
      <c r="CK59" s="1935"/>
      <c r="CL59" s="1878"/>
      <c r="CM59" s="1935"/>
      <c r="CN59" s="1878"/>
      <c r="CO59" s="1935"/>
      <c r="CP59" s="1878"/>
      <c r="CQ59" s="1935"/>
      <c r="CR59" s="1878"/>
      <c r="CS59" s="1935"/>
      <c r="CT59" s="1878"/>
      <c r="CU59" s="1935"/>
      <c r="CV59" s="1878"/>
      <c r="CW59" s="1935"/>
      <c r="CX59" s="1878"/>
      <c r="CY59" s="1935"/>
      <c r="CZ59" s="1878"/>
      <c r="DA59" s="1935"/>
      <c r="DB59" s="1878"/>
      <c r="DC59" s="1935"/>
      <c r="DD59" s="1878"/>
      <c r="DE59" s="1935"/>
      <c r="DF59" s="1878"/>
      <c r="DG59" s="1935"/>
      <c r="DH59" s="1878"/>
      <c r="DI59" s="1935"/>
      <c r="DJ59" s="1878"/>
      <c r="DK59" s="1935"/>
      <c r="DL59" s="1878"/>
      <c r="DM59" s="1935"/>
      <c r="DN59" s="1878"/>
      <c r="DO59" s="1935"/>
      <c r="DP59" s="1878"/>
      <c r="DQ59" s="1935"/>
      <c r="DR59" s="1878"/>
      <c r="DS59" s="1935"/>
      <c r="DT59" s="1878"/>
      <c r="DU59" s="1935"/>
      <c r="DV59" s="1878"/>
      <c r="DW59" s="1935"/>
      <c r="DX59" s="1878"/>
      <c r="DY59" s="1935"/>
      <c r="DZ59" s="1878"/>
      <c r="EA59" s="1935"/>
      <c r="EB59" s="1878"/>
      <c r="EC59" s="1935"/>
      <c r="ED59" s="1878"/>
      <c r="EE59" s="1935"/>
      <c r="EF59" s="1878"/>
      <c r="EG59" s="1935"/>
      <c r="EH59" s="1878"/>
      <c r="EI59" s="1935"/>
      <c r="EJ59" s="1878"/>
      <c r="EK59" s="1935"/>
      <c r="EL59" s="1878"/>
      <c r="EM59" s="1935"/>
      <c r="EN59" s="1878"/>
      <c r="EO59" s="1935"/>
      <c r="EP59" s="1878"/>
      <c r="EQ59" s="1935"/>
      <c r="ER59" s="1878"/>
      <c r="ES59" s="1935"/>
      <c r="ET59" s="1878"/>
      <c r="EU59" s="1935"/>
      <c r="EV59" s="1878"/>
      <c r="EW59" s="1935"/>
      <c r="EX59" s="1878"/>
      <c r="EY59" s="1935"/>
      <c r="EZ59" s="1878"/>
      <c r="FA59" s="1935"/>
      <c r="FB59" s="1878"/>
      <c r="FC59" s="1935"/>
      <c r="FD59" s="1878"/>
      <c r="FE59" s="1935"/>
      <c r="FF59" s="1878"/>
      <c r="FG59" s="1935"/>
      <c r="FH59" s="1878"/>
      <c r="FI59" s="1935"/>
      <c r="FJ59" s="1878"/>
      <c r="FK59" s="1935"/>
      <c r="FL59" s="1878"/>
      <c r="FM59" s="1935"/>
      <c r="FN59" s="1878"/>
      <c r="FO59" s="1935"/>
      <c r="FP59" s="1878"/>
      <c r="FQ59" s="1935"/>
      <c r="FR59" s="1878"/>
      <c r="FS59" s="1935"/>
      <c r="FT59" s="1878"/>
      <c r="FU59" s="1935"/>
      <c r="FV59" s="1878"/>
      <c r="FW59" s="1935"/>
      <c r="FX59" s="1878"/>
      <c r="FY59" s="1935"/>
      <c r="FZ59" s="1878"/>
      <c r="GA59" s="1935"/>
      <c r="GB59" s="1878"/>
      <c r="GC59" s="1935"/>
      <c r="GD59" s="1878"/>
      <c r="GE59" s="1935"/>
      <c r="GF59" s="1878"/>
      <c r="GG59" s="1935"/>
      <c r="GH59" s="1878"/>
      <c r="GI59" s="1935"/>
      <c r="GJ59" s="1878"/>
      <c r="GK59" s="1935"/>
      <c r="GL59" s="1878"/>
      <c r="GM59" s="201"/>
    </row>
    <row r="60" spans="1:195" s="1910" customFormat="1" ht="33.75" hidden="1" customHeight="1">
      <c r="A60" s="3628"/>
      <c r="B60" s="409"/>
      <c r="D60" s="557" t="s">
        <v>89</v>
      </c>
      <c r="E60" s="558" t="s">
        <v>1156</v>
      </c>
      <c r="F60" s="611" t="s">
        <v>823</v>
      </c>
      <c r="G60" s="631"/>
      <c r="H60" s="893"/>
      <c r="I60" s="631"/>
      <c r="J60" s="893"/>
      <c r="K60" s="1861"/>
      <c r="L60" s="1878"/>
      <c r="M60" s="1861"/>
      <c r="N60" s="1878"/>
      <c r="O60" s="1861"/>
      <c r="P60" s="1878"/>
      <c r="Q60" s="1861"/>
      <c r="R60" s="1878"/>
      <c r="S60" s="1861"/>
      <c r="T60" s="1878"/>
      <c r="U60" s="1861"/>
      <c r="V60" s="1878"/>
      <c r="W60" s="1861"/>
      <c r="X60" s="1878"/>
      <c r="Y60" s="1861"/>
      <c r="Z60" s="1878"/>
      <c r="AA60" s="1861"/>
      <c r="AB60" s="1878"/>
      <c r="AC60" s="1861"/>
      <c r="AD60" s="1878"/>
      <c r="AE60" s="1861"/>
      <c r="AF60" s="1878"/>
      <c r="AG60" s="1861"/>
      <c r="AH60" s="1878"/>
      <c r="AI60" s="1861"/>
      <c r="AJ60" s="1878"/>
      <c r="AK60" s="1861"/>
      <c r="AL60" s="1878"/>
      <c r="AM60" s="1861"/>
      <c r="AN60" s="1878"/>
      <c r="AO60" s="1861"/>
      <c r="AP60" s="1878"/>
      <c r="AQ60" s="1861"/>
      <c r="AR60" s="1878"/>
      <c r="AS60" s="1861"/>
      <c r="AT60" s="1878"/>
      <c r="AU60" s="1861"/>
      <c r="AV60" s="1878"/>
      <c r="AW60" s="1861"/>
      <c r="AX60" s="1878"/>
      <c r="AY60" s="1861"/>
      <c r="AZ60" s="1878"/>
      <c r="BA60" s="1861"/>
      <c r="BB60" s="1878"/>
      <c r="BC60" s="1861"/>
      <c r="BD60" s="1878"/>
      <c r="BE60" s="1861"/>
      <c r="BF60" s="1878"/>
      <c r="BG60" s="1861"/>
      <c r="BH60" s="1878"/>
      <c r="BI60" s="1861"/>
      <c r="BJ60" s="1878"/>
      <c r="BK60" s="1861"/>
      <c r="BL60" s="1878"/>
      <c r="BM60" s="1861"/>
      <c r="BN60" s="1878"/>
      <c r="BO60" s="1861"/>
      <c r="BP60" s="1878"/>
      <c r="BQ60" s="1861"/>
      <c r="BR60" s="1878"/>
      <c r="BS60" s="1861"/>
      <c r="BT60" s="1878"/>
      <c r="BU60" s="1861"/>
      <c r="BV60" s="1878"/>
      <c r="BW60" s="1861"/>
      <c r="BX60" s="1878"/>
      <c r="BY60" s="1861"/>
      <c r="BZ60" s="1878"/>
      <c r="CA60" s="1861"/>
      <c r="CB60" s="1878"/>
      <c r="CC60" s="1861"/>
      <c r="CD60" s="1878"/>
      <c r="CE60" s="1861"/>
      <c r="CF60" s="1878"/>
      <c r="CG60" s="1861"/>
      <c r="CH60" s="1878"/>
      <c r="CI60" s="1861"/>
      <c r="CJ60" s="1878"/>
      <c r="CK60" s="1861"/>
      <c r="CL60" s="1878"/>
      <c r="CM60" s="1861"/>
      <c r="CN60" s="1878"/>
      <c r="CO60" s="1861"/>
      <c r="CP60" s="1878"/>
      <c r="CQ60" s="1861"/>
      <c r="CR60" s="1878"/>
      <c r="CS60" s="1861"/>
      <c r="CT60" s="1878"/>
      <c r="CU60" s="1861"/>
      <c r="CV60" s="1878"/>
      <c r="CW60" s="1861"/>
      <c r="CX60" s="1878"/>
      <c r="CY60" s="1861"/>
      <c r="CZ60" s="1878"/>
      <c r="DA60" s="1861"/>
      <c r="DB60" s="1878"/>
      <c r="DC60" s="1861"/>
      <c r="DD60" s="1878"/>
      <c r="DE60" s="1861"/>
      <c r="DF60" s="1878"/>
      <c r="DG60" s="1861"/>
      <c r="DH60" s="1878"/>
      <c r="DI60" s="1861"/>
      <c r="DJ60" s="1878"/>
      <c r="DK60" s="1861"/>
      <c r="DL60" s="1878"/>
      <c r="DM60" s="1861"/>
      <c r="DN60" s="1878"/>
      <c r="DO60" s="1861"/>
      <c r="DP60" s="1878"/>
      <c r="DQ60" s="1861"/>
      <c r="DR60" s="1878"/>
      <c r="DS60" s="1861"/>
      <c r="DT60" s="1878"/>
      <c r="DU60" s="1861"/>
      <c r="DV60" s="1878"/>
      <c r="DW60" s="1861"/>
      <c r="DX60" s="1878"/>
      <c r="DY60" s="1861"/>
      <c r="DZ60" s="1878"/>
      <c r="EA60" s="1861"/>
      <c r="EB60" s="1878"/>
      <c r="EC60" s="1861"/>
      <c r="ED60" s="1878"/>
      <c r="EE60" s="1861"/>
      <c r="EF60" s="1878"/>
      <c r="EG60" s="1861"/>
      <c r="EH60" s="1878"/>
      <c r="EI60" s="1861"/>
      <c r="EJ60" s="1878"/>
      <c r="EK60" s="1861"/>
      <c r="EL60" s="1878"/>
      <c r="EM60" s="1861"/>
      <c r="EN60" s="1878"/>
      <c r="EO60" s="1861"/>
      <c r="EP60" s="1878"/>
      <c r="EQ60" s="1861"/>
      <c r="ER60" s="1878"/>
      <c r="ES60" s="1861"/>
      <c r="ET60" s="1878"/>
      <c r="EU60" s="1861"/>
      <c r="EV60" s="1878"/>
      <c r="EW60" s="1861"/>
      <c r="EX60" s="1878"/>
      <c r="EY60" s="1861"/>
      <c r="EZ60" s="1878"/>
      <c r="FA60" s="1861"/>
      <c r="FB60" s="1878"/>
      <c r="FC60" s="1861"/>
      <c r="FD60" s="1878"/>
      <c r="FE60" s="1861"/>
      <c r="FF60" s="1878"/>
      <c r="FG60" s="1861"/>
      <c r="FH60" s="1878"/>
      <c r="FI60" s="1861"/>
      <c r="FJ60" s="1878"/>
      <c r="FK60" s="1861"/>
      <c r="FL60" s="1878"/>
      <c r="FM60" s="1861"/>
      <c r="FN60" s="1878"/>
      <c r="FO60" s="1861"/>
      <c r="FP60" s="1878"/>
      <c r="FQ60" s="1861"/>
      <c r="FR60" s="1878"/>
      <c r="FS60" s="1861"/>
      <c r="FT60" s="1878"/>
      <c r="FU60" s="1861"/>
      <c r="FV60" s="1878"/>
      <c r="FW60" s="1861"/>
      <c r="FX60" s="1878"/>
      <c r="FY60" s="1861"/>
      <c r="FZ60" s="1878"/>
      <c r="GA60" s="1861"/>
      <c r="GB60" s="1878"/>
      <c r="GC60" s="1861"/>
      <c r="GD60" s="1878"/>
      <c r="GE60" s="1861"/>
      <c r="GF60" s="1878"/>
      <c r="GG60" s="1861"/>
      <c r="GH60" s="1878"/>
      <c r="GI60" s="1861"/>
      <c r="GJ60" s="1878"/>
      <c r="GK60" s="1861"/>
      <c r="GL60" s="1878"/>
      <c r="GM60" s="213" t="s">
        <v>1157</v>
      </c>
    </row>
    <row r="61" spans="1:195" s="1910" customFormat="1" ht="33.75" hidden="1" customHeight="1">
      <c r="A61" s="3628"/>
      <c r="B61" s="409"/>
      <c r="D61" s="557" t="s">
        <v>90</v>
      </c>
      <c r="E61" s="558" t="s">
        <v>1158</v>
      </c>
      <c r="F61" s="616" t="s">
        <v>1091</v>
      </c>
      <c r="G61" s="560"/>
      <c r="H61" s="893"/>
      <c r="I61" s="560"/>
      <c r="J61" s="893"/>
      <c r="K61" s="1935"/>
      <c r="L61" s="1878"/>
      <c r="M61" s="1935"/>
      <c r="N61" s="1878"/>
      <c r="O61" s="1935"/>
      <c r="P61" s="1878"/>
      <c r="Q61" s="1935"/>
      <c r="R61" s="1878"/>
      <c r="S61" s="1935"/>
      <c r="T61" s="1878"/>
      <c r="U61" s="1935"/>
      <c r="V61" s="1878"/>
      <c r="W61" s="1935"/>
      <c r="X61" s="1878"/>
      <c r="Y61" s="1935"/>
      <c r="Z61" s="1878"/>
      <c r="AA61" s="1935"/>
      <c r="AB61" s="1878"/>
      <c r="AC61" s="1935"/>
      <c r="AD61" s="1878"/>
      <c r="AE61" s="1935"/>
      <c r="AF61" s="1878"/>
      <c r="AG61" s="1935"/>
      <c r="AH61" s="1878"/>
      <c r="AI61" s="1935"/>
      <c r="AJ61" s="1878"/>
      <c r="AK61" s="1935"/>
      <c r="AL61" s="1878"/>
      <c r="AM61" s="1935"/>
      <c r="AN61" s="1878"/>
      <c r="AO61" s="1935"/>
      <c r="AP61" s="1878"/>
      <c r="AQ61" s="1935"/>
      <c r="AR61" s="1878"/>
      <c r="AS61" s="1935"/>
      <c r="AT61" s="1878"/>
      <c r="AU61" s="1935"/>
      <c r="AV61" s="1878"/>
      <c r="AW61" s="1935"/>
      <c r="AX61" s="1878"/>
      <c r="AY61" s="1935"/>
      <c r="AZ61" s="1878"/>
      <c r="BA61" s="1935"/>
      <c r="BB61" s="1878"/>
      <c r="BC61" s="1935"/>
      <c r="BD61" s="1878"/>
      <c r="BE61" s="1935"/>
      <c r="BF61" s="1878"/>
      <c r="BG61" s="1935"/>
      <c r="BH61" s="1878"/>
      <c r="BI61" s="1935"/>
      <c r="BJ61" s="1878"/>
      <c r="BK61" s="1935"/>
      <c r="BL61" s="1878"/>
      <c r="BM61" s="1935"/>
      <c r="BN61" s="1878"/>
      <c r="BO61" s="1935"/>
      <c r="BP61" s="1878"/>
      <c r="BQ61" s="1935"/>
      <c r="BR61" s="1878"/>
      <c r="BS61" s="1935"/>
      <c r="BT61" s="1878"/>
      <c r="BU61" s="1935"/>
      <c r="BV61" s="1878"/>
      <c r="BW61" s="1935"/>
      <c r="BX61" s="1878"/>
      <c r="BY61" s="1935"/>
      <c r="BZ61" s="1878"/>
      <c r="CA61" s="1935"/>
      <c r="CB61" s="1878"/>
      <c r="CC61" s="1935"/>
      <c r="CD61" s="1878"/>
      <c r="CE61" s="1935"/>
      <c r="CF61" s="1878"/>
      <c r="CG61" s="1935"/>
      <c r="CH61" s="1878"/>
      <c r="CI61" s="1935"/>
      <c r="CJ61" s="1878"/>
      <c r="CK61" s="1935"/>
      <c r="CL61" s="1878"/>
      <c r="CM61" s="1935"/>
      <c r="CN61" s="1878"/>
      <c r="CO61" s="1935"/>
      <c r="CP61" s="1878"/>
      <c r="CQ61" s="1935"/>
      <c r="CR61" s="1878"/>
      <c r="CS61" s="1935"/>
      <c r="CT61" s="1878"/>
      <c r="CU61" s="1935"/>
      <c r="CV61" s="1878"/>
      <c r="CW61" s="1935"/>
      <c r="CX61" s="1878"/>
      <c r="CY61" s="1935"/>
      <c r="CZ61" s="1878"/>
      <c r="DA61" s="1935"/>
      <c r="DB61" s="1878"/>
      <c r="DC61" s="1935"/>
      <c r="DD61" s="1878"/>
      <c r="DE61" s="1935"/>
      <c r="DF61" s="1878"/>
      <c r="DG61" s="1935"/>
      <c r="DH61" s="1878"/>
      <c r="DI61" s="1935"/>
      <c r="DJ61" s="1878"/>
      <c r="DK61" s="1935"/>
      <c r="DL61" s="1878"/>
      <c r="DM61" s="1935"/>
      <c r="DN61" s="1878"/>
      <c r="DO61" s="1935"/>
      <c r="DP61" s="1878"/>
      <c r="DQ61" s="1935"/>
      <c r="DR61" s="1878"/>
      <c r="DS61" s="1935"/>
      <c r="DT61" s="1878"/>
      <c r="DU61" s="1935"/>
      <c r="DV61" s="1878"/>
      <c r="DW61" s="1935"/>
      <c r="DX61" s="1878"/>
      <c r="DY61" s="1935"/>
      <c r="DZ61" s="1878"/>
      <c r="EA61" s="1935"/>
      <c r="EB61" s="1878"/>
      <c r="EC61" s="1935"/>
      <c r="ED61" s="1878"/>
      <c r="EE61" s="1935"/>
      <c r="EF61" s="1878"/>
      <c r="EG61" s="1935"/>
      <c r="EH61" s="1878"/>
      <c r="EI61" s="1935"/>
      <c r="EJ61" s="1878"/>
      <c r="EK61" s="1935"/>
      <c r="EL61" s="1878"/>
      <c r="EM61" s="1935"/>
      <c r="EN61" s="1878"/>
      <c r="EO61" s="1935"/>
      <c r="EP61" s="1878"/>
      <c r="EQ61" s="1935"/>
      <c r="ER61" s="1878"/>
      <c r="ES61" s="1935"/>
      <c r="ET61" s="1878"/>
      <c r="EU61" s="1935"/>
      <c r="EV61" s="1878"/>
      <c r="EW61" s="1935"/>
      <c r="EX61" s="1878"/>
      <c r="EY61" s="1935"/>
      <c r="EZ61" s="1878"/>
      <c r="FA61" s="1935"/>
      <c r="FB61" s="1878"/>
      <c r="FC61" s="1935"/>
      <c r="FD61" s="1878"/>
      <c r="FE61" s="1935"/>
      <c r="FF61" s="1878"/>
      <c r="FG61" s="1935"/>
      <c r="FH61" s="1878"/>
      <c r="FI61" s="1935"/>
      <c r="FJ61" s="1878"/>
      <c r="FK61" s="1935"/>
      <c r="FL61" s="1878"/>
      <c r="FM61" s="1935"/>
      <c r="FN61" s="1878"/>
      <c r="FO61" s="1935"/>
      <c r="FP61" s="1878"/>
      <c r="FQ61" s="1935"/>
      <c r="FR61" s="1878"/>
      <c r="FS61" s="1935"/>
      <c r="FT61" s="1878"/>
      <c r="FU61" s="1935"/>
      <c r="FV61" s="1878"/>
      <c r="FW61" s="1935"/>
      <c r="FX61" s="1878"/>
      <c r="FY61" s="1935"/>
      <c r="FZ61" s="1878"/>
      <c r="GA61" s="1935"/>
      <c r="GB61" s="1878"/>
      <c r="GC61" s="1935"/>
      <c r="GD61" s="1878"/>
      <c r="GE61" s="1935"/>
      <c r="GF61" s="1878"/>
      <c r="GG61" s="1935"/>
      <c r="GH61" s="1878"/>
      <c r="GI61" s="1935"/>
      <c r="GJ61" s="1878"/>
      <c r="GK61" s="1935"/>
      <c r="GL61" s="1878"/>
      <c r="GM61" s="201"/>
    </row>
    <row r="62" spans="1:195" s="1910" customFormat="1" ht="22.5" hidden="1" customHeight="1">
      <c r="A62" s="3628"/>
      <c r="B62" s="409" t="s">
        <v>853</v>
      </c>
      <c r="D62" s="557" t="s">
        <v>109</v>
      </c>
      <c r="E62" s="558" t="s">
        <v>1159</v>
      </c>
      <c r="F62" s="616" t="s">
        <v>566</v>
      </c>
      <c r="G62" s="289"/>
      <c r="H62" s="893"/>
      <c r="I62" s="289"/>
      <c r="J62" s="893"/>
      <c r="K62" s="1908"/>
      <c r="L62" s="1878"/>
      <c r="M62" s="1908"/>
      <c r="N62" s="1878"/>
      <c r="O62" s="1908"/>
      <c r="P62" s="1878"/>
      <c r="Q62" s="1908"/>
      <c r="R62" s="1878"/>
      <c r="S62" s="1908"/>
      <c r="T62" s="1878"/>
      <c r="U62" s="1908"/>
      <c r="V62" s="1878"/>
      <c r="W62" s="1908"/>
      <c r="X62" s="1878"/>
      <c r="Y62" s="1908"/>
      <c r="Z62" s="1878"/>
      <c r="AA62" s="1908"/>
      <c r="AB62" s="1878"/>
      <c r="AC62" s="1908"/>
      <c r="AD62" s="1878"/>
      <c r="AE62" s="1908"/>
      <c r="AF62" s="1878"/>
      <c r="AG62" s="1908"/>
      <c r="AH62" s="1878"/>
      <c r="AI62" s="1908"/>
      <c r="AJ62" s="1878"/>
      <c r="AK62" s="1908"/>
      <c r="AL62" s="1878"/>
      <c r="AM62" s="1908"/>
      <c r="AN62" s="1878"/>
      <c r="AO62" s="1908"/>
      <c r="AP62" s="1878"/>
      <c r="AQ62" s="1908"/>
      <c r="AR62" s="1878"/>
      <c r="AS62" s="1908"/>
      <c r="AT62" s="1878"/>
      <c r="AU62" s="1908"/>
      <c r="AV62" s="1878"/>
      <c r="AW62" s="1908"/>
      <c r="AX62" s="1878"/>
      <c r="AY62" s="1908"/>
      <c r="AZ62" s="1878"/>
      <c r="BA62" s="1908"/>
      <c r="BB62" s="1878"/>
      <c r="BC62" s="1908"/>
      <c r="BD62" s="1878"/>
      <c r="BE62" s="1908"/>
      <c r="BF62" s="1878"/>
      <c r="BG62" s="1908"/>
      <c r="BH62" s="1878"/>
      <c r="BI62" s="1908"/>
      <c r="BJ62" s="1878"/>
      <c r="BK62" s="1908"/>
      <c r="BL62" s="1878"/>
      <c r="BM62" s="1908"/>
      <c r="BN62" s="1878"/>
      <c r="BO62" s="1908"/>
      <c r="BP62" s="1878"/>
      <c r="BQ62" s="1908"/>
      <c r="BR62" s="1878"/>
      <c r="BS62" s="1908"/>
      <c r="BT62" s="1878"/>
      <c r="BU62" s="1908"/>
      <c r="BV62" s="1878"/>
      <c r="BW62" s="1908"/>
      <c r="BX62" s="1878"/>
      <c r="BY62" s="1908"/>
      <c r="BZ62" s="1878"/>
      <c r="CA62" s="1908"/>
      <c r="CB62" s="1878"/>
      <c r="CC62" s="1908"/>
      <c r="CD62" s="1878"/>
      <c r="CE62" s="1908"/>
      <c r="CF62" s="1878"/>
      <c r="CG62" s="1908"/>
      <c r="CH62" s="1878"/>
      <c r="CI62" s="1908"/>
      <c r="CJ62" s="1878"/>
      <c r="CK62" s="1908"/>
      <c r="CL62" s="1878"/>
      <c r="CM62" s="1908"/>
      <c r="CN62" s="1878"/>
      <c r="CO62" s="1908"/>
      <c r="CP62" s="1878"/>
      <c r="CQ62" s="1908"/>
      <c r="CR62" s="1878"/>
      <c r="CS62" s="1908"/>
      <c r="CT62" s="1878"/>
      <c r="CU62" s="1908"/>
      <c r="CV62" s="1878"/>
      <c r="CW62" s="1908"/>
      <c r="CX62" s="1878"/>
      <c r="CY62" s="1908"/>
      <c r="CZ62" s="1878"/>
      <c r="DA62" s="1908"/>
      <c r="DB62" s="1878"/>
      <c r="DC62" s="1908"/>
      <c r="DD62" s="1878"/>
      <c r="DE62" s="1908"/>
      <c r="DF62" s="1878"/>
      <c r="DG62" s="1908"/>
      <c r="DH62" s="1878"/>
      <c r="DI62" s="1908"/>
      <c r="DJ62" s="1878"/>
      <c r="DK62" s="1908"/>
      <c r="DL62" s="1878"/>
      <c r="DM62" s="1908"/>
      <c r="DN62" s="1878"/>
      <c r="DO62" s="1908"/>
      <c r="DP62" s="1878"/>
      <c r="DQ62" s="1908"/>
      <c r="DR62" s="1878"/>
      <c r="DS62" s="1908"/>
      <c r="DT62" s="1878"/>
      <c r="DU62" s="1908"/>
      <c r="DV62" s="1878"/>
      <c r="DW62" s="1908"/>
      <c r="DX62" s="1878"/>
      <c r="DY62" s="1908"/>
      <c r="DZ62" s="1878"/>
      <c r="EA62" s="1908"/>
      <c r="EB62" s="1878"/>
      <c r="EC62" s="1908"/>
      <c r="ED62" s="1878"/>
      <c r="EE62" s="1908"/>
      <c r="EF62" s="1878"/>
      <c r="EG62" s="1908"/>
      <c r="EH62" s="1878"/>
      <c r="EI62" s="1908"/>
      <c r="EJ62" s="1878"/>
      <c r="EK62" s="1908"/>
      <c r="EL62" s="1878"/>
      <c r="EM62" s="1908"/>
      <c r="EN62" s="1878"/>
      <c r="EO62" s="1908"/>
      <c r="EP62" s="1878"/>
      <c r="EQ62" s="1908"/>
      <c r="ER62" s="1878"/>
      <c r="ES62" s="1908"/>
      <c r="ET62" s="1878"/>
      <c r="EU62" s="1908"/>
      <c r="EV62" s="1878"/>
      <c r="EW62" s="1908"/>
      <c r="EX62" s="1878"/>
      <c r="EY62" s="1908"/>
      <c r="EZ62" s="1878"/>
      <c r="FA62" s="1908"/>
      <c r="FB62" s="1878"/>
      <c r="FC62" s="1908"/>
      <c r="FD62" s="1878"/>
      <c r="FE62" s="1908"/>
      <c r="FF62" s="1878"/>
      <c r="FG62" s="1908"/>
      <c r="FH62" s="1878"/>
      <c r="FI62" s="1908"/>
      <c r="FJ62" s="1878"/>
      <c r="FK62" s="1908"/>
      <c r="FL62" s="1878"/>
      <c r="FM62" s="1908"/>
      <c r="FN62" s="1878"/>
      <c r="FO62" s="1908"/>
      <c r="FP62" s="1878"/>
      <c r="FQ62" s="1908"/>
      <c r="FR62" s="1878"/>
      <c r="FS62" s="1908"/>
      <c r="FT62" s="1878"/>
      <c r="FU62" s="1908"/>
      <c r="FV62" s="1878"/>
      <c r="FW62" s="1908"/>
      <c r="FX62" s="1878"/>
      <c r="FY62" s="1908"/>
      <c r="FZ62" s="1878"/>
      <c r="GA62" s="1908"/>
      <c r="GB62" s="1878"/>
      <c r="GC62" s="1908"/>
      <c r="GD62" s="1878"/>
      <c r="GE62" s="1908"/>
      <c r="GF62" s="1878"/>
      <c r="GG62" s="1908"/>
      <c r="GH62" s="1878"/>
      <c r="GI62" s="1908"/>
      <c r="GJ62" s="1878"/>
      <c r="GK62" s="1908"/>
      <c r="GL62" s="1878"/>
      <c r="GM62" s="201" t="s">
        <v>1160</v>
      </c>
    </row>
    <row r="63" spans="1:195" s="1910" customFormat="1" ht="45" hidden="1" customHeight="1">
      <c r="A63" s="3628"/>
      <c r="B63" s="409" t="s">
        <v>853</v>
      </c>
      <c r="D63" s="557" t="s">
        <v>1161</v>
      </c>
      <c r="E63" s="559" t="s">
        <v>1162</v>
      </c>
      <c r="F63" s="611" t="s">
        <v>566</v>
      </c>
      <c r="G63" s="289"/>
      <c r="H63" s="893"/>
      <c r="I63" s="289"/>
      <c r="J63" s="893"/>
      <c r="K63" s="1908"/>
      <c r="L63" s="1878"/>
      <c r="M63" s="1908"/>
      <c r="N63" s="1878"/>
      <c r="O63" s="1908"/>
      <c r="P63" s="1878"/>
      <c r="Q63" s="1908"/>
      <c r="R63" s="1878"/>
      <c r="S63" s="1908"/>
      <c r="T63" s="1878"/>
      <c r="U63" s="1908"/>
      <c r="V63" s="1878"/>
      <c r="W63" s="1908"/>
      <c r="X63" s="1878"/>
      <c r="Y63" s="1908"/>
      <c r="Z63" s="1878"/>
      <c r="AA63" s="1908"/>
      <c r="AB63" s="1878"/>
      <c r="AC63" s="1908"/>
      <c r="AD63" s="1878"/>
      <c r="AE63" s="1908"/>
      <c r="AF63" s="1878"/>
      <c r="AG63" s="1908"/>
      <c r="AH63" s="1878"/>
      <c r="AI63" s="1908"/>
      <c r="AJ63" s="1878"/>
      <c r="AK63" s="1908"/>
      <c r="AL63" s="1878"/>
      <c r="AM63" s="1908"/>
      <c r="AN63" s="1878"/>
      <c r="AO63" s="1908"/>
      <c r="AP63" s="1878"/>
      <c r="AQ63" s="1908"/>
      <c r="AR63" s="1878"/>
      <c r="AS63" s="1908"/>
      <c r="AT63" s="1878"/>
      <c r="AU63" s="1908"/>
      <c r="AV63" s="1878"/>
      <c r="AW63" s="1908"/>
      <c r="AX63" s="1878"/>
      <c r="AY63" s="1908"/>
      <c r="AZ63" s="1878"/>
      <c r="BA63" s="1908"/>
      <c r="BB63" s="1878"/>
      <c r="BC63" s="1908"/>
      <c r="BD63" s="1878"/>
      <c r="BE63" s="1908"/>
      <c r="BF63" s="1878"/>
      <c r="BG63" s="1908"/>
      <c r="BH63" s="1878"/>
      <c r="BI63" s="1908"/>
      <c r="BJ63" s="1878"/>
      <c r="BK63" s="1908"/>
      <c r="BL63" s="1878"/>
      <c r="BM63" s="1908"/>
      <c r="BN63" s="1878"/>
      <c r="BO63" s="1908"/>
      <c r="BP63" s="1878"/>
      <c r="BQ63" s="1908"/>
      <c r="BR63" s="1878"/>
      <c r="BS63" s="1908"/>
      <c r="BT63" s="1878"/>
      <c r="BU63" s="1908"/>
      <c r="BV63" s="1878"/>
      <c r="BW63" s="1908"/>
      <c r="BX63" s="1878"/>
      <c r="BY63" s="1908"/>
      <c r="BZ63" s="1878"/>
      <c r="CA63" s="1908"/>
      <c r="CB63" s="1878"/>
      <c r="CC63" s="1908"/>
      <c r="CD63" s="1878"/>
      <c r="CE63" s="1908"/>
      <c r="CF63" s="1878"/>
      <c r="CG63" s="1908"/>
      <c r="CH63" s="1878"/>
      <c r="CI63" s="1908"/>
      <c r="CJ63" s="1878"/>
      <c r="CK63" s="1908"/>
      <c r="CL63" s="1878"/>
      <c r="CM63" s="1908"/>
      <c r="CN63" s="1878"/>
      <c r="CO63" s="1908"/>
      <c r="CP63" s="1878"/>
      <c r="CQ63" s="1908"/>
      <c r="CR63" s="1878"/>
      <c r="CS63" s="1908"/>
      <c r="CT63" s="1878"/>
      <c r="CU63" s="1908"/>
      <c r="CV63" s="1878"/>
      <c r="CW63" s="1908"/>
      <c r="CX63" s="1878"/>
      <c r="CY63" s="1908"/>
      <c r="CZ63" s="1878"/>
      <c r="DA63" s="1908"/>
      <c r="DB63" s="1878"/>
      <c r="DC63" s="1908"/>
      <c r="DD63" s="1878"/>
      <c r="DE63" s="1908"/>
      <c r="DF63" s="1878"/>
      <c r="DG63" s="1908"/>
      <c r="DH63" s="1878"/>
      <c r="DI63" s="1908"/>
      <c r="DJ63" s="1878"/>
      <c r="DK63" s="1908"/>
      <c r="DL63" s="1878"/>
      <c r="DM63" s="1908"/>
      <c r="DN63" s="1878"/>
      <c r="DO63" s="1908"/>
      <c r="DP63" s="1878"/>
      <c r="DQ63" s="1908"/>
      <c r="DR63" s="1878"/>
      <c r="DS63" s="1908"/>
      <c r="DT63" s="1878"/>
      <c r="DU63" s="1908"/>
      <c r="DV63" s="1878"/>
      <c r="DW63" s="1908"/>
      <c r="DX63" s="1878"/>
      <c r="DY63" s="1908"/>
      <c r="DZ63" s="1878"/>
      <c r="EA63" s="1908"/>
      <c r="EB63" s="1878"/>
      <c r="EC63" s="1908"/>
      <c r="ED63" s="1878"/>
      <c r="EE63" s="1908"/>
      <c r="EF63" s="1878"/>
      <c r="EG63" s="1908"/>
      <c r="EH63" s="1878"/>
      <c r="EI63" s="1908"/>
      <c r="EJ63" s="1878"/>
      <c r="EK63" s="1908"/>
      <c r="EL63" s="1878"/>
      <c r="EM63" s="1908"/>
      <c r="EN63" s="1878"/>
      <c r="EO63" s="1908"/>
      <c r="EP63" s="1878"/>
      <c r="EQ63" s="1908"/>
      <c r="ER63" s="1878"/>
      <c r="ES63" s="1908"/>
      <c r="ET63" s="1878"/>
      <c r="EU63" s="1908"/>
      <c r="EV63" s="1878"/>
      <c r="EW63" s="1908"/>
      <c r="EX63" s="1878"/>
      <c r="EY63" s="1908"/>
      <c r="EZ63" s="1878"/>
      <c r="FA63" s="1908"/>
      <c r="FB63" s="1878"/>
      <c r="FC63" s="1908"/>
      <c r="FD63" s="1878"/>
      <c r="FE63" s="1908"/>
      <c r="FF63" s="1878"/>
      <c r="FG63" s="1908"/>
      <c r="FH63" s="1878"/>
      <c r="FI63" s="1908"/>
      <c r="FJ63" s="1878"/>
      <c r="FK63" s="1908"/>
      <c r="FL63" s="1878"/>
      <c r="FM63" s="1908"/>
      <c r="FN63" s="1878"/>
      <c r="FO63" s="1908"/>
      <c r="FP63" s="1878"/>
      <c r="FQ63" s="1908"/>
      <c r="FR63" s="1878"/>
      <c r="FS63" s="1908"/>
      <c r="FT63" s="1878"/>
      <c r="FU63" s="1908"/>
      <c r="FV63" s="1878"/>
      <c r="FW63" s="1908"/>
      <c r="FX63" s="1878"/>
      <c r="FY63" s="1908"/>
      <c r="FZ63" s="1878"/>
      <c r="GA63" s="1908"/>
      <c r="GB63" s="1878"/>
      <c r="GC63" s="1908"/>
      <c r="GD63" s="1878"/>
      <c r="GE63" s="1908"/>
      <c r="GF63" s="1878"/>
      <c r="GG63" s="1908"/>
      <c r="GH63" s="1878"/>
      <c r="GI63" s="1908"/>
      <c r="GJ63" s="1878"/>
      <c r="GK63" s="1908"/>
      <c r="GL63" s="1878"/>
      <c r="GM63" s="201" t="s">
        <v>1160</v>
      </c>
    </row>
    <row r="64" spans="1:195" s="1910" customFormat="1" ht="11.25" customHeight="1">
      <c r="A64" s="903"/>
      <c r="B64" s="416"/>
      <c r="D64" s="904"/>
      <c r="E64" s="905"/>
    </row>
    <row r="65" spans="1:195" s="1910" customFormat="1" ht="22.5" hidden="1" customHeight="1">
      <c r="A65" s="3628" t="s">
        <v>1163</v>
      </c>
      <c r="B65" s="409"/>
      <c r="D65" s="557">
        <v>1</v>
      </c>
      <c r="E65" s="633" t="s">
        <v>1164</v>
      </c>
      <c r="F65" s="629" t="s">
        <v>1081</v>
      </c>
      <c r="G65" s="630"/>
      <c r="H65" s="899"/>
      <c r="I65" s="630"/>
      <c r="J65" s="899"/>
      <c r="K65" s="1879"/>
      <c r="L65" s="1881"/>
      <c r="M65" s="1879"/>
      <c r="N65" s="1881"/>
      <c r="O65" s="1879"/>
      <c r="P65" s="1881"/>
      <c r="Q65" s="1879"/>
      <c r="R65" s="1881"/>
      <c r="S65" s="1879"/>
      <c r="T65" s="1881"/>
      <c r="U65" s="1879"/>
      <c r="V65" s="1881"/>
      <c r="W65" s="1879"/>
      <c r="X65" s="1881"/>
      <c r="Y65" s="1879"/>
      <c r="Z65" s="1881"/>
      <c r="AA65" s="1879"/>
      <c r="AB65" s="1881"/>
      <c r="AC65" s="1879"/>
      <c r="AD65" s="1881"/>
      <c r="AE65" s="1879"/>
      <c r="AF65" s="1881"/>
      <c r="AG65" s="1879"/>
      <c r="AH65" s="1881"/>
      <c r="AI65" s="1879"/>
      <c r="AJ65" s="1881"/>
      <c r="AK65" s="1879"/>
      <c r="AL65" s="1881"/>
      <c r="AM65" s="1879"/>
      <c r="AN65" s="1881"/>
      <c r="AO65" s="1879"/>
      <c r="AP65" s="1881"/>
      <c r="AQ65" s="1879"/>
      <c r="AR65" s="1881"/>
      <c r="AS65" s="1879"/>
      <c r="AT65" s="1881"/>
      <c r="AU65" s="1879"/>
      <c r="AV65" s="1881"/>
      <c r="AW65" s="1879"/>
      <c r="AX65" s="1881"/>
      <c r="AY65" s="1879"/>
      <c r="AZ65" s="1881"/>
      <c r="BA65" s="1879"/>
      <c r="BB65" s="1881"/>
      <c r="BC65" s="1879"/>
      <c r="BD65" s="1881"/>
      <c r="BE65" s="1879"/>
      <c r="BF65" s="1881"/>
      <c r="BG65" s="1879"/>
      <c r="BH65" s="1881"/>
      <c r="BI65" s="1879"/>
      <c r="BJ65" s="1881"/>
      <c r="BK65" s="1879"/>
      <c r="BL65" s="1881"/>
      <c r="BM65" s="1879"/>
      <c r="BN65" s="1881"/>
      <c r="BO65" s="1879"/>
      <c r="BP65" s="1881"/>
      <c r="BQ65" s="1879"/>
      <c r="BR65" s="1881"/>
      <c r="BS65" s="1879"/>
      <c r="BT65" s="1881"/>
      <c r="BU65" s="1879"/>
      <c r="BV65" s="1881"/>
      <c r="BW65" s="1879"/>
      <c r="BX65" s="1881"/>
      <c r="BY65" s="1879"/>
      <c r="BZ65" s="1881"/>
      <c r="CA65" s="1879"/>
      <c r="CB65" s="1881"/>
      <c r="CC65" s="1879"/>
      <c r="CD65" s="1881"/>
      <c r="CE65" s="1879"/>
      <c r="CF65" s="1881"/>
      <c r="CG65" s="1879"/>
      <c r="CH65" s="1881"/>
      <c r="CI65" s="1879"/>
      <c r="CJ65" s="1881"/>
      <c r="CK65" s="1879"/>
      <c r="CL65" s="1881"/>
      <c r="CM65" s="1879"/>
      <c r="CN65" s="1881"/>
      <c r="CO65" s="1879"/>
      <c r="CP65" s="1881"/>
      <c r="CQ65" s="1879"/>
      <c r="CR65" s="1881"/>
      <c r="CS65" s="1879"/>
      <c r="CT65" s="1881"/>
      <c r="CU65" s="1879"/>
      <c r="CV65" s="1881"/>
      <c r="CW65" s="1879"/>
      <c r="CX65" s="1881"/>
      <c r="CY65" s="1879"/>
      <c r="CZ65" s="1881"/>
      <c r="DA65" s="1879"/>
      <c r="DB65" s="1881"/>
      <c r="DC65" s="1879"/>
      <c r="DD65" s="1881"/>
      <c r="DE65" s="1879"/>
      <c r="DF65" s="1881"/>
      <c r="DG65" s="1879"/>
      <c r="DH65" s="1881"/>
      <c r="DI65" s="1879"/>
      <c r="DJ65" s="1881"/>
      <c r="DK65" s="1879"/>
      <c r="DL65" s="1881"/>
      <c r="DM65" s="1879"/>
      <c r="DN65" s="1881"/>
      <c r="DO65" s="1879"/>
      <c r="DP65" s="1881"/>
      <c r="DQ65" s="1879"/>
      <c r="DR65" s="1881"/>
      <c r="DS65" s="1879"/>
      <c r="DT65" s="1881"/>
      <c r="DU65" s="1879"/>
      <c r="DV65" s="1881"/>
      <c r="DW65" s="1879"/>
      <c r="DX65" s="1881"/>
      <c r="DY65" s="1879"/>
      <c r="DZ65" s="1881"/>
      <c r="EA65" s="1879"/>
      <c r="EB65" s="1881"/>
      <c r="EC65" s="1879"/>
      <c r="ED65" s="1881"/>
      <c r="EE65" s="1879"/>
      <c r="EF65" s="1881"/>
      <c r="EG65" s="1879"/>
      <c r="EH65" s="1881"/>
      <c r="EI65" s="1879"/>
      <c r="EJ65" s="1881"/>
      <c r="EK65" s="1879"/>
      <c r="EL65" s="1881"/>
      <c r="EM65" s="1879"/>
      <c r="EN65" s="1881"/>
      <c r="EO65" s="1879"/>
      <c r="EP65" s="1881"/>
      <c r="EQ65" s="1879"/>
      <c r="ER65" s="1881"/>
      <c r="ES65" s="1879"/>
      <c r="ET65" s="1881"/>
      <c r="EU65" s="1879"/>
      <c r="EV65" s="1881"/>
      <c r="EW65" s="1879"/>
      <c r="EX65" s="1881"/>
      <c r="EY65" s="1879"/>
      <c r="EZ65" s="1881"/>
      <c r="FA65" s="1879"/>
      <c r="FB65" s="1881"/>
      <c r="FC65" s="1879"/>
      <c r="FD65" s="1881"/>
      <c r="FE65" s="1879"/>
      <c r="FF65" s="1881"/>
      <c r="FG65" s="1879"/>
      <c r="FH65" s="1881"/>
      <c r="FI65" s="1879"/>
      <c r="FJ65" s="1881"/>
      <c r="FK65" s="1879"/>
      <c r="FL65" s="1881"/>
      <c r="FM65" s="1879"/>
      <c r="FN65" s="1881"/>
      <c r="FO65" s="1879"/>
      <c r="FP65" s="1881"/>
      <c r="FQ65" s="1879"/>
      <c r="FR65" s="1881"/>
      <c r="FS65" s="1879"/>
      <c r="FT65" s="1881"/>
      <c r="FU65" s="1879"/>
      <c r="FV65" s="1881"/>
      <c r="FW65" s="1879"/>
      <c r="FX65" s="1881"/>
      <c r="FY65" s="1879"/>
      <c r="FZ65" s="1881"/>
      <c r="GA65" s="1879"/>
      <c r="GB65" s="1881"/>
      <c r="GC65" s="1879"/>
      <c r="GD65" s="1881"/>
      <c r="GE65" s="1879"/>
      <c r="GF65" s="1881"/>
      <c r="GG65" s="1879"/>
      <c r="GH65" s="1881"/>
      <c r="GI65" s="1879"/>
      <c r="GJ65" s="1881"/>
      <c r="GK65" s="1879"/>
      <c r="GL65" s="1881"/>
      <c r="GM65" s="212" t="s">
        <v>1165</v>
      </c>
    </row>
    <row r="66" spans="1:195" s="1910" customFormat="1" ht="56.25" hidden="1" customHeight="1">
      <c r="A66" s="3628"/>
      <c r="B66" s="409"/>
      <c r="D66" s="632" t="s">
        <v>107</v>
      </c>
      <c r="E66" s="597" t="s">
        <v>1166</v>
      </c>
      <c r="F66" s="552" t="s">
        <v>811</v>
      </c>
      <c r="G66" s="552" t="s">
        <v>811</v>
      </c>
      <c r="H66" s="417"/>
      <c r="I66" s="552" t="s">
        <v>811</v>
      </c>
      <c r="J66" s="417"/>
      <c r="K66" s="1869" t="s">
        <v>811</v>
      </c>
      <c r="L66" s="1875"/>
      <c r="M66" s="1869" t="s">
        <v>811</v>
      </c>
      <c r="N66" s="1875"/>
      <c r="O66" s="1869" t="s">
        <v>811</v>
      </c>
      <c r="P66" s="1875"/>
      <c r="Q66" s="1869" t="s">
        <v>811</v>
      </c>
      <c r="R66" s="1875"/>
      <c r="S66" s="1869" t="s">
        <v>811</v>
      </c>
      <c r="T66" s="1875"/>
      <c r="U66" s="1869" t="s">
        <v>811</v>
      </c>
      <c r="V66" s="1875"/>
      <c r="W66" s="1869" t="s">
        <v>811</v>
      </c>
      <c r="X66" s="1875"/>
      <c r="Y66" s="1869" t="s">
        <v>811</v>
      </c>
      <c r="Z66" s="1875"/>
      <c r="AA66" s="1869" t="s">
        <v>811</v>
      </c>
      <c r="AB66" s="1875"/>
      <c r="AC66" s="1869" t="s">
        <v>811</v>
      </c>
      <c r="AD66" s="1875"/>
      <c r="AE66" s="1869" t="s">
        <v>811</v>
      </c>
      <c r="AF66" s="1875"/>
      <c r="AG66" s="1869" t="s">
        <v>811</v>
      </c>
      <c r="AH66" s="1875"/>
      <c r="AI66" s="1869" t="s">
        <v>811</v>
      </c>
      <c r="AJ66" s="1875"/>
      <c r="AK66" s="1869" t="s">
        <v>811</v>
      </c>
      <c r="AL66" s="1875"/>
      <c r="AM66" s="1869" t="s">
        <v>811</v>
      </c>
      <c r="AN66" s="1875"/>
      <c r="AO66" s="1869" t="s">
        <v>811</v>
      </c>
      <c r="AP66" s="1875"/>
      <c r="AQ66" s="1869" t="s">
        <v>811</v>
      </c>
      <c r="AR66" s="1875"/>
      <c r="AS66" s="1869" t="s">
        <v>811</v>
      </c>
      <c r="AT66" s="1875"/>
      <c r="AU66" s="1869" t="s">
        <v>811</v>
      </c>
      <c r="AV66" s="1875"/>
      <c r="AW66" s="1869" t="s">
        <v>811</v>
      </c>
      <c r="AX66" s="1875"/>
      <c r="AY66" s="1869" t="s">
        <v>811</v>
      </c>
      <c r="AZ66" s="1875"/>
      <c r="BA66" s="1869" t="s">
        <v>811</v>
      </c>
      <c r="BB66" s="1875"/>
      <c r="BC66" s="1869" t="s">
        <v>811</v>
      </c>
      <c r="BD66" s="1875"/>
      <c r="BE66" s="1869" t="s">
        <v>811</v>
      </c>
      <c r="BF66" s="1875"/>
      <c r="BG66" s="1869" t="s">
        <v>811</v>
      </c>
      <c r="BH66" s="1875"/>
      <c r="BI66" s="1869" t="s">
        <v>811</v>
      </c>
      <c r="BJ66" s="1875"/>
      <c r="BK66" s="1869" t="s">
        <v>811</v>
      </c>
      <c r="BL66" s="1875"/>
      <c r="BM66" s="1869" t="s">
        <v>811</v>
      </c>
      <c r="BN66" s="1875"/>
      <c r="BO66" s="1869" t="s">
        <v>811</v>
      </c>
      <c r="BP66" s="1875"/>
      <c r="BQ66" s="1869" t="s">
        <v>811</v>
      </c>
      <c r="BR66" s="1875"/>
      <c r="BS66" s="1869" t="s">
        <v>811</v>
      </c>
      <c r="BT66" s="1875"/>
      <c r="BU66" s="1869" t="s">
        <v>811</v>
      </c>
      <c r="BV66" s="1875"/>
      <c r="BW66" s="1869" t="s">
        <v>811</v>
      </c>
      <c r="BX66" s="1875"/>
      <c r="BY66" s="1869" t="s">
        <v>811</v>
      </c>
      <c r="BZ66" s="1875"/>
      <c r="CA66" s="1869" t="s">
        <v>811</v>
      </c>
      <c r="CB66" s="1875"/>
      <c r="CC66" s="1869" t="s">
        <v>811</v>
      </c>
      <c r="CD66" s="1875"/>
      <c r="CE66" s="1869" t="s">
        <v>811</v>
      </c>
      <c r="CF66" s="1875"/>
      <c r="CG66" s="1869" t="s">
        <v>811</v>
      </c>
      <c r="CH66" s="1875"/>
      <c r="CI66" s="1869" t="s">
        <v>811</v>
      </c>
      <c r="CJ66" s="1875"/>
      <c r="CK66" s="1869" t="s">
        <v>811</v>
      </c>
      <c r="CL66" s="1875"/>
      <c r="CM66" s="1869" t="s">
        <v>811</v>
      </c>
      <c r="CN66" s="1875"/>
      <c r="CO66" s="1869" t="s">
        <v>811</v>
      </c>
      <c r="CP66" s="1875"/>
      <c r="CQ66" s="1869" t="s">
        <v>811</v>
      </c>
      <c r="CR66" s="1875"/>
      <c r="CS66" s="1869" t="s">
        <v>811</v>
      </c>
      <c r="CT66" s="1875"/>
      <c r="CU66" s="1869" t="s">
        <v>811</v>
      </c>
      <c r="CV66" s="1875"/>
      <c r="CW66" s="1869" t="s">
        <v>811</v>
      </c>
      <c r="CX66" s="1875"/>
      <c r="CY66" s="1869" t="s">
        <v>811</v>
      </c>
      <c r="CZ66" s="1875"/>
      <c r="DA66" s="1869" t="s">
        <v>811</v>
      </c>
      <c r="DB66" s="1875"/>
      <c r="DC66" s="1869" t="s">
        <v>811</v>
      </c>
      <c r="DD66" s="1875"/>
      <c r="DE66" s="1869" t="s">
        <v>811</v>
      </c>
      <c r="DF66" s="1875"/>
      <c r="DG66" s="1869" t="s">
        <v>811</v>
      </c>
      <c r="DH66" s="1875"/>
      <c r="DI66" s="1869" t="s">
        <v>811</v>
      </c>
      <c r="DJ66" s="1875"/>
      <c r="DK66" s="1869" t="s">
        <v>811</v>
      </c>
      <c r="DL66" s="1875"/>
      <c r="DM66" s="1869" t="s">
        <v>811</v>
      </c>
      <c r="DN66" s="1875"/>
      <c r="DO66" s="1869" t="s">
        <v>811</v>
      </c>
      <c r="DP66" s="1875"/>
      <c r="DQ66" s="1869" t="s">
        <v>811</v>
      </c>
      <c r="DR66" s="1875"/>
      <c r="DS66" s="1869" t="s">
        <v>811</v>
      </c>
      <c r="DT66" s="1875"/>
      <c r="DU66" s="1869" t="s">
        <v>811</v>
      </c>
      <c r="DV66" s="1875"/>
      <c r="DW66" s="1869" t="s">
        <v>811</v>
      </c>
      <c r="DX66" s="1875"/>
      <c r="DY66" s="1869" t="s">
        <v>811</v>
      </c>
      <c r="DZ66" s="1875"/>
      <c r="EA66" s="1869" t="s">
        <v>811</v>
      </c>
      <c r="EB66" s="1875"/>
      <c r="EC66" s="1869" t="s">
        <v>811</v>
      </c>
      <c r="ED66" s="1875"/>
      <c r="EE66" s="1869" t="s">
        <v>811</v>
      </c>
      <c r="EF66" s="1875"/>
      <c r="EG66" s="1869" t="s">
        <v>811</v>
      </c>
      <c r="EH66" s="1875"/>
      <c r="EI66" s="1869" t="s">
        <v>811</v>
      </c>
      <c r="EJ66" s="1875"/>
      <c r="EK66" s="1869" t="s">
        <v>811</v>
      </c>
      <c r="EL66" s="1875"/>
      <c r="EM66" s="1869" t="s">
        <v>811</v>
      </c>
      <c r="EN66" s="1875"/>
      <c r="EO66" s="1869" t="s">
        <v>811</v>
      </c>
      <c r="EP66" s="1875"/>
      <c r="EQ66" s="1869" t="s">
        <v>811</v>
      </c>
      <c r="ER66" s="1875"/>
      <c r="ES66" s="1869" t="s">
        <v>811</v>
      </c>
      <c r="ET66" s="1875"/>
      <c r="EU66" s="1869" t="s">
        <v>811</v>
      </c>
      <c r="EV66" s="1875"/>
      <c r="EW66" s="1869" t="s">
        <v>811</v>
      </c>
      <c r="EX66" s="1875"/>
      <c r="EY66" s="1869" t="s">
        <v>811</v>
      </c>
      <c r="EZ66" s="1875"/>
      <c r="FA66" s="1869" t="s">
        <v>811</v>
      </c>
      <c r="FB66" s="1875"/>
      <c r="FC66" s="1869" t="s">
        <v>811</v>
      </c>
      <c r="FD66" s="1875"/>
      <c r="FE66" s="1869" t="s">
        <v>811</v>
      </c>
      <c r="FF66" s="1875"/>
      <c r="FG66" s="1869" t="s">
        <v>811</v>
      </c>
      <c r="FH66" s="1875"/>
      <c r="FI66" s="1869" t="s">
        <v>811</v>
      </c>
      <c r="FJ66" s="1875"/>
      <c r="FK66" s="1869" t="s">
        <v>811</v>
      </c>
      <c r="FL66" s="1875"/>
      <c r="FM66" s="1869" t="s">
        <v>811</v>
      </c>
      <c r="FN66" s="1875"/>
      <c r="FO66" s="1869" t="s">
        <v>811</v>
      </c>
      <c r="FP66" s="1875"/>
      <c r="FQ66" s="1869" t="s">
        <v>811</v>
      </c>
      <c r="FR66" s="1875"/>
      <c r="FS66" s="1869" t="s">
        <v>811</v>
      </c>
      <c r="FT66" s="1875"/>
      <c r="FU66" s="1869" t="s">
        <v>811</v>
      </c>
      <c r="FV66" s="1875"/>
      <c r="FW66" s="1869" t="s">
        <v>811</v>
      </c>
      <c r="FX66" s="1875"/>
      <c r="FY66" s="1869" t="s">
        <v>811</v>
      </c>
      <c r="FZ66" s="1875"/>
      <c r="GA66" s="1869" t="s">
        <v>811</v>
      </c>
      <c r="GB66" s="1875"/>
      <c r="GC66" s="1869" t="s">
        <v>811</v>
      </c>
      <c r="GD66" s="1875"/>
      <c r="GE66" s="1869" t="s">
        <v>811</v>
      </c>
      <c r="GF66" s="1875"/>
      <c r="GG66" s="1869" t="s">
        <v>811</v>
      </c>
      <c r="GH66" s="1875"/>
      <c r="GI66" s="1869" t="s">
        <v>811</v>
      </c>
      <c r="GJ66" s="1875"/>
      <c r="GK66" s="1869" t="s">
        <v>811</v>
      </c>
      <c r="GL66" s="1875"/>
      <c r="GM66" s="201"/>
    </row>
    <row r="67" spans="1:195" s="1910" customFormat="1" ht="33.75" hidden="1" customHeight="1">
      <c r="A67" s="3628"/>
      <c r="B67" s="409"/>
      <c r="D67" s="632" t="s">
        <v>979</v>
      </c>
      <c r="E67" s="826" t="s">
        <v>1167</v>
      </c>
      <c r="F67" s="552" t="s">
        <v>1133</v>
      </c>
      <c r="G67" s="617"/>
      <c r="H67" s="417"/>
      <c r="I67" s="617"/>
      <c r="J67" s="417"/>
      <c r="K67" s="1882"/>
      <c r="L67" s="1875"/>
      <c r="M67" s="1882"/>
      <c r="N67" s="1875"/>
      <c r="O67" s="1882"/>
      <c r="P67" s="1875"/>
      <c r="Q67" s="1882"/>
      <c r="R67" s="1875"/>
      <c r="S67" s="1882"/>
      <c r="T67" s="1875"/>
      <c r="U67" s="1882"/>
      <c r="V67" s="1875"/>
      <c r="W67" s="1882"/>
      <c r="X67" s="1875"/>
      <c r="Y67" s="1882"/>
      <c r="Z67" s="1875"/>
      <c r="AA67" s="1882"/>
      <c r="AB67" s="1875"/>
      <c r="AC67" s="1882"/>
      <c r="AD67" s="1875"/>
      <c r="AE67" s="1882"/>
      <c r="AF67" s="1875"/>
      <c r="AG67" s="1882"/>
      <c r="AH67" s="1875"/>
      <c r="AI67" s="1882"/>
      <c r="AJ67" s="1875"/>
      <c r="AK67" s="1882"/>
      <c r="AL67" s="1875"/>
      <c r="AM67" s="1882"/>
      <c r="AN67" s="1875"/>
      <c r="AO67" s="1882"/>
      <c r="AP67" s="1875"/>
      <c r="AQ67" s="1882"/>
      <c r="AR67" s="1875"/>
      <c r="AS67" s="1882"/>
      <c r="AT67" s="1875"/>
      <c r="AU67" s="1882"/>
      <c r="AV67" s="1875"/>
      <c r="AW67" s="1882"/>
      <c r="AX67" s="1875"/>
      <c r="AY67" s="1882"/>
      <c r="AZ67" s="1875"/>
      <c r="BA67" s="1882"/>
      <c r="BB67" s="1875"/>
      <c r="BC67" s="1882"/>
      <c r="BD67" s="1875"/>
      <c r="BE67" s="1882"/>
      <c r="BF67" s="1875"/>
      <c r="BG67" s="1882"/>
      <c r="BH67" s="1875"/>
      <c r="BI67" s="1882"/>
      <c r="BJ67" s="1875"/>
      <c r="BK67" s="1882"/>
      <c r="BL67" s="1875"/>
      <c r="BM67" s="1882"/>
      <c r="BN67" s="1875"/>
      <c r="BO67" s="1882"/>
      <c r="BP67" s="1875"/>
      <c r="BQ67" s="1882"/>
      <c r="BR67" s="1875"/>
      <c r="BS67" s="1882"/>
      <c r="BT67" s="1875"/>
      <c r="BU67" s="1882"/>
      <c r="BV67" s="1875"/>
      <c r="BW67" s="1882"/>
      <c r="BX67" s="1875"/>
      <c r="BY67" s="1882"/>
      <c r="BZ67" s="1875"/>
      <c r="CA67" s="1882"/>
      <c r="CB67" s="1875"/>
      <c r="CC67" s="1882"/>
      <c r="CD67" s="1875"/>
      <c r="CE67" s="1882"/>
      <c r="CF67" s="1875"/>
      <c r="CG67" s="1882"/>
      <c r="CH67" s="1875"/>
      <c r="CI67" s="1882"/>
      <c r="CJ67" s="1875"/>
      <c r="CK67" s="1882"/>
      <c r="CL67" s="1875"/>
      <c r="CM67" s="1882"/>
      <c r="CN67" s="1875"/>
      <c r="CO67" s="1882"/>
      <c r="CP67" s="1875"/>
      <c r="CQ67" s="1882"/>
      <c r="CR67" s="1875"/>
      <c r="CS67" s="1882"/>
      <c r="CT67" s="1875"/>
      <c r="CU67" s="1882"/>
      <c r="CV67" s="1875"/>
      <c r="CW67" s="1882"/>
      <c r="CX67" s="1875"/>
      <c r="CY67" s="1882"/>
      <c r="CZ67" s="1875"/>
      <c r="DA67" s="1882"/>
      <c r="DB67" s="1875"/>
      <c r="DC67" s="1882"/>
      <c r="DD67" s="1875"/>
      <c r="DE67" s="1882"/>
      <c r="DF67" s="1875"/>
      <c r="DG67" s="1882"/>
      <c r="DH67" s="1875"/>
      <c r="DI67" s="1882"/>
      <c r="DJ67" s="1875"/>
      <c r="DK67" s="1882"/>
      <c r="DL67" s="1875"/>
      <c r="DM67" s="1882"/>
      <c r="DN67" s="1875"/>
      <c r="DO67" s="1882"/>
      <c r="DP67" s="1875"/>
      <c r="DQ67" s="1882"/>
      <c r="DR67" s="1875"/>
      <c r="DS67" s="1882"/>
      <c r="DT67" s="1875"/>
      <c r="DU67" s="1882"/>
      <c r="DV67" s="1875"/>
      <c r="DW67" s="1882"/>
      <c r="DX67" s="1875"/>
      <c r="DY67" s="1882"/>
      <c r="DZ67" s="1875"/>
      <c r="EA67" s="1882"/>
      <c r="EB67" s="1875"/>
      <c r="EC67" s="1882"/>
      <c r="ED67" s="1875"/>
      <c r="EE67" s="1882"/>
      <c r="EF67" s="1875"/>
      <c r="EG67" s="1882"/>
      <c r="EH67" s="1875"/>
      <c r="EI67" s="1882"/>
      <c r="EJ67" s="1875"/>
      <c r="EK67" s="1882"/>
      <c r="EL67" s="1875"/>
      <c r="EM67" s="1882"/>
      <c r="EN67" s="1875"/>
      <c r="EO67" s="1882"/>
      <c r="EP67" s="1875"/>
      <c r="EQ67" s="1882"/>
      <c r="ER67" s="1875"/>
      <c r="ES67" s="1882"/>
      <c r="ET67" s="1875"/>
      <c r="EU67" s="1882"/>
      <c r="EV67" s="1875"/>
      <c r="EW67" s="1882"/>
      <c r="EX67" s="1875"/>
      <c r="EY67" s="1882"/>
      <c r="EZ67" s="1875"/>
      <c r="FA67" s="1882"/>
      <c r="FB67" s="1875"/>
      <c r="FC67" s="1882"/>
      <c r="FD67" s="1875"/>
      <c r="FE67" s="1882"/>
      <c r="FF67" s="1875"/>
      <c r="FG67" s="1882"/>
      <c r="FH67" s="1875"/>
      <c r="FI67" s="1882"/>
      <c r="FJ67" s="1875"/>
      <c r="FK67" s="1882"/>
      <c r="FL67" s="1875"/>
      <c r="FM67" s="1882"/>
      <c r="FN67" s="1875"/>
      <c r="FO67" s="1882"/>
      <c r="FP67" s="1875"/>
      <c r="FQ67" s="1882"/>
      <c r="FR67" s="1875"/>
      <c r="FS67" s="1882"/>
      <c r="FT67" s="1875"/>
      <c r="FU67" s="1882"/>
      <c r="FV67" s="1875"/>
      <c r="FW67" s="1882"/>
      <c r="FX67" s="1875"/>
      <c r="FY67" s="1882"/>
      <c r="FZ67" s="1875"/>
      <c r="GA67" s="1882"/>
      <c r="GB67" s="1875"/>
      <c r="GC67" s="1882"/>
      <c r="GD67" s="1875"/>
      <c r="GE67" s="1882"/>
      <c r="GF67" s="1875"/>
      <c r="GG67" s="1882"/>
      <c r="GH67" s="1875"/>
      <c r="GI67" s="1882"/>
      <c r="GJ67" s="1875"/>
      <c r="GK67" s="1882"/>
      <c r="GL67" s="1875"/>
      <c r="GM67" s="201"/>
    </row>
    <row r="68" spans="1:195" s="1910" customFormat="1" ht="22.5" hidden="1" customHeight="1">
      <c r="A68" s="3628"/>
      <c r="B68" s="409"/>
      <c r="D68" s="632" t="s">
        <v>567</v>
      </c>
      <c r="E68" s="826" t="s">
        <v>1168</v>
      </c>
      <c r="F68" s="552" t="s">
        <v>1133</v>
      </c>
      <c r="G68" s="617"/>
      <c r="H68" s="417"/>
      <c r="I68" s="617"/>
      <c r="J68" s="417"/>
      <c r="K68" s="1882"/>
      <c r="L68" s="1875"/>
      <c r="M68" s="1882"/>
      <c r="N68" s="1875"/>
      <c r="O68" s="1882"/>
      <c r="P68" s="1875"/>
      <c r="Q68" s="1882"/>
      <c r="R68" s="1875"/>
      <c r="S68" s="1882"/>
      <c r="T68" s="1875"/>
      <c r="U68" s="1882"/>
      <c r="V68" s="1875"/>
      <c r="W68" s="1882"/>
      <c r="X68" s="1875"/>
      <c r="Y68" s="1882"/>
      <c r="Z68" s="1875"/>
      <c r="AA68" s="1882"/>
      <c r="AB68" s="1875"/>
      <c r="AC68" s="1882"/>
      <c r="AD68" s="1875"/>
      <c r="AE68" s="1882"/>
      <c r="AF68" s="1875"/>
      <c r="AG68" s="1882"/>
      <c r="AH68" s="1875"/>
      <c r="AI68" s="1882"/>
      <c r="AJ68" s="1875"/>
      <c r="AK68" s="1882"/>
      <c r="AL68" s="1875"/>
      <c r="AM68" s="1882"/>
      <c r="AN68" s="1875"/>
      <c r="AO68" s="1882"/>
      <c r="AP68" s="1875"/>
      <c r="AQ68" s="1882"/>
      <c r="AR68" s="1875"/>
      <c r="AS68" s="1882"/>
      <c r="AT68" s="1875"/>
      <c r="AU68" s="1882"/>
      <c r="AV68" s="1875"/>
      <c r="AW68" s="1882"/>
      <c r="AX68" s="1875"/>
      <c r="AY68" s="1882"/>
      <c r="AZ68" s="1875"/>
      <c r="BA68" s="1882"/>
      <c r="BB68" s="1875"/>
      <c r="BC68" s="1882"/>
      <c r="BD68" s="1875"/>
      <c r="BE68" s="1882"/>
      <c r="BF68" s="1875"/>
      <c r="BG68" s="1882"/>
      <c r="BH68" s="1875"/>
      <c r="BI68" s="1882"/>
      <c r="BJ68" s="1875"/>
      <c r="BK68" s="1882"/>
      <c r="BL68" s="1875"/>
      <c r="BM68" s="1882"/>
      <c r="BN68" s="1875"/>
      <c r="BO68" s="1882"/>
      <c r="BP68" s="1875"/>
      <c r="BQ68" s="1882"/>
      <c r="BR68" s="1875"/>
      <c r="BS68" s="1882"/>
      <c r="BT68" s="1875"/>
      <c r="BU68" s="1882"/>
      <c r="BV68" s="1875"/>
      <c r="BW68" s="1882"/>
      <c r="BX68" s="1875"/>
      <c r="BY68" s="1882"/>
      <c r="BZ68" s="1875"/>
      <c r="CA68" s="1882"/>
      <c r="CB68" s="1875"/>
      <c r="CC68" s="1882"/>
      <c r="CD68" s="1875"/>
      <c r="CE68" s="1882"/>
      <c r="CF68" s="1875"/>
      <c r="CG68" s="1882"/>
      <c r="CH68" s="1875"/>
      <c r="CI68" s="1882"/>
      <c r="CJ68" s="1875"/>
      <c r="CK68" s="1882"/>
      <c r="CL68" s="1875"/>
      <c r="CM68" s="1882"/>
      <c r="CN68" s="1875"/>
      <c r="CO68" s="1882"/>
      <c r="CP68" s="1875"/>
      <c r="CQ68" s="1882"/>
      <c r="CR68" s="1875"/>
      <c r="CS68" s="1882"/>
      <c r="CT68" s="1875"/>
      <c r="CU68" s="1882"/>
      <c r="CV68" s="1875"/>
      <c r="CW68" s="1882"/>
      <c r="CX68" s="1875"/>
      <c r="CY68" s="1882"/>
      <c r="CZ68" s="1875"/>
      <c r="DA68" s="1882"/>
      <c r="DB68" s="1875"/>
      <c r="DC68" s="1882"/>
      <c r="DD68" s="1875"/>
      <c r="DE68" s="1882"/>
      <c r="DF68" s="1875"/>
      <c r="DG68" s="1882"/>
      <c r="DH68" s="1875"/>
      <c r="DI68" s="1882"/>
      <c r="DJ68" s="1875"/>
      <c r="DK68" s="1882"/>
      <c r="DL68" s="1875"/>
      <c r="DM68" s="1882"/>
      <c r="DN68" s="1875"/>
      <c r="DO68" s="1882"/>
      <c r="DP68" s="1875"/>
      <c r="DQ68" s="1882"/>
      <c r="DR68" s="1875"/>
      <c r="DS68" s="1882"/>
      <c r="DT68" s="1875"/>
      <c r="DU68" s="1882"/>
      <c r="DV68" s="1875"/>
      <c r="DW68" s="1882"/>
      <c r="DX68" s="1875"/>
      <c r="DY68" s="1882"/>
      <c r="DZ68" s="1875"/>
      <c r="EA68" s="1882"/>
      <c r="EB68" s="1875"/>
      <c r="EC68" s="1882"/>
      <c r="ED68" s="1875"/>
      <c r="EE68" s="1882"/>
      <c r="EF68" s="1875"/>
      <c r="EG68" s="1882"/>
      <c r="EH68" s="1875"/>
      <c r="EI68" s="1882"/>
      <c r="EJ68" s="1875"/>
      <c r="EK68" s="1882"/>
      <c r="EL68" s="1875"/>
      <c r="EM68" s="1882"/>
      <c r="EN68" s="1875"/>
      <c r="EO68" s="1882"/>
      <c r="EP68" s="1875"/>
      <c r="EQ68" s="1882"/>
      <c r="ER68" s="1875"/>
      <c r="ES68" s="1882"/>
      <c r="ET68" s="1875"/>
      <c r="EU68" s="1882"/>
      <c r="EV68" s="1875"/>
      <c r="EW68" s="1882"/>
      <c r="EX68" s="1875"/>
      <c r="EY68" s="1882"/>
      <c r="EZ68" s="1875"/>
      <c r="FA68" s="1882"/>
      <c r="FB68" s="1875"/>
      <c r="FC68" s="1882"/>
      <c r="FD68" s="1875"/>
      <c r="FE68" s="1882"/>
      <c r="FF68" s="1875"/>
      <c r="FG68" s="1882"/>
      <c r="FH68" s="1875"/>
      <c r="FI68" s="1882"/>
      <c r="FJ68" s="1875"/>
      <c r="FK68" s="1882"/>
      <c r="FL68" s="1875"/>
      <c r="FM68" s="1882"/>
      <c r="FN68" s="1875"/>
      <c r="FO68" s="1882"/>
      <c r="FP68" s="1875"/>
      <c r="FQ68" s="1882"/>
      <c r="FR68" s="1875"/>
      <c r="FS68" s="1882"/>
      <c r="FT68" s="1875"/>
      <c r="FU68" s="1882"/>
      <c r="FV68" s="1875"/>
      <c r="FW68" s="1882"/>
      <c r="FX68" s="1875"/>
      <c r="FY68" s="1882"/>
      <c r="FZ68" s="1875"/>
      <c r="GA68" s="1882"/>
      <c r="GB68" s="1875"/>
      <c r="GC68" s="1882"/>
      <c r="GD68" s="1875"/>
      <c r="GE68" s="1882"/>
      <c r="GF68" s="1875"/>
      <c r="GG68" s="1882"/>
      <c r="GH68" s="1875"/>
      <c r="GI68" s="1882"/>
      <c r="GJ68" s="1875"/>
      <c r="GK68" s="1882"/>
      <c r="GL68" s="1875"/>
      <c r="GM68" s="201"/>
    </row>
    <row r="69" spans="1:195" s="1910" customFormat="1" ht="22.5" hidden="1" customHeight="1">
      <c r="A69" s="3628"/>
      <c r="B69" s="409"/>
      <c r="D69" s="632" t="s">
        <v>570</v>
      </c>
      <c r="E69" s="826" t="s">
        <v>1169</v>
      </c>
      <c r="F69" s="611" t="s">
        <v>823</v>
      </c>
      <c r="G69" s="631"/>
      <c r="H69" s="417"/>
      <c r="I69" s="631"/>
      <c r="J69" s="417"/>
      <c r="K69" s="1861"/>
      <c r="L69" s="1875"/>
      <c r="M69" s="1861"/>
      <c r="N69" s="1875"/>
      <c r="O69" s="1861"/>
      <c r="P69" s="1875"/>
      <c r="Q69" s="1861"/>
      <c r="R69" s="1875"/>
      <c r="S69" s="1861"/>
      <c r="T69" s="1875"/>
      <c r="U69" s="1861"/>
      <c r="V69" s="1875"/>
      <c r="W69" s="1861"/>
      <c r="X69" s="1875"/>
      <c r="Y69" s="1861"/>
      <c r="Z69" s="1875"/>
      <c r="AA69" s="1861"/>
      <c r="AB69" s="1875"/>
      <c r="AC69" s="1861"/>
      <c r="AD69" s="1875"/>
      <c r="AE69" s="1861"/>
      <c r="AF69" s="1875"/>
      <c r="AG69" s="1861"/>
      <c r="AH69" s="1875"/>
      <c r="AI69" s="1861"/>
      <c r="AJ69" s="1875"/>
      <c r="AK69" s="1861"/>
      <c r="AL69" s="1875"/>
      <c r="AM69" s="1861"/>
      <c r="AN69" s="1875"/>
      <c r="AO69" s="1861"/>
      <c r="AP69" s="1875"/>
      <c r="AQ69" s="1861"/>
      <c r="AR69" s="1875"/>
      <c r="AS69" s="1861"/>
      <c r="AT69" s="1875"/>
      <c r="AU69" s="1861"/>
      <c r="AV69" s="1875"/>
      <c r="AW69" s="1861"/>
      <c r="AX69" s="1875"/>
      <c r="AY69" s="1861"/>
      <c r="AZ69" s="1875"/>
      <c r="BA69" s="1861"/>
      <c r="BB69" s="1875"/>
      <c r="BC69" s="1861"/>
      <c r="BD69" s="1875"/>
      <c r="BE69" s="1861"/>
      <c r="BF69" s="1875"/>
      <c r="BG69" s="1861"/>
      <c r="BH69" s="1875"/>
      <c r="BI69" s="1861"/>
      <c r="BJ69" s="1875"/>
      <c r="BK69" s="1861"/>
      <c r="BL69" s="1875"/>
      <c r="BM69" s="1861"/>
      <c r="BN69" s="1875"/>
      <c r="BO69" s="1861"/>
      <c r="BP69" s="1875"/>
      <c r="BQ69" s="1861"/>
      <c r="BR69" s="1875"/>
      <c r="BS69" s="1861"/>
      <c r="BT69" s="1875"/>
      <c r="BU69" s="1861"/>
      <c r="BV69" s="1875"/>
      <c r="BW69" s="1861"/>
      <c r="BX69" s="1875"/>
      <c r="BY69" s="1861"/>
      <c r="BZ69" s="1875"/>
      <c r="CA69" s="1861"/>
      <c r="CB69" s="1875"/>
      <c r="CC69" s="1861"/>
      <c r="CD69" s="1875"/>
      <c r="CE69" s="1861"/>
      <c r="CF69" s="1875"/>
      <c r="CG69" s="1861"/>
      <c r="CH69" s="1875"/>
      <c r="CI69" s="1861"/>
      <c r="CJ69" s="1875"/>
      <c r="CK69" s="1861"/>
      <c r="CL69" s="1875"/>
      <c r="CM69" s="1861"/>
      <c r="CN69" s="1875"/>
      <c r="CO69" s="1861"/>
      <c r="CP69" s="1875"/>
      <c r="CQ69" s="1861"/>
      <c r="CR69" s="1875"/>
      <c r="CS69" s="1861"/>
      <c r="CT69" s="1875"/>
      <c r="CU69" s="1861"/>
      <c r="CV69" s="1875"/>
      <c r="CW69" s="1861"/>
      <c r="CX69" s="1875"/>
      <c r="CY69" s="1861"/>
      <c r="CZ69" s="1875"/>
      <c r="DA69" s="1861"/>
      <c r="DB69" s="1875"/>
      <c r="DC69" s="1861"/>
      <c r="DD69" s="1875"/>
      <c r="DE69" s="1861"/>
      <c r="DF69" s="1875"/>
      <c r="DG69" s="1861"/>
      <c r="DH69" s="1875"/>
      <c r="DI69" s="1861"/>
      <c r="DJ69" s="1875"/>
      <c r="DK69" s="1861"/>
      <c r="DL69" s="1875"/>
      <c r="DM69" s="1861"/>
      <c r="DN69" s="1875"/>
      <c r="DO69" s="1861"/>
      <c r="DP69" s="1875"/>
      <c r="DQ69" s="1861"/>
      <c r="DR69" s="1875"/>
      <c r="DS69" s="1861"/>
      <c r="DT69" s="1875"/>
      <c r="DU69" s="1861"/>
      <c r="DV69" s="1875"/>
      <c r="DW69" s="1861"/>
      <c r="DX69" s="1875"/>
      <c r="DY69" s="1861"/>
      <c r="DZ69" s="1875"/>
      <c r="EA69" s="1861"/>
      <c r="EB69" s="1875"/>
      <c r="EC69" s="1861"/>
      <c r="ED69" s="1875"/>
      <c r="EE69" s="1861"/>
      <c r="EF69" s="1875"/>
      <c r="EG69" s="1861"/>
      <c r="EH69" s="1875"/>
      <c r="EI69" s="1861"/>
      <c r="EJ69" s="1875"/>
      <c r="EK69" s="1861"/>
      <c r="EL69" s="1875"/>
      <c r="EM69" s="1861"/>
      <c r="EN69" s="1875"/>
      <c r="EO69" s="1861"/>
      <c r="EP69" s="1875"/>
      <c r="EQ69" s="1861"/>
      <c r="ER69" s="1875"/>
      <c r="ES69" s="1861"/>
      <c r="ET69" s="1875"/>
      <c r="EU69" s="1861"/>
      <c r="EV69" s="1875"/>
      <c r="EW69" s="1861"/>
      <c r="EX69" s="1875"/>
      <c r="EY69" s="1861"/>
      <c r="EZ69" s="1875"/>
      <c r="FA69" s="1861"/>
      <c r="FB69" s="1875"/>
      <c r="FC69" s="1861"/>
      <c r="FD69" s="1875"/>
      <c r="FE69" s="1861"/>
      <c r="FF69" s="1875"/>
      <c r="FG69" s="1861"/>
      <c r="FH69" s="1875"/>
      <c r="FI69" s="1861"/>
      <c r="FJ69" s="1875"/>
      <c r="FK69" s="1861"/>
      <c r="FL69" s="1875"/>
      <c r="FM69" s="1861"/>
      <c r="FN69" s="1875"/>
      <c r="FO69" s="1861"/>
      <c r="FP69" s="1875"/>
      <c r="FQ69" s="1861"/>
      <c r="FR69" s="1875"/>
      <c r="FS69" s="1861"/>
      <c r="FT69" s="1875"/>
      <c r="FU69" s="1861"/>
      <c r="FV69" s="1875"/>
      <c r="FW69" s="1861"/>
      <c r="FX69" s="1875"/>
      <c r="FY69" s="1861"/>
      <c r="FZ69" s="1875"/>
      <c r="GA69" s="1861"/>
      <c r="GB69" s="1875"/>
      <c r="GC69" s="1861"/>
      <c r="GD69" s="1875"/>
      <c r="GE69" s="1861"/>
      <c r="GF69" s="1875"/>
      <c r="GG69" s="1861"/>
      <c r="GH69" s="1875"/>
      <c r="GI69" s="1861"/>
      <c r="GJ69" s="1875"/>
      <c r="GK69" s="1861"/>
      <c r="GL69" s="1875"/>
      <c r="GM69" s="201"/>
    </row>
    <row r="70" spans="1:195" s="1910" customFormat="1" ht="22.5" hidden="1" customHeight="1">
      <c r="A70" s="3628"/>
      <c r="B70" s="409"/>
      <c r="D70" s="632" t="s">
        <v>999</v>
      </c>
      <c r="E70" s="826" t="s">
        <v>1170</v>
      </c>
      <c r="F70" s="611" t="s">
        <v>823</v>
      </c>
      <c r="G70" s="631"/>
      <c r="H70" s="417"/>
      <c r="I70" s="631"/>
      <c r="J70" s="417"/>
      <c r="K70" s="1861"/>
      <c r="L70" s="1875"/>
      <c r="M70" s="1861"/>
      <c r="N70" s="1875"/>
      <c r="O70" s="1861"/>
      <c r="P70" s="1875"/>
      <c r="Q70" s="1861"/>
      <c r="R70" s="1875"/>
      <c r="S70" s="1861"/>
      <c r="T70" s="1875"/>
      <c r="U70" s="1861"/>
      <c r="V70" s="1875"/>
      <c r="W70" s="1861"/>
      <c r="X70" s="1875"/>
      <c r="Y70" s="1861"/>
      <c r="Z70" s="1875"/>
      <c r="AA70" s="1861"/>
      <c r="AB70" s="1875"/>
      <c r="AC70" s="1861"/>
      <c r="AD70" s="1875"/>
      <c r="AE70" s="1861"/>
      <c r="AF70" s="1875"/>
      <c r="AG70" s="1861"/>
      <c r="AH70" s="1875"/>
      <c r="AI70" s="1861"/>
      <c r="AJ70" s="1875"/>
      <c r="AK70" s="1861"/>
      <c r="AL70" s="1875"/>
      <c r="AM70" s="1861"/>
      <c r="AN70" s="1875"/>
      <c r="AO70" s="1861"/>
      <c r="AP70" s="1875"/>
      <c r="AQ70" s="1861"/>
      <c r="AR70" s="1875"/>
      <c r="AS70" s="1861"/>
      <c r="AT70" s="1875"/>
      <c r="AU70" s="1861"/>
      <c r="AV70" s="1875"/>
      <c r="AW70" s="1861"/>
      <c r="AX70" s="1875"/>
      <c r="AY70" s="1861"/>
      <c r="AZ70" s="1875"/>
      <c r="BA70" s="1861"/>
      <c r="BB70" s="1875"/>
      <c r="BC70" s="1861"/>
      <c r="BD70" s="1875"/>
      <c r="BE70" s="1861"/>
      <c r="BF70" s="1875"/>
      <c r="BG70" s="1861"/>
      <c r="BH70" s="1875"/>
      <c r="BI70" s="1861"/>
      <c r="BJ70" s="1875"/>
      <c r="BK70" s="1861"/>
      <c r="BL70" s="1875"/>
      <c r="BM70" s="1861"/>
      <c r="BN70" s="1875"/>
      <c r="BO70" s="1861"/>
      <c r="BP70" s="1875"/>
      <c r="BQ70" s="1861"/>
      <c r="BR70" s="1875"/>
      <c r="BS70" s="1861"/>
      <c r="BT70" s="1875"/>
      <c r="BU70" s="1861"/>
      <c r="BV70" s="1875"/>
      <c r="BW70" s="1861"/>
      <c r="BX70" s="1875"/>
      <c r="BY70" s="1861"/>
      <c r="BZ70" s="1875"/>
      <c r="CA70" s="1861"/>
      <c r="CB70" s="1875"/>
      <c r="CC70" s="1861"/>
      <c r="CD70" s="1875"/>
      <c r="CE70" s="1861"/>
      <c r="CF70" s="1875"/>
      <c r="CG70" s="1861"/>
      <c r="CH70" s="1875"/>
      <c r="CI70" s="1861"/>
      <c r="CJ70" s="1875"/>
      <c r="CK70" s="1861"/>
      <c r="CL70" s="1875"/>
      <c r="CM70" s="1861"/>
      <c r="CN70" s="1875"/>
      <c r="CO70" s="1861"/>
      <c r="CP70" s="1875"/>
      <c r="CQ70" s="1861"/>
      <c r="CR70" s="1875"/>
      <c r="CS70" s="1861"/>
      <c r="CT70" s="1875"/>
      <c r="CU70" s="1861"/>
      <c r="CV70" s="1875"/>
      <c r="CW70" s="1861"/>
      <c r="CX70" s="1875"/>
      <c r="CY70" s="1861"/>
      <c r="CZ70" s="1875"/>
      <c r="DA70" s="1861"/>
      <c r="DB70" s="1875"/>
      <c r="DC70" s="1861"/>
      <c r="DD70" s="1875"/>
      <c r="DE70" s="1861"/>
      <c r="DF70" s="1875"/>
      <c r="DG70" s="1861"/>
      <c r="DH70" s="1875"/>
      <c r="DI70" s="1861"/>
      <c r="DJ70" s="1875"/>
      <c r="DK70" s="1861"/>
      <c r="DL70" s="1875"/>
      <c r="DM70" s="1861"/>
      <c r="DN70" s="1875"/>
      <c r="DO70" s="1861"/>
      <c r="DP70" s="1875"/>
      <c r="DQ70" s="1861"/>
      <c r="DR70" s="1875"/>
      <c r="DS70" s="1861"/>
      <c r="DT70" s="1875"/>
      <c r="DU70" s="1861"/>
      <c r="DV70" s="1875"/>
      <c r="DW70" s="1861"/>
      <c r="DX70" s="1875"/>
      <c r="DY70" s="1861"/>
      <c r="DZ70" s="1875"/>
      <c r="EA70" s="1861"/>
      <c r="EB70" s="1875"/>
      <c r="EC70" s="1861"/>
      <c r="ED70" s="1875"/>
      <c r="EE70" s="1861"/>
      <c r="EF70" s="1875"/>
      <c r="EG70" s="1861"/>
      <c r="EH70" s="1875"/>
      <c r="EI70" s="1861"/>
      <c r="EJ70" s="1875"/>
      <c r="EK70" s="1861"/>
      <c r="EL70" s="1875"/>
      <c r="EM70" s="1861"/>
      <c r="EN70" s="1875"/>
      <c r="EO70" s="1861"/>
      <c r="EP70" s="1875"/>
      <c r="EQ70" s="1861"/>
      <c r="ER70" s="1875"/>
      <c r="ES70" s="1861"/>
      <c r="ET70" s="1875"/>
      <c r="EU70" s="1861"/>
      <c r="EV70" s="1875"/>
      <c r="EW70" s="1861"/>
      <c r="EX70" s="1875"/>
      <c r="EY70" s="1861"/>
      <c r="EZ70" s="1875"/>
      <c r="FA70" s="1861"/>
      <c r="FB70" s="1875"/>
      <c r="FC70" s="1861"/>
      <c r="FD70" s="1875"/>
      <c r="FE70" s="1861"/>
      <c r="FF70" s="1875"/>
      <c r="FG70" s="1861"/>
      <c r="FH70" s="1875"/>
      <c r="FI70" s="1861"/>
      <c r="FJ70" s="1875"/>
      <c r="FK70" s="1861"/>
      <c r="FL70" s="1875"/>
      <c r="FM70" s="1861"/>
      <c r="FN70" s="1875"/>
      <c r="FO70" s="1861"/>
      <c r="FP70" s="1875"/>
      <c r="FQ70" s="1861"/>
      <c r="FR70" s="1875"/>
      <c r="FS70" s="1861"/>
      <c r="FT70" s="1875"/>
      <c r="FU70" s="1861"/>
      <c r="FV70" s="1875"/>
      <c r="FW70" s="1861"/>
      <c r="FX70" s="1875"/>
      <c r="FY70" s="1861"/>
      <c r="FZ70" s="1875"/>
      <c r="GA70" s="1861"/>
      <c r="GB70" s="1875"/>
      <c r="GC70" s="1861"/>
      <c r="GD70" s="1875"/>
      <c r="GE70" s="1861"/>
      <c r="GF70" s="1875"/>
      <c r="GG70" s="1861"/>
      <c r="GH70" s="1875"/>
      <c r="GI70" s="1861"/>
      <c r="GJ70" s="1875"/>
      <c r="GK70" s="1861"/>
      <c r="GL70" s="1875"/>
      <c r="GM70" s="201"/>
    </row>
    <row r="71" spans="1:195" s="1910" customFormat="1" ht="22.5" hidden="1" customHeight="1">
      <c r="A71" s="3628"/>
      <c r="B71" s="409"/>
      <c r="D71" s="557" t="s">
        <v>87</v>
      </c>
      <c r="E71" s="558" t="s">
        <v>1171</v>
      </c>
      <c r="F71" s="552" t="s">
        <v>1133</v>
      </c>
      <c r="G71" s="454"/>
      <c r="H71" s="900"/>
      <c r="I71" s="454"/>
      <c r="J71" s="900"/>
      <c r="K71" s="1848"/>
      <c r="L71" s="1877"/>
      <c r="M71" s="1848"/>
      <c r="N71" s="1877"/>
      <c r="O71" s="1848"/>
      <c r="P71" s="1877"/>
      <c r="Q71" s="1848"/>
      <c r="R71" s="1877"/>
      <c r="S71" s="1848"/>
      <c r="T71" s="1877"/>
      <c r="U71" s="1848"/>
      <c r="V71" s="1877"/>
      <c r="W71" s="1848"/>
      <c r="X71" s="1877"/>
      <c r="Y71" s="1848"/>
      <c r="Z71" s="1877"/>
      <c r="AA71" s="1848"/>
      <c r="AB71" s="1877"/>
      <c r="AC71" s="1848"/>
      <c r="AD71" s="1877"/>
      <c r="AE71" s="1848"/>
      <c r="AF71" s="1877"/>
      <c r="AG71" s="1848"/>
      <c r="AH71" s="1877"/>
      <c r="AI71" s="1848"/>
      <c r="AJ71" s="1877"/>
      <c r="AK71" s="1848"/>
      <c r="AL71" s="1877"/>
      <c r="AM71" s="1848"/>
      <c r="AN71" s="1877"/>
      <c r="AO71" s="1848"/>
      <c r="AP71" s="1877"/>
      <c r="AQ71" s="1848"/>
      <c r="AR71" s="1877"/>
      <c r="AS71" s="1848"/>
      <c r="AT71" s="1877"/>
      <c r="AU71" s="1848"/>
      <c r="AV71" s="1877"/>
      <c r="AW71" s="1848"/>
      <c r="AX71" s="1877"/>
      <c r="AY71" s="1848"/>
      <c r="AZ71" s="1877"/>
      <c r="BA71" s="1848"/>
      <c r="BB71" s="1877"/>
      <c r="BC71" s="1848"/>
      <c r="BD71" s="1877"/>
      <c r="BE71" s="1848"/>
      <c r="BF71" s="1877"/>
      <c r="BG71" s="1848"/>
      <c r="BH71" s="1877"/>
      <c r="BI71" s="1848"/>
      <c r="BJ71" s="1877"/>
      <c r="BK71" s="1848"/>
      <c r="BL71" s="1877"/>
      <c r="BM71" s="1848"/>
      <c r="BN71" s="1877"/>
      <c r="BO71" s="1848"/>
      <c r="BP71" s="1877"/>
      <c r="BQ71" s="1848"/>
      <c r="BR71" s="1877"/>
      <c r="BS71" s="1848"/>
      <c r="BT71" s="1877"/>
      <c r="BU71" s="1848"/>
      <c r="BV71" s="1877"/>
      <c r="BW71" s="1848"/>
      <c r="BX71" s="1877"/>
      <c r="BY71" s="1848"/>
      <c r="BZ71" s="1877"/>
      <c r="CA71" s="1848"/>
      <c r="CB71" s="1877"/>
      <c r="CC71" s="1848"/>
      <c r="CD71" s="1877"/>
      <c r="CE71" s="1848"/>
      <c r="CF71" s="1877"/>
      <c r="CG71" s="1848"/>
      <c r="CH71" s="1877"/>
      <c r="CI71" s="1848"/>
      <c r="CJ71" s="1877"/>
      <c r="CK71" s="1848"/>
      <c r="CL71" s="1877"/>
      <c r="CM71" s="1848"/>
      <c r="CN71" s="1877"/>
      <c r="CO71" s="1848"/>
      <c r="CP71" s="1877"/>
      <c r="CQ71" s="1848"/>
      <c r="CR71" s="1877"/>
      <c r="CS71" s="1848"/>
      <c r="CT71" s="1877"/>
      <c r="CU71" s="1848"/>
      <c r="CV71" s="1877"/>
      <c r="CW71" s="1848"/>
      <c r="CX71" s="1877"/>
      <c r="CY71" s="1848"/>
      <c r="CZ71" s="1877"/>
      <c r="DA71" s="1848"/>
      <c r="DB71" s="1877"/>
      <c r="DC71" s="1848"/>
      <c r="DD71" s="1877"/>
      <c r="DE71" s="1848"/>
      <c r="DF71" s="1877"/>
      <c r="DG71" s="1848"/>
      <c r="DH71" s="1877"/>
      <c r="DI71" s="1848"/>
      <c r="DJ71" s="1877"/>
      <c r="DK71" s="1848"/>
      <c r="DL71" s="1877"/>
      <c r="DM71" s="1848"/>
      <c r="DN71" s="1877"/>
      <c r="DO71" s="1848"/>
      <c r="DP71" s="1877"/>
      <c r="DQ71" s="1848"/>
      <c r="DR71" s="1877"/>
      <c r="DS71" s="1848"/>
      <c r="DT71" s="1877"/>
      <c r="DU71" s="1848"/>
      <c r="DV71" s="1877"/>
      <c r="DW71" s="1848"/>
      <c r="DX71" s="1877"/>
      <c r="DY71" s="1848"/>
      <c r="DZ71" s="1877"/>
      <c r="EA71" s="1848"/>
      <c r="EB71" s="1877"/>
      <c r="EC71" s="1848"/>
      <c r="ED71" s="1877"/>
      <c r="EE71" s="1848"/>
      <c r="EF71" s="1877"/>
      <c r="EG71" s="1848"/>
      <c r="EH71" s="1877"/>
      <c r="EI71" s="1848"/>
      <c r="EJ71" s="1877"/>
      <c r="EK71" s="1848"/>
      <c r="EL71" s="1877"/>
      <c r="EM71" s="1848"/>
      <c r="EN71" s="1877"/>
      <c r="EO71" s="1848"/>
      <c r="EP71" s="1877"/>
      <c r="EQ71" s="1848"/>
      <c r="ER71" s="1877"/>
      <c r="ES71" s="1848"/>
      <c r="ET71" s="1877"/>
      <c r="EU71" s="1848"/>
      <c r="EV71" s="1877"/>
      <c r="EW71" s="1848"/>
      <c r="EX71" s="1877"/>
      <c r="EY71" s="1848"/>
      <c r="EZ71" s="1877"/>
      <c r="FA71" s="1848"/>
      <c r="FB71" s="1877"/>
      <c r="FC71" s="1848"/>
      <c r="FD71" s="1877"/>
      <c r="FE71" s="1848"/>
      <c r="FF71" s="1877"/>
      <c r="FG71" s="1848"/>
      <c r="FH71" s="1877"/>
      <c r="FI71" s="1848"/>
      <c r="FJ71" s="1877"/>
      <c r="FK71" s="1848"/>
      <c r="FL71" s="1877"/>
      <c r="FM71" s="1848"/>
      <c r="FN71" s="1877"/>
      <c r="FO71" s="1848"/>
      <c r="FP71" s="1877"/>
      <c r="FQ71" s="1848"/>
      <c r="FR71" s="1877"/>
      <c r="FS71" s="1848"/>
      <c r="FT71" s="1877"/>
      <c r="FU71" s="1848"/>
      <c r="FV71" s="1877"/>
      <c r="FW71" s="1848"/>
      <c r="FX71" s="1877"/>
      <c r="FY71" s="1848"/>
      <c r="FZ71" s="1877"/>
      <c r="GA71" s="1848"/>
      <c r="GB71" s="1877"/>
      <c r="GC71" s="1848"/>
      <c r="GD71" s="1877"/>
      <c r="GE71" s="1848"/>
      <c r="GF71" s="1877"/>
      <c r="GG71" s="1848"/>
      <c r="GH71" s="1877"/>
      <c r="GI71" s="1848"/>
      <c r="GJ71" s="1877"/>
      <c r="GK71" s="1848"/>
      <c r="GL71" s="1877"/>
      <c r="GM71" s="213"/>
    </row>
    <row r="72" spans="1:195" s="1910" customFormat="1" ht="56.25" hidden="1" customHeight="1">
      <c r="A72" s="3628"/>
      <c r="B72" s="409"/>
      <c r="D72" s="557" t="s">
        <v>88</v>
      </c>
      <c r="E72" s="558" t="s">
        <v>1172</v>
      </c>
      <c r="F72" s="611" t="s">
        <v>823</v>
      </c>
      <c r="G72" s="631"/>
      <c r="H72" s="893"/>
      <c r="I72" s="631"/>
      <c r="J72" s="893"/>
      <c r="K72" s="1861"/>
      <c r="L72" s="1878"/>
      <c r="M72" s="1861"/>
      <c r="N72" s="1878"/>
      <c r="O72" s="1861"/>
      <c r="P72" s="1878"/>
      <c r="Q72" s="1861"/>
      <c r="R72" s="1878"/>
      <c r="S72" s="1861"/>
      <c r="T72" s="1878"/>
      <c r="U72" s="1861"/>
      <c r="V72" s="1878"/>
      <c r="W72" s="1861"/>
      <c r="X72" s="1878"/>
      <c r="Y72" s="1861"/>
      <c r="Z72" s="1878"/>
      <c r="AA72" s="1861"/>
      <c r="AB72" s="1878"/>
      <c r="AC72" s="1861"/>
      <c r="AD72" s="1878"/>
      <c r="AE72" s="1861"/>
      <c r="AF72" s="1878"/>
      <c r="AG72" s="1861"/>
      <c r="AH72" s="1878"/>
      <c r="AI72" s="1861"/>
      <c r="AJ72" s="1878"/>
      <c r="AK72" s="1861"/>
      <c r="AL72" s="1878"/>
      <c r="AM72" s="1861"/>
      <c r="AN72" s="1878"/>
      <c r="AO72" s="1861"/>
      <c r="AP72" s="1878"/>
      <c r="AQ72" s="1861"/>
      <c r="AR72" s="1878"/>
      <c r="AS72" s="1861"/>
      <c r="AT72" s="1878"/>
      <c r="AU72" s="1861"/>
      <c r="AV72" s="1878"/>
      <c r="AW72" s="1861"/>
      <c r="AX72" s="1878"/>
      <c r="AY72" s="1861"/>
      <c r="AZ72" s="1878"/>
      <c r="BA72" s="1861"/>
      <c r="BB72" s="1878"/>
      <c r="BC72" s="1861"/>
      <c r="BD72" s="1878"/>
      <c r="BE72" s="1861"/>
      <c r="BF72" s="1878"/>
      <c r="BG72" s="1861"/>
      <c r="BH72" s="1878"/>
      <c r="BI72" s="1861"/>
      <c r="BJ72" s="1878"/>
      <c r="BK72" s="1861"/>
      <c r="BL72" s="1878"/>
      <c r="BM72" s="1861"/>
      <c r="BN72" s="1878"/>
      <c r="BO72" s="1861"/>
      <c r="BP72" s="1878"/>
      <c r="BQ72" s="1861"/>
      <c r="BR72" s="1878"/>
      <c r="BS72" s="1861"/>
      <c r="BT72" s="1878"/>
      <c r="BU72" s="1861"/>
      <c r="BV72" s="1878"/>
      <c r="BW72" s="1861"/>
      <c r="BX72" s="1878"/>
      <c r="BY72" s="1861"/>
      <c r="BZ72" s="1878"/>
      <c r="CA72" s="1861"/>
      <c r="CB72" s="1878"/>
      <c r="CC72" s="1861"/>
      <c r="CD72" s="1878"/>
      <c r="CE72" s="1861"/>
      <c r="CF72" s="1878"/>
      <c r="CG72" s="1861"/>
      <c r="CH72" s="1878"/>
      <c r="CI72" s="1861"/>
      <c r="CJ72" s="1878"/>
      <c r="CK72" s="1861"/>
      <c r="CL72" s="1878"/>
      <c r="CM72" s="1861"/>
      <c r="CN72" s="1878"/>
      <c r="CO72" s="1861"/>
      <c r="CP72" s="1878"/>
      <c r="CQ72" s="1861"/>
      <c r="CR72" s="1878"/>
      <c r="CS72" s="1861"/>
      <c r="CT72" s="1878"/>
      <c r="CU72" s="1861"/>
      <c r="CV72" s="1878"/>
      <c r="CW72" s="1861"/>
      <c r="CX72" s="1878"/>
      <c r="CY72" s="1861"/>
      <c r="CZ72" s="1878"/>
      <c r="DA72" s="1861"/>
      <c r="DB72" s="1878"/>
      <c r="DC72" s="1861"/>
      <c r="DD72" s="1878"/>
      <c r="DE72" s="1861"/>
      <c r="DF72" s="1878"/>
      <c r="DG72" s="1861"/>
      <c r="DH72" s="1878"/>
      <c r="DI72" s="1861"/>
      <c r="DJ72" s="1878"/>
      <c r="DK72" s="1861"/>
      <c r="DL72" s="1878"/>
      <c r="DM72" s="1861"/>
      <c r="DN72" s="1878"/>
      <c r="DO72" s="1861"/>
      <c r="DP72" s="1878"/>
      <c r="DQ72" s="1861"/>
      <c r="DR72" s="1878"/>
      <c r="DS72" s="1861"/>
      <c r="DT72" s="1878"/>
      <c r="DU72" s="1861"/>
      <c r="DV72" s="1878"/>
      <c r="DW72" s="1861"/>
      <c r="DX72" s="1878"/>
      <c r="DY72" s="1861"/>
      <c r="DZ72" s="1878"/>
      <c r="EA72" s="1861"/>
      <c r="EB72" s="1878"/>
      <c r="EC72" s="1861"/>
      <c r="ED72" s="1878"/>
      <c r="EE72" s="1861"/>
      <c r="EF72" s="1878"/>
      <c r="EG72" s="1861"/>
      <c r="EH72" s="1878"/>
      <c r="EI72" s="1861"/>
      <c r="EJ72" s="1878"/>
      <c r="EK72" s="1861"/>
      <c r="EL72" s="1878"/>
      <c r="EM72" s="1861"/>
      <c r="EN72" s="1878"/>
      <c r="EO72" s="1861"/>
      <c r="EP72" s="1878"/>
      <c r="EQ72" s="1861"/>
      <c r="ER72" s="1878"/>
      <c r="ES72" s="1861"/>
      <c r="ET72" s="1878"/>
      <c r="EU72" s="1861"/>
      <c r="EV72" s="1878"/>
      <c r="EW72" s="1861"/>
      <c r="EX72" s="1878"/>
      <c r="EY72" s="1861"/>
      <c r="EZ72" s="1878"/>
      <c r="FA72" s="1861"/>
      <c r="FB72" s="1878"/>
      <c r="FC72" s="1861"/>
      <c r="FD72" s="1878"/>
      <c r="FE72" s="1861"/>
      <c r="FF72" s="1878"/>
      <c r="FG72" s="1861"/>
      <c r="FH72" s="1878"/>
      <c r="FI72" s="1861"/>
      <c r="FJ72" s="1878"/>
      <c r="FK72" s="1861"/>
      <c r="FL72" s="1878"/>
      <c r="FM72" s="1861"/>
      <c r="FN72" s="1878"/>
      <c r="FO72" s="1861"/>
      <c r="FP72" s="1878"/>
      <c r="FQ72" s="1861"/>
      <c r="FR72" s="1878"/>
      <c r="FS72" s="1861"/>
      <c r="FT72" s="1878"/>
      <c r="FU72" s="1861"/>
      <c r="FV72" s="1878"/>
      <c r="FW72" s="1861"/>
      <c r="FX72" s="1878"/>
      <c r="FY72" s="1861"/>
      <c r="FZ72" s="1878"/>
      <c r="GA72" s="1861"/>
      <c r="GB72" s="1878"/>
      <c r="GC72" s="1861"/>
      <c r="GD72" s="1878"/>
      <c r="GE72" s="1861"/>
      <c r="GF72" s="1878"/>
      <c r="GG72" s="1861"/>
      <c r="GH72" s="1878"/>
      <c r="GI72" s="1861"/>
      <c r="GJ72" s="1878"/>
      <c r="GK72" s="1861"/>
      <c r="GL72" s="1878"/>
      <c r="GM72" s="213"/>
    </row>
    <row r="73" spans="1:195" s="1910" customFormat="1" ht="33.75" hidden="1" customHeight="1">
      <c r="A73" s="3628"/>
      <c r="B73" s="409"/>
      <c r="D73" s="557" t="s">
        <v>108</v>
      </c>
      <c r="E73" s="558" t="s">
        <v>1173</v>
      </c>
      <c r="F73" s="616" t="s">
        <v>1091</v>
      </c>
      <c r="G73" s="560"/>
      <c r="H73" s="893"/>
      <c r="I73" s="560"/>
      <c r="J73" s="893"/>
      <c r="K73" s="1935"/>
      <c r="L73" s="1878"/>
      <c r="M73" s="1935"/>
      <c r="N73" s="1878"/>
      <c r="O73" s="1935"/>
      <c r="P73" s="1878"/>
      <c r="Q73" s="1935"/>
      <c r="R73" s="1878"/>
      <c r="S73" s="1935"/>
      <c r="T73" s="1878"/>
      <c r="U73" s="1935"/>
      <c r="V73" s="1878"/>
      <c r="W73" s="1935"/>
      <c r="X73" s="1878"/>
      <c r="Y73" s="1935"/>
      <c r="Z73" s="1878"/>
      <c r="AA73" s="1935"/>
      <c r="AB73" s="1878"/>
      <c r="AC73" s="1935"/>
      <c r="AD73" s="1878"/>
      <c r="AE73" s="1935"/>
      <c r="AF73" s="1878"/>
      <c r="AG73" s="1935"/>
      <c r="AH73" s="1878"/>
      <c r="AI73" s="1935"/>
      <c r="AJ73" s="1878"/>
      <c r="AK73" s="1935"/>
      <c r="AL73" s="1878"/>
      <c r="AM73" s="1935"/>
      <c r="AN73" s="1878"/>
      <c r="AO73" s="1935"/>
      <c r="AP73" s="1878"/>
      <c r="AQ73" s="1935"/>
      <c r="AR73" s="1878"/>
      <c r="AS73" s="1935"/>
      <c r="AT73" s="1878"/>
      <c r="AU73" s="1935"/>
      <c r="AV73" s="1878"/>
      <c r="AW73" s="1935"/>
      <c r="AX73" s="1878"/>
      <c r="AY73" s="1935"/>
      <c r="AZ73" s="1878"/>
      <c r="BA73" s="1935"/>
      <c r="BB73" s="1878"/>
      <c r="BC73" s="1935"/>
      <c r="BD73" s="1878"/>
      <c r="BE73" s="1935"/>
      <c r="BF73" s="1878"/>
      <c r="BG73" s="1935"/>
      <c r="BH73" s="1878"/>
      <c r="BI73" s="1935"/>
      <c r="BJ73" s="1878"/>
      <c r="BK73" s="1935"/>
      <c r="BL73" s="1878"/>
      <c r="BM73" s="1935"/>
      <c r="BN73" s="1878"/>
      <c r="BO73" s="1935"/>
      <c r="BP73" s="1878"/>
      <c r="BQ73" s="1935"/>
      <c r="BR73" s="1878"/>
      <c r="BS73" s="1935"/>
      <c r="BT73" s="1878"/>
      <c r="BU73" s="1935"/>
      <c r="BV73" s="1878"/>
      <c r="BW73" s="1935"/>
      <c r="BX73" s="1878"/>
      <c r="BY73" s="1935"/>
      <c r="BZ73" s="1878"/>
      <c r="CA73" s="1935"/>
      <c r="CB73" s="1878"/>
      <c r="CC73" s="1935"/>
      <c r="CD73" s="1878"/>
      <c r="CE73" s="1935"/>
      <c r="CF73" s="1878"/>
      <c r="CG73" s="1935"/>
      <c r="CH73" s="1878"/>
      <c r="CI73" s="1935"/>
      <c r="CJ73" s="1878"/>
      <c r="CK73" s="1935"/>
      <c r="CL73" s="1878"/>
      <c r="CM73" s="1935"/>
      <c r="CN73" s="1878"/>
      <c r="CO73" s="1935"/>
      <c r="CP73" s="1878"/>
      <c r="CQ73" s="1935"/>
      <c r="CR73" s="1878"/>
      <c r="CS73" s="1935"/>
      <c r="CT73" s="1878"/>
      <c r="CU73" s="1935"/>
      <c r="CV73" s="1878"/>
      <c r="CW73" s="1935"/>
      <c r="CX73" s="1878"/>
      <c r="CY73" s="1935"/>
      <c r="CZ73" s="1878"/>
      <c r="DA73" s="1935"/>
      <c r="DB73" s="1878"/>
      <c r="DC73" s="1935"/>
      <c r="DD73" s="1878"/>
      <c r="DE73" s="1935"/>
      <c r="DF73" s="1878"/>
      <c r="DG73" s="1935"/>
      <c r="DH73" s="1878"/>
      <c r="DI73" s="1935"/>
      <c r="DJ73" s="1878"/>
      <c r="DK73" s="1935"/>
      <c r="DL73" s="1878"/>
      <c r="DM73" s="1935"/>
      <c r="DN73" s="1878"/>
      <c r="DO73" s="1935"/>
      <c r="DP73" s="1878"/>
      <c r="DQ73" s="1935"/>
      <c r="DR73" s="1878"/>
      <c r="DS73" s="1935"/>
      <c r="DT73" s="1878"/>
      <c r="DU73" s="1935"/>
      <c r="DV73" s="1878"/>
      <c r="DW73" s="1935"/>
      <c r="DX73" s="1878"/>
      <c r="DY73" s="1935"/>
      <c r="DZ73" s="1878"/>
      <c r="EA73" s="1935"/>
      <c r="EB73" s="1878"/>
      <c r="EC73" s="1935"/>
      <c r="ED73" s="1878"/>
      <c r="EE73" s="1935"/>
      <c r="EF73" s="1878"/>
      <c r="EG73" s="1935"/>
      <c r="EH73" s="1878"/>
      <c r="EI73" s="1935"/>
      <c r="EJ73" s="1878"/>
      <c r="EK73" s="1935"/>
      <c r="EL73" s="1878"/>
      <c r="EM73" s="1935"/>
      <c r="EN73" s="1878"/>
      <c r="EO73" s="1935"/>
      <c r="EP73" s="1878"/>
      <c r="EQ73" s="1935"/>
      <c r="ER73" s="1878"/>
      <c r="ES73" s="1935"/>
      <c r="ET73" s="1878"/>
      <c r="EU73" s="1935"/>
      <c r="EV73" s="1878"/>
      <c r="EW73" s="1935"/>
      <c r="EX73" s="1878"/>
      <c r="EY73" s="1935"/>
      <c r="EZ73" s="1878"/>
      <c r="FA73" s="1935"/>
      <c r="FB73" s="1878"/>
      <c r="FC73" s="1935"/>
      <c r="FD73" s="1878"/>
      <c r="FE73" s="1935"/>
      <c r="FF73" s="1878"/>
      <c r="FG73" s="1935"/>
      <c r="FH73" s="1878"/>
      <c r="FI73" s="1935"/>
      <c r="FJ73" s="1878"/>
      <c r="FK73" s="1935"/>
      <c r="FL73" s="1878"/>
      <c r="FM73" s="1935"/>
      <c r="FN73" s="1878"/>
      <c r="FO73" s="1935"/>
      <c r="FP73" s="1878"/>
      <c r="FQ73" s="1935"/>
      <c r="FR73" s="1878"/>
      <c r="FS73" s="1935"/>
      <c r="FT73" s="1878"/>
      <c r="FU73" s="1935"/>
      <c r="FV73" s="1878"/>
      <c r="FW73" s="1935"/>
      <c r="FX73" s="1878"/>
      <c r="FY73" s="1935"/>
      <c r="FZ73" s="1878"/>
      <c r="GA73" s="1935"/>
      <c r="GB73" s="1878"/>
      <c r="GC73" s="1935"/>
      <c r="GD73" s="1878"/>
      <c r="GE73" s="1935"/>
      <c r="GF73" s="1878"/>
      <c r="GG73" s="1935"/>
      <c r="GH73" s="1878"/>
      <c r="GI73" s="1935"/>
      <c r="GJ73" s="1878"/>
      <c r="GK73" s="1935"/>
      <c r="GL73" s="1878"/>
      <c r="GM73" s="201"/>
    </row>
    <row r="74" spans="1:195" s="1910" customFormat="1" ht="22.5" hidden="1" customHeight="1">
      <c r="A74" s="3628"/>
      <c r="B74" s="409" t="s">
        <v>853</v>
      </c>
      <c r="D74" s="557" t="s">
        <v>89</v>
      </c>
      <c r="E74" s="558" t="s">
        <v>1174</v>
      </c>
      <c r="F74" s="616" t="s">
        <v>566</v>
      </c>
      <c r="G74" s="289"/>
      <c r="H74" s="893"/>
      <c r="I74" s="289"/>
      <c r="J74" s="893"/>
      <c r="K74" s="1908"/>
      <c r="L74" s="1878"/>
      <c r="M74" s="1908"/>
      <c r="N74" s="1878"/>
      <c r="O74" s="1908"/>
      <c r="P74" s="1878"/>
      <c r="Q74" s="1908"/>
      <c r="R74" s="1878"/>
      <c r="S74" s="1908"/>
      <c r="T74" s="1878"/>
      <c r="U74" s="1908"/>
      <c r="V74" s="1878"/>
      <c r="W74" s="1908"/>
      <c r="X74" s="1878"/>
      <c r="Y74" s="1908"/>
      <c r="Z74" s="1878"/>
      <c r="AA74" s="1908"/>
      <c r="AB74" s="1878"/>
      <c r="AC74" s="1908"/>
      <c r="AD74" s="1878"/>
      <c r="AE74" s="1908"/>
      <c r="AF74" s="1878"/>
      <c r="AG74" s="1908"/>
      <c r="AH74" s="1878"/>
      <c r="AI74" s="1908"/>
      <c r="AJ74" s="1878"/>
      <c r="AK74" s="1908"/>
      <c r="AL74" s="1878"/>
      <c r="AM74" s="1908"/>
      <c r="AN74" s="1878"/>
      <c r="AO74" s="1908"/>
      <c r="AP74" s="1878"/>
      <c r="AQ74" s="1908"/>
      <c r="AR74" s="1878"/>
      <c r="AS74" s="1908"/>
      <c r="AT74" s="1878"/>
      <c r="AU74" s="1908"/>
      <c r="AV74" s="1878"/>
      <c r="AW74" s="1908"/>
      <c r="AX74" s="1878"/>
      <c r="AY74" s="1908"/>
      <c r="AZ74" s="1878"/>
      <c r="BA74" s="1908"/>
      <c r="BB74" s="1878"/>
      <c r="BC74" s="1908"/>
      <c r="BD74" s="1878"/>
      <c r="BE74" s="1908"/>
      <c r="BF74" s="1878"/>
      <c r="BG74" s="1908"/>
      <c r="BH74" s="1878"/>
      <c r="BI74" s="1908"/>
      <c r="BJ74" s="1878"/>
      <c r="BK74" s="1908"/>
      <c r="BL74" s="1878"/>
      <c r="BM74" s="1908"/>
      <c r="BN74" s="1878"/>
      <c r="BO74" s="1908"/>
      <c r="BP74" s="1878"/>
      <c r="BQ74" s="1908"/>
      <c r="BR74" s="1878"/>
      <c r="BS74" s="1908"/>
      <c r="BT74" s="1878"/>
      <c r="BU74" s="1908"/>
      <c r="BV74" s="1878"/>
      <c r="BW74" s="1908"/>
      <c r="BX74" s="1878"/>
      <c r="BY74" s="1908"/>
      <c r="BZ74" s="1878"/>
      <c r="CA74" s="1908"/>
      <c r="CB74" s="1878"/>
      <c r="CC74" s="1908"/>
      <c r="CD74" s="1878"/>
      <c r="CE74" s="1908"/>
      <c r="CF74" s="1878"/>
      <c r="CG74" s="1908"/>
      <c r="CH74" s="1878"/>
      <c r="CI74" s="1908"/>
      <c r="CJ74" s="1878"/>
      <c r="CK74" s="1908"/>
      <c r="CL74" s="1878"/>
      <c r="CM74" s="1908"/>
      <c r="CN74" s="1878"/>
      <c r="CO74" s="1908"/>
      <c r="CP74" s="1878"/>
      <c r="CQ74" s="1908"/>
      <c r="CR74" s="1878"/>
      <c r="CS74" s="1908"/>
      <c r="CT74" s="1878"/>
      <c r="CU74" s="1908"/>
      <c r="CV74" s="1878"/>
      <c r="CW74" s="1908"/>
      <c r="CX74" s="1878"/>
      <c r="CY74" s="1908"/>
      <c r="CZ74" s="1878"/>
      <c r="DA74" s="1908"/>
      <c r="DB74" s="1878"/>
      <c r="DC74" s="1908"/>
      <c r="DD74" s="1878"/>
      <c r="DE74" s="1908"/>
      <c r="DF74" s="1878"/>
      <c r="DG74" s="1908"/>
      <c r="DH74" s="1878"/>
      <c r="DI74" s="1908"/>
      <c r="DJ74" s="1878"/>
      <c r="DK74" s="1908"/>
      <c r="DL74" s="1878"/>
      <c r="DM74" s="1908"/>
      <c r="DN74" s="1878"/>
      <c r="DO74" s="1908"/>
      <c r="DP74" s="1878"/>
      <c r="DQ74" s="1908"/>
      <c r="DR74" s="1878"/>
      <c r="DS74" s="1908"/>
      <c r="DT74" s="1878"/>
      <c r="DU74" s="1908"/>
      <c r="DV74" s="1878"/>
      <c r="DW74" s="1908"/>
      <c r="DX74" s="1878"/>
      <c r="DY74" s="1908"/>
      <c r="DZ74" s="1878"/>
      <c r="EA74" s="1908"/>
      <c r="EB74" s="1878"/>
      <c r="EC74" s="1908"/>
      <c r="ED74" s="1878"/>
      <c r="EE74" s="1908"/>
      <c r="EF74" s="1878"/>
      <c r="EG74" s="1908"/>
      <c r="EH74" s="1878"/>
      <c r="EI74" s="1908"/>
      <c r="EJ74" s="1878"/>
      <c r="EK74" s="1908"/>
      <c r="EL74" s="1878"/>
      <c r="EM74" s="1908"/>
      <c r="EN74" s="1878"/>
      <c r="EO74" s="1908"/>
      <c r="EP74" s="1878"/>
      <c r="EQ74" s="1908"/>
      <c r="ER74" s="1878"/>
      <c r="ES74" s="1908"/>
      <c r="ET74" s="1878"/>
      <c r="EU74" s="1908"/>
      <c r="EV74" s="1878"/>
      <c r="EW74" s="1908"/>
      <c r="EX74" s="1878"/>
      <c r="EY74" s="1908"/>
      <c r="EZ74" s="1878"/>
      <c r="FA74" s="1908"/>
      <c r="FB74" s="1878"/>
      <c r="FC74" s="1908"/>
      <c r="FD74" s="1878"/>
      <c r="FE74" s="1908"/>
      <c r="FF74" s="1878"/>
      <c r="FG74" s="1908"/>
      <c r="FH74" s="1878"/>
      <c r="FI74" s="1908"/>
      <c r="FJ74" s="1878"/>
      <c r="FK74" s="1908"/>
      <c r="FL74" s="1878"/>
      <c r="FM74" s="1908"/>
      <c r="FN74" s="1878"/>
      <c r="FO74" s="1908"/>
      <c r="FP74" s="1878"/>
      <c r="FQ74" s="1908"/>
      <c r="FR74" s="1878"/>
      <c r="FS74" s="1908"/>
      <c r="FT74" s="1878"/>
      <c r="FU74" s="1908"/>
      <c r="FV74" s="1878"/>
      <c r="FW74" s="1908"/>
      <c r="FX74" s="1878"/>
      <c r="FY74" s="1908"/>
      <c r="FZ74" s="1878"/>
      <c r="GA74" s="1908"/>
      <c r="GB74" s="1878"/>
      <c r="GC74" s="1908"/>
      <c r="GD74" s="1878"/>
      <c r="GE74" s="1908"/>
      <c r="GF74" s="1878"/>
      <c r="GG74" s="1908"/>
      <c r="GH74" s="1878"/>
      <c r="GI74" s="1908"/>
      <c r="GJ74" s="1878"/>
      <c r="GK74" s="1908"/>
      <c r="GL74" s="1878"/>
      <c r="GM74" s="201" t="s">
        <v>1160</v>
      </c>
    </row>
    <row r="75" spans="1:195" s="1910" customFormat="1" ht="45" hidden="1" customHeight="1">
      <c r="A75" s="3628"/>
      <c r="B75" s="409" t="s">
        <v>853</v>
      </c>
      <c r="D75" s="557" t="s">
        <v>1175</v>
      </c>
      <c r="E75" s="559" t="s">
        <v>1176</v>
      </c>
      <c r="F75" s="611" t="s">
        <v>566</v>
      </c>
      <c r="G75" s="289"/>
      <c r="H75" s="893"/>
      <c r="I75" s="289"/>
      <c r="J75" s="893"/>
      <c r="K75" s="1908"/>
      <c r="L75" s="1878"/>
      <c r="M75" s="1908"/>
      <c r="N75" s="1878"/>
      <c r="O75" s="1908"/>
      <c r="P75" s="1878"/>
      <c r="Q75" s="1908"/>
      <c r="R75" s="1878"/>
      <c r="S75" s="1908"/>
      <c r="T75" s="1878"/>
      <c r="U75" s="1908"/>
      <c r="V75" s="1878"/>
      <c r="W75" s="1908"/>
      <c r="X75" s="1878"/>
      <c r="Y75" s="1908"/>
      <c r="Z75" s="1878"/>
      <c r="AA75" s="1908"/>
      <c r="AB75" s="1878"/>
      <c r="AC75" s="1908"/>
      <c r="AD75" s="1878"/>
      <c r="AE75" s="1908"/>
      <c r="AF75" s="1878"/>
      <c r="AG75" s="1908"/>
      <c r="AH75" s="1878"/>
      <c r="AI75" s="1908"/>
      <c r="AJ75" s="1878"/>
      <c r="AK75" s="1908"/>
      <c r="AL75" s="1878"/>
      <c r="AM75" s="1908"/>
      <c r="AN75" s="1878"/>
      <c r="AO75" s="1908"/>
      <c r="AP75" s="1878"/>
      <c r="AQ75" s="1908"/>
      <c r="AR75" s="1878"/>
      <c r="AS75" s="1908"/>
      <c r="AT75" s="1878"/>
      <c r="AU75" s="1908"/>
      <c r="AV75" s="1878"/>
      <c r="AW75" s="1908"/>
      <c r="AX75" s="1878"/>
      <c r="AY75" s="1908"/>
      <c r="AZ75" s="1878"/>
      <c r="BA75" s="1908"/>
      <c r="BB75" s="1878"/>
      <c r="BC75" s="1908"/>
      <c r="BD75" s="1878"/>
      <c r="BE75" s="1908"/>
      <c r="BF75" s="1878"/>
      <c r="BG75" s="1908"/>
      <c r="BH75" s="1878"/>
      <c r="BI75" s="1908"/>
      <c r="BJ75" s="1878"/>
      <c r="BK75" s="1908"/>
      <c r="BL75" s="1878"/>
      <c r="BM75" s="1908"/>
      <c r="BN75" s="1878"/>
      <c r="BO75" s="1908"/>
      <c r="BP75" s="1878"/>
      <c r="BQ75" s="1908"/>
      <c r="BR75" s="1878"/>
      <c r="BS75" s="1908"/>
      <c r="BT75" s="1878"/>
      <c r="BU75" s="1908"/>
      <c r="BV75" s="1878"/>
      <c r="BW75" s="1908"/>
      <c r="BX75" s="1878"/>
      <c r="BY75" s="1908"/>
      <c r="BZ75" s="1878"/>
      <c r="CA75" s="1908"/>
      <c r="CB75" s="1878"/>
      <c r="CC75" s="1908"/>
      <c r="CD75" s="1878"/>
      <c r="CE75" s="1908"/>
      <c r="CF75" s="1878"/>
      <c r="CG75" s="1908"/>
      <c r="CH75" s="1878"/>
      <c r="CI75" s="1908"/>
      <c r="CJ75" s="1878"/>
      <c r="CK75" s="1908"/>
      <c r="CL75" s="1878"/>
      <c r="CM75" s="1908"/>
      <c r="CN75" s="1878"/>
      <c r="CO75" s="1908"/>
      <c r="CP75" s="1878"/>
      <c r="CQ75" s="1908"/>
      <c r="CR75" s="1878"/>
      <c r="CS75" s="1908"/>
      <c r="CT75" s="1878"/>
      <c r="CU75" s="1908"/>
      <c r="CV75" s="1878"/>
      <c r="CW75" s="1908"/>
      <c r="CX75" s="1878"/>
      <c r="CY75" s="1908"/>
      <c r="CZ75" s="1878"/>
      <c r="DA75" s="1908"/>
      <c r="DB75" s="1878"/>
      <c r="DC75" s="1908"/>
      <c r="DD75" s="1878"/>
      <c r="DE75" s="1908"/>
      <c r="DF75" s="1878"/>
      <c r="DG75" s="1908"/>
      <c r="DH75" s="1878"/>
      <c r="DI75" s="1908"/>
      <c r="DJ75" s="1878"/>
      <c r="DK75" s="1908"/>
      <c r="DL75" s="1878"/>
      <c r="DM75" s="1908"/>
      <c r="DN75" s="1878"/>
      <c r="DO75" s="1908"/>
      <c r="DP75" s="1878"/>
      <c r="DQ75" s="1908"/>
      <c r="DR75" s="1878"/>
      <c r="DS75" s="1908"/>
      <c r="DT75" s="1878"/>
      <c r="DU75" s="1908"/>
      <c r="DV75" s="1878"/>
      <c r="DW75" s="1908"/>
      <c r="DX75" s="1878"/>
      <c r="DY75" s="1908"/>
      <c r="DZ75" s="1878"/>
      <c r="EA75" s="1908"/>
      <c r="EB75" s="1878"/>
      <c r="EC75" s="1908"/>
      <c r="ED75" s="1878"/>
      <c r="EE75" s="1908"/>
      <c r="EF75" s="1878"/>
      <c r="EG75" s="1908"/>
      <c r="EH75" s="1878"/>
      <c r="EI75" s="1908"/>
      <c r="EJ75" s="1878"/>
      <c r="EK75" s="1908"/>
      <c r="EL75" s="1878"/>
      <c r="EM75" s="1908"/>
      <c r="EN75" s="1878"/>
      <c r="EO75" s="1908"/>
      <c r="EP75" s="1878"/>
      <c r="EQ75" s="1908"/>
      <c r="ER75" s="1878"/>
      <c r="ES75" s="1908"/>
      <c r="ET75" s="1878"/>
      <c r="EU75" s="1908"/>
      <c r="EV75" s="1878"/>
      <c r="EW75" s="1908"/>
      <c r="EX75" s="1878"/>
      <c r="EY75" s="1908"/>
      <c r="EZ75" s="1878"/>
      <c r="FA75" s="1908"/>
      <c r="FB75" s="1878"/>
      <c r="FC75" s="1908"/>
      <c r="FD75" s="1878"/>
      <c r="FE75" s="1908"/>
      <c r="FF75" s="1878"/>
      <c r="FG75" s="1908"/>
      <c r="FH75" s="1878"/>
      <c r="FI75" s="1908"/>
      <c r="FJ75" s="1878"/>
      <c r="FK75" s="1908"/>
      <c r="FL75" s="1878"/>
      <c r="FM75" s="1908"/>
      <c r="FN75" s="1878"/>
      <c r="FO75" s="1908"/>
      <c r="FP75" s="1878"/>
      <c r="FQ75" s="1908"/>
      <c r="FR75" s="1878"/>
      <c r="FS75" s="1908"/>
      <c r="FT75" s="1878"/>
      <c r="FU75" s="1908"/>
      <c r="FV75" s="1878"/>
      <c r="FW75" s="1908"/>
      <c r="FX75" s="1878"/>
      <c r="FY75" s="1908"/>
      <c r="FZ75" s="1878"/>
      <c r="GA75" s="1908"/>
      <c r="GB75" s="1878"/>
      <c r="GC75" s="1908"/>
      <c r="GD75" s="1878"/>
      <c r="GE75" s="1908"/>
      <c r="GF75" s="1878"/>
      <c r="GG75" s="1908"/>
      <c r="GH75" s="1878"/>
      <c r="GI75" s="1908"/>
      <c r="GJ75" s="1878"/>
      <c r="GK75" s="1908"/>
      <c r="GL75" s="1878"/>
      <c r="GM75" s="201" t="s">
        <v>1160</v>
      </c>
    </row>
    <row r="76" spans="1:195" s="1910" customFormat="1" ht="11.25" customHeight="1">
      <c r="A76" s="903"/>
      <c r="B76" s="416"/>
      <c r="D76" s="904"/>
      <c r="E76" s="905"/>
    </row>
    <row r="77" spans="1:195" s="1910" customFormat="1" ht="11.25" hidden="1" customHeight="1">
      <c r="A77" s="3628" t="s">
        <v>1177</v>
      </c>
      <c r="B77" s="409"/>
      <c r="D77" s="557">
        <v>1</v>
      </c>
      <c r="E77" s="558" t="s">
        <v>1178</v>
      </c>
      <c r="F77" s="611" t="s">
        <v>1081</v>
      </c>
      <c r="G77" s="614"/>
      <c r="H77" s="893"/>
      <c r="I77" s="614"/>
      <c r="J77" s="893"/>
      <c r="K77" s="1883"/>
      <c r="L77" s="1878"/>
      <c r="M77" s="1883"/>
      <c r="N77" s="1878"/>
      <c r="O77" s="1883"/>
      <c r="P77" s="1878"/>
      <c r="Q77" s="1883"/>
      <c r="R77" s="1878"/>
      <c r="S77" s="1883"/>
      <c r="T77" s="1878"/>
      <c r="U77" s="1883"/>
      <c r="V77" s="1878"/>
      <c r="W77" s="1883"/>
      <c r="X77" s="1878"/>
      <c r="Y77" s="1883"/>
      <c r="Z77" s="1878"/>
      <c r="AA77" s="1883"/>
      <c r="AB77" s="1878"/>
      <c r="AC77" s="1883"/>
      <c r="AD77" s="1878"/>
      <c r="AE77" s="1883"/>
      <c r="AF77" s="1878"/>
      <c r="AG77" s="1883"/>
      <c r="AH77" s="1878"/>
      <c r="AI77" s="1883"/>
      <c r="AJ77" s="1878"/>
      <c r="AK77" s="1883"/>
      <c r="AL77" s="1878"/>
      <c r="AM77" s="1883"/>
      <c r="AN77" s="1878"/>
      <c r="AO77" s="1883"/>
      <c r="AP77" s="1878"/>
      <c r="AQ77" s="1883"/>
      <c r="AR77" s="1878"/>
      <c r="AS77" s="1883"/>
      <c r="AT77" s="1878"/>
      <c r="AU77" s="1883"/>
      <c r="AV77" s="1878"/>
      <c r="AW77" s="1883"/>
      <c r="AX77" s="1878"/>
      <c r="AY77" s="1883"/>
      <c r="AZ77" s="1878"/>
      <c r="BA77" s="1883"/>
      <c r="BB77" s="1878"/>
      <c r="BC77" s="1883"/>
      <c r="BD77" s="1878"/>
      <c r="BE77" s="1883"/>
      <c r="BF77" s="1878"/>
      <c r="BG77" s="1883"/>
      <c r="BH77" s="1878"/>
      <c r="BI77" s="1883"/>
      <c r="BJ77" s="1878"/>
      <c r="BK77" s="1883"/>
      <c r="BL77" s="1878"/>
      <c r="BM77" s="1883"/>
      <c r="BN77" s="1878"/>
      <c r="BO77" s="1883"/>
      <c r="BP77" s="1878"/>
      <c r="BQ77" s="1883"/>
      <c r="BR77" s="1878"/>
      <c r="BS77" s="1883"/>
      <c r="BT77" s="1878"/>
      <c r="BU77" s="1883"/>
      <c r="BV77" s="1878"/>
      <c r="BW77" s="1883"/>
      <c r="BX77" s="1878"/>
      <c r="BY77" s="1883"/>
      <c r="BZ77" s="1878"/>
      <c r="CA77" s="1883"/>
      <c r="CB77" s="1878"/>
      <c r="CC77" s="1883"/>
      <c r="CD77" s="1878"/>
      <c r="CE77" s="1883"/>
      <c r="CF77" s="1878"/>
      <c r="CG77" s="1883"/>
      <c r="CH77" s="1878"/>
      <c r="CI77" s="1883"/>
      <c r="CJ77" s="1878"/>
      <c r="CK77" s="1883"/>
      <c r="CL77" s="1878"/>
      <c r="CM77" s="1883"/>
      <c r="CN77" s="1878"/>
      <c r="CO77" s="1883"/>
      <c r="CP77" s="1878"/>
      <c r="CQ77" s="1883"/>
      <c r="CR77" s="1878"/>
      <c r="CS77" s="1883"/>
      <c r="CT77" s="1878"/>
      <c r="CU77" s="1883"/>
      <c r="CV77" s="1878"/>
      <c r="CW77" s="1883"/>
      <c r="CX77" s="1878"/>
      <c r="CY77" s="1883"/>
      <c r="CZ77" s="1878"/>
      <c r="DA77" s="1883"/>
      <c r="DB77" s="1878"/>
      <c r="DC77" s="1883"/>
      <c r="DD77" s="1878"/>
      <c r="DE77" s="1883"/>
      <c r="DF77" s="1878"/>
      <c r="DG77" s="1883"/>
      <c r="DH77" s="1878"/>
      <c r="DI77" s="1883"/>
      <c r="DJ77" s="1878"/>
      <c r="DK77" s="1883"/>
      <c r="DL77" s="1878"/>
      <c r="DM77" s="1883"/>
      <c r="DN77" s="1878"/>
      <c r="DO77" s="1883"/>
      <c r="DP77" s="1878"/>
      <c r="DQ77" s="1883"/>
      <c r="DR77" s="1878"/>
      <c r="DS77" s="1883"/>
      <c r="DT77" s="1878"/>
      <c r="DU77" s="1883"/>
      <c r="DV77" s="1878"/>
      <c r="DW77" s="1883"/>
      <c r="DX77" s="1878"/>
      <c r="DY77" s="1883"/>
      <c r="DZ77" s="1878"/>
      <c r="EA77" s="1883"/>
      <c r="EB77" s="1878"/>
      <c r="EC77" s="1883"/>
      <c r="ED77" s="1878"/>
      <c r="EE77" s="1883"/>
      <c r="EF77" s="1878"/>
      <c r="EG77" s="1883"/>
      <c r="EH77" s="1878"/>
      <c r="EI77" s="1883"/>
      <c r="EJ77" s="1878"/>
      <c r="EK77" s="1883"/>
      <c r="EL77" s="1878"/>
      <c r="EM77" s="1883"/>
      <c r="EN77" s="1878"/>
      <c r="EO77" s="1883"/>
      <c r="EP77" s="1878"/>
      <c r="EQ77" s="1883"/>
      <c r="ER77" s="1878"/>
      <c r="ES77" s="1883"/>
      <c r="ET77" s="1878"/>
      <c r="EU77" s="1883"/>
      <c r="EV77" s="1878"/>
      <c r="EW77" s="1883"/>
      <c r="EX77" s="1878"/>
      <c r="EY77" s="1883"/>
      <c r="EZ77" s="1878"/>
      <c r="FA77" s="1883"/>
      <c r="FB77" s="1878"/>
      <c r="FC77" s="1883"/>
      <c r="FD77" s="1878"/>
      <c r="FE77" s="1883"/>
      <c r="FF77" s="1878"/>
      <c r="FG77" s="1883"/>
      <c r="FH77" s="1878"/>
      <c r="FI77" s="1883"/>
      <c r="FJ77" s="1878"/>
      <c r="FK77" s="1883"/>
      <c r="FL77" s="1878"/>
      <c r="FM77" s="1883"/>
      <c r="FN77" s="1878"/>
      <c r="FO77" s="1883"/>
      <c r="FP77" s="1878"/>
      <c r="FQ77" s="1883"/>
      <c r="FR77" s="1878"/>
      <c r="FS77" s="1883"/>
      <c r="FT77" s="1878"/>
      <c r="FU77" s="1883"/>
      <c r="FV77" s="1878"/>
      <c r="FW77" s="1883"/>
      <c r="FX77" s="1878"/>
      <c r="FY77" s="1883"/>
      <c r="FZ77" s="1878"/>
      <c r="GA77" s="1883"/>
      <c r="GB77" s="1878"/>
      <c r="GC77" s="1883"/>
      <c r="GD77" s="1878"/>
      <c r="GE77" s="1883"/>
      <c r="GF77" s="1878"/>
      <c r="GG77" s="1883"/>
      <c r="GH77" s="1878"/>
      <c r="GI77" s="1883"/>
      <c r="GJ77" s="1878"/>
      <c r="GK77" s="1883"/>
      <c r="GL77" s="1878"/>
      <c r="GM77" s="201" t="s">
        <v>1179</v>
      </c>
    </row>
    <row r="78" spans="1:195" s="1910" customFormat="1" ht="11.25" hidden="1" customHeight="1">
      <c r="A78" s="3628"/>
      <c r="B78" s="409"/>
      <c r="D78" s="557" t="s">
        <v>107</v>
      </c>
      <c r="E78" s="558" t="s">
        <v>1180</v>
      </c>
      <c r="F78" s="611" t="s">
        <v>1081</v>
      </c>
      <c r="G78" s="614"/>
      <c r="H78" s="893"/>
      <c r="I78" s="614"/>
      <c r="J78" s="893"/>
      <c r="K78" s="1883"/>
      <c r="L78" s="1878"/>
      <c r="M78" s="1883"/>
      <c r="N78" s="1878"/>
      <c r="O78" s="1883"/>
      <c r="P78" s="1878"/>
      <c r="Q78" s="1883"/>
      <c r="R78" s="1878"/>
      <c r="S78" s="1883"/>
      <c r="T78" s="1878"/>
      <c r="U78" s="1883"/>
      <c r="V78" s="1878"/>
      <c r="W78" s="1883"/>
      <c r="X78" s="1878"/>
      <c r="Y78" s="1883"/>
      <c r="Z78" s="1878"/>
      <c r="AA78" s="1883"/>
      <c r="AB78" s="1878"/>
      <c r="AC78" s="1883"/>
      <c r="AD78" s="1878"/>
      <c r="AE78" s="1883"/>
      <c r="AF78" s="1878"/>
      <c r="AG78" s="1883"/>
      <c r="AH78" s="1878"/>
      <c r="AI78" s="1883"/>
      <c r="AJ78" s="1878"/>
      <c r="AK78" s="1883"/>
      <c r="AL78" s="1878"/>
      <c r="AM78" s="1883"/>
      <c r="AN78" s="1878"/>
      <c r="AO78" s="1883"/>
      <c r="AP78" s="1878"/>
      <c r="AQ78" s="1883"/>
      <c r="AR78" s="1878"/>
      <c r="AS78" s="1883"/>
      <c r="AT78" s="1878"/>
      <c r="AU78" s="1883"/>
      <c r="AV78" s="1878"/>
      <c r="AW78" s="1883"/>
      <c r="AX78" s="1878"/>
      <c r="AY78" s="1883"/>
      <c r="AZ78" s="1878"/>
      <c r="BA78" s="1883"/>
      <c r="BB78" s="1878"/>
      <c r="BC78" s="1883"/>
      <c r="BD78" s="1878"/>
      <c r="BE78" s="1883"/>
      <c r="BF78" s="1878"/>
      <c r="BG78" s="1883"/>
      <c r="BH78" s="1878"/>
      <c r="BI78" s="1883"/>
      <c r="BJ78" s="1878"/>
      <c r="BK78" s="1883"/>
      <c r="BL78" s="1878"/>
      <c r="BM78" s="1883"/>
      <c r="BN78" s="1878"/>
      <c r="BO78" s="1883"/>
      <c r="BP78" s="1878"/>
      <c r="BQ78" s="1883"/>
      <c r="BR78" s="1878"/>
      <c r="BS78" s="1883"/>
      <c r="BT78" s="1878"/>
      <c r="BU78" s="1883"/>
      <c r="BV78" s="1878"/>
      <c r="BW78" s="1883"/>
      <c r="BX78" s="1878"/>
      <c r="BY78" s="1883"/>
      <c r="BZ78" s="1878"/>
      <c r="CA78" s="1883"/>
      <c r="CB78" s="1878"/>
      <c r="CC78" s="1883"/>
      <c r="CD78" s="1878"/>
      <c r="CE78" s="1883"/>
      <c r="CF78" s="1878"/>
      <c r="CG78" s="1883"/>
      <c r="CH78" s="1878"/>
      <c r="CI78" s="1883"/>
      <c r="CJ78" s="1878"/>
      <c r="CK78" s="1883"/>
      <c r="CL78" s="1878"/>
      <c r="CM78" s="1883"/>
      <c r="CN78" s="1878"/>
      <c r="CO78" s="1883"/>
      <c r="CP78" s="1878"/>
      <c r="CQ78" s="1883"/>
      <c r="CR78" s="1878"/>
      <c r="CS78" s="1883"/>
      <c r="CT78" s="1878"/>
      <c r="CU78" s="1883"/>
      <c r="CV78" s="1878"/>
      <c r="CW78" s="1883"/>
      <c r="CX78" s="1878"/>
      <c r="CY78" s="1883"/>
      <c r="CZ78" s="1878"/>
      <c r="DA78" s="1883"/>
      <c r="DB78" s="1878"/>
      <c r="DC78" s="1883"/>
      <c r="DD78" s="1878"/>
      <c r="DE78" s="1883"/>
      <c r="DF78" s="1878"/>
      <c r="DG78" s="1883"/>
      <c r="DH78" s="1878"/>
      <c r="DI78" s="1883"/>
      <c r="DJ78" s="1878"/>
      <c r="DK78" s="1883"/>
      <c r="DL78" s="1878"/>
      <c r="DM78" s="1883"/>
      <c r="DN78" s="1878"/>
      <c r="DO78" s="1883"/>
      <c r="DP78" s="1878"/>
      <c r="DQ78" s="1883"/>
      <c r="DR78" s="1878"/>
      <c r="DS78" s="1883"/>
      <c r="DT78" s="1878"/>
      <c r="DU78" s="1883"/>
      <c r="DV78" s="1878"/>
      <c r="DW78" s="1883"/>
      <c r="DX78" s="1878"/>
      <c r="DY78" s="1883"/>
      <c r="DZ78" s="1878"/>
      <c r="EA78" s="1883"/>
      <c r="EB78" s="1878"/>
      <c r="EC78" s="1883"/>
      <c r="ED78" s="1878"/>
      <c r="EE78" s="1883"/>
      <c r="EF78" s="1878"/>
      <c r="EG78" s="1883"/>
      <c r="EH78" s="1878"/>
      <c r="EI78" s="1883"/>
      <c r="EJ78" s="1878"/>
      <c r="EK78" s="1883"/>
      <c r="EL78" s="1878"/>
      <c r="EM78" s="1883"/>
      <c r="EN78" s="1878"/>
      <c r="EO78" s="1883"/>
      <c r="EP78" s="1878"/>
      <c r="EQ78" s="1883"/>
      <c r="ER78" s="1878"/>
      <c r="ES78" s="1883"/>
      <c r="ET78" s="1878"/>
      <c r="EU78" s="1883"/>
      <c r="EV78" s="1878"/>
      <c r="EW78" s="1883"/>
      <c r="EX78" s="1878"/>
      <c r="EY78" s="1883"/>
      <c r="EZ78" s="1878"/>
      <c r="FA78" s="1883"/>
      <c r="FB78" s="1878"/>
      <c r="FC78" s="1883"/>
      <c r="FD78" s="1878"/>
      <c r="FE78" s="1883"/>
      <c r="FF78" s="1878"/>
      <c r="FG78" s="1883"/>
      <c r="FH78" s="1878"/>
      <c r="FI78" s="1883"/>
      <c r="FJ78" s="1878"/>
      <c r="FK78" s="1883"/>
      <c r="FL78" s="1878"/>
      <c r="FM78" s="1883"/>
      <c r="FN78" s="1878"/>
      <c r="FO78" s="1883"/>
      <c r="FP78" s="1878"/>
      <c r="FQ78" s="1883"/>
      <c r="FR78" s="1878"/>
      <c r="FS78" s="1883"/>
      <c r="FT78" s="1878"/>
      <c r="FU78" s="1883"/>
      <c r="FV78" s="1878"/>
      <c r="FW78" s="1883"/>
      <c r="FX78" s="1878"/>
      <c r="FY78" s="1883"/>
      <c r="FZ78" s="1878"/>
      <c r="GA78" s="1883"/>
      <c r="GB78" s="1878"/>
      <c r="GC78" s="1883"/>
      <c r="GD78" s="1878"/>
      <c r="GE78" s="1883"/>
      <c r="GF78" s="1878"/>
      <c r="GG78" s="1883"/>
      <c r="GH78" s="1878"/>
      <c r="GI78" s="1883"/>
      <c r="GJ78" s="1878"/>
      <c r="GK78" s="1883"/>
      <c r="GL78" s="1878"/>
      <c r="GM78" s="201" t="s">
        <v>1181</v>
      </c>
    </row>
    <row r="79" spans="1:195" s="1910" customFormat="1" ht="22.5" hidden="1" customHeight="1">
      <c r="A79" s="3628"/>
      <c r="B79" s="409"/>
      <c r="D79" s="557" t="s">
        <v>87</v>
      </c>
      <c r="E79" s="612" t="s">
        <v>1182</v>
      </c>
      <c r="F79" s="552" t="s">
        <v>1130</v>
      </c>
      <c r="G79" s="614"/>
      <c r="H79" s="893"/>
      <c r="I79" s="614"/>
      <c r="J79" s="893"/>
      <c r="K79" s="1883"/>
      <c r="L79" s="1878"/>
      <c r="M79" s="1883"/>
      <c r="N79" s="1878"/>
      <c r="O79" s="1883"/>
      <c r="P79" s="1878"/>
      <c r="Q79" s="1883"/>
      <c r="R79" s="1878"/>
      <c r="S79" s="1883"/>
      <c r="T79" s="1878"/>
      <c r="U79" s="1883"/>
      <c r="V79" s="1878"/>
      <c r="W79" s="1883"/>
      <c r="X79" s="1878"/>
      <c r="Y79" s="1883"/>
      <c r="Z79" s="1878"/>
      <c r="AA79" s="1883"/>
      <c r="AB79" s="1878"/>
      <c r="AC79" s="1883"/>
      <c r="AD79" s="1878"/>
      <c r="AE79" s="1883"/>
      <c r="AF79" s="1878"/>
      <c r="AG79" s="1883"/>
      <c r="AH79" s="1878"/>
      <c r="AI79" s="1883"/>
      <c r="AJ79" s="1878"/>
      <c r="AK79" s="1883"/>
      <c r="AL79" s="1878"/>
      <c r="AM79" s="1883"/>
      <c r="AN79" s="1878"/>
      <c r="AO79" s="1883"/>
      <c r="AP79" s="1878"/>
      <c r="AQ79" s="1883"/>
      <c r="AR79" s="1878"/>
      <c r="AS79" s="1883"/>
      <c r="AT79" s="1878"/>
      <c r="AU79" s="1883"/>
      <c r="AV79" s="1878"/>
      <c r="AW79" s="1883"/>
      <c r="AX79" s="1878"/>
      <c r="AY79" s="1883"/>
      <c r="AZ79" s="1878"/>
      <c r="BA79" s="1883"/>
      <c r="BB79" s="1878"/>
      <c r="BC79" s="1883"/>
      <c r="BD79" s="1878"/>
      <c r="BE79" s="1883"/>
      <c r="BF79" s="1878"/>
      <c r="BG79" s="1883"/>
      <c r="BH79" s="1878"/>
      <c r="BI79" s="1883"/>
      <c r="BJ79" s="1878"/>
      <c r="BK79" s="1883"/>
      <c r="BL79" s="1878"/>
      <c r="BM79" s="1883"/>
      <c r="BN79" s="1878"/>
      <c r="BO79" s="1883"/>
      <c r="BP79" s="1878"/>
      <c r="BQ79" s="1883"/>
      <c r="BR79" s="1878"/>
      <c r="BS79" s="1883"/>
      <c r="BT79" s="1878"/>
      <c r="BU79" s="1883"/>
      <c r="BV79" s="1878"/>
      <c r="BW79" s="1883"/>
      <c r="BX79" s="1878"/>
      <c r="BY79" s="1883"/>
      <c r="BZ79" s="1878"/>
      <c r="CA79" s="1883"/>
      <c r="CB79" s="1878"/>
      <c r="CC79" s="1883"/>
      <c r="CD79" s="1878"/>
      <c r="CE79" s="1883"/>
      <c r="CF79" s="1878"/>
      <c r="CG79" s="1883"/>
      <c r="CH79" s="1878"/>
      <c r="CI79" s="1883"/>
      <c r="CJ79" s="1878"/>
      <c r="CK79" s="1883"/>
      <c r="CL79" s="1878"/>
      <c r="CM79" s="1883"/>
      <c r="CN79" s="1878"/>
      <c r="CO79" s="1883"/>
      <c r="CP79" s="1878"/>
      <c r="CQ79" s="1883"/>
      <c r="CR79" s="1878"/>
      <c r="CS79" s="1883"/>
      <c r="CT79" s="1878"/>
      <c r="CU79" s="1883"/>
      <c r="CV79" s="1878"/>
      <c r="CW79" s="1883"/>
      <c r="CX79" s="1878"/>
      <c r="CY79" s="1883"/>
      <c r="CZ79" s="1878"/>
      <c r="DA79" s="1883"/>
      <c r="DB79" s="1878"/>
      <c r="DC79" s="1883"/>
      <c r="DD79" s="1878"/>
      <c r="DE79" s="1883"/>
      <c r="DF79" s="1878"/>
      <c r="DG79" s="1883"/>
      <c r="DH79" s="1878"/>
      <c r="DI79" s="1883"/>
      <c r="DJ79" s="1878"/>
      <c r="DK79" s="1883"/>
      <c r="DL79" s="1878"/>
      <c r="DM79" s="1883"/>
      <c r="DN79" s="1878"/>
      <c r="DO79" s="1883"/>
      <c r="DP79" s="1878"/>
      <c r="DQ79" s="1883"/>
      <c r="DR79" s="1878"/>
      <c r="DS79" s="1883"/>
      <c r="DT79" s="1878"/>
      <c r="DU79" s="1883"/>
      <c r="DV79" s="1878"/>
      <c r="DW79" s="1883"/>
      <c r="DX79" s="1878"/>
      <c r="DY79" s="1883"/>
      <c r="DZ79" s="1878"/>
      <c r="EA79" s="1883"/>
      <c r="EB79" s="1878"/>
      <c r="EC79" s="1883"/>
      <c r="ED79" s="1878"/>
      <c r="EE79" s="1883"/>
      <c r="EF79" s="1878"/>
      <c r="EG79" s="1883"/>
      <c r="EH79" s="1878"/>
      <c r="EI79" s="1883"/>
      <c r="EJ79" s="1878"/>
      <c r="EK79" s="1883"/>
      <c r="EL79" s="1878"/>
      <c r="EM79" s="1883"/>
      <c r="EN79" s="1878"/>
      <c r="EO79" s="1883"/>
      <c r="EP79" s="1878"/>
      <c r="EQ79" s="1883"/>
      <c r="ER79" s="1878"/>
      <c r="ES79" s="1883"/>
      <c r="ET79" s="1878"/>
      <c r="EU79" s="1883"/>
      <c r="EV79" s="1878"/>
      <c r="EW79" s="1883"/>
      <c r="EX79" s="1878"/>
      <c r="EY79" s="1883"/>
      <c r="EZ79" s="1878"/>
      <c r="FA79" s="1883"/>
      <c r="FB79" s="1878"/>
      <c r="FC79" s="1883"/>
      <c r="FD79" s="1878"/>
      <c r="FE79" s="1883"/>
      <c r="FF79" s="1878"/>
      <c r="FG79" s="1883"/>
      <c r="FH79" s="1878"/>
      <c r="FI79" s="1883"/>
      <c r="FJ79" s="1878"/>
      <c r="FK79" s="1883"/>
      <c r="FL79" s="1878"/>
      <c r="FM79" s="1883"/>
      <c r="FN79" s="1878"/>
      <c r="FO79" s="1883"/>
      <c r="FP79" s="1878"/>
      <c r="FQ79" s="1883"/>
      <c r="FR79" s="1878"/>
      <c r="FS79" s="1883"/>
      <c r="FT79" s="1878"/>
      <c r="FU79" s="1883"/>
      <c r="FV79" s="1878"/>
      <c r="FW79" s="1883"/>
      <c r="FX79" s="1878"/>
      <c r="FY79" s="1883"/>
      <c r="FZ79" s="1878"/>
      <c r="GA79" s="1883"/>
      <c r="GB79" s="1878"/>
      <c r="GC79" s="1883"/>
      <c r="GD79" s="1878"/>
      <c r="GE79" s="1883"/>
      <c r="GF79" s="1878"/>
      <c r="GG79" s="1883"/>
      <c r="GH79" s="1878"/>
      <c r="GI79" s="1883"/>
      <c r="GJ79" s="1878"/>
      <c r="GK79" s="1883"/>
      <c r="GL79" s="1878"/>
      <c r="GM79" s="201" t="s">
        <v>1183</v>
      </c>
    </row>
    <row r="80" spans="1:195" s="1910" customFormat="1" ht="11.25" hidden="1" customHeight="1">
      <c r="A80" s="3628"/>
      <c r="B80" s="409"/>
      <c r="D80" s="557" t="s">
        <v>586</v>
      </c>
      <c r="E80" s="613" t="s">
        <v>1184</v>
      </c>
      <c r="F80" s="552" t="s">
        <v>1130</v>
      </c>
      <c r="G80" s="614"/>
      <c r="H80" s="893"/>
      <c r="I80" s="614"/>
      <c r="J80" s="893"/>
      <c r="K80" s="1883"/>
      <c r="L80" s="1878"/>
      <c r="M80" s="1883"/>
      <c r="N80" s="1878"/>
      <c r="O80" s="1883"/>
      <c r="P80" s="1878"/>
      <c r="Q80" s="1883"/>
      <c r="R80" s="1878"/>
      <c r="S80" s="1883"/>
      <c r="T80" s="1878"/>
      <c r="U80" s="1883"/>
      <c r="V80" s="1878"/>
      <c r="W80" s="1883"/>
      <c r="X80" s="1878"/>
      <c r="Y80" s="1883"/>
      <c r="Z80" s="1878"/>
      <c r="AA80" s="1883"/>
      <c r="AB80" s="1878"/>
      <c r="AC80" s="1883"/>
      <c r="AD80" s="1878"/>
      <c r="AE80" s="1883"/>
      <c r="AF80" s="1878"/>
      <c r="AG80" s="1883"/>
      <c r="AH80" s="1878"/>
      <c r="AI80" s="1883"/>
      <c r="AJ80" s="1878"/>
      <c r="AK80" s="1883"/>
      <c r="AL80" s="1878"/>
      <c r="AM80" s="1883"/>
      <c r="AN80" s="1878"/>
      <c r="AO80" s="1883"/>
      <c r="AP80" s="1878"/>
      <c r="AQ80" s="1883"/>
      <c r="AR80" s="1878"/>
      <c r="AS80" s="1883"/>
      <c r="AT80" s="1878"/>
      <c r="AU80" s="1883"/>
      <c r="AV80" s="1878"/>
      <c r="AW80" s="1883"/>
      <c r="AX80" s="1878"/>
      <c r="AY80" s="1883"/>
      <c r="AZ80" s="1878"/>
      <c r="BA80" s="1883"/>
      <c r="BB80" s="1878"/>
      <c r="BC80" s="1883"/>
      <c r="BD80" s="1878"/>
      <c r="BE80" s="1883"/>
      <c r="BF80" s="1878"/>
      <c r="BG80" s="1883"/>
      <c r="BH80" s="1878"/>
      <c r="BI80" s="1883"/>
      <c r="BJ80" s="1878"/>
      <c r="BK80" s="1883"/>
      <c r="BL80" s="1878"/>
      <c r="BM80" s="1883"/>
      <c r="BN80" s="1878"/>
      <c r="BO80" s="1883"/>
      <c r="BP80" s="1878"/>
      <c r="BQ80" s="1883"/>
      <c r="BR80" s="1878"/>
      <c r="BS80" s="1883"/>
      <c r="BT80" s="1878"/>
      <c r="BU80" s="1883"/>
      <c r="BV80" s="1878"/>
      <c r="BW80" s="1883"/>
      <c r="BX80" s="1878"/>
      <c r="BY80" s="1883"/>
      <c r="BZ80" s="1878"/>
      <c r="CA80" s="1883"/>
      <c r="CB80" s="1878"/>
      <c r="CC80" s="1883"/>
      <c r="CD80" s="1878"/>
      <c r="CE80" s="1883"/>
      <c r="CF80" s="1878"/>
      <c r="CG80" s="1883"/>
      <c r="CH80" s="1878"/>
      <c r="CI80" s="1883"/>
      <c r="CJ80" s="1878"/>
      <c r="CK80" s="1883"/>
      <c r="CL80" s="1878"/>
      <c r="CM80" s="1883"/>
      <c r="CN80" s="1878"/>
      <c r="CO80" s="1883"/>
      <c r="CP80" s="1878"/>
      <c r="CQ80" s="1883"/>
      <c r="CR80" s="1878"/>
      <c r="CS80" s="1883"/>
      <c r="CT80" s="1878"/>
      <c r="CU80" s="1883"/>
      <c r="CV80" s="1878"/>
      <c r="CW80" s="1883"/>
      <c r="CX80" s="1878"/>
      <c r="CY80" s="1883"/>
      <c r="CZ80" s="1878"/>
      <c r="DA80" s="1883"/>
      <c r="DB80" s="1878"/>
      <c r="DC80" s="1883"/>
      <c r="DD80" s="1878"/>
      <c r="DE80" s="1883"/>
      <c r="DF80" s="1878"/>
      <c r="DG80" s="1883"/>
      <c r="DH80" s="1878"/>
      <c r="DI80" s="1883"/>
      <c r="DJ80" s="1878"/>
      <c r="DK80" s="1883"/>
      <c r="DL80" s="1878"/>
      <c r="DM80" s="1883"/>
      <c r="DN80" s="1878"/>
      <c r="DO80" s="1883"/>
      <c r="DP80" s="1878"/>
      <c r="DQ80" s="1883"/>
      <c r="DR80" s="1878"/>
      <c r="DS80" s="1883"/>
      <c r="DT80" s="1878"/>
      <c r="DU80" s="1883"/>
      <c r="DV80" s="1878"/>
      <c r="DW80" s="1883"/>
      <c r="DX80" s="1878"/>
      <c r="DY80" s="1883"/>
      <c r="DZ80" s="1878"/>
      <c r="EA80" s="1883"/>
      <c r="EB80" s="1878"/>
      <c r="EC80" s="1883"/>
      <c r="ED80" s="1878"/>
      <c r="EE80" s="1883"/>
      <c r="EF80" s="1878"/>
      <c r="EG80" s="1883"/>
      <c r="EH80" s="1878"/>
      <c r="EI80" s="1883"/>
      <c r="EJ80" s="1878"/>
      <c r="EK80" s="1883"/>
      <c r="EL80" s="1878"/>
      <c r="EM80" s="1883"/>
      <c r="EN80" s="1878"/>
      <c r="EO80" s="1883"/>
      <c r="EP80" s="1878"/>
      <c r="EQ80" s="1883"/>
      <c r="ER80" s="1878"/>
      <c r="ES80" s="1883"/>
      <c r="ET80" s="1878"/>
      <c r="EU80" s="1883"/>
      <c r="EV80" s="1878"/>
      <c r="EW80" s="1883"/>
      <c r="EX80" s="1878"/>
      <c r="EY80" s="1883"/>
      <c r="EZ80" s="1878"/>
      <c r="FA80" s="1883"/>
      <c r="FB80" s="1878"/>
      <c r="FC80" s="1883"/>
      <c r="FD80" s="1878"/>
      <c r="FE80" s="1883"/>
      <c r="FF80" s="1878"/>
      <c r="FG80" s="1883"/>
      <c r="FH80" s="1878"/>
      <c r="FI80" s="1883"/>
      <c r="FJ80" s="1878"/>
      <c r="FK80" s="1883"/>
      <c r="FL80" s="1878"/>
      <c r="FM80" s="1883"/>
      <c r="FN80" s="1878"/>
      <c r="FO80" s="1883"/>
      <c r="FP80" s="1878"/>
      <c r="FQ80" s="1883"/>
      <c r="FR80" s="1878"/>
      <c r="FS80" s="1883"/>
      <c r="FT80" s="1878"/>
      <c r="FU80" s="1883"/>
      <c r="FV80" s="1878"/>
      <c r="FW80" s="1883"/>
      <c r="FX80" s="1878"/>
      <c r="FY80" s="1883"/>
      <c r="FZ80" s="1878"/>
      <c r="GA80" s="1883"/>
      <c r="GB80" s="1878"/>
      <c r="GC80" s="1883"/>
      <c r="GD80" s="1878"/>
      <c r="GE80" s="1883"/>
      <c r="GF80" s="1878"/>
      <c r="GG80" s="1883"/>
      <c r="GH80" s="1878"/>
      <c r="GI80" s="1883"/>
      <c r="GJ80" s="1878"/>
      <c r="GK80" s="1883"/>
      <c r="GL80" s="1878"/>
      <c r="GM80" s="201"/>
    </row>
    <row r="81" spans="1:195" s="1910" customFormat="1" ht="11.25" hidden="1" customHeight="1">
      <c r="A81" s="3628"/>
      <c r="B81" s="409"/>
      <c r="D81" s="557" t="s">
        <v>594</v>
      </c>
      <c r="E81" s="613" t="s">
        <v>1185</v>
      </c>
      <c r="F81" s="552" t="s">
        <v>1130</v>
      </c>
      <c r="G81" s="614"/>
      <c r="H81" s="893"/>
      <c r="I81" s="614"/>
      <c r="J81" s="893"/>
      <c r="K81" s="1883"/>
      <c r="L81" s="1878"/>
      <c r="M81" s="1883"/>
      <c r="N81" s="1878"/>
      <c r="O81" s="1883"/>
      <c r="P81" s="1878"/>
      <c r="Q81" s="1883"/>
      <c r="R81" s="1878"/>
      <c r="S81" s="1883"/>
      <c r="T81" s="1878"/>
      <c r="U81" s="1883"/>
      <c r="V81" s="1878"/>
      <c r="W81" s="1883"/>
      <c r="X81" s="1878"/>
      <c r="Y81" s="1883"/>
      <c r="Z81" s="1878"/>
      <c r="AA81" s="1883"/>
      <c r="AB81" s="1878"/>
      <c r="AC81" s="1883"/>
      <c r="AD81" s="1878"/>
      <c r="AE81" s="1883"/>
      <c r="AF81" s="1878"/>
      <c r="AG81" s="1883"/>
      <c r="AH81" s="1878"/>
      <c r="AI81" s="1883"/>
      <c r="AJ81" s="1878"/>
      <c r="AK81" s="1883"/>
      <c r="AL81" s="1878"/>
      <c r="AM81" s="1883"/>
      <c r="AN81" s="1878"/>
      <c r="AO81" s="1883"/>
      <c r="AP81" s="1878"/>
      <c r="AQ81" s="1883"/>
      <c r="AR81" s="1878"/>
      <c r="AS81" s="1883"/>
      <c r="AT81" s="1878"/>
      <c r="AU81" s="1883"/>
      <c r="AV81" s="1878"/>
      <c r="AW81" s="1883"/>
      <c r="AX81" s="1878"/>
      <c r="AY81" s="1883"/>
      <c r="AZ81" s="1878"/>
      <c r="BA81" s="1883"/>
      <c r="BB81" s="1878"/>
      <c r="BC81" s="1883"/>
      <c r="BD81" s="1878"/>
      <c r="BE81" s="1883"/>
      <c r="BF81" s="1878"/>
      <c r="BG81" s="1883"/>
      <c r="BH81" s="1878"/>
      <c r="BI81" s="1883"/>
      <c r="BJ81" s="1878"/>
      <c r="BK81" s="1883"/>
      <c r="BL81" s="1878"/>
      <c r="BM81" s="1883"/>
      <c r="BN81" s="1878"/>
      <c r="BO81" s="1883"/>
      <c r="BP81" s="1878"/>
      <c r="BQ81" s="1883"/>
      <c r="BR81" s="1878"/>
      <c r="BS81" s="1883"/>
      <c r="BT81" s="1878"/>
      <c r="BU81" s="1883"/>
      <c r="BV81" s="1878"/>
      <c r="BW81" s="1883"/>
      <c r="BX81" s="1878"/>
      <c r="BY81" s="1883"/>
      <c r="BZ81" s="1878"/>
      <c r="CA81" s="1883"/>
      <c r="CB81" s="1878"/>
      <c r="CC81" s="1883"/>
      <c r="CD81" s="1878"/>
      <c r="CE81" s="1883"/>
      <c r="CF81" s="1878"/>
      <c r="CG81" s="1883"/>
      <c r="CH81" s="1878"/>
      <c r="CI81" s="1883"/>
      <c r="CJ81" s="1878"/>
      <c r="CK81" s="1883"/>
      <c r="CL81" s="1878"/>
      <c r="CM81" s="1883"/>
      <c r="CN81" s="1878"/>
      <c r="CO81" s="1883"/>
      <c r="CP81" s="1878"/>
      <c r="CQ81" s="1883"/>
      <c r="CR81" s="1878"/>
      <c r="CS81" s="1883"/>
      <c r="CT81" s="1878"/>
      <c r="CU81" s="1883"/>
      <c r="CV81" s="1878"/>
      <c r="CW81" s="1883"/>
      <c r="CX81" s="1878"/>
      <c r="CY81" s="1883"/>
      <c r="CZ81" s="1878"/>
      <c r="DA81" s="1883"/>
      <c r="DB81" s="1878"/>
      <c r="DC81" s="1883"/>
      <c r="DD81" s="1878"/>
      <c r="DE81" s="1883"/>
      <c r="DF81" s="1878"/>
      <c r="DG81" s="1883"/>
      <c r="DH81" s="1878"/>
      <c r="DI81" s="1883"/>
      <c r="DJ81" s="1878"/>
      <c r="DK81" s="1883"/>
      <c r="DL81" s="1878"/>
      <c r="DM81" s="1883"/>
      <c r="DN81" s="1878"/>
      <c r="DO81" s="1883"/>
      <c r="DP81" s="1878"/>
      <c r="DQ81" s="1883"/>
      <c r="DR81" s="1878"/>
      <c r="DS81" s="1883"/>
      <c r="DT81" s="1878"/>
      <c r="DU81" s="1883"/>
      <c r="DV81" s="1878"/>
      <c r="DW81" s="1883"/>
      <c r="DX81" s="1878"/>
      <c r="DY81" s="1883"/>
      <c r="DZ81" s="1878"/>
      <c r="EA81" s="1883"/>
      <c r="EB81" s="1878"/>
      <c r="EC81" s="1883"/>
      <c r="ED81" s="1878"/>
      <c r="EE81" s="1883"/>
      <c r="EF81" s="1878"/>
      <c r="EG81" s="1883"/>
      <c r="EH81" s="1878"/>
      <c r="EI81" s="1883"/>
      <c r="EJ81" s="1878"/>
      <c r="EK81" s="1883"/>
      <c r="EL81" s="1878"/>
      <c r="EM81" s="1883"/>
      <c r="EN81" s="1878"/>
      <c r="EO81" s="1883"/>
      <c r="EP81" s="1878"/>
      <c r="EQ81" s="1883"/>
      <c r="ER81" s="1878"/>
      <c r="ES81" s="1883"/>
      <c r="ET81" s="1878"/>
      <c r="EU81" s="1883"/>
      <c r="EV81" s="1878"/>
      <c r="EW81" s="1883"/>
      <c r="EX81" s="1878"/>
      <c r="EY81" s="1883"/>
      <c r="EZ81" s="1878"/>
      <c r="FA81" s="1883"/>
      <c r="FB81" s="1878"/>
      <c r="FC81" s="1883"/>
      <c r="FD81" s="1878"/>
      <c r="FE81" s="1883"/>
      <c r="FF81" s="1878"/>
      <c r="FG81" s="1883"/>
      <c r="FH81" s="1878"/>
      <c r="FI81" s="1883"/>
      <c r="FJ81" s="1878"/>
      <c r="FK81" s="1883"/>
      <c r="FL81" s="1878"/>
      <c r="FM81" s="1883"/>
      <c r="FN81" s="1878"/>
      <c r="FO81" s="1883"/>
      <c r="FP81" s="1878"/>
      <c r="FQ81" s="1883"/>
      <c r="FR81" s="1878"/>
      <c r="FS81" s="1883"/>
      <c r="FT81" s="1878"/>
      <c r="FU81" s="1883"/>
      <c r="FV81" s="1878"/>
      <c r="FW81" s="1883"/>
      <c r="FX81" s="1878"/>
      <c r="FY81" s="1883"/>
      <c r="FZ81" s="1878"/>
      <c r="GA81" s="1883"/>
      <c r="GB81" s="1878"/>
      <c r="GC81" s="1883"/>
      <c r="GD81" s="1878"/>
      <c r="GE81" s="1883"/>
      <c r="GF81" s="1878"/>
      <c r="GG81" s="1883"/>
      <c r="GH81" s="1878"/>
      <c r="GI81" s="1883"/>
      <c r="GJ81" s="1878"/>
      <c r="GK81" s="1883"/>
      <c r="GL81" s="1878"/>
      <c r="GM81" s="201"/>
    </row>
    <row r="82" spans="1:195" s="1910" customFormat="1" ht="11.25" hidden="1" customHeight="1">
      <c r="A82" s="3628"/>
      <c r="B82" s="409"/>
      <c r="D82" s="557" t="s">
        <v>596</v>
      </c>
      <c r="E82" s="613" t="s">
        <v>1186</v>
      </c>
      <c r="F82" s="552" t="s">
        <v>1130</v>
      </c>
      <c r="G82" s="614"/>
      <c r="H82" s="893"/>
      <c r="I82" s="614"/>
      <c r="J82" s="893"/>
      <c r="K82" s="1883"/>
      <c r="L82" s="1878"/>
      <c r="M82" s="1883"/>
      <c r="N82" s="1878"/>
      <c r="O82" s="1883"/>
      <c r="P82" s="1878"/>
      <c r="Q82" s="1883"/>
      <c r="R82" s="1878"/>
      <c r="S82" s="1883"/>
      <c r="T82" s="1878"/>
      <c r="U82" s="1883"/>
      <c r="V82" s="1878"/>
      <c r="W82" s="1883"/>
      <c r="X82" s="1878"/>
      <c r="Y82" s="1883"/>
      <c r="Z82" s="1878"/>
      <c r="AA82" s="1883"/>
      <c r="AB82" s="1878"/>
      <c r="AC82" s="1883"/>
      <c r="AD82" s="1878"/>
      <c r="AE82" s="1883"/>
      <c r="AF82" s="1878"/>
      <c r="AG82" s="1883"/>
      <c r="AH82" s="1878"/>
      <c r="AI82" s="1883"/>
      <c r="AJ82" s="1878"/>
      <c r="AK82" s="1883"/>
      <c r="AL82" s="1878"/>
      <c r="AM82" s="1883"/>
      <c r="AN82" s="1878"/>
      <c r="AO82" s="1883"/>
      <c r="AP82" s="1878"/>
      <c r="AQ82" s="1883"/>
      <c r="AR82" s="1878"/>
      <c r="AS82" s="1883"/>
      <c r="AT82" s="1878"/>
      <c r="AU82" s="1883"/>
      <c r="AV82" s="1878"/>
      <c r="AW82" s="1883"/>
      <c r="AX82" s="1878"/>
      <c r="AY82" s="1883"/>
      <c r="AZ82" s="1878"/>
      <c r="BA82" s="1883"/>
      <c r="BB82" s="1878"/>
      <c r="BC82" s="1883"/>
      <c r="BD82" s="1878"/>
      <c r="BE82" s="1883"/>
      <c r="BF82" s="1878"/>
      <c r="BG82" s="1883"/>
      <c r="BH82" s="1878"/>
      <c r="BI82" s="1883"/>
      <c r="BJ82" s="1878"/>
      <c r="BK82" s="1883"/>
      <c r="BL82" s="1878"/>
      <c r="BM82" s="1883"/>
      <c r="BN82" s="1878"/>
      <c r="BO82" s="1883"/>
      <c r="BP82" s="1878"/>
      <c r="BQ82" s="1883"/>
      <c r="BR82" s="1878"/>
      <c r="BS82" s="1883"/>
      <c r="BT82" s="1878"/>
      <c r="BU82" s="1883"/>
      <c r="BV82" s="1878"/>
      <c r="BW82" s="1883"/>
      <c r="BX82" s="1878"/>
      <c r="BY82" s="1883"/>
      <c r="BZ82" s="1878"/>
      <c r="CA82" s="1883"/>
      <c r="CB82" s="1878"/>
      <c r="CC82" s="1883"/>
      <c r="CD82" s="1878"/>
      <c r="CE82" s="1883"/>
      <c r="CF82" s="1878"/>
      <c r="CG82" s="1883"/>
      <c r="CH82" s="1878"/>
      <c r="CI82" s="1883"/>
      <c r="CJ82" s="1878"/>
      <c r="CK82" s="1883"/>
      <c r="CL82" s="1878"/>
      <c r="CM82" s="1883"/>
      <c r="CN82" s="1878"/>
      <c r="CO82" s="1883"/>
      <c r="CP82" s="1878"/>
      <c r="CQ82" s="1883"/>
      <c r="CR82" s="1878"/>
      <c r="CS82" s="1883"/>
      <c r="CT82" s="1878"/>
      <c r="CU82" s="1883"/>
      <c r="CV82" s="1878"/>
      <c r="CW82" s="1883"/>
      <c r="CX82" s="1878"/>
      <c r="CY82" s="1883"/>
      <c r="CZ82" s="1878"/>
      <c r="DA82" s="1883"/>
      <c r="DB82" s="1878"/>
      <c r="DC82" s="1883"/>
      <c r="DD82" s="1878"/>
      <c r="DE82" s="1883"/>
      <c r="DF82" s="1878"/>
      <c r="DG82" s="1883"/>
      <c r="DH82" s="1878"/>
      <c r="DI82" s="1883"/>
      <c r="DJ82" s="1878"/>
      <c r="DK82" s="1883"/>
      <c r="DL82" s="1878"/>
      <c r="DM82" s="1883"/>
      <c r="DN82" s="1878"/>
      <c r="DO82" s="1883"/>
      <c r="DP82" s="1878"/>
      <c r="DQ82" s="1883"/>
      <c r="DR82" s="1878"/>
      <c r="DS82" s="1883"/>
      <c r="DT82" s="1878"/>
      <c r="DU82" s="1883"/>
      <c r="DV82" s="1878"/>
      <c r="DW82" s="1883"/>
      <c r="DX82" s="1878"/>
      <c r="DY82" s="1883"/>
      <c r="DZ82" s="1878"/>
      <c r="EA82" s="1883"/>
      <c r="EB82" s="1878"/>
      <c r="EC82" s="1883"/>
      <c r="ED82" s="1878"/>
      <c r="EE82" s="1883"/>
      <c r="EF82" s="1878"/>
      <c r="EG82" s="1883"/>
      <c r="EH82" s="1878"/>
      <c r="EI82" s="1883"/>
      <c r="EJ82" s="1878"/>
      <c r="EK82" s="1883"/>
      <c r="EL82" s="1878"/>
      <c r="EM82" s="1883"/>
      <c r="EN82" s="1878"/>
      <c r="EO82" s="1883"/>
      <c r="EP82" s="1878"/>
      <c r="EQ82" s="1883"/>
      <c r="ER82" s="1878"/>
      <c r="ES82" s="1883"/>
      <c r="ET82" s="1878"/>
      <c r="EU82" s="1883"/>
      <c r="EV82" s="1878"/>
      <c r="EW82" s="1883"/>
      <c r="EX82" s="1878"/>
      <c r="EY82" s="1883"/>
      <c r="EZ82" s="1878"/>
      <c r="FA82" s="1883"/>
      <c r="FB82" s="1878"/>
      <c r="FC82" s="1883"/>
      <c r="FD82" s="1878"/>
      <c r="FE82" s="1883"/>
      <c r="FF82" s="1878"/>
      <c r="FG82" s="1883"/>
      <c r="FH82" s="1878"/>
      <c r="FI82" s="1883"/>
      <c r="FJ82" s="1878"/>
      <c r="FK82" s="1883"/>
      <c r="FL82" s="1878"/>
      <c r="FM82" s="1883"/>
      <c r="FN82" s="1878"/>
      <c r="FO82" s="1883"/>
      <c r="FP82" s="1878"/>
      <c r="FQ82" s="1883"/>
      <c r="FR82" s="1878"/>
      <c r="FS82" s="1883"/>
      <c r="FT82" s="1878"/>
      <c r="FU82" s="1883"/>
      <c r="FV82" s="1878"/>
      <c r="FW82" s="1883"/>
      <c r="FX82" s="1878"/>
      <c r="FY82" s="1883"/>
      <c r="FZ82" s="1878"/>
      <c r="GA82" s="1883"/>
      <c r="GB82" s="1878"/>
      <c r="GC82" s="1883"/>
      <c r="GD82" s="1878"/>
      <c r="GE82" s="1883"/>
      <c r="GF82" s="1878"/>
      <c r="GG82" s="1883"/>
      <c r="GH82" s="1878"/>
      <c r="GI82" s="1883"/>
      <c r="GJ82" s="1878"/>
      <c r="GK82" s="1883"/>
      <c r="GL82" s="1878"/>
      <c r="GM82" s="201"/>
    </row>
    <row r="83" spans="1:195" s="1910" customFormat="1" ht="11.25" hidden="1" customHeight="1">
      <c r="A83" s="3628"/>
      <c r="B83" s="409"/>
      <c r="D83" s="557" t="s">
        <v>598</v>
      </c>
      <c r="E83" s="613" t="s">
        <v>1187</v>
      </c>
      <c r="F83" s="552" t="s">
        <v>1130</v>
      </c>
      <c r="G83" s="614"/>
      <c r="H83" s="893"/>
      <c r="I83" s="614"/>
      <c r="J83" s="893"/>
      <c r="K83" s="1883"/>
      <c r="L83" s="1878"/>
      <c r="M83" s="1883"/>
      <c r="N83" s="1878"/>
      <c r="O83" s="1883"/>
      <c r="P83" s="1878"/>
      <c r="Q83" s="1883"/>
      <c r="R83" s="1878"/>
      <c r="S83" s="1883"/>
      <c r="T83" s="1878"/>
      <c r="U83" s="1883"/>
      <c r="V83" s="1878"/>
      <c r="W83" s="1883"/>
      <c r="X83" s="1878"/>
      <c r="Y83" s="1883"/>
      <c r="Z83" s="1878"/>
      <c r="AA83" s="1883"/>
      <c r="AB83" s="1878"/>
      <c r="AC83" s="1883"/>
      <c r="AD83" s="1878"/>
      <c r="AE83" s="1883"/>
      <c r="AF83" s="1878"/>
      <c r="AG83" s="1883"/>
      <c r="AH83" s="1878"/>
      <c r="AI83" s="1883"/>
      <c r="AJ83" s="1878"/>
      <c r="AK83" s="1883"/>
      <c r="AL83" s="1878"/>
      <c r="AM83" s="1883"/>
      <c r="AN83" s="1878"/>
      <c r="AO83" s="1883"/>
      <c r="AP83" s="1878"/>
      <c r="AQ83" s="1883"/>
      <c r="AR83" s="1878"/>
      <c r="AS83" s="1883"/>
      <c r="AT83" s="1878"/>
      <c r="AU83" s="1883"/>
      <c r="AV83" s="1878"/>
      <c r="AW83" s="1883"/>
      <c r="AX83" s="1878"/>
      <c r="AY83" s="1883"/>
      <c r="AZ83" s="1878"/>
      <c r="BA83" s="1883"/>
      <c r="BB83" s="1878"/>
      <c r="BC83" s="1883"/>
      <c r="BD83" s="1878"/>
      <c r="BE83" s="1883"/>
      <c r="BF83" s="1878"/>
      <c r="BG83" s="1883"/>
      <c r="BH83" s="1878"/>
      <c r="BI83" s="1883"/>
      <c r="BJ83" s="1878"/>
      <c r="BK83" s="1883"/>
      <c r="BL83" s="1878"/>
      <c r="BM83" s="1883"/>
      <c r="BN83" s="1878"/>
      <c r="BO83" s="1883"/>
      <c r="BP83" s="1878"/>
      <c r="BQ83" s="1883"/>
      <c r="BR83" s="1878"/>
      <c r="BS83" s="1883"/>
      <c r="BT83" s="1878"/>
      <c r="BU83" s="1883"/>
      <c r="BV83" s="1878"/>
      <c r="BW83" s="1883"/>
      <c r="BX83" s="1878"/>
      <c r="BY83" s="1883"/>
      <c r="BZ83" s="1878"/>
      <c r="CA83" s="1883"/>
      <c r="CB83" s="1878"/>
      <c r="CC83" s="1883"/>
      <c r="CD83" s="1878"/>
      <c r="CE83" s="1883"/>
      <c r="CF83" s="1878"/>
      <c r="CG83" s="1883"/>
      <c r="CH83" s="1878"/>
      <c r="CI83" s="1883"/>
      <c r="CJ83" s="1878"/>
      <c r="CK83" s="1883"/>
      <c r="CL83" s="1878"/>
      <c r="CM83" s="1883"/>
      <c r="CN83" s="1878"/>
      <c r="CO83" s="1883"/>
      <c r="CP83" s="1878"/>
      <c r="CQ83" s="1883"/>
      <c r="CR83" s="1878"/>
      <c r="CS83" s="1883"/>
      <c r="CT83" s="1878"/>
      <c r="CU83" s="1883"/>
      <c r="CV83" s="1878"/>
      <c r="CW83" s="1883"/>
      <c r="CX83" s="1878"/>
      <c r="CY83" s="1883"/>
      <c r="CZ83" s="1878"/>
      <c r="DA83" s="1883"/>
      <c r="DB83" s="1878"/>
      <c r="DC83" s="1883"/>
      <c r="DD83" s="1878"/>
      <c r="DE83" s="1883"/>
      <c r="DF83" s="1878"/>
      <c r="DG83" s="1883"/>
      <c r="DH83" s="1878"/>
      <c r="DI83" s="1883"/>
      <c r="DJ83" s="1878"/>
      <c r="DK83" s="1883"/>
      <c r="DL83" s="1878"/>
      <c r="DM83" s="1883"/>
      <c r="DN83" s="1878"/>
      <c r="DO83" s="1883"/>
      <c r="DP83" s="1878"/>
      <c r="DQ83" s="1883"/>
      <c r="DR83" s="1878"/>
      <c r="DS83" s="1883"/>
      <c r="DT83" s="1878"/>
      <c r="DU83" s="1883"/>
      <c r="DV83" s="1878"/>
      <c r="DW83" s="1883"/>
      <c r="DX83" s="1878"/>
      <c r="DY83" s="1883"/>
      <c r="DZ83" s="1878"/>
      <c r="EA83" s="1883"/>
      <c r="EB83" s="1878"/>
      <c r="EC83" s="1883"/>
      <c r="ED83" s="1878"/>
      <c r="EE83" s="1883"/>
      <c r="EF83" s="1878"/>
      <c r="EG83" s="1883"/>
      <c r="EH83" s="1878"/>
      <c r="EI83" s="1883"/>
      <c r="EJ83" s="1878"/>
      <c r="EK83" s="1883"/>
      <c r="EL83" s="1878"/>
      <c r="EM83" s="1883"/>
      <c r="EN83" s="1878"/>
      <c r="EO83" s="1883"/>
      <c r="EP83" s="1878"/>
      <c r="EQ83" s="1883"/>
      <c r="ER83" s="1878"/>
      <c r="ES83" s="1883"/>
      <c r="ET83" s="1878"/>
      <c r="EU83" s="1883"/>
      <c r="EV83" s="1878"/>
      <c r="EW83" s="1883"/>
      <c r="EX83" s="1878"/>
      <c r="EY83" s="1883"/>
      <c r="EZ83" s="1878"/>
      <c r="FA83" s="1883"/>
      <c r="FB83" s="1878"/>
      <c r="FC83" s="1883"/>
      <c r="FD83" s="1878"/>
      <c r="FE83" s="1883"/>
      <c r="FF83" s="1878"/>
      <c r="FG83" s="1883"/>
      <c r="FH83" s="1878"/>
      <c r="FI83" s="1883"/>
      <c r="FJ83" s="1878"/>
      <c r="FK83" s="1883"/>
      <c r="FL83" s="1878"/>
      <c r="FM83" s="1883"/>
      <c r="FN83" s="1878"/>
      <c r="FO83" s="1883"/>
      <c r="FP83" s="1878"/>
      <c r="FQ83" s="1883"/>
      <c r="FR83" s="1878"/>
      <c r="FS83" s="1883"/>
      <c r="FT83" s="1878"/>
      <c r="FU83" s="1883"/>
      <c r="FV83" s="1878"/>
      <c r="FW83" s="1883"/>
      <c r="FX83" s="1878"/>
      <c r="FY83" s="1883"/>
      <c r="FZ83" s="1878"/>
      <c r="GA83" s="1883"/>
      <c r="GB83" s="1878"/>
      <c r="GC83" s="1883"/>
      <c r="GD83" s="1878"/>
      <c r="GE83" s="1883"/>
      <c r="GF83" s="1878"/>
      <c r="GG83" s="1883"/>
      <c r="GH83" s="1878"/>
      <c r="GI83" s="1883"/>
      <c r="GJ83" s="1878"/>
      <c r="GK83" s="1883"/>
      <c r="GL83" s="1878"/>
      <c r="GM83" s="201"/>
    </row>
    <row r="84" spans="1:195" s="1910" customFormat="1" ht="11.25" hidden="1" customHeight="1">
      <c r="A84" s="3628"/>
      <c r="B84" s="409"/>
      <c r="D84" s="557" t="s">
        <v>1188</v>
      </c>
      <c r="E84" s="613" t="s">
        <v>1189</v>
      </c>
      <c r="F84" s="552" t="s">
        <v>1130</v>
      </c>
      <c r="G84" s="614"/>
      <c r="H84" s="893"/>
      <c r="I84" s="614"/>
      <c r="J84" s="893"/>
      <c r="K84" s="1883"/>
      <c r="L84" s="1878"/>
      <c r="M84" s="1883"/>
      <c r="N84" s="1878"/>
      <c r="O84" s="1883"/>
      <c r="P84" s="1878"/>
      <c r="Q84" s="1883"/>
      <c r="R84" s="1878"/>
      <c r="S84" s="1883"/>
      <c r="T84" s="1878"/>
      <c r="U84" s="1883"/>
      <c r="V84" s="1878"/>
      <c r="W84" s="1883"/>
      <c r="X84" s="1878"/>
      <c r="Y84" s="1883"/>
      <c r="Z84" s="1878"/>
      <c r="AA84" s="1883"/>
      <c r="AB84" s="1878"/>
      <c r="AC84" s="1883"/>
      <c r="AD84" s="1878"/>
      <c r="AE84" s="1883"/>
      <c r="AF84" s="1878"/>
      <c r="AG84" s="1883"/>
      <c r="AH84" s="1878"/>
      <c r="AI84" s="1883"/>
      <c r="AJ84" s="1878"/>
      <c r="AK84" s="1883"/>
      <c r="AL84" s="1878"/>
      <c r="AM84" s="1883"/>
      <c r="AN84" s="1878"/>
      <c r="AO84" s="1883"/>
      <c r="AP84" s="1878"/>
      <c r="AQ84" s="1883"/>
      <c r="AR84" s="1878"/>
      <c r="AS84" s="1883"/>
      <c r="AT84" s="1878"/>
      <c r="AU84" s="1883"/>
      <c r="AV84" s="1878"/>
      <c r="AW84" s="1883"/>
      <c r="AX84" s="1878"/>
      <c r="AY84" s="1883"/>
      <c r="AZ84" s="1878"/>
      <c r="BA84" s="1883"/>
      <c r="BB84" s="1878"/>
      <c r="BC84" s="1883"/>
      <c r="BD84" s="1878"/>
      <c r="BE84" s="1883"/>
      <c r="BF84" s="1878"/>
      <c r="BG84" s="1883"/>
      <c r="BH84" s="1878"/>
      <c r="BI84" s="1883"/>
      <c r="BJ84" s="1878"/>
      <c r="BK84" s="1883"/>
      <c r="BL84" s="1878"/>
      <c r="BM84" s="1883"/>
      <c r="BN84" s="1878"/>
      <c r="BO84" s="1883"/>
      <c r="BP84" s="1878"/>
      <c r="BQ84" s="1883"/>
      <c r="BR84" s="1878"/>
      <c r="BS84" s="1883"/>
      <c r="BT84" s="1878"/>
      <c r="BU84" s="1883"/>
      <c r="BV84" s="1878"/>
      <c r="BW84" s="1883"/>
      <c r="BX84" s="1878"/>
      <c r="BY84" s="1883"/>
      <c r="BZ84" s="1878"/>
      <c r="CA84" s="1883"/>
      <c r="CB84" s="1878"/>
      <c r="CC84" s="1883"/>
      <c r="CD84" s="1878"/>
      <c r="CE84" s="1883"/>
      <c r="CF84" s="1878"/>
      <c r="CG84" s="1883"/>
      <c r="CH84" s="1878"/>
      <c r="CI84" s="1883"/>
      <c r="CJ84" s="1878"/>
      <c r="CK84" s="1883"/>
      <c r="CL84" s="1878"/>
      <c r="CM84" s="1883"/>
      <c r="CN84" s="1878"/>
      <c r="CO84" s="1883"/>
      <c r="CP84" s="1878"/>
      <c r="CQ84" s="1883"/>
      <c r="CR84" s="1878"/>
      <c r="CS84" s="1883"/>
      <c r="CT84" s="1878"/>
      <c r="CU84" s="1883"/>
      <c r="CV84" s="1878"/>
      <c r="CW84" s="1883"/>
      <c r="CX84" s="1878"/>
      <c r="CY84" s="1883"/>
      <c r="CZ84" s="1878"/>
      <c r="DA84" s="1883"/>
      <c r="DB84" s="1878"/>
      <c r="DC84" s="1883"/>
      <c r="DD84" s="1878"/>
      <c r="DE84" s="1883"/>
      <c r="DF84" s="1878"/>
      <c r="DG84" s="1883"/>
      <c r="DH84" s="1878"/>
      <c r="DI84" s="1883"/>
      <c r="DJ84" s="1878"/>
      <c r="DK84" s="1883"/>
      <c r="DL84" s="1878"/>
      <c r="DM84" s="1883"/>
      <c r="DN84" s="1878"/>
      <c r="DO84" s="1883"/>
      <c r="DP84" s="1878"/>
      <c r="DQ84" s="1883"/>
      <c r="DR84" s="1878"/>
      <c r="DS84" s="1883"/>
      <c r="DT84" s="1878"/>
      <c r="DU84" s="1883"/>
      <c r="DV84" s="1878"/>
      <c r="DW84" s="1883"/>
      <c r="DX84" s="1878"/>
      <c r="DY84" s="1883"/>
      <c r="DZ84" s="1878"/>
      <c r="EA84" s="1883"/>
      <c r="EB84" s="1878"/>
      <c r="EC84" s="1883"/>
      <c r="ED84" s="1878"/>
      <c r="EE84" s="1883"/>
      <c r="EF84" s="1878"/>
      <c r="EG84" s="1883"/>
      <c r="EH84" s="1878"/>
      <c r="EI84" s="1883"/>
      <c r="EJ84" s="1878"/>
      <c r="EK84" s="1883"/>
      <c r="EL84" s="1878"/>
      <c r="EM84" s="1883"/>
      <c r="EN84" s="1878"/>
      <c r="EO84" s="1883"/>
      <c r="EP84" s="1878"/>
      <c r="EQ84" s="1883"/>
      <c r="ER84" s="1878"/>
      <c r="ES84" s="1883"/>
      <c r="ET84" s="1878"/>
      <c r="EU84" s="1883"/>
      <c r="EV84" s="1878"/>
      <c r="EW84" s="1883"/>
      <c r="EX84" s="1878"/>
      <c r="EY84" s="1883"/>
      <c r="EZ84" s="1878"/>
      <c r="FA84" s="1883"/>
      <c r="FB84" s="1878"/>
      <c r="FC84" s="1883"/>
      <c r="FD84" s="1878"/>
      <c r="FE84" s="1883"/>
      <c r="FF84" s="1878"/>
      <c r="FG84" s="1883"/>
      <c r="FH84" s="1878"/>
      <c r="FI84" s="1883"/>
      <c r="FJ84" s="1878"/>
      <c r="FK84" s="1883"/>
      <c r="FL84" s="1878"/>
      <c r="FM84" s="1883"/>
      <c r="FN84" s="1878"/>
      <c r="FO84" s="1883"/>
      <c r="FP84" s="1878"/>
      <c r="FQ84" s="1883"/>
      <c r="FR84" s="1878"/>
      <c r="FS84" s="1883"/>
      <c r="FT84" s="1878"/>
      <c r="FU84" s="1883"/>
      <c r="FV84" s="1878"/>
      <c r="FW84" s="1883"/>
      <c r="FX84" s="1878"/>
      <c r="FY84" s="1883"/>
      <c r="FZ84" s="1878"/>
      <c r="GA84" s="1883"/>
      <c r="GB84" s="1878"/>
      <c r="GC84" s="1883"/>
      <c r="GD84" s="1878"/>
      <c r="GE84" s="1883"/>
      <c r="GF84" s="1878"/>
      <c r="GG84" s="1883"/>
      <c r="GH84" s="1878"/>
      <c r="GI84" s="1883"/>
      <c r="GJ84" s="1878"/>
      <c r="GK84" s="1883"/>
      <c r="GL84" s="1878"/>
      <c r="GM84" s="201"/>
    </row>
    <row r="85" spans="1:195" s="1910" customFormat="1" ht="11.25" hidden="1" customHeight="1">
      <c r="A85" s="3628"/>
      <c r="B85" s="409"/>
      <c r="D85" s="557" t="s">
        <v>1190</v>
      </c>
      <c r="E85" s="613" t="s">
        <v>1191</v>
      </c>
      <c r="F85" s="552" t="s">
        <v>1130</v>
      </c>
      <c r="G85" s="614"/>
      <c r="H85" s="893"/>
      <c r="I85" s="614"/>
      <c r="J85" s="893"/>
      <c r="K85" s="1883"/>
      <c r="L85" s="1878"/>
      <c r="M85" s="1883"/>
      <c r="N85" s="1878"/>
      <c r="O85" s="1883"/>
      <c r="P85" s="1878"/>
      <c r="Q85" s="1883"/>
      <c r="R85" s="1878"/>
      <c r="S85" s="1883"/>
      <c r="T85" s="1878"/>
      <c r="U85" s="1883"/>
      <c r="V85" s="1878"/>
      <c r="W85" s="1883"/>
      <c r="X85" s="1878"/>
      <c r="Y85" s="1883"/>
      <c r="Z85" s="1878"/>
      <c r="AA85" s="1883"/>
      <c r="AB85" s="1878"/>
      <c r="AC85" s="1883"/>
      <c r="AD85" s="1878"/>
      <c r="AE85" s="1883"/>
      <c r="AF85" s="1878"/>
      <c r="AG85" s="1883"/>
      <c r="AH85" s="1878"/>
      <c r="AI85" s="1883"/>
      <c r="AJ85" s="1878"/>
      <c r="AK85" s="1883"/>
      <c r="AL85" s="1878"/>
      <c r="AM85" s="1883"/>
      <c r="AN85" s="1878"/>
      <c r="AO85" s="1883"/>
      <c r="AP85" s="1878"/>
      <c r="AQ85" s="1883"/>
      <c r="AR85" s="1878"/>
      <c r="AS85" s="1883"/>
      <c r="AT85" s="1878"/>
      <c r="AU85" s="1883"/>
      <c r="AV85" s="1878"/>
      <c r="AW85" s="1883"/>
      <c r="AX85" s="1878"/>
      <c r="AY85" s="1883"/>
      <c r="AZ85" s="1878"/>
      <c r="BA85" s="1883"/>
      <c r="BB85" s="1878"/>
      <c r="BC85" s="1883"/>
      <c r="BD85" s="1878"/>
      <c r="BE85" s="1883"/>
      <c r="BF85" s="1878"/>
      <c r="BG85" s="1883"/>
      <c r="BH85" s="1878"/>
      <c r="BI85" s="1883"/>
      <c r="BJ85" s="1878"/>
      <c r="BK85" s="1883"/>
      <c r="BL85" s="1878"/>
      <c r="BM85" s="1883"/>
      <c r="BN85" s="1878"/>
      <c r="BO85" s="1883"/>
      <c r="BP85" s="1878"/>
      <c r="BQ85" s="1883"/>
      <c r="BR85" s="1878"/>
      <c r="BS85" s="1883"/>
      <c r="BT85" s="1878"/>
      <c r="BU85" s="1883"/>
      <c r="BV85" s="1878"/>
      <c r="BW85" s="1883"/>
      <c r="BX85" s="1878"/>
      <c r="BY85" s="1883"/>
      <c r="BZ85" s="1878"/>
      <c r="CA85" s="1883"/>
      <c r="CB85" s="1878"/>
      <c r="CC85" s="1883"/>
      <c r="CD85" s="1878"/>
      <c r="CE85" s="1883"/>
      <c r="CF85" s="1878"/>
      <c r="CG85" s="1883"/>
      <c r="CH85" s="1878"/>
      <c r="CI85" s="1883"/>
      <c r="CJ85" s="1878"/>
      <c r="CK85" s="1883"/>
      <c r="CL85" s="1878"/>
      <c r="CM85" s="1883"/>
      <c r="CN85" s="1878"/>
      <c r="CO85" s="1883"/>
      <c r="CP85" s="1878"/>
      <c r="CQ85" s="1883"/>
      <c r="CR85" s="1878"/>
      <c r="CS85" s="1883"/>
      <c r="CT85" s="1878"/>
      <c r="CU85" s="1883"/>
      <c r="CV85" s="1878"/>
      <c r="CW85" s="1883"/>
      <c r="CX85" s="1878"/>
      <c r="CY85" s="1883"/>
      <c r="CZ85" s="1878"/>
      <c r="DA85" s="1883"/>
      <c r="DB85" s="1878"/>
      <c r="DC85" s="1883"/>
      <c r="DD85" s="1878"/>
      <c r="DE85" s="1883"/>
      <c r="DF85" s="1878"/>
      <c r="DG85" s="1883"/>
      <c r="DH85" s="1878"/>
      <c r="DI85" s="1883"/>
      <c r="DJ85" s="1878"/>
      <c r="DK85" s="1883"/>
      <c r="DL85" s="1878"/>
      <c r="DM85" s="1883"/>
      <c r="DN85" s="1878"/>
      <c r="DO85" s="1883"/>
      <c r="DP85" s="1878"/>
      <c r="DQ85" s="1883"/>
      <c r="DR85" s="1878"/>
      <c r="DS85" s="1883"/>
      <c r="DT85" s="1878"/>
      <c r="DU85" s="1883"/>
      <c r="DV85" s="1878"/>
      <c r="DW85" s="1883"/>
      <c r="DX85" s="1878"/>
      <c r="DY85" s="1883"/>
      <c r="DZ85" s="1878"/>
      <c r="EA85" s="1883"/>
      <c r="EB85" s="1878"/>
      <c r="EC85" s="1883"/>
      <c r="ED85" s="1878"/>
      <c r="EE85" s="1883"/>
      <c r="EF85" s="1878"/>
      <c r="EG85" s="1883"/>
      <c r="EH85" s="1878"/>
      <c r="EI85" s="1883"/>
      <c r="EJ85" s="1878"/>
      <c r="EK85" s="1883"/>
      <c r="EL85" s="1878"/>
      <c r="EM85" s="1883"/>
      <c r="EN85" s="1878"/>
      <c r="EO85" s="1883"/>
      <c r="EP85" s="1878"/>
      <c r="EQ85" s="1883"/>
      <c r="ER85" s="1878"/>
      <c r="ES85" s="1883"/>
      <c r="ET85" s="1878"/>
      <c r="EU85" s="1883"/>
      <c r="EV85" s="1878"/>
      <c r="EW85" s="1883"/>
      <c r="EX85" s="1878"/>
      <c r="EY85" s="1883"/>
      <c r="EZ85" s="1878"/>
      <c r="FA85" s="1883"/>
      <c r="FB85" s="1878"/>
      <c r="FC85" s="1883"/>
      <c r="FD85" s="1878"/>
      <c r="FE85" s="1883"/>
      <c r="FF85" s="1878"/>
      <c r="FG85" s="1883"/>
      <c r="FH85" s="1878"/>
      <c r="FI85" s="1883"/>
      <c r="FJ85" s="1878"/>
      <c r="FK85" s="1883"/>
      <c r="FL85" s="1878"/>
      <c r="FM85" s="1883"/>
      <c r="FN85" s="1878"/>
      <c r="FO85" s="1883"/>
      <c r="FP85" s="1878"/>
      <c r="FQ85" s="1883"/>
      <c r="FR85" s="1878"/>
      <c r="FS85" s="1883"/>
      <c r="FT85" s="1878"/>
      <c r="FU85" s="1883"/>
      <c r="FV85" s="1878"/>
      <c r="FW85" s="1883"/>
      <c r="FX85" s="1878"/>
      <c r="FY85" s="1883"/>
      <c r="FZ85" s="1878"/>
      <c r="GA85" s="1883"/>
      <c r="GB85" s="1878"/>
      <c r="GC85" s="1883"/>
      <c r="GD85" s="1878"/>
      <c r="GE85" s="1883"/>
      <c r="GF85" s="1878"/>
      <c r="GG85" s="1883"/>
      <c r="GH85" s="1878"/>
      <c r="GI85" s="1883"/>
      <c r="GJ85" s="1878"/>
      <c r="GK85" s="1883"/>
      <c r="GL85" s="1878"/>
      <c r="GM85" s="201"/>
    </row>
    <row r="86" spans="1:195" s="1910" customFormat="1" ht="11.25" hidden="1" customHeight="1">
      <c r="A86" s="3628"/>
      <c r="B86" s="409"/>
      <c r="D86" s="557" t="s">
        <v>1192</v>
      </c>
      <c r="E86" s="613" t="s">
        <v>1193</v>
      </c>
      <c r="F86" s="552" t="s">
        <v>1130</v>
      </c>
      <c r="G86" s="614"/>
      <c r="H86" s="893"/>
      <c r="I86" s="614"/>
      <c r="J86" s="893"/>
      <c r="K86" s="1883"/>
      <c r="L86" s="1878"/>
      <c r="M86" s="1883"/>
      <c r="N86" s="1878"/>
      <c r="O86" s="1883"/>
      <c r="P86" s="1878"/>
      <c r="Q86" s="1883"/>
      <c r="R86" s="1878"/>
      <c r="S86" s="1883"/>
      <c r="T86" s="1878"/>
      <c r="U86" s="1883"/>
      <c r="V86" s="1878"/>
      <c r="W86" s="1883"/>
      <c r="X86" s="1878"/>
      <c r="Y86" s="1883"/>
      <c r="Z86" s="1878"/>
      <c r="AA86" s="1883"/>
      <c r="AB86" s="1878"/>
      <c r="AC86" s="1883"/>
      <c r="AD86" s="1878"/>
      <c r="AE86" s="1883"/>
      <c r="AF86" s="1878"/>
      <c r="AG86" s="1883"/>
      <c r="AH86" s="1878"/>
      <c r="AI86" s="1883"/>
      <c r="AJ86" s="1878"/>
      <c r="AK86" s="1883"/>
      <c r="AL86" s="1878"/>
      <c r="AM86" s="1883"/>
      <c r="AN86" s="1878"/>
      <c r="AO86" s="1883"/>
      <c r="AP86" s="1878"/>
      <c r="AQ86" s="1883"/>
      <c r="AR86" s="1878"/>
      <c r="AS86" s="1883"/>
      <c r="AT86" s="1878"/>
      <c r="AU86" s="1883"/>
      <c r="AV86" s="1878"/>
      <c r="AW86" s="1883"/>
      <c r="AX86" s="1878"/>
      <c r="AY86" s="1883"/>
      <c r="AZ86" s="1878"/>
      <c r="BA86" s="1883"/>
      <c r="BB86" s="1878"/>
      <c r="BC86" s="1883"/>
      <c r="BD86" s="1878"/>
      <c r="BE86" s="1883"/>
      <c r="BF86" s="1878"/>
      <c r="BG86" s="1883"/>
      <c r="BH86" s="1878"/>
      <c r="BI86" s="1883"/>
      <c r="BJ86" s="1878"/>
      <c r="BK86" s="1883"/>
      <c r="BL86" s="1878"/>
      <c r="BM86" s="1883"/>
      <c r="BN86" s="1878"/>
      <c r="BO86" s="1883"/>
      <c r="BP86" s="1878"/>
      <c r="BQ86" s="1883"/>
      <c r="BR86" s="1878"/>
      <c r="BS86" s="1883"/>
      <c r="BT86" s="1878"/>
      <c r="BU86" s="1883"/>
      <c r="BV86" s="1878"/>
      <c r="BW86" s="1883"/>
      <c r="BX86" s="1878"/>
      <c r="BY86" s="1883"/>
      <c r="BZ86" s="1878"/>
      <c r="CA86" s="1883"/>
      <c r="CB86" s="1878"/>
      <c r="CC86" s="1883"/>
      <c r="CD86" s="1878"/>
      <c r="CE86" s="1883"/>
      <c r="CF86" s="1878"/>
      <c r="CG86" s="1883"/>
      <c r="CH86" s="1878"/>
      <c r="CI86" s="1883"/>
      <c r="CJ86" s="1878"/>
      <c r="CK86" s="1883"/>
      <c r="CL86" s="1878"/>
      <c r="CM86" s="1883"/>
      <c r="CN86" s="1878"/>
      <c r="CO86" s="1883"/>
      <c r="CP86" s="1878"/>
      <c r="CQ86" s="1883"/>
      <c r="CR86" s="1878"/>
      <c r="CS86" s="1883"/>
      <c r="CT86" s="1878"/>
      <c r="CU86" s="1883"/>
      <c r="CV86" s="1878"/>
      <c r="CW86" s="1883"/>
      <c r="CX86" s="1878"/>
      <c r="CY86" s="1883"/>
      <c r="CZ86" s="1878"/>
      <c r="DA86" s="1883"/>
      <c r="DB86" s="1878"/>
      <c r="DC86" s="1883"/>
      <c r="DD86" s="1878"/>
      <c r="DE86" s="1883"/>
      <c r="DF86" s="1878"/>
      <c r="DG86" s="1883"/>
      <c r="DH86" s="1878"/>
      <c r="DI86" s="1883"/>
      <c r="DJ86" s="1878"/>
      <c r="DK86" s="1883"/>
      <c r="DL86" s="1878"/>
      <c r="DM86" s="1883"/>
      <c r="DN86" s="1878"/>
      <c r="DO86" s="1883"/>
      <c r="DP86" s="1878"/>
      <c r="DQ86" s="1883"/>
      <c r="DR86" s="1878"/>
      <c r="DS86" s="1883"/>
      <c r="DT86" s="1878"/>
      <c r="DU86" s="1883"/>
      <c r="DV86" s="1878"/>
      <c r="DW86" s="1883"/>
      <c r="DX86" s="1878"/>
      <c r="DY86" s="1883"/>
      <c r="DZ86" s="1878"/>
      <c r="EA86" s="1883"/>
      <c r="EB86" s="1878"/>
      <c r="EC86" s="1883"/>
      <c r="ED86" s="1878"/>
      <c r="EE86" s="1883"/>
      <c r="EF86" s="1878"/>
      <c r="EG86" s="1883"/>
      <c r="EH86" s="1878"/>
      <c r="EI86" s="1883"/>
      <c r="EJ86" s="1878"/>
      <c r="EK86" s="1883"/>
      <c r="EL86" s="1878"/>
      <c r="EM86" s="1883"/>
      <c r="EN86" s="1878"/>
      <c r="EO86" s="1883"/>
      <c r="EP86" s="1878"/>
      <c r="EQ86" s="1883"/>
      <c r="ER86" s="1878"/>
      <c r="ES86" s="1883"/>
      <c r="ET86" s="1878"/>
      <c r="EU86" s="1883"/>
      <c r="EV86" s="1878"/>
      <c r="EW86" s="1883"/>
      <c r="EX86" s="1878"/>
      <c r="EY86" s="1883"/>
      <c r="EZ86" s="1878"/>
      <c r="FA86" s="1883"/>
      <c r="FB86" s="1878"/>
      <c r="FC86" s="1883"/>
      <c r="FD86" s="1878"/>
      <c r="FE86" s="1883"/>
      <c r="FF86" s="1878"/>
      <c r="FG86" s="1883"/>
      <c r="FH86" s="1878"/>
      <c r="FI86" s="1883"/>
      <c r="FJ86" s="1878"/>
      <c r="FK86" s="1883"/>
      <c r="FL86" s="1878"/>
      <c r="FM86" s="1883"/>
      <c r="FN86" s="1878"/>
      <c r="FO86" s="1883"/>
      <c r="FP86" s="1878"/>
      <c r="FQ86" s="1883"/>
      <c r="FR86" s="1878"/>
      <c r="FS86" s="1883"/>
      <c r="FT86" s="1878"/>
      <c r="FU86" s="1883"/>
      <c r="FV86" s="1878"/>
      <c r="FW86" s="1883"/>
      <c r="FX86" s="1878"/>
      <c r="FY86" s="1883"/>
      <c r="FZ86" s="1878"/>
      <c r="GA86" s="1883"/>
      <c r="GB86" s="1878"/>
      <c r="GC86" s="1883"/>
      <c r="GD86" s="1878"/>
      <c r="GE86" s="1883"/>
      <c r="GF86" s="1878"/>
      <c r="GG86" s="1883"/>
      <c r="GH86" s="1878"/>
      <c r="GI86" s="1883"/>
      <c r="GJ86" s="1878"/>
      <c r="GK86" s="1883"/>
      <c r="GL86" s="1878"/>
      <c r="GM86" s="201"/>
    </row>
    <row r="87" spans="1:195" s="1910" customFormat="1" ht="45" hidden="1" customHeight="1">
      <c r="A87" s="3628"/>
      <c r="B87" s="409"/>
      <c r="D87" s="557" t="s">
        <v>88</v>
      </c>
      <c r="E87" s="558" t="s">
        <v>1194</v>
      </c>
      <c r="F87" s="552" t="s">
        <v>1130</v>
      </c>
      <c r="G87" s="614"/>
      <c r="H87" s="893"/>
      <c r="I87" s="614"/>
      <c r="J87" s="893"/>
      <c r="K87" s="1883"/>
      <c r="L87" s="1878"/>
      <c r="M87" s="1883"/>
      <c r="N87" s="1878"/>
      <c r="O87" s="1883"/>
      <c r="P87" s="1878"/>
      <c r="Q87" s="1883"/>
      <c r="R87" s="1878"/>
      <c r="S87" s="1883"/>
      <c r="T87" s="1878"/>
      <c r="U87" s="1883"/>
      <c r="V87" s="1878"/>
      <c r="W87" s="1883"/>
      <c r="X87" s="1878"/>
      <c r="Y87" s="1883"/>
      <c r="Z87" s="1878"/>
      <c r="AA87" s="1883"/>
      <c r="AB87" s="1878"/>
      <c r="AC87" s="1883"/>
      <c r="AD87" s="1878"/>
      <c r="AE87" s="1883"/>
      <c r="AF87" s="1878"/>
      <c r="AG87" s="1883"/>
      <c r="AH87" s="1878"/>
      <c r="AI87" s="1883"/>
      <c r="AJ87" s="1878"/>
      <c r="AK87" s="1883"/>
      <c r="AL87" s="1878"/>
      <c r="AM87" s="1883"/>
      <c r="AN87" s="1878"/>
      <c r="AO87" s="1883"/>
      <c r="AP87" s="1878"/>
      <c r="AQ87" s="1883"/>
      <c r="AR87" s="1878"/>
      <c r="AS87" s="1883"/>
      <c r="AT87" s="1878"/>
      <c r="AU87" s="1883"/>
      <c r="AV87" s="1878"/>
      <c r="AW87" s="1883"/>
      <c r="AX87" s="1878"/>
      <c r="AY87" s="1883"/>
      <c r="AZ87" s="1878"/>
      <c r="BA87" s="1883"/>
      <c r="BB87" s="1878"/>
      <c r="BC87" s="1883"/>
      <c r="BD87" s="1878"/>
      <c r="BE87" s="1883"/>
      <c r="BF87" s="1878"/>
      <c r="BG87" s="1883"/>
      <c r="BH87" s="1878"/>
      <c r="BI87" s="1883"/>
      <c r="BJ87" s="1878"/>
      <c r="BK87" s="1883"/>
      <c r="BL87" s="1878"/>
      <c r="BM87" s="1883"/>
      <c r="BN87" s="1878"/>
      <c r="BO87" s="1883"/>
      <c r="BP87" s="1878"/>
      <c r="BQ87" s="1883"/>
      <c r="BR87" s="1878"/>
      <c r="BS87" s="1883"/>
      <c r="BT87" s="1878"/>
      <c r="BU87" s="1883"/>
      <c r="BV87" s="1878"/>
      <c r="BW87" s="1883"/>
      <c r="BX87" s="1878"/>
      <c r="BY87" s="1883"/>
      <c r="BZ87" s="1878"/>
      <c r="CA87" s="1883"/>
      <c r="CB87" s="1878"/>
      <c r="CC87" s="1883"/>
      <c r="CD87" s="1878"/>
      <c r="CE87" s="1883"/>
      <c r="CF87" s="1878"/>
      <c r="CG87" s="1883"/>
      <c r="CH87" s="1878"/>
      <c r="CI87" s="1883"/>
      <c r="CJ87" s="1878"/>
      <c r="CK87" s="1883"/>
      <c r="CL87" s="1878"/>
      <c r="CM87" s="1883"/>
      <c r="CN87" s="1878"/>
      <c r="CO87" s="1883"/>
      <c r="CP87" s="1878"/>
      <c r="CQ87" s="1883"/>
      <c r="CR87" s="1878"/>
      <c r="CS87" s="1883"/>
      <c r="CT87" s="1878"/>
      <c r="CU87" s="1883"/>
      <c r="CV87" s="1878"/>
      <c r="CW87" s="1883"/>
      <c r="CX87" s="1878"/>
      <c r="CY87" s="1883"/>
      <c r="CZ87" s="1878"/>
      <c r="DA87" s="1883"/>
      <c r="DB87" s="1878"/>
      <c r="DC87" s="1883"/>
      <c r="DD87" s="1878"/>
      <c r="DE87" s="1883"/>
      <c r="DF87" s="1878"/>
      <c r="DG87" s="1883"/>
      <c r="DH87" s="1878"/>
      <c r="DI87" s="1883"/>
      <c r="DJ87" s="1878"/>
      <c r="DK87" s="1883"/>
      <c r="DL87" s="1878"/>
      <c r="DM87" s="1883"/>
      <c r="DN87" s="1878"/>
      <c r="DO87" s="1883"/>
      <c r="DP87" s="1878"/>
      <c r="DQ87" s="1883"/>
      <c r="DR87" s="1878"/>
      <c r="DS87" s="1883"/>
      <c r="DT87" s="1878"/>
      <c r="DU87" s="1883"/>
      <c r="DV87" s="1878"/>
      <c r="DW87" s="1883"/>
      <c r="DX87" s="1878"/>
      <c r="DY87" s="1883"/>
      <c r="DZ87" s="1878"/>
      <c r="EA87" s="1883"/>
      <c r="EB87" s="1878"/>
      <c r="EC87" s="1883"/>
      <c r="ED87" s="1878"/>
      <c r="EE87" s="1883"/>
      <c r="EF87" s="1878"/>
      <c r="EG87" s="1883"/>
      <c r="EH87" s="1878"/>
      <c r="EI87" s="1883"/>
      <c r="EJ87" s="1878"/>
      <c r="EK87" s="1883"/>
      <c r="EL87" s="1878"/>
      <c r="EM87" s="1883"/>
      <c r="EN87" s="1878"/>
      <c r="EO87" s="1883"/>
      <c r="EP87" s="1878"/>
      <c r="EQ87" s="1883"/>
      <c r="ER87" s="1878"/>
      <c r="ES87" s="1883"/>
      <c r="ET87" s="1878"/>
      <c r="EU87" s="1883"/>
      <c r="EV87" s="1878"/>
      <c r="EW87" s="1883"/>
      <c r="EX87" s="1878"/>
      <c r="EY87" s="1883"/>
      <c r="EZ87" s="1878"/>
      <c r="FA87" s="1883"/>
      <c r="FB87" s="1878"/>
      <c r="FC87" s="1883"/>
      <c r="FD87" s="1878"/>
      <c r="FE87" s="1883"/>
      <c r="FF87" s="1878"/>
      <c r="FG87" s="1883"/>
      <c r="FH87" s="1878"/>
      <c r="FI87" s="1883"/>
      <c r="FJ87" s="1878"/>
      <c r="FK87" s="1883"/>
      <c r="FL87" s="1878"/>
      <c r="FM87" s="1883"/>
      <c r="FN87" s="1878"/>
      <c r="FO87" s="1883"/>
      <c r="FP87" s="1878"/>
      <c r="FQ87" s="1883"/>
      <c r="FR87" s="1878"/>
      <c r="FS87" s="1883"/>
      <c r="FT87" s="1878"/>
      <c r="FU87" s="1883"/>
      <c r="FV87" s="1878"/>
      <c r="FW87" s="1883"/>
      <c r="FX87" s="1878"/>
      <c r="FY87" s="1883"/>
      <c r="FZ87" s="1878"/>
      <c r="GA87" s="1883"/>
      <c r="GB87" s="1878"/>
      <c r="GC87" s="1883"/>
      <c r="GD87" s="1878"/>
      <c r="GE87" s="1883"/>
      <c r="GF87" s="1878"/>
      <c r="GG87" s="1883"/>
      <c r="GH87" s="1878"/>
      <c r="GI87" s="1883"/>
      <c r="GJ87" s="1878"/>
      <c r="GK87" s="1883"/>
      <c r="GL87" s="1878"/>
      <c r="GM87" s="201" t="s">
        <v>1195</v>
      </c>
    </row>
    <row r="88" spans="1:195" s="1910" customFormat="1" ht="11.25" hidden="1" customHeight="1">
      <c r="A88" s="3628"/>
      <c r="B88" s="409"/>
      <c r="D88" s="557" t="s">
        <v>1024</v>
      </c>
      <c r="E88" s="613" t="s">
        <v>1184</v>
      </c>
      <c r="F88" s="552" t="s">
        <v>1130</v>
      </c>
      <c r="G88" s="614"/>
      <c r="H88" s="893"/>
      <c r="I88" s="614"/>
      <c r="J88" s="893"/>
      <c r="K88" s="1883"/>
      <c r="L88" s="1878"/>
      <c r="M88" s="1883"/>
      <c r="N88" s="1878"/>
      <c r="O88" s="1883"/>
      <c r="P88" s="1878"/>
      <c r="Q88" s="1883"/>
      <c r="R88" s="1878"/>
      <c r="S88" s="1883"/>
      <c r="T88" s="1878"/>
      <c r="U88" s="1883"/>
      <c r="V88" s="1878"/>
      <c r="W88" s="1883"/>
      <c r="X88" s="1878"/>
      <c r="Y88" s="1883"/>
      <c r="Z88" s="1878"/>
      <c r="AA88" s="1883"/>
      <c r="AB88" s="1878"/>
      <c r="AC88" s="1883"/>
      <c r="AD88" s="1878"/>
      <c r="AE88" s="1883"/>
      <c r="AF88" s="1878"/>
      <c r="AG88" s="1883"/>
      <c r="AH88" s="1878"/>
      <c r="AI88" s="1883"/>
      <c r="AJ88" s="1878"/>
      <c r="AK88" s="1883"/>
      <c r="AL88" s="1878"/>
      <c r="AM88" s="1883"/>
      <c r="AN88" s="1878"/>
      <c r="AO88" s="1883"/>
      <c r="AP88" s="1878"/>
      <c r="AQ88" s="1883"/>
      <c r="AR88" s="1878"/>
      <c r="AS88" s="1883"/>
      <c r="AT88" s="1878"/>
      <c r="AU88" s="1883"/>
      <c r="AV88" s="1878"/>
      <c r="AW88" s="1883"/>
      <c r="AX88" s="1878"/>
      <c r="AY88" s="1883"/>
      <c r="AZ88" s="1878"/>
      <c r="BA88" s="1883"/>
      <c r="BB88" s="1878"/>
      <c r="BC88" s="1883"/>
      <c r="BD88" s="1878"/>
      <c r="BE88" s="1883"/>
      <c r="BF88" s="1878"/>
      <c r="BG88" s="1883"/>
      <c r="BH88" s="1878"/>
      <c r="BI88" s="1883"/>
      <c r="BJ88" s="1878"/>
      <c r="BK88" s="1883"/>
      <c r="BL88" s="1878"/>
      <c r="BM88" s="1883"/>
      <c r="BN88" s="1878"/>
      <c r="BO88" s="1883"/>
      <c r="BP88" s="1878"/>
      <c r="BQ88" s="1883"/>
      <c r="BR88" s="1878"/>
      <c r="BS88" s="1883"/>
      <c r="BT88" s="1878"/>
      <c r="BU88" s="1883"/>
      <c r="BV88" s="1878"/>
      <c r="BW88" s="1883"/>
      <c r="BX88" s="1878"/>
      <c r="BY88" s="1883"/>
      <c r="BZ88" s="1878"/>
      <c r="CA88" s="1883"/>
      <c r="CB88" s="1878"/>
      <c r="CC88" s="1883"/>
      <c r="CD88" s="1878"/>
      <c r="CE88" s="1883"/>
      <c r="CF88" s="1878"/>
      <c r="CG88" s="1883"/>
      <c r="CH88" s="1878"/>
      <c r="CI88" s="1883"/>
      <c r="CJ88" s="1878"/>
      <c r="CK88" s="1883"/>
      <c r="CL88" s="1878"/>
      <c r="CM88" s="1883"/>
      <c r="CN88" s="1878"/>
      <c r="CO88" s="1883"/>
      <c r="CP88" s="1878"/>
      <c r="CQ88" s="1883"/>
      <c r="CR88" s="1878"/>
      <c r="CS88" s="1883"/>
      <c r="CT88" s="1878"/>
      <c r="CU88" s="1883"/>
      <c r="CV88" s="1878"/>
      <c r="CW88" s="1883"/>
      <c r="CX88" s="1878"/>
      <c r="CY88" s="1883"/>
      <c r="CZ88" s="1878"/>
      <c r="DA88" s="1883"/>
      <c r="DB88" s="1878"/>
      <c r="DC88" s="1883"/>
      <c r="DD88" s="1878"/>
      <c r="DE88" s="1883"/>
      <c r="DF88" s="1878"/>
      <c r="DG88" s="1883"/>
      <c r="DH88" s="1878"/>
      <c r="DI88" s="1883"/>
      <c r="DJ88" s="1878"/>
      <c r="DK88" s="1883"/>
      <c r="DL88" s="1878"/>
      <c r="DM88" s="1883"/>
      <c r="DN88" s="1878"/>
      <c r="DO88" s="1883"/>
      <c r="DP88" s="1878"/>
      <c r="DQ88" s="1883"/>
      <c r="DR88" s="1878"/>
      <c r="DS88" s="1883"/>
      <c r="DT88" s="1878"/>
      <c r="DU88" s="1883"/>
      <c r="DV88" s="1878"/>
      <c r="DW88" s="1883"/>
      <c r="DX88" s="1878"/>
      <c r="DY88" s="1883"/>
      <c r="DZ88" s="1878"/>
      <c r="EA88" s="1883"/>
      <c r="EB88" s="1878"/>
      <c r="EC88" s="1883"/>
      <c r="ED88" s="1878"/>
      <c r="EE88" s="1883"/>
      <c r="EF88" s="1878"/>
      <c r="EG88" s="1883"/>
      <c r="EH88" s="1878"/>
      <c r="EI88" s="1883"/>
      <c r="EJ88" s="1878"/>
      <c r="EK88" s="1883"/>
      <c r="EL88" s="1878"/>
      <c r="EM88" s="1883"/>
      <c r="EN88" s="1878"/>
      <c r="EO88" s="1883"/>
      <c r="EP88" s="1878"/>
      <c r="EQ88" s="1883"/>
      <c r="ER88" s="1878"/>
      <c r="ES88" s="1883"/>
      <c r="ET88" s="1878"/>
      <c r="EU88" s="1883"/>
      <c r="EV88" s="1878"/>
      <c r="EW88" s="1883"/>
      <c r="EX88" s="1878"/>
      <c r="EY88" s="1883"/>
      <c r="EZ88" s="1878"/>
      <c r="FA88" s="1883"/>
      <c r="FB88" s="1878"/>
      <c r="FC88" s="1883"/>
      <c r="FD88" s="1878"/>
      <c r="FE88" s="1883"/>
      <c r="FF88" s="1878"/>
      <c r="FG88" s="1883"/>
      <c r="FH88" s="1878"/>
      <c r="FI88" s="1883"/>
      <c r="FJ88" s="1878"/>
      <c r="FK88" s="1883"/>
      <c r="FL88" s="1878"/>
      <c r="FM88" s="1883"/>
      <c r="FN88" s="1878"/>
      <c r="FO88" s="1883"/>
      <c r="FP88" s="1878"/>
      <c r="FQ88" s="1883"/>
      <c r="FR88" s="1878"/>
      <c r="FS88" s="1883"/>
      <c r="FT88" s="1878"/>
      <c r="FU88" s="1883"/>
      <c r="FV88" s="1878"/>
      <c r="FW88" s="1883"/>
      <c r="FX88" s="1878"/>
      <c r="FY88" s="1883"/>
      <c r="FZ88" s="1878"/>
      <c r="GA88" s="1883"/>
      <c r="GB88" s="1878"/>
      <c r="GC88" s="1883"/>
      <c r="GD88" s="1878"/>
      <c r="GE88" s="1883"/>
      <c r="GF88" s="1878"/>
      <c r="GG88" s="1883"/>
      <c r="GH88" s="1878"/>
      <c r="GI88" s="1883"/>
      <c r="GJ88" s="1878"/>
      <c r="GK88" s="1883"/>
      <c r="GL88" s="1878"/>
      <c r="GM88" s="201"/>
    </row>
    <row r="89" spans="1:195" s="1910" customFormat="1" ht="11.25" hidden="1" customHeight="1">
      <c r="A89" s="3628"/>
      <c r="B89" s="409"/>
      <c r="D89" s="557" t="s">
        <v>1067</v>
      </c>
      <c r="E89" s="613" t="s">
        <v>1185</v>
      </c>
      <c r="F89" s="552" t="s">
        <v>1130</v>
      </c>
      <c r="G89" s="614"/>
      <c r="H89" s="893"/>
      <c r="I89" s="614"/>
      <c r="J89" s="893"/>
      <c r="K89" s="1883"/>
      <c r="L89" s="1878"/>
      <c r="M89" s="1883"/>
      <c r="N89" s="1878"/>
      <c r="O89" s="1883"/>
      <c r="P89" s="1878"/>
      <c r="Q89" s="1883"/>
      <c r="R89" s="1878"/>
      <c r="S89" s="1883"/>
      <c r="T89" s="1878"/>
      <c r="U89" s="1883"/>
      <c r="V89" s="1878"/>
      <c r="W89" s="1883"/>
      <c r="X89" s="1878"/>
      <c r="Y89" s="1883"/>
      <c r="Z89" s="1878"/>
      <c r="AA89" s="1883"/>
      <c r="AB89" s="1878"/>
      <c r="AC89" s="1883"/>
      <c r="AD89" s="1878"/>
      <c r="AE89" s="1883"/>
      <c r="AF89" s="1878"/>
      <c r="AG89" s="1883"/>
      <c r="AH89" s="1878"/>
      <c r="AI89" s="1883"/>
      <c r="AJ89" s="1878"/>
      <c r="AK89" s="1883"/>
      <c r="AL89" s="1878"/>
      <c r="AM89" s="1883"/>
      <c r="AN89" s="1878"/>
      <c r="AO89" s="1883"/>
      <c r="AP89" s="1878"/>
      <c r="AQ89" s="1883"/>
      <c r="AR89" s="1878"/>
      <c r="AS89" s="1883"/>
      <c r="AT89" s="1878"/>
      <c r="AU89" s="1883"/>
      <c r="AV89" s="1878"/>
      <c r="AW89" s="1883"/>
      <c r="AX89" s="1878"/>
      <c r="AY89" s="1883"/>
      <c r="AZ89" s="1878"/>
      <c r="BA89" s="1883"/>
      <c r="BB89" s="1878"/>
      <c r="BC89" s="1883"/>
      <c r="BD89" s="1878"/>
      <c r="BE89" s="1883"/>
      <c r="BF89" s="1878"/>
      <c r="BG89" s="1883"/>
      <c r="BH89" s="1878"/>
      <c r="BI89" s="1883"/>
      <c r="BJ89" s="1878"/>
      <c r="BK89" s="1883"/>
      <c r="BL89" s="1878"/>
      <c r="BM89" s="1883"/>
      <c r="BN89" s="1878"/>
      <c r="BO89" s="1883"/>
      <c r="BP89" s="1878"/>
      <c r="BQ89" s="1883"/>
      <c r="BR89" s="1878"/>
      <c r="BS89" s="1883"/>
      <c r="BT89" s="1878"/>
      <c r="BU89" s="1883"/>
      <c r="BV89" s="1878"/>
      <c r="BW89" s="1883"/>
      <c r="BX89" s="1878"/>
      <c r="BY89" s="1883"/>
      <c r="BZ89" s="1878"/>
      <c r="CA89" s="1883"/>
      <c r="CB89" s="1878"/>
      <c r="CC89" s="1883"/>
      <c r="CD89" s="1878"/>
      <c r="CE89" s="1883"/>
      <c r="CF89" s="1878"/>
      <c r="CG89" s="1883"/>
      <c r="CH89" s="1878"/>
      <c r="CI89" s="1883"/>
      <c r="CJ89" s="1878"/>
      <c r="CK89" s="1883"/>
      <c r="CL89" s="1878"/>
      <c r="CM89" s="1883"/>
      <c r="CN89" s="1878"/>
      <c r="CO89" s="1883"/>
      <c r="CP89" s="1878"/>
      <c r="CQ89" s="1883"/>
      <c r="CR89" s="1878"/>
      <c r="CS89" s="1883"/>
      <c r="CT89" s="1878"/>
      <c r="CU89" s="1883"/>
      <c r="CV89" s="1878"/>
      <c r="CW89" s="1883"/>
      <c r="CX89" s="1878"/>
      <c r="CY89" s="1883"/>
      <c r="CZ89" s="1878"/>
      <c r="DA89" s="1883"/>
      <c r="DB89" s="1878"/>
      <c r="DC89" s="1883"/>
      <c r="DD89" s="1878"/>
      <c r="DE89" s="1883"/>
      <c r="DF89" s="1878"/>
      <c r="DG89" s="1883"/>
      <c r="DH89" s="1878"/>
      <c r="DI89" s="1883"/>
      <c r="DJ89" s="1878"/>
      <c r="DK89" s="1883"/>
      <c r="DL89" s="1878"/>
      <c r="DM89" s="1883"/>
      <c r="DN89" s="1878"/>
      <c r="DO89" s="1883"/>
      <c r="DP89" s="1878"/>
      <c r="DQ89" s="1883"/>
      <c r="DR89" s="1878"/>
      <c r="DS89" s="1883"/>
      <c r="DT89" s="1878"/>
      <c r="DU89" s="1883"/>
      <c r="DV89" s="1878"/>
      <c r="DW89" s="1883"/>
      <c r="DX89" s="1878"/>
      <c r="DY89" s="1883"/>
      <c r="DZ89" s="1878"/>
      <c r="EA89" s="1883"/>
      <c r="EB89" s="1878"/>
      <c r="EC89" s="1883"/>
      <c r="ED89" s="1878"/>
      <c r="EE89" s="1883"/>
      <c r="EF89" s="1878"/>
      <c r="EG89" s="1883"/>
      <c r="EH89" s="1878"/>
      <c r="EI89" s="1883"/>
      <c r="EJ89" s="1878"/>
      <c r="EK89" s="1883"/>
      <c r="EL89" s="1878"/>
      <c r="EM89" s="1883"/>
      <c r="EN89" s="1878"/>
      <c r="EO89" s="1883"/>
      <c r="EP89" s="1878"/>
      <c r="EQ89" s="1883"/>
      <c r="ER89" s="1878"/>
      <c r="ES89" s="1883"/>
      <c r="ET89" s="1878"/>
      <c r="EU89" s="1883"/>
      <c r="EV89" s="1878"/>
      <c r="EW89" s="1883"/>
      <c r="EX89" s="1878"/>
      <c r="EY89" s="1883"/>
      <c r="EZ89" s="1878"/>
      <c r="FA89" s="1883"/>
      <c r="FB89" s="1878"/>
      <c r="FC89" s="1883"/>
      <c r="FD89" s="1878"/>
      <c r="FE89" s="1883"/>
      <c r="FF89" s="1878"/>
      <c r="FG89" s="1883"/>
      <c r="FH89" s="1878"/>
      <c r="FI89" s="1883"/>
      <c r="FJ89" s="1878"/>
      <c r="FK89" s="1883"/>
      <c r="FL89" s="1878"/>
      <c r="FM89" s="1883"/>
      <c r="FN89" s="1878"/>
      <c r="FO89" s="1883"/>
      <c r="FP89" s="1878"/>
      <c r="FQ89" s="1883"/>
      <c r="FR89" s="1878"/>
      <c r="FS89" s="1883"/>
      <c r="FT89" s="1878"/>
      <c r="FU89" s="1883"/>
      <c r="FV89" s="1878"/>
      <c r="FW89" s="1883"/>
      <c r="FX89" s="1878"/>
      <c r="FY89" s="1883"/>
      <c r="FZ89" s="1878"/>
      <c r="GA89" s="1883"/>
      <c r="GB89" s="1878"/>
      <c r="GC89" s="1883"/>
      <c r="GD89" s="1878"/>
      <c r="GE89" s="1883"/>
      <c r="GF89" s="1878"/>
      <c r="GG89" s="1883"/>
      <c r="GH89" s="1878"/>
      <c r="GI89" s="1883"/>
      <c r="GJ89" s="1878"/>
      <c r="GK89" s="1883"/>
      <c r="GL89" s="1878"/>
      <c r="GM89" s="201"/>
    </row>
    <row r="90" spans="1:195" s="1910" customFormat="1" ht="11.25" hidden="1" customHeight="1">
      <c r="A90" s="3628"/>
      <c r="B90" s="409"/>
      <c r="D90" s="557" t="s">
        <v>1070</v>
      </c>
      <c r="E90" s="613" t="s">
        <v>1186</v>
      </c>
      <c r="F90" s="552" t="s">
        <v>1130</v>
      </c>
      <c r="G90" s="614"/>
      <c r="H90" s="893"/>
      <c r="I90" s="614"/>
      <c r="J90" s="893"/>
      <c r="K90" s="1883"/>
      <c r="L90" s="1878"/>
      <c r="M90" s="1883"/>
      <c r="N90" s="1878"/>
      <c r="O90" s="1883"/>
      <c r="P90" s="1878"/>
      <c r="Q90" s="1883"/>
      <c r="R90" s="1878"/>
      <c r="S90" s="1883"/>
      <c r="T90" s="1878"/>
      <c r="U90" s="1883"/>
      <c r="V90" s="1878"/>
      <c r="W90" s="1883"/>
      <c r="X90" s="1878"/>
      <c r="Y90" s="1883"/>
      <c r="Z90" s="1878"/>
      <c r="AA90" s="1883"/>
      <c r="AB90" s="1878"/>
      <c r="AC90" s="1883"/>
      <c r="AD90" s="1878"/>
      <c r="AE90" s="1883"/>
      <c r="AF90" s="1878"/>
      <c r="AG90" s="1883"/>
      <c r="AH90" s="1878"/>
      <c r="AI90" s="1883"/>
      <c r="AJ90" s="1878"/>
      <c r="AK90" s="1883"/>
      <c r="AL90" s="1878"/>
      <c r="AM90" s="1883"/>
      <c r="AN90" s="1878"/>
      <c r="AO90" s="1883"/>
      <c r="AP90" s="1878"/>
      <c r="AQ90" s="1883"/>
      <c r="AR90" s="1878"/>
      <c r="AS90" s="1883"/>
      <c r="AT90" s="1878"/>
      <c r="AU90" s="1883"/>
      <c r="AV90" s="1878"/>
      <c r="AW90" s="1883"/>
      <c r="AX90" s="1878"/>
      <c r="AY90" s="1883"/>
      <c r="AZ90" s="1878"/>
      <c r="BA90" s="1883"/>
      <c r="BB90" s="1878"/>
      <c r="BC90" s="1883"/>
      <c r="BD90" s="1878"/>
      <c r="BE90" s="1883"/>
      <c r="BF90" s="1878"/>
      <c r="BG90" s="1883"/>
      <c r="BH90" s="1878"/>
      <c r="BI90" s="1883"/>
      <c r="BJ90" s="1878"/>
      <c r="BK90" s="1883"/>
      <c r="BL90" s="1878"/>
      <c r="BM90" s="1883"/>
      <c r="BN90" s="1878"/>
      <c r="BO90" s="1883"/>
      <c r="BP90" s="1878"/>
      <c r="BQ90" s="1883"/>
      <c r="BR90" s="1878"/>
      <c r="BS90" s="1883"/>
      <c r="BT90" s="1878"/>
      <c r="BU90" s="1883"/>
      <c r="BV90" s="1878"/>
      <c r="BW90" s="1883"/>
      <c r="BX90" s="1878"/>
      <c r="BY90" s="1883"/>
      <c r="BZ90" s="1878"/>
      <c r="CA90" s="1883"/>
      <c r="CB90" s="1878"/>
      <c r="CC90" s="1883"/>
      <c r="CD90" s="1878"/>
      <c r="CE90" s="1883"/>
      <c r="CF90" s="1878"/>
      <c r="CG90" s="1883"/>
      <c r="CH90" s="1878"/>
      <c r="CI90" s="1883"/>
      <c r="CJ90" s="1878"/>
      <c r="CK90" s="1883"/>
      <c r="CL90" s="1878"/>
      <c r="CM90" s="1883"/>
      <c r="CN90" s="1878"/>
      <c r="CO90" s="1883"/>
      <c r="CP90" s="1878"/>
      <c r="CQ90" s="1883"/>
      <c r="CR90" s="1878"/>
      <c r="CS90" s="1883"/>
      <c r="CT90" s="1878"/>
      <c r="CU90" s="1883"/>
      <c r="CV90" s="1878"/>
      <c r="CW90" s="1883"/>
      <c r="CX90" s="1878"/>
      <c r="CY90" s="1883"/>
      <c r="CZ90" s="1878"/>
      <c r="DA90" s="1883"/>
      <c r="DB90" s="1878"/>
      <c r="DC90" s="1883"/>
      <c r="DD90" s="1878"/>
      <c r="DE90" s="1883"/>
      <c r="DF90" s="1878"/>
      <c r="DG90" s="1883"/>
      <c r="DH90" s="1878"/>
      <c r="DI90" s="1883"/>
      <c r="DJ90" s="1878"/>
      <c r="DK90" s="1883"/>
      <c r="DL90" s="1878"/>
      <c r="DM90" s="1883"/>
      <c r="DN90" s="1878"/>
      <c r="DO90" s="1883"/>
      <c r="DP90" s="1878"/>
      <c r="DQ90" s="1883"/>
      <c r="DR90" s="1878"/>
      <c r="DS90" s="1883"/>
      <c r="DT90" s="1878"/>
      <c r="DU90" s="1883"/>
      <c r="DV90" s="1878"/>
      <c r="DW90" s="1883"/>
      <c r="DX90" s="1878"/>
      <c r="DY90" s="1883"/>
      <c r="DZ90" s="1878"/>
      <c r="EA90" s="1883"/>
      <c r="EB90" s="1878"/>
      <c r="EC90" s="1883"/>
      <c r="ED90" s="1878"/>
      <c r="EE90" s="1883"/>
      <c r="EF90" s="1878"/>
      <c r="EG90" s="1883"/>
      <c r="EH90" s="1878"/>
      <c r="EI90" s="1883"/>
      <c r="EJ90" s="1878"/>
      <c r="EK90" s="1883"/>
      <c r="EL90" s="1878"/>
      <c r="EM90" s="1883"/>
      <c r="EN90" s="1878"/>
      <c r="EO90" s="1883"/>
      <c r="EP90" s="1878"/>
      <c r="EQ90" s="1883"/>
      <c r="ER90" s="1878"/>
      <c r="ES90" s="1883"/>
      <c r="ET90" s="1878"/>
      <c r="EU90" s="1883"/>
      <c r="EV90" s="1878"/>
      <c r="EW90" s="1883"/>
      <c r="EX90" s="1878"/>
      <c r="EY90" s="1883"/>
      <c r="EZ90" s="1878"/>
      <c r="FA90" s="1883"/>
      <c r="FB90" s="1878"/>
      <c r="FC90" s="1883"/>
      <c r="FD90" s="1878"/>
      <c r="FE90" s="1883"/>
      <c r="FF90" s="1878"/>
      <c r="FG90" s="1883"/>
      <c r="FH90" s="1878"/>
      <c r="FI90" s="1883"/>
      <c r="FJ90" s="1878"/>
      <c r="FK90" s="1883"/>
      <c r="FL90" s="1878"/>
      <c r="FM90" s="1883"/>
      <c r="FN90" s="1878"/>
      <c r="FO90" s="1883"/>
      <c r="FP90" s="1878"/>
      <c r="FQ90" s="1883"/>
      <c r="FR90" s="1878"/>
      <c r="FS90" s="1883"/>
      <c r="FT90" s="1878"/>
      <c r="FU90" s="1883"/>
      <c r="FV90" s="1878"/>
      <c r="FW90" s="1883"/>
      <c r="FX90" s="1878"/>
      <c r="FY90" s="1883"/>
      <c r="FZ90" s="1878"/>
      <c r="GA90" s="1883"/>
      <c r="GB90" s="1878"/>
      <c r="GC90" s="1883"/>
      <c r="GD90" s="1878"/>
      <c r="GE90" s="1883"/>
      <c r="GF90" s="1878"/>
      <c r="GG90" s="1883"/>
      <c r="GH90" s="1878"/>
      <c r="GI90" s="1883"/>
      <c r="GJ90" s="1878"/>
      <c r="GK90" s="1883"/>
      <c r="GL90" s="1878"/>
      <c r="GM90" s="201"/>
    </row>
    <row r="91" spans="1:195" s="1910" customFormat="1" ht="11.25" hidden="1" customHeight="1">
      <c r="A91" s="3628"/>
      <c r="B91" s="409"/>
      <c r="D91" s="557" t="s">
        <v>1148</v>
      </c>
      <c r="E91" s="613" t="s">
        <v>1187</v>
      </c>
      <c r="F91" s="552" t="s">
        <v>1130</v>
      </c>
      <c r="G91" s="614"/>
      <c r="H91" s="893"/>
      <c r="I91" s="614"/>
      <c r="J91" s="893"/>
      <c r="K91" s="1883"/>
      <c r="L91" s="1878"/>
      <c r="M91" s="1883"/>
      <c r="N91" s="1878"/>
      <c r="O91" s="1883"/>
      <c r="P91" s="1878"/>
      <c r="Q91" s="1883"/>
      <c r="R91" s="1878"/>
      <c r="S91" s="1883"/>
      <c r="T91" s="1878"/>
      <c r="U91" s="1883"/>
      <c r="V91" s="1878"/>
      <c r="W91" s="1883"/>
      <c r="X91" s="1878"/>
      <c r="Y91" s="1883"/>
      <c r="Z91" s="1878"/>
      <c r="AA91" s="1883"/>
      <c r="AB91" s="1878"/>
      <c r="AC91" s="1883"/>
      <c r="AD91" s="1878"/>
      <c r="AE91" s="1883"/>
      <c r="AF91" s="1878"/>
      <c r="AG91" s="1883"/>
      <c r="AH91" s="1878"/>
      <c r="AI91" s="1883"/>
      <c r="AJ91" s="1878"/>
      <c r="AK91" s="1883"/>
      <c r="AL91" s="1878"/>
      <c r="AM91" s="1883"/>
      <c r="AN91" s="1878"/>
      <c r="AO91" s="1883"/>
      <c r="AP91" s="1878"/>
      <c r="AQ91" s="1883"/>
      <c r="AR91" s="1878"/>
      <c r="AS91" s="1883"/>
      <c r="AT91" s="1878"/>
      <c r="AU91" s="1883"/>
      <c r="AV91" s="1878"/>
      <c r="AW91" s="1883"/>
      <c r="AX91" s="1878"/>
      <c r="AY91" s="1883"/>
      <c r="AZ91" s="1878"/>
      <c r="BA91" s="1883"/>
      <c r="BB91" s="1878"/>
      <c r="BC91" s="1883"/>
      <c r="BD91" s="1878"/>
      <c r="BE91" s="1883"/>
      <c r="BF91" s="1878"/>
      <c r="BG91" s="1883"/>
      <c r="BH91" s="1878"/>
      <c r="BI91" s="1883"/>
      <c r="BJ91" s="1878"/>
      <c r="BK91" s="1883"/>
      <c r="BL91" s="1878"/>
      <c r="BM91" s="1883"/>
      <c r="BN91" s="1878"/>
      <c r="BO91" s="1883"/>
      <c r="BP91" s="1878"/>
      <c r="BQ91" s="1883"/>
      <c r="BR91" s="1878"/>
      <c r="BS91" s="1883"/>
      <c r="BT91" s="1878"/>
      <c r="BU91" s="1883"/>
      <c r="BV91" s="1878"/>
      <c r="BW91" s="1883"/>
      <c r="BX91" s="1878"/>
      <c r="BY91" s="1883"/>
      <c r="BZ91" s="1878"/>
      <c r="CA91" s="1883"/>
      <c r="CB91" s="1878"/>
      <c r="CC91" s="1883"/>
      <c r="CD91" s="1878"/>
      <c r="CE91" s="1883"/>
      <c r="CF91" s="1878"/>
      <c r="CG91" s="1883"/>
      <c r="CH91" s="1878"/>
      <c r="CI91" s="1883"/>
      <c r="CJ91" s="1878"/>
      <c r="CK91" s="1883"/>
      <c r="CL91" s="1878"/>
      <c r="CM91" s="1883"/>
      <c r="CN91" s="1878"/>
      <c r="CO91" s="1883"/>
      <c r="CP91" s="1878"/>
      <c r="CQ91" s="1883"/>
      <c r="CR91" s="1878"/>
      <c r="CS91" s="1883"/>
      <c r="CT91" s="1878"/>
      <c r="CU91" s="1883"/>
      <c r="CV91" s="1878"/>
      <c r="CW91" s="1883"/>
      <c r="CX91" s="1878"/>
      <c r="CY91" s="1883"/>
      <c r="CZ91" s="1878"/>
      <c r="DA91" s="1883"/>
      <c r="DB91" s="1878"/>
      <c r="DC91" s="1883"/>
      <c r="DD91" s="1878"/>
      <c r="DE91" s="1883"/>
      <c r="DF91" s="1878"/>
      <c r="DG91" s="1883"/>
      <c r="DH91" s="1878"/>
      <c r="DI91" s="1883"/>
      <c r="DJ91" s="1878"/>
      <c r="DK91" s="1883"/>
      <c r="DL91" s="1878"/>
      <c r="DM91" s="1883"/>
      <c r="DN91" s="1878"/>
      <c r="DO91" s="1883"/>
      <c r="DP91" s="1878"/>
      <c r="DQ91" s="1883"/>
      <c r="DR91" s="1878"/>
      <c r="DS91" s="1883"/>
      <c r="DT91" s="1878"/>
      <c r="DU91" s="1883"/>
      <c r="DV91" s="1878"/>
      <c r="DW91" s="1883"/>
      <c r="DX91" s="1878"/>
      <c r="DY91" s="1883"/>
      <c r="DZ91" s="1878"/>
      <c r="EA91" s="1883"/>
      <c r="EB91" s="1878"/>
      <c r="EC91" s="1883"/>
      <c r="ED91" s="1878"/>
      <c r="EE91" s="1883"/>
      <c r="EF91" s="1878"/>
      <c r="EG91" s="1883"/>
      <c r="EH91" s="1878"/>
      <c r="EI91" s="1883"/>
      <c r="EJ91" s="1878"/>
      <c r="EK91" s="1883"/>
      <c r="EL91" s="1878"/>
      <c r="EM91" s="1883"/>
      <c r="EN91" s="1878"/>
      <c r="EO91" s="1883"/>
      <c r="EP91" s="1878"/>
      <c r="EQ91" s="1883"/>
      <c r="ER91" s="1878"/>
      <c r="ES91" s="1883"/>
      <c r="ET91" s="1878"/>
      <c r="EU91" s="1883"/>
      <c r="EV91" s="1878"/>
      <c r="EW91" s="1883"/>
      <c r="EX91" s="1878"/>
      <c r="EY91" s="1883"/>
      <c r="EZ91" s="1878"/>
      <c r="FA91" s="1883"/>
      <c r="FB91" s="1878"/>
      <c r="FC91" s="1883"/>
      <c r="FD91" s="1878"/>
      <c r="FE91" s="1883"/>
      <c r="FF91" s="1878"/>
      <c r="FG91" s="1883"/>
      <c r="FH91" s="1878"/>
      <c r="FI91" s="1883"/>
      <c r="FJ91" s="1878"/>
      <c r="FK91" s="1883"/>
      <c r="FL91" s="1878"/>
      <c r="FM91" s="1883"/>
      <c r="FN91" s="1878"/>
      <c r="FO91" s="1883"/>
      <c r="FP91" s="1878"/>
      <c r="FQ91" s="1883"/>
      <c r="FR91" s="1878"/>
      <c r="FS91" s="1883"/>
      <c r="FT91" s="1878"/>
      <c r="FU91" s="1883"/>
      <c r="FV91" s="1878"/>
      <c r="FW91" s="1883"/>
      <c r="FX91" s="1878"/>
      <c r="FY91" s="1883"/>
      <c r="FZ91" s="1878"/>
      <c r="GA91" s="1883"/>
      <c r="GB91" s="1878"/>
      <c r="GC91" s="1883"/>
      <c r="GD91" s="1878"/>
      <c r="GE91" s="1883"/>
      <c r="GF91" s="1878"/>
      <c r="GG91" s="1883"/>
      <c r="GH91" s="1878"/>
      <c r="GI91" s="1883"/>
      <c r="GJ91" s="1878"/>
      <c r="GK91" s="1883"/>
      <c r="GL91" s="1878"/>
      <c r="GM91" s="201"/>
    </row>
    <row r="92" spans="1:195" s="1910" customFormat="1" ht="11.25" hidden="1" customHeight="1">
      <c r="A92" s="3628"/>
      <c r="B92" s="409"/>
      <c r="D92" s="557" t="s">
        <v>1150</v>
      </c>
      <c r="E92" s="613" t="s">
        <v>1189</v>
      </c>
      <c r="F92" s="552" t="s">
        <v>1130</v>
      </c>
      <c r="G92" s="614"/>
      <c r="H92" s="893"/>
      <c r="I92" s="614"/>
      <c r="J92" s="893"/>
      <c r="K92" s="1883"/>
      <c r="L92" s="1878"/>
      <c r="M92" s="1883"/>
      <c r="N92" s="1878"/>
      <c r="O92" s="1883"/>
      <c r="P92" s="1878"/>
      <c r="Q92" s="1883"/>
      <c r="R92" s="1878"/>
      <c r="S92" s="1883"/>
      <c r="T92" s="1878"/>
      <c r="U92" s="1883"/>
      <c r="V92" s="1878"/>
      <c r="W92" s="1883"/>
      <c r="X92" s="1878"/>
      <c r="Y92" s="1883"/>
      <c r="Z92" s="1878"/>
      <c r="AA92" s="1883"/>
      <c r="AB92" s="1878"/>
      <c r="AC92" s="1883"/>
      <c r="AD92" s="1878"/>
      <c r="AE92" s="1883"/>
      <c r="AF92" s="1878"/>
      <c r="AG92" s="1883"/>
      <c r="AH92" s="1878"/>
      <c r="AI92" s="1883"/>
      <c r="AJ92" s="1878"/>
      <c r="AK92" s="1883"/>
      <c r="AL92" s="1878"/>
      <c r="AM92" s="1883"/>
      <c r="AN92" s="1878"/>
      <c r="AO92" s="1883"/>
      <c r="AP92" s="1878"/>
      <c r="AQ92" s="1883"/>
      <c r="AR92" s="1878"/>
      <c r="AS92" s="1883"/>
      <c r="AT92" s="1878"/>
      <c r="AU92" s="1883"/>
      <c r="AV92" s="1878"/>
      <c r="AW92" s="1883"/>
      <c r="AX92" s="1878"/>
      <c r="AY92" s="1883"/>
      <c r="AZ92" s="1878"/>
      <c r="BA92" s="1883"/>
      <c r="BB92" s="1878"/>
      <c r="BC92" s="1883"/>
      <c r="BD92" s="1878"/>
      <c r="BE92" s="1883"/>
      <c r="BF92" s="1878"/>
      <c r="BG92" s="1883"/>
      <c r="BH92" s="1878"/>
      <c r="BI92" s="1883"/>
      <c r="BJ92" s="1878"/>
      <c r="BK92" s="1883"/>
      <c r="BL92" s="1878"/>
      <c r="BM92" s="1883"/>
      <c r="BN92" s="1878"/>
      <c r="BO92" s="1883"/>
      <c r="BP92" s="1878"/>
      <c r="BQ92" s="1883"/>
      <c r="BR92" s="1878"/>
      <c r="BS92" s="1883"/>
      <c r="BT92" s="1878"/>
      <c r="BU92" s="1883"/>
      <c r="BV92" s="1878"/>
      <c r="BW92" s="1883"/>
      <c r="BX92" s="1878"/>
      <c r="BY92" s="1883"/>
      <c r="BZ92" s="1878"/>
      <c r="CA92" s="1883"/>
      <c r="CB92" s="1878"/>
      <c r="CC92" s="1883"/>
      <c r="CD92" s="1878"/>
      <c r="CE92" s="1883"/>
      <c r="CF92" s="1878"/>
      <c r="CG92" s="1883"/>
      <c r="CH92" s="1878"/>
      <c r="CI92" s="1883"/>
      <c r="CJ92" s="1878"/>
      <c r="CK92" s="1883"/>
      <c r="CL92" s="1878"/>
      <c r="CM92" s="1883"/>
      <c r="CN92" s="1878"/>
      <c r="CO92" s="1883"/>
      <c r="CP92" s="1878"/>
      <c r="CQ92" s="1883"/>
      <c r="CR92" s="1878"/>
      <c r="CS92" s="1883"/>
      <c r="CT92" s="1878"/>
      <c r="CU92" s="1883"/>
      <c r="CV92" s="1878"/>
      <c r="CW92" s="1883"/>
      <c r="CX92" s="1878"/>
      <c r="CY92" s="1883"/>
      <c r="CZ92" s="1878"/>
      <c r="DA92" s="1883"/>
      <c r="DB92" s="1878"/>
      <c r="DC92" s="1883"/>
      <c r="DD92" s="1878"/>
      <c r="DE92" s="1883"/>
      <c r="DF92" s="1878"/>
      <c r="DG92" s="1883"/>
      <c r="DH92" s="1878"/>
      <c r="DI92" s="1883"/>
      <c r="DJ92" s="1878"/>
      <c r="DK92" s="1883"/>
      <c r="DL92" s="1878"/>
      <c r="DM92" s="1883"/>
      <c r="DN92" s="1878"/>
      <c r="DO92" s="1883"/>
      <c r="DP92" s="1878"/>
      <c r="DQ92" s="1883"/>
      <c r="DR92" s="1878"/>
      <c r="DS92" s="1883"/>
      <c r="DT92" s="1878"/>
      <c r="DU92" s="1883"/>
      <c r="DV92" s="1878"/>
      <c r="DW92" s="1883"/>
      <c r="DX92" s="1878"/>
      <c r="DY92" s="1883"/>
      <c r="DZ92" s="1878"/>
      <c r="EA92" s="1883"/>
      <c r="EB92" s="1878"/>
      <c r="EC92" s="1883"/>
      <c r="ED92" s="1878"/>
      <c r="EE92" s="1883"/>
      <c r="EF92" s="1878"/>
      <c r="EG92" s="1883"/>
      <c r="EH92" s="1878"/>
      <c r="EI92" s="1883"/>
      <c r="EJ92" s="1878"/>
      <c r="EK92" s="1883"/>
      <c r="EL92" s="1878"/>
      <c r="EM92" s="1883"/>
      <c r="EN92" s="1878"/>
      <c r="EO92" s="1883"/>
      <c r="EP92" s="1878"/>
      <c r="EQ92" s="1883"/>
      <c r="ER92" s="1878"/>
      <c r="ES92" s="1883"/>
      <c r="ET92" s="1878"/>
      <c r="EU92" s="1883"/>
      <c r="EV92" s="1878"/>
      <c r="EW92" s="1883"/>
      <c r="EX92" s="1878"/>
      <c r="EY92" s="1883"/>
      <c r="EZ92" s="1878"/>
      <c r="FA92" s="1883"/>
      <c r="FB92" s="1878"/>
      <c r="FC92" s="1883"/>
      <c r="FD92" s="1878"/>
      <c r="FE92" s="1883"/>
      <c r="FF92" s="1878"/>
      <c r="FG92" s="1883"/>
      <c r="FH92" s="1878"/>
      <c r="FI92" s="1883"/>
      <c r="FJ92" s="1878"/>
      <c r="FK92" s="1883"/>
      <c r="FL92" s="1878"/>
      <c r="FM92" s="1883"/>
      <c r="FN92" s="1878"/>
      <c r="FO92" s="1883"/>
      <c r="FP92" s="1878"/>
      <c r="FQ92" s="1883"/>
      <c r="FR92" s="1878"/>
      <c r="FS92" s="1883"/>
      <c r="FT92" s="1878"/>
      <c r="FU92" s="1883"/>
      <c r="FV92" s="1878"/>
      <c r="FW92" s="1883"/>
      <c r="FX92" s="1878"/>
      <c r="FY92" s="1883"/>
      <c r="FZ92" s="1878"/>
      <c r="GA92" s="1883"/>
      <c r="GB92" s="1878"/>
      <c r="GC92" s="1883"/>
      <c r="GD92" s="1878"/>
      <c r="GE92" s="1883"/>
      <c r="GF92" s="1878"/>
      <c r="GG92" s="1883"/>
      <c r="GH92" s="1878"/>
      <c r="GI92" s="1883"/>
      <c r="GJ92" s="1878"/>
      <c r="GK92" s="1883"/>
      <c r="GL92" s="1878"/>
      <c r="GM92" s="201"/>
    </row>
    <row r="93" spans="1:195" s="1910" customFormat="1" ht="11.25" hidden="1" customHeight="1">
      <c r="A93" s="3628"/>
      <c r="B93" s="409"/>
      <c r="D93" s="557" t="s">
        <v>1196</v>
      </c>
      <c r="E93" s="613" t="s">
        <v>1191</v>
      </c>
      <c r="F93" s="552" t="s">
        <v>1130</v>
      </c>
      <c r="G93" s="614"/>
      <c r="H93" s="893"/>
      <c r="I93" s="614"/>
      <c r="J93" s="893"/>
      <c r="K93" s="1883"/>
      <c r="L93" s="1878"/>
      <c r="M93" s="1883"/>
      <c r="N93" s="1878"/>
      <c r="O93" s="1883"/>
      <c r="P93" s="1878"/>
      <c r="Q93" s="1883"/>
      <c r="R93" s="1878"/>
      <c r="S93" s="1883"/>
      <c r="T93" s="1878"/>
      <c r="U93" s="1883"/>
      <c r="V93" s="1878"/>
      <c r="W93" s="1883"/>
      <c r="X93" s="1878"/>
      <c r="Y93" s="1883"/>
      <c r="Z93" s="1878"/>
      <c r="AA93" s="1883"/>
      <c r="AB93" s="1878"/>
      <c r="AC93" s="1883"/>
      <c r="AD93" s="1878"/>
      <c r="AE93" s="1883"/>
      <c r="AF93" s="1878"/>
      <c r="AG93" s="1883"/>
      <c r="AH93" s="1878"/>
      <c r="AI93" s="1883"/>
      <c r="AJ93" s="1878"/>
      <c r="AK93" s="1883"/>
      <c r="AL93" s="1878"/>
      <c r="AM93" s="1883"/>
      <c r="AN93" s="1878"/>
      <c r="AO93" s="1883"/>
      <c r="AP93" s="1878"/>
      <c r="AQ93" s="1883"/>
      <c r="AR93" s="1878"/>
      <c r="AS93" s="1883"/>
      <c r="AT93" s="1878"/>
      <c r="AU93" s="1883"/>
      <c r="AV93" s="1878"/>
      <c r="AW93" s="1883"/>
      <c r="AX93" s="1878"/>
      <c r="AY93" s="1883"/>
      <c r="AZ93" s="1878"/>
      <c r="BA93" s="1883"/>
      <c r="BB93" s="1878"/>
      <c r="BC93" s="1883"/>
      <c r="BD93" s="1878"/>
      <c r="BE93" s="1883"/>
      <c r="BF93" s="1878"/>
      <c r="BG93" s="1883"/>
      <c r="BH93" s="1878"/>
      <c r="BI93" s="1883"/>
      <c r="BJ93" s="1878"/>
      <c r="BK93" s="1883"/>
      <c r="BL93" s="1878"/>
      <c r="BM93" s="1883"/>
      <c r="BN93" s="1878"/>
      <c r="BO93" s="1883"/>
      <c r="BP93" s="1878"/>
      <c r="BQ93" s="1883"/>
      <c r="BR93" s="1878"/>
      <c r="BS93" s="1883"/>
      <c r="BT93" s="1878"/>
      <c r="BU93" s="1883"/>
      <c r="BV93" s="1878"/>
      <c r="BW93" s="1883"/>
      <c r="BX93" s="1878"/>
      <c r="BY93" s="1883"/>
      <c r="BZ93" s="1878"/>
      <c r="CA93" s="1883"/>
      <c r="CB93" s="1878"/>
      <c r="CC93" s="1883"/>
      <c r="CD93" s="1878"/>
      <c r="CE93" s="1883"/>
      <c r="CF93" s="1878"/>
      <c r="CG93" s="1883"/>
      <c r="CH93" s="1878"/>
      <c r="CI93" s="1883"/>
      <c r="CJ93" s="1878"/>
      <c r="CK93" s="1883"/>
      <c r="CL93" s="1878"/>
      <c r="CM93" s="1883"/>
      <c r="CN93" s="1878"/>
      <c r="CO93" s="1883"/>
      <c r="CP93" s="1878"/>
      <c r="CQ93" s="1883"/>
      <c r="CR93" s="1878"/>
      <c r="CS93" s="1883"/>
      <c r="CT93" s="1878"/>
      <c r="CU93" s="1883"/>
      <c r="CV93" s="1878"/>
      <c r="CW93" s="1883"/>
      <c r="CX93" s="1878"/>
      <c r="CY93" s="1883"/>
      <c r="CZ93" s="1878"/>
      <c r="DA93" s="1883"/>
      <c r="DB93" s="1878"/>
      <c r="DC93" s="1883"/>
      <c r="DD93" s="1878"/>
      <c r="DE93" s="1883"/>
      <c r="DF93" s="1878"/>
      <c r="DG93" s="1883"/>
      <c r="DH93" s="1878"/>
      <c r="DI93" s="1883"/>
      <c r="DJ93" s="1878"/>
      <c r="DK93" s="1883"/>
      <c r="DL93" s="1878"/>
      <c r="DM93" s="1883"/>
      <c r="DN93" s="1878"/>
      <c r="DO93" s="1883"/>
      <c r="DP93" s="1878"/>
      <c r="DQ93" s="1883"/>
      <c r="DR93" s="1878"/>
      <c r="DS93" s="1883"/>
      <c r="DT93" s="1878"/>
      <c r="DU93" s="1883"/>
      <c r="DV93" s="1878"/>
      <c r="DW93" s="1883"/>
      <c r="DX93" s="1878"/>
      <c r="DY93" s="1883"/>
      <c r="DZ93" s="1878"/>
      <c r="EA93" s="1883"/>
      <c r="EB93" s="1878"/>
      <c r="EC93" s="1883"/>
      <c r="ED93" s="1878"/>
      <c r="EE93" s="1883"/>
      <c r="EF93" s="1878"/>
      <c r="EG93" s="1883"/>
      <c r="EH93" s="1878"/>
      <c r="EI93" s="1883"/>
      <c r="EJ93" s="1878"/>
      <c r="EK93" s="1883"/>
      <c r="EL93" s="1878"/>
      <c r="EM93" s="1883"/>
      <c r="EN93" s="1878"/>
      <c r="EO93" s="1883"/>
      <c r="EP93" s="1878"/>
      <c r="EQ93" s="1883"/>
      <c r="ER93" s="1878"/>
      <c r="ES93" s="1883"/>
      <c r="ET93" s="1878"/>
      <c r="EU93" s="1883"/>
      <c r="EV93" s="1878"/>
      <c r="EW93" s="1883"/>
      <c r="EX93" s="1878"/>
      <c r="EY93" s="1883"/>
      <c r="EZ93" s="1878"/>
      <c r="FA93" s="1883"/>
      <c r="FB93" s="1878"/>
      <c r="FC93" s="1883"/>
      <c r="FD93" s="1878"/>
      <c r="FE93" s="1883"/>
      <c r="FF93" s="1878"/>
      <c r="FG93" s="1883"/>
      <c r="FH93" s="1878"/>
      <c r="FI93" s="1883"/>
      <c r="FJ93" s="1878"/>
      <c r="FK93" s="1883"/>
      <c r="FL93" s="1878"/>
      <c r="FM93" s="1883"/>
      <c r="FN93" s="1878"/>
      <c r="FO93" s="1883"/>
      <c r="FP93" s="1878"/>
      <c r="FQ93" s="1883"/>
      <c r="FR93" s="1878"/>
      <c r="FS93" s="1883"/>
      <c r="FT93" s="1878"/>
      <c r="FU93" s="1883"/>
      <c r="FV93" s="1878"/>
      <c r="FW93" s="1883"/>
      <c r="FX93" s="1878"/>
      <c r="FY93" s="1883"/>
      <c r="FZ93" s="1878"/>
      <c r="GA93" s="1883"/>
      <c r="GB93" s="1878"/>
      <c r="GC93" s="1883"/>
      <c r="GD93" s="1878"/>
      <c r="GE93" s="1883"/>
      <c r="GF93" s="1878"/>
      <c r="GG93" s="1883"/>
      <c r="GH93" s="1878"/>
      <c r="GI93" s="1883"/>
      <c r="GJ93" s="1878"/>
      <c r="GK93" s="1883"/>
      <c r="GL93" s="1878"/>
      <c r="GM93" s="201"/>
    </row>
    <row r="94" spans="1:195" s="1910" customFormat="1" ht="11.25" hidden="1" customHeight="1">
      <c r="A94" s="3628"/>
      <c r="B94" s="409"/>
      <c r="D94" s="557" t="s">
        <v>1197</v>
      </c>
      <c r="E94" s="613" t="s">
        <v>1193</v>
      </c>
      <c r="F94" s="552" t="s">
        <v>1130</v>
      </c>
      <c r="G94" s="614"/>
      <c r="H94" s="893"/>
      <c r="I94" s="614"/>
      <c r="J94" s="893"/>
      <c r="K94" s="1883"/>
      <c r="L94" s="1878"/>
      <c r="M94" s="1883"/>
      <c r="N94" s="1878"/>
      <c r="O94" s="1883"/>
      <c r="P94" s="1878"/>
      <c r="Q94" s="1883"/>
      <c r="R94" s="1878"/>
      <c r="S94" s="1883"/>
      <c r="T94" s="1878"/>
      <c r="U94" s="1883"/>
      <c r="V94" s="1878"/>
      <c r="W94" s="1883"/>
      <c r="X94" s="1878"/>
      <c r="Y94" s="1883"/>
      <c r="Z94" s="1878"/>
      <c r="AA94" s="1883"/>
      <c r="AB94" s="1878"/>
      <c r="AC94" s="1883"/>
      <c r="AD94" s="1878"/>
      <c r="AE94" s="1883"/>
      <c r="AF94" s="1878"/>
      <c r="AG94" s="1883"/>
      <c r="AH94" s="1878"/>
      <c r="AI94" s="1883"/>
      <c r="AJ94" s="1878"/>
      <c r="AK94" s="1883"/>
      <c r="AL94" s="1878"/>
      <c r="AM94" s="1883"/>
      <c r="AN94" s="1878"/>
      <c r="AO94" s="1883"/>
      <c r="AP94" s="1878"/>
      <c r="AQ94" s="1883"/>
      <c r="AR94" s="1878"/>
      <c r="AS94" s="1883"/>
      <c r="AT94" s="1878"/>
      <c r="AU94" s="1883"/>
      <c r="AV94" s="1878"/>
      <c r="AW94" s="1883"/>
      <c r="AX94" s="1878"/>
      <c r="AY94" s="1883"/>
      <c r="AZ94" s="1878"/>
      <c r="BA94" s="1883"/>
      <c r="BB94" s="1878"/>
      <c r="BC94" s="1883"/>
      <c r="BD94" s="1878"/>
      <c r="BE94" s="1883"/>
      <c r="BF94" s="1878"/>
      <c r="BG94" s="1883"/>
      <c r="BH94" s="1878"/>
      <c r="BI94" s="1883"/>
      <c r="BJ94" s="1878"/>
      <c r="BK94" s="1883"/>
      <c r="BL94" s="1878"/>
      <c r="BM94" s="1883"/>
      <c r="BN94" s="1878"/>
      <c r="BO94" s="1883"/>
      <c r="BP94" s="1878"/>
      <c r="BQ94" s="1883"/>
      <c r="BR94" s="1878"/>
      <c r="BS94" s="1883"/>
      <c r="BT94" s="1878"/>
      <c r="BU94" s="1883"/>
      <c r="BV94" s="1878"/>
      <c r="BW94" s="1883"/>
      <c r="BX94" s="1878"/>
      <c r="BY94" s="1883"/>
      <c r="BZ94" s="1878"/>
      <c r="CA94" s="1883"/>
      <c r="CB94" s="1878"/>
      <c r="CC94" s="1883"/>
      <c r="CD94" s="1878"/>
      <c r="CE94" s="1883"/>
      <c r="CF94" s="1878"/>
      <c r="CG94" s="1883"/>
      <c r="CH94" s="1878"/>
      <c r="CI94" s="1883"/>
      <c r="CJ94" s="1878"/>
      <c r="CK94" s="1883"/>
      <c r="CL94" s="1878"/>
      <c r="CM94" s="1883"/>
      <c r="CN94" s="1878"/>
      <c r="CO94" s="1883"/>
      <c r="CP94" s="1878"/>
      <c r="CQ94" s="1883"/>
      <c r="CR94" s="1878"/>
      <c r="CS94" s="1883"/>
      <c r="CT94" s="1878"/>
      <c r="CU94" s="1883"/>
      <c r="CV94" s="1878"/>
      <c r="CW94" s="1883"/>
      <c r="CX94" s="1878"/>
      <c r="CY94" s="1883"/>
      <c r="CZ94" s="1878"/>
      <c r="DA94" s="1883"/>
      <c r="DB94" s="1878"/>
      <c r="DC94" s="1883"/>
      <c r="DD94" s="1878"/>
      <c r="DE94" s="1883"/>
      <c r="DF94" s="1878"/>
      <c r="DG94" s="1883"/>
      <c r="DH94" s="1878"/>
      <c r="DI94" s="1883"/>
      <c r="DJ94" s="1878"/>
      <c r="DK94" s="1883"/>
      <c r="DL94" s="1878"/>
      <c r="DM94" s="1883"/>
      <c r="DN94" s="1878"/>
      <c r="DO94" s="1883"/>
      <c r="DP94" s="1878"/>
      <c r="DQ94" s="1883"/>
      <c r="DR94" s="1878"/>
      <c r="DS94" s="1883"/>
      <c r="DT94" s="1878"/>
      <c r="DU94" s="1883"/>
      <c r="DV94" s="1878"/>
      <c r="DW94" s="1883"/>
      <c r="DX94" s="1878"/>
      <c r="DY94" s="1883"/>
      <c r="DZ94" s="1878"/>
      <c r="EA94" s="1883"/>
      <c r="EB94" s="1878"/>
      <c r="EC94" s="1883"/>
      <c r="ED94" s="1878"/>
      <c r="EE94" s="1883"/>
      <c r="EF94" s="1878"/>
      <c r="EG94" s="1883"/>
      <c r="EH94" s="1878"/>
      <c r="EI94" s="1883"/>
      <c r="EJ94" s="1878"/>
      <c r="EK94" s="1883"/>
      <c r="EL94" s="1878"/>
      <c r="EM94" s="1883"/>
      <c r="EN94" s="1878"/>
      <c r="EO94" s="1883"/>
      <c r="EP94" s="1878"/>
      <c r="EQ94" s="1883"/>
      <c r="ER94" s="1878"/>
      <c r="ES94" s="1883"/>
      <c r="ET94" s="1878"/>
      <c r="EU94" s="1883"/>
      <c r="EV94" s="1878"/>
      <c r="EW94" s="1883"/>
      <c r="EX94" s="1878"/>
      <c r="EY94" s="1883"/>
      <c r="EZ94" s="1878"/>
      <c r="FA94" s="1883"/>
      <c r="FB94" s="1878"/>
      <c r="FC94" s="1883"/>
      <c r="FD94" s="1878"/>
      <c r="FE94" s="1883"/>
      <c r="FF94" s="1878"/>
      <c r="FG94" s="1883"/>
      <c r="FH94" s="1878"/>
      <c r="FI94" s="1883"/>
      <c r="FJ94" s="1878"/>
      <c r="FK94" s="1883"/>
      <c r="FL94" s="1878"/>
      <c r="FM94" s="1883"/>
      <c r="FN94" s="1878"/>
      <c r="FO94" s="1883"/>
      <c r="FP94" s="1878"/>
      <c r="FQ94" s="1883"/>
      <c r="FR94" s="1878"/>
      <c r="FS94" s="1883"/>
      <c r="FT94" s="1878"/>
      <c r="FU94" s="1883"/>
      <c r="FV94" s="1878"/>
      <c r="FW94" s="1883"/>
      <c r="FX94" s="1878"/>
      <c r="FY94" s="1883"/>
      <c r="FZ94" s="1878"/>
      <c r="GA94" s="1883"/>
      <c r="GB94" s="1878"/>
      <c r="GC94" s="1883"/>
      <c r="GD94" s="1878"/>
      <c r="GE94" s="1883"/>
      <c r="GF94" s="1878"/>
      <c r="GG94" s="1883"/>
      <c r="GH94" s="1878"/>
      <c r="GI94" s="1883"/>
      <c r="GJ94" s="1878"/>
      <c r="GK94" s="1883"/>
      <c r="GL94" s="1878"/>
      <c r="GM94" s="201"/>
    </row>
    <row r="95" spans="1:195" s="1910" customFormat="1" ht="24.75" hidden="1" customHeight="1">
      <c r="A95" s="3628"/>
      <c r="B95" s="409"/>
      <c r="D95" s="557" t="s">
        <v>108</v>
      </c>
      <c r="E95" s="558" t="s">
        <v>1198</v>
      </c>
      <c r="F95" s="615" t="s">
        <v>823</v>
      </c>
      <c r="G95" s="617"/>
      <c r="H95" s="893"/>
      <c r="I95" s="617"/>
      <c r="J95" s="893"/>
      <c r="K95" s="1882"/>
      <c r="L95" s="1878"/>
      <c r="M95" s="1882"/>
      <c r="N95" s="1878"/>
      <c r="O95" s="1882"/>
      <c r="P95" s="1878"/>
      <c r="Q95" s="1882"/>
      <c r="R95" s="1878"/>
      <c r="S95" s="1882"/>
      <c r="T95" s="1878"/>
      <c r="U95" s="1882"/>
      <c r="V95" s="1878"/>
      <c r="W95" s="1882"/>
      <c r="X95" s="1878"/>
      <c r="Y95" s="1882"/>
      <c r="Z95" s="1878"/>
      <c r="AA95" s="1882"/>
      <c r="AB95" s="1878"/>
      <c r="AC95" s="1882"/>
      <c r="AD95" s="1878"/>
      <c r="AE95" s="1882"/>
      <c r="AF95" s="1878"/>
      <c r="AG95" s="1882"/>
      <c r="AH95" s="1878"/>
      <c r="AI95" s="1882"/>
      <c r="AJ95" s="1878"/>
      <c r="AK95" s="1882"/>
      <c r="AL95" s="1878"/>
      <c r="AM95" s="1882"/>
      <c r="AN95" s="1878"/>
      <c r="AO95" s="1882"/>
      <c r="AP95" s="1878"/>
      <c r="AQ95" s="1882"/>
      <c r="AR95" s="1878"/>
      <c r="AS95" s="1882"/>
      <c r="AT95" s="1878"/>
      <c r="AU95" s="1882"/>
      <c r="AV95" s="1878"/>
      <c r="AW95" s="1882"/>
      <c r="AX95" s="1878"/>
      <c r="AY95" s="1882"/>
      <c r="AZ95" s="1878"/>
      <c r="BA95" s="1882"/>
      <c r="BB95" s="1878"/>
      <c r="BC95" s="1882"/>
      <c r="BD95" s="1878"/>
      <c r="BE95" s="1882"/>
      <c r="BF95" s="1878"/>
      <c r="BG95" s="1882"/>
      <c r="BH95" s="1878"/>
      <c r="BI95" s="1882"/>
      <c r="BJ95" s="1878"/>
      <c r="BK95" s="1882"/>
      <c r="BL95" s="1878"/>
      <c r="BM95" s="1882"/>
      <c r="BN95" s="1878"/>
      <c r="BO95" s="1882"/>
      <c r="BP95" s="1878"/>
      <c r="BQ95" s="1882"/>
      <c r="BR95" s="1878"/>
      <c r="BS95" s="1882"/>
      <c r="BT95" s="1878"/>
      <c r="BU95" s="1882"/>
      <c r="BV95" s="1878"/>
      <c r="BW95" s="1882"/>
      <c r="BX95" s="1878"/>
      <c r="BY95" s="1882"/>
      <c r="BZ95" s="1878"/>
      <c r="CA95" s="1882"/>
      <c r="CB95" s="1878"/>
      <c r="CC95" s="1882"/>
      <c r="CD95" s="1878"/>
      <c r="CE95" s="1882"/>
      <c r="CF95" s="1878"/>
      <c r="CG95" s="1882"/>
      <c r="CH95" s="1878"/>
      <c r="CI95" s="1882"/>
      <c r="CJ95" s="1878"/>
      <c r="CK95" s="1882"/>
      <c r="CL95" s="1878"/>
      <c r="CM95" s="1882"/>
      <c r="CN95" s="1878"/>
      <c r="CO95" s="1882"/>
      <c r="CP95" s="1878"/>
      <c r="CQ95" s="1882"/>
      <c r="CR95" s="1878"/>
      <c r="CS95" s="1882"/>
      <c r="CT95" s="1878"/>
      <c r="CU95" s="1882"/>
      <c r="CV95" s="1878"/>
      <c r="CW95" s="1882"/>
      <c r="CX95" s="1878"/>
      <c r="CY95" s="1882"/>
      <c r="CZ95" s="1878"/>
      <c r="DA95" s="1882"/>
      <c r="DB95" s="1878"/>
      <c r="DC95" s="1882"/>
      <c r="DD95" s="1878"/>
      <c r="DE95" s="1882"/>
      <c r="DF95" s="1878"/>
      <c r="DG95" s="1882"/>
      <c r="DH95" s="1878"/>
      <c r="DI95" s="1882"/>
      <c r="DJ95" s="1878"/>
      <c r="DK95" s="1882"/>
      <c r="DL95" s="1878"/>
      <c r="DM95" s="1882"/>
      <c r="DN95" s="1878"/>
      <c r="DO95" s="1882"/>
      <c r="DP95" s="1878"/>
      <c r="DQ95" s="1882"/>
      <c r="DR95" s="1878"/>
      <c r="DS95" s="1882"/>
      <c r="DT95" s="1878"/>
      <c r="DU95" s="1882"/>
      <c r="DV95" s="1878"/>
      <c r="DW95" s="1882"/>
      <c r="DX95" s="1878"/>
      <c r="DY95" s="1882"/>
      <c r="DZ95" s="1878"/>
      <c r="EA95" s="1882"/>
      <c r="EB95" s="1878"/>
      <c r="EC95" s="1882"/>
      <c r="ED95" s="1878"/>
      <c r="EE95" s="1882"/>
      <c r="EF95" s="1878"/>
      <c r="EG95" s="1882"/>
      <c r="EH95" s="1878"/>
      <c r="EI95" s="1882"/>
      <c r="EJ95" s="1878"/>
      <c r="EK95" s="1882"/>
      <c r="EL95" s="1878"/>
      <c r="EM95" s="1882"/>
      <c r="EN95" s="1878"/>
      <c r="EO95" s="1882"/>
      <c r="EP95" s="1878"/>
      <c r="EQ95" s="1882"/>
      <c r="ER95" s="1878"/>
      <c r="ES95" s="1882"/>
      <c r="ET95" s="1878"/>
      <c r="EU95" s="1882"/>
      <c r="EV95" s="1878"/>
      <c r="EW95" s="1882"/>
      <c r="EX95" s="1878"/>
      <c r="EY95" s="1882"/>
      <c r="EZ95" s="1878"/>
      <c r="FA95" s="1882"/>
      <c r="FB95" s="1878"/>
      <c r="FC95" s="1882"/>
      <c r="FD95" s="1878"/>
      <c r="FE95" s="1882"/>
      <c r="FF95" s="1878"/>
      <c r="FG95" s="1882"/>
      <c r="FH95" s="1878"/>
      <c r="FI95" s="1882"/>
      <c r="FJ95" s="1878"/>
      <c r="FK95" s="1882"/>
      <c r="FL95" s="1878"/>
      <c r="FM95" s="1882"/>
      <c r="FN95" s="1878"/>
      <c r="FO95" s="1882"/>
      <c r="FP95" s="1878"/>
      <c r="FQ95" s="1882"/>
      <c r="FR95" s="1878"/>
      <c r="FS95" s="1882"/>
      <c r="FT95" s="1878"/>
      <c r="FU95" s="1882"/>
      <c r="FV95" s="1878"/>
      <c r="FW95" s="1882"/>
      <c r="FX95" s="1878"/>
      <c r="FY95" s="1882"/>
      <c r="FZ95" s="1878"/>
      <c r="GA95" s="1882"/>
      <c r="GB95" s="1878"/>
      <c r="GC95" s="1882"/>
      <c r="GD95" s="1878"/>
      <c r="GE95" s="1882"/>
      <c r="GF95" s="1878"/>
      <c r="GG95" s="1882"/>
      <c r="GH95" s="1878"/>
      <c r="GI95" s="1882"/>
      <c r="GJ95" s="1878"/>
      <c r="GK95" s="1882"/>
      <c r="GL95" s="1878"/>
      <c r="GM95" s="201" t="s">
        <v>1199</v>
      </c>
    </row>
    <row r="96" spans="1:195" s="1910" customFormat="1" ht="33.75" hidden="1" customHeight="1">
      <c r="A96" s="3628"/>
      <c r="B96" s="409"/>
      <c r="D96" s="557" t="s">
        <v>89</v>
      </c>
      <c r="E96" s="558" t="s">
        <v>1200</v>
      </c>
      <c r="F96" s="616" t="s">
        <v>1091</v>
      </c>
      <c r="G96" s="618"/>
      <c r="H96" s="893"/>
      <c r="I96" s="618"/>
      <c r="J96" s="893"/>
      <c r="K96" s="1884"/>
      <c r="L96" s="1878"/>
      <c r="M96" s="1884"/>
      <c r="N96" s="1878"/>
      <c r="O96" s="1884"/>
      <c r="P96" s="1878"/>
      <c r="Q96" s="1884"/>
      <c r="R96" s="1878"/>
      <c r="S96" s="1884"/>
      <c r="T96" s="1878"/>
      <c r="U96" s="1884"/>
      <c r="V96" s="1878"/>
      <c r="W96" s="1884"/>
      <c r="X96" s="1878"/>
      <c r="Y96" s="1884"/>
      <c r="Z96" s="1878"/>
      <c r="AA96" s="1884"/>
      <c r="AB96" s="1878"/>
      <c r="AC96" s="1884"/>
      <c r="AD96" s="1878"/>
      <c r="AE96" s="1884"/>
      <c r="AF96" s="1878"/>
      <c r="AG96" s="1884"/>
      <c r="AH96" s="1878"/>
      <c r="AI96" s="1884"/>
      <c r="AJ96" s="1878"/>
      <c r="AK96" s="1884"/>
      <c r="AL96" s="1878"/>
      <c r="AM96" s="1884"/>
      <c r="AN96" s="1878"/>
      <c r="AO96" s="1884"/>
      <c r="AP96" s="1878"/>
      <c r="AQ96" s="1884"/>
      <c r="AR96" s="1878"/>
      <c r="AS96" s="1884"/>
      <c r="AT96" s="1878"/>
      <c r="AU96" s="1884"/>
      <c r="AV96" s="1878"/>
      <c r="AW96" s="1884"/>
      <c r="AX96" s="1878"/>
      <c r="AY96" s="1884"/>
      <c r="AZ96" s="1878"/>
      <c r="BA96" s="1884"/>
      <c r="BB96" s="1878"/>
      <c r="BC96" s="1884"/>
      <c r="BD96" s="1878"/>
      <c r="BE96" s="1884"/>
      <c r="BF96" s="1878"/>
      <c r="BG96" s="1884"/>
      <c r="BH96" s="1878"/>
      <c r="BI96" s="1884"/>
      <c r="BJ96" s="1878"/>
      <c r="BK96" s="1884"/>
      <c r="BL96" s="1878"/>
      <c r="BM96" s="1884"/>
      <c r="BN96" s="1878"/>
      <c r="BO96" s="1884"/>
      <c r="BP96" s="1878"/>
      <c r="BQ96" s="1884"/>
      <c r="BR96" s="1878"/>
      <c r="BS96" s="1884"/>
      <c r="BT96" s="1878"/>
      <c r="BU96" s="1884"/>
      <c r="BV96" s="1878"/>
      <c r="BW96" s="1884"/>
      <c r="BX96" s="1878"/>
      <c r="BY96" s="1884"/>
      <c r="BZ96" s="1878"/>
      <c r="CA96" s="1884"/>
      <c r="CB96" s="1878"/>
      <c r="CC96" s="1884"/>
      <c r="CD96" s="1878"/>
      <c r="CE96" s="1884"/>
      <c r="CF96" s="1878"/>
      <c r="CG96" s="1884"/>
      <c r="CH96" s="1878"/>
      <c r="CI96" s="1884"/>
      <c r="CJ96" s="1878"/>
      <c r="CK96" s="1884"/>
      <c r="CL96" s="1878"/>
      <c r="CM96" s="1884"/>
      <c r="CN96" s="1878"/>
      <c r="CO96" s="1884"/>
      <c r="CP96" s="1878"/>
      <c r="CQ96" s="1884"/>
      <c r="CR96" s="1878"/>
      <c r="CS96" s="1884"/>
      <c r="CT96" s="1878"/>
      <c r="CU96" s="1884"/>
      <c r="CV96" s="1878"/>
      <c r="CW96" s="1884"/>
      <c r="CX96" s="1878"/>
      <c r="CY96" s="1884"/>
      <c r="CZ96" s="1878"/>
      <c r="DA96" s="1884"/>
      <c r="DB96" s="1878"/>
      <c r="DC96" s="1884"/>
      <c r="DD96" s="1878"/>
      <c r="DE96" s="1884"/>
      <c r="DF96" s="1878"/>
      <c r="DG96" s="1884"/>
      <c r="DH96" s="1878"/>
      <c r="DI96" s="1884"/>
      <c r="DJ96" s="1878"/>
      <c r="DK96" s="1884"/>
      <c r="DL96" s="1878"/>
      <c r="DM96" s="1884"/>
      <c r="DN96" s="1878"/>
      <c r="DO96" s="1884"/>
      <c r="DP96" s="1878"/>
      <c r="DQ96" s="1884"/>
      <c r="DR96" s="1878"/>
      <c r="DS96" s="1884"/>
      <c r="DT96" s="1878"/>
      <c r="DU96" s="1884"/>
      <c r="DV96" s="1878"/>
      <c r="DW96" s="1884"/>
      <c r="DX96" s="1878"/>
      <c r="DY96" s="1884"/>
      <c r="DZ96" s="1878"/>
      <c r="EA96" s="1884"/>
      <c r="EB96" s="1878"/>
      <c r="EC96" s="1884"/>
      <c r="ED96" s="1878"/>
      <c r="EE96" s="1884"/>
      <c r="EF96" s="1878"/>
      <c r="EG96" s="1884"/>
      <c r="EH96" s="1878"/>
      <c r="EI96" s="1884"/>
      <c r="EJ96" s="1878"/>
      <c r="EK96" s="1884"/>
      <c r="EL96" s="1878"/>
      <c r="EM96" s="1884"/>
      <c r="EN96" s="1878"/>
      <c r="EO96" s="1884"/>
      <c r="EP96" s="1878"/>
      <c r="EQ96" s="1884"/>
      <c r="ER96" s="1878"/>
      <c r="ES96" s="1884"/>
      <c r="ET96" s="1878"/>
      <c r="EU96" s="1884"/>
      <c r="EV96" s="1878"/>
      <c r="EW96" s="1884"/>
      <c r="EX96" s="1878"/>
      <c r="EY96" s="1884"/>
      <c r="EZ96" s="1878"/>
      <c r="FA96" s="1884"/>
      <c r="FB96" s="1878"/>
      <c r="FC96" s="1884"/>
      <c r="FD96" s="1878"/>
      <c r="FE96" s="1884"/>
      <c r="FF96" s="1878"/>
      <c r="FG96" s="1884"/>
      <c r="FH96" s="1878"/>
      <c r="FI96" s="1884"/>
      <c r="FJ96" s="1878"/>
      <c r="FK96" s="1884"/>
      <c r="FL96" s="1878"/>
      <c r="FM96" s="1884"/>
      <c r="FN96" s="1878"/>
      <c r="FO96" s="1884"/>
      <c r="FP96" s="1878"/>
      <c r="FQ96" s="1884"/>
      <c r="FR96" s="1878"/>
      <c r="FS96" s="1884"/>
      <c r="FT96" s="1878"/>
      <c r="FU96" s="1884"/>
      <c r="FV96" s="1878"/>
      <c r="FW96" s="1884"/>
      <c r="FX96" s="1878"/>
      <c r="FY96" s="1884"/>
      <c r="FZ96" s="1878"/>
      <c r="GA96" s="1884"/>
      <c r="GB96" s="1878"/>
      <c r="GC96" s="1884"/>
      <c r="GD96" s="1878"/>
      <c r="GE96" s="1884"/>
      <c r="GF96" s="1878"/>
      <c r="GG96" s="1884"/>
      <c r="GH96" s="1878"/>
      <c r="GI96" s="1884"/>
      <c r="GJ96" s="1878"/>
      <c r="GK96" s="1884"/>
      <c r="GL96" s="1878"/>
      <c r="GM96" s="201"/>
    </row>
    <row r="97" spans="1:195" s="1910" customFormat="1" ht="22.5" hidden="1" customHeight="1">
      <c r="A97" s="3628"/>
      <c r="B97" s="409" t="s">
        <v>853</v>
      </c>
      <c r="D97" s="557" t="s">
        <v>90</v>
      </c>
      <c r="E97" s="558" t="s">
        <v>1201</v>
      </c>
      <c r="F97" s="616" t="s">
        <v>566</v>
      </c>
      <c r="G97" s="292"/>
      <c r="H97" s="893"/>
      <c r="I97" s="292"/>
      <c r="J97" s="893"/>
      <c r="K97" s="1885"/>
      <c r="L97" s="1878"/>
      <c r="M97" s="1885"/>
      <c r="N97" s="1878"/>
      <c r="O97" s="1885"/>
      <c r="P97" s="1878"/>
      <c r="Q97" s="1885"/>
      <c r="R97" s="1878"/>
      <c r="S97" s="1885"/>
      <c r="T97" s="1878"/>
      <c r="U97" s="1885"/>
      <c r="V97" s="1878"/>
      <c r="W97" s="1885"/>
      <c r="X97" s="1878"/>
      <c r="Y97" s="1885"/>
      <c r="Z97" s="1878"/>
      <c r="AA97" s="1885"/>
      <c r="AB97" s="1878"/>
      <c r="AC97" s="1885"/>
      <c r="AD97" s="1878"/>
      <c r="AE97" s="1885"/>
      <c r="AF97" s="1878"/>
      <c r="AG97" s="1885"/>
      <c r="AH97" s="1878"/>
      <c r="AI97" s="1885"/>
      <c r="AJ97" s="1878"/>
      <c r="AK97" s="1885"/>
      <c r="AL97" s="1878"/>
      <c r="AM97" s="1885"/>
      <c r="AN97" s="1878"/>
      <c r="AO97" s="1885"/>
      <c r="AP97" s="1878"/>
      <c r="AQ97" s="1885"/>
      <c r="AR97" s="1878"/>
      <c r="AS97" s="1885"/>
      <c r="AT97" s="1878"/>
      <c r="AU97" s="1885"/>
      <c r="AV97" s="1878"/>
      <c r="AW97" s="1885"/>
      <c r="AX97" s="1878"/>
      <c r="AY97" s="1885"/>
      <c r="AZ97" s="1878"/>
      <c r="BA97" s="1885"/>
      <c r="BB97" s="1878"/>
      <c r="BC97" s="1885"/>
      <c r="BD97" s="1878"/>
      <c r="BE97" s="1885"/>
      <c r="BF97" s="1878"/>
      <c r="BG97" s="1885"/>
      <c r="BH97" s="1878"/>
      <c r="BI97" s="1885"/>
      <c r="BJ97" s="1878"/>
      <c r="BK97" s="1885"/>
      <c r="BL97" s="1878"/>
      <c r="BM97" s="1885"/>
      <c r="BN97" s="1878"/>
      <c r="BO97" s="1885"/>
      <c r="BP97" s="1878"/>
      <c r="BQ97" s="1885"/>
      <c r="BR97" s="1878"/>
      <c r="BS97" s="1885"/>
      <c r="BT97" s="1878"/>
      <c r="BU97" s="1885"/>
      <c r="BV97" s="1878"/>
      <c r="BW97" s="1885"/>
      <c r="BX97" s="1878"/>
      <c r="BY97" s="1885"/>
      <c r="BZ97" s="1878"/>
      <c r="CA97" s="1885"/>
      <c r="CB97" s="1878"/>
      <c r="CC97" s="1885"/>
      <c r="CD97" s="1878"/>
      <c r="CE97" s="1885"/>
      <c r="CF97" s="1878"/>
      <c r="CG97" s="1885"/>
      <c r="CH97" s="1878"/>
      <c r="CI97" s="1885"/>
      <c r="CJ97" s="1878"/>
      <c r="CK97" s="1885"/>
      <c r="CL97" s="1878"/>
      <c r="CM97" s="1885"/>
      <c r="CN97" s="1878"/>
      <c r="CO97" s="1885"/>
      <c r="CP97" s="1878"/>
      <c r="CQ97" s="1885"/>
      <c r="CR97" s="1878"/>
      <c r="CS97" s="1885"/>
      <c r="CT97" s="1878"/>
      <c r="CU97" s="1885"/>
      <c r="CV97" s="1878"/>
      <c r="CW97" s="1885"/>
      <c r="CX97" s="1878"/>
      <c r="CY97" s="1885"/>
      <c r="CZ97" s="1878"/>
      <c r="DA97" s="1885"/>
      <c r="DB97" s="1878"/>
      <c r="DC97" s="1885"/>
      <c r="DD97" s="1878"/>
      <c r="DE97" s="1885"/>
      <c r="DF97" s="1878"/>
      <c r="DG97" s="1885"/>
      <c r="DH97" s="1878"/>
      <c r="DI97" s="1885"/>
      <c r="DJ97" s="1878"/>
      <c r="DK97" s="1885"/>
      <c r="DL97" s="1878"/>
      <c r="DM97" s="1885"/>
      <c r="DN97" s="1878"/>
      <c r="DO97" s="1885"/>
      <c r="DP97" s="1878"/>
      <c r="DQ97" s="1885"/>
      <c r="DR97" s="1878"/>
      <c r="DS97" s="1885"/>
      <c r="DT97" s="1878"/>
      <c r="DU97" s="1885"/>
      <c r="DV97" s="1878"/>
      <c r="DW97" s="1885"/>
      <c r="DX97" s="1878"/>
      <c r="DY97" s="1885"/>
      <c r="DZ97" s="1878"/>
      <c r="EA97" s="1885"/>
      <c r="EB97" s="1878"/>
      <c r="EC97" s="1885"/>
      <c r="ED97" s="1878"/>
      <c r="EE97" s="1885"/>
      <c r="EF97" s="1878"/>
      <c r="EG97" s="1885"/>
      <c r="EH97" s="1878"/>
      <c r="EI97" s="1885"/>
      <c r="EJ97" s="1878"/>
      <c r="EK97" s="1885"/>
      <c r="EL97" s="1878"/>
      <c r="EM97" s="1885"/>
      <c r="EN97" s="1878"/>
      <c r="EO97" s="1885"/>
      <c r="EP97" s="1878"/>
      <c r="EQ97" s="1885"/>
      <c r="ER97" s="1878"/>
      <c r="ES97" s="1885"/>
      <c r="ET97" s="1878"/>
      <c r="EU97" s="1885"/>
      <c r="EV97" s="1878"/>
      <c r="EW97" s="1885"/>
      <c r="EX97" s="1878"/>
      <c r="EY97" s="1885"/>
      <c r="EZ97" s="1878"/>
      <c r="FA97" s="1885"/>
      <c r="FB97" s="1878"/>
      <c r="FC97" s="1885"/>
      <c r="FD97" s="1878"/>
      <c r="FE97" s="1885"/>
      <c r="FF97" s="1878"/>
      <c r="FG97" s="1885"/>
      <c r="FH97" s="1878"/>
      <c r="FI97" s="1885"/>
      <c r="FJ97" s="1878"/>
      <c r="FK97" s="1885"/>
      <c r="FL97" s="1878"/>
      <c r="FM97" s="1885"/>
      <c r="FN97" s="1878"/>
      <c r="FO97" s="1885"/>
      <c r="FP97" s="1878"/>
      <c r="FQ97" s="1885"/>
      <c r="FR97" s="1878"/>
      <c r="FS97" s="1885"/>
      <c r="FT97" s="1878"/>
      <c r="FU97" s="1885"/>
      <c r="FV97" s="1878"/>
      <c r="FW97" s="1885"/>
      <c r="FX97" s="1878"/>
      <c r="FY97" s="1885"/>
      <c r="FZ97" s="1878"/>
      <c r="GA97" s="1885"/>
      <c r="GB97" s="1878"/>
      <c r="GC97" s="1885"/>
      <c r="GD97" s="1878"/>
      <c r="GE97" s="1885"/>
      <c r="GF97" s="1878"/>
      <c r="GG97" s="1885"/>
      <c r="GH97" s="1878"/>
      <c r="GI97" s="1885"/>
      <c r="GJ97" s="1878"/>
      <c r="GK97" s="1885"/>
      <c r="GL97" s="1878"/>
      <c r="GM97" s="201" t="s">
        <v>1160</v>
      </c>
    </row>
    <row r="98" spans="1:195" s="1910" customFormat="1" ht="45" hidden="1" customHeight="1">
      <c r="A98" s="3628"/>
      <c r="B98" s="409" t="s">
        <v>853</v>
      </c>
      <c r="D98" s="557" t="s">
        <v>1202</v>
      </c>
      <c r="E98" s="559" t="s">
        <v>1203</v>
      </c>
      <c r="F98" s="611" t="s">
        <v>566</v>
      </c>
      <c r="G98" s="292"/>
      <c r="H98" s="893"/>
      <c r="I98" s="292"/>
      <c r="J98" s="893"/>
      <c r="K98" s="1885"/>
      <c r="L98" s="1878"/>
      <c r="M98" s="1885"/>
      <c r="N98" s="1878"/>
      <c r="O98" s="1885"/>
      <c r="P98" s="1878"/>
      <c r="Q98" s="1885"/>
      <c r="R98" s="1878"/>
      <c r="S98" s="1885"/>
      <c r="T98" s="1878"/>
      <c r="U98" s="1885"/>
      <c r="V98" s="1878"/>
      <c r="W98" s="1885"/>
      <c r="X98" s="1878"/>
      <c r="Y98" s="1885"/>
      <c r="Z98" s="1878"/>
      <c r="AA98" s="1885"/>
      <c r="AB98" s="1878"/>
      <c r="AC98" s="1885"/>
      <c r="AD98" s="1878"/>
      <c r="AE98" s="1885"/>
      <c r="AF98" s="1878"/>
      <c r="AG98" s="1885"/>
      <c r="AH98" s="1878"/>
      <c r="AI98" s="1885"/>
      <c r="AJ98" s="1878"/>
      <c r="AK98" s="1885"/>
      <c r="AL98" s="1878"/>
      <c r="AM98" s="1885"/>
      <c r="AN98" s="1878"/>
      <c r="AO98" s="1885"/>
      <c r="AP98" s="1878"/>
      <c r="AQ98" s="1885"/>
      <c r="AR98" s="1878"/>
      <c r="AS98" s="1885"/>
      <c r="AT98" s="1878"/>
      <c r="AU98" s="1885"/>
      <c r="AV98" s="1878"/>
      <c r="AW98" s="1885"/>
      <c r="AX98" s="1878"/>
      <c r="AY98" s="1885"/>
      <c r="AZ98" s="1878"/>
      <c r="BA98" s="1885"/>
      <c r="BB98" s="1878"/>
      <c r="BC98" s="1885"/>
      <c r="BD98" s="1878"/>
      <c r="BE98" s="1885"/>
      <c r="BF98" s="1878"/>
      <c r="BG98" s="1885"/>
      <c r="BH98" s="1878"/>
      <c r="BI98" s="1885"/>
      <c r="BJ98" s="1878"/>
      <c r="BK98" s="1885"/>
      <c r="BL98" s="1878"/>
      <c r="BM98" s="1885"/>
      <c r="BN98" s="1878"/>
      <c r="BO98" s="1885"/>
      <c r="BP98" s="1878"/>
      <c r="BQ98" s="1885"/>
      <c r="BR98" s="1878"/>
      <c r="BS98" s="1885"/>
      <c r="BT98" s="1878"/>
      <c r="BU98" s="1885"/>
      <c r="BV98" s="1878"/>
      <c r="BW98" s="1885"/>
      <c r="BX98" s="1878"/>
      <c r="BY98" s="1885"/>
      <c r="BZ98" s="1878"/>
      <c r="CA98" s="1885"/>
      <c r="CB98" s="1878"/>
      <c r="CC98" s="1885"/>
      <c r="CD98" s="1878"/>
      <c r="CE98" s="1885"/>
      <c r="CF98" s="1878"/>
      <c r="CG98" s="1885"/>
      <c r="CH98" s="1878"/>
      <c r="CI98" s="1885"/>
      <c r="CJ98" s="1878"/>
      <c r="CK98" s="1885"/>
      <c r="CL98" s="1878"/>
      <c r="CM98" s="1885"/>
      <c r="CN98" s="1878"/>
      <c r="CO98" s="1885"/>
      <c r="CP98" s="1878"/>
      <c r="CQ98" s="1885"/>
      <c r="CR98" s="1878"/>
      <c r="CS98" s="1885"/>
      <c r="CT98" s="1878"/>
      <c r="CU98" s="1885"/>
      <c r="CV98" s="1878"/>
      <c r="CW98" s="1885"/>
      <c r="CX98" s="1878"/>
      <c r="CY98" s="1885"/>
      <c r="CZ98" s="1878"/>
      <c r="DA98" s="1885"/>
      <c r="DB98" s="1878"/>
      <c r="DC98" s="1885"/>
      <c r="DD98" s="1878"/>
      <c r="DE98" s="1885"/>
      <c r="DF98" s="1878"/>
      <c r="DG98" s="1885"/>
      <c r="DH98" s="1878"/>
      <c r="DI98" s="1885"/>
      <c r="DJ98" s="1878"/>
      <c r="DK98" s="1885"/>
      <c r="DL98" s="1878"/>
      <c r="DM98" s="1885"/>
      <c r="DN98" s="1878"/>
      <c r="DO98" s="1885"/>
      <c r="DP98" s="1878"/>
      <c r="DQ98" s="1885"/>
      <c r="DR98" s="1878"/>
      <c r="DS98" s="1885"/>
      <c r="DT98" s="1878"/>
      <c r="DU98" s="1885"/>
      <c r="DV98" s="1878"/>
      <c r="DW98" s="1885"/>
      <c r="DX98" s="1878"/>
      <c r="DY98" s="1885"/>
      <c r="DZ98" s="1878"/>
      <c r="EA98" s="1885"/>
      <c r="EB98" s="1878"/>
      <c r="EC98" s="1885"/>
      <c r="ED98" s="1878"/>
      <c r="EE98" s="1885"/>
      <c r="EF98" s="1878"/>
      <c r="EG98" s="1885"/>
      <c r="EH98" s="1878"/>
      <c r="EI98" s="1885"/>
      <c r="EJ98" s="1878"/>
      <c r="EK98" s="1885"/>
      <c r="EL98" s="1878"/>
      <c r="EM98" s="1885"/>
      <c r="EN98" s="1878"/>
      <c r="EO98" s="1885"/>
      <c r="EP98" s="1878"/>
      <c r="EQ98" s="1885"/>
      <c r="ER98" s="1878"/>
      <c r="ES98" s="1885"/>
      <c r="ET98" s="1878"/>
      <c r="EU98" s="1885"/>
      <c r="EV98" s="1878"/>
      <c r="EW98" s="1885"/>
      <c r="EX98" s="1878"/>
      <c r="EY98" s="1885"/>
      <c r="EZ98" s="1878"/>
      <c r="FA98" s="1885"/>
      <c r="FB98" s="1878"/>
      <c r="FC98" s="1885"/>
      <c r="FD98" s="1878"/>
      <c r="FE98" s="1885"/>
      <c r="FF98" s="1878"/>
      <c r="FG98" s="1885"/>
      <c r="FH98" s="1878"/>
      <c r="FI98" s="1885"/>
      <c r="FJ98" s="1878"/>
      <c r="FK98" s="1885"/>
      <c r="FL98" s="1878"/>
      <c r="FM98" s="1885"/>
      <c r="FN98" s="1878"/>
      <c r="FO98" s="1885"/>
      <c r="FP98" s="1878"/>
      <c r="FQ98" s="1885"/>
      <c r="FR98" s="1878"/>
      <c r="FS98" s="1885"/>
      <c r="FT98" s="1878"/>
      <c r="FU98" s="1885"/>
      <c r="FV98" s="1878"/>
      <c r="FW98" s="1885"/>
      <c r="FX98" s="1878"/>
      <c r="FY98" s="1885"/>
      <c r="FZ98" s="1878"/>
      <c r="GA98" s="1885"/>
      <c r="GB98" s="1878"/>
      <c r="GC98" s="1885"/>
      <c r="GD98" s="1878"/>
      <c r="GE98" s="1885"/>
      <c r="GF98" s="1878"/>
      <c r="GG98" s="1885"/>
      <c r="GH98" s="1878"/>
      <c r="GI98" s="1885"/>
      <c r="GJ98" s="1878"/>
      <c r="GK98" s="1885"/>
      <c r="GL98" s="1878"/>
      <c r="GM98" s="201" t="s">
        <v>1160</v>
      </c>
    </row>
    <row r="99" spans="1:195" s="1910" customFormat="1" ht="95.25" hidden="1" customHeight="1">
      <c r="A99" s="3628"/>
      <c r="B99" s="409" t="s">
        <v>853</v>
      </c>
      <c r="D99" s="557" t="s">
        <v>109</v>
      </c>
      <c r="E99" s="558" t="s">
        <v>1204</v>
      </c>
      <c r="F99" s="611" t="s">
        <v>566</v>
      </c>
      <c r="G99" s="292"/>
      <c r="H99" s="893"/>
      <c r="I99" s="292"/>
      <c r="J99" s="893"/>
      <c r="K99" s="1885"/>
      <c r="L99" s="1878"/>
      <c r="M99" s="1885"/>
      <c r="N99" s="1878"/>
      <c r="O99" s="1885"/>
      <c r="P99" s="1878"/>
      <c r="Q99" s="1885"/>
      <c r="R99" s="1878"/>
      <c r="S99" s="1885"/>
      <c r="T99" s="1878"/>
      <c r="U99" s="1885"/>
      <c r="V99" s="1878"/>
      <c r="W99" s="1885"/>
      <c r="X99" s="1878"/>
      <c r="Y99" s="1885"/>
      <c r="Z99" s="1878"/>
      <c r="AA99" s="1885"/>
      <c r="AB99" s="1878"/>
      <c r="AC99" s="1885"/>
      <c r="AD99" s="1878"/>
      <c r="AE99" s="1885"/>
      <c r="AF99" s="1878"/>
      <c r="AG99" s="1885"/>
      <c r="AH99" s="1878"/>
      <c r="AI99" s="1885"/>
      <c r="AJ99" s="1878"/>
      <c r="AK99" s="1885"/>
      <c r="AL99" s="1878"/>
      <c r="AM99" s="1885"/>
      <c r="AN99" s="1878"/>
      <c r="AO99" s="1885"/>
      <c r="AP99" s="1878"/>
      <c r="AQ99" s="1885"/>
      <c r="AR99" s="1878"/>
      <c r="AS99" s="1885"/>
      <c r="AT99" s="1878"/>
      <c r="AU99" s="1885"/>
      <c r="AV99" s="1878"/>
      <c r="AW99" s="1885"/>
      <c r="AX99" s="1878"/>
      <c r="AY99" s="1885"/>
      <c r="AZ99" s="1878"/>
      <c r="BA99" s="1885"/>
      <c r="BB99" s="1878"/>
      <c r="BC99" s="1885"/>
      <c r="BD99" s="1878"/>
      <c r="BE99" s="1885"/>
      <c r="BF99" s="1878"/>
      <c r="BG99" s="1885"/>
      <c r="BH99" s="1878"/>
      <c r="BI99" s="1885"/>
      <c r="BJ99" s="1878"/>
      <c r="BK99" s="1885"/>
      <c r="BL99" s="1878"/>
      <c r="BM99" s="1885"/>
      <c r="BN99" s="1878"/>
      <c r="BO99" s="1885"/>
      <c r="BP99" s="1878"/>
      <c r="BQ99" s="1885"/>
      <c r="BR99" s="1878"/>
      <c r="BS99" s="1885"/>
      <c r="BT99" s="1878"/>
      <c r="BU99" s="1885"/>
      <c r="BV99" s="1878"/>
      <c r="BW99" s="1885"/>
      <c r="BX99" s="1878"/>
      <c r="BY99" s="1885"/>
      <c r="BZ99" s="1878"/>
      <c r="CA99" s="1885"/>
      <c r="CB99" s="1878"/>
      <c r="CC99" s="1885"/>
      <c r="CD99" s="1878"/>
      <c r="CE99" s="1885"/>
      <c r="CF99" s="1878"/>
      <c r="CG99" s="1885"/>
      <c r="CH99" s="1878"/>
      <c r="CI99" s="1885"/>
      <c r="CJ99" s="1878"/>
      <c r="CK99" s="1885"/>
      <c r="CL99" s="1878"/>
      <c r="CM99" s="1885"/>
      <c r="CN99" s="1878"/>
      <c r="CO99" s="1885"/>
      <c r="CP99" s="1878"/>
      <c r="CQ99" s="1885"/>
      <c r="CR99" s="1878"/>
      <c r="CS99" s="1885"/>
      <c r="CT99" s="1878"/>
      <c r="CU99" s="1885"/>
      <c r="CV99" s="1878"/>
      <c r="CW99" s="1885"/>
      <c r="CX99" s="1878"/>
      <c r="CY99" s="1885"/>
      <c r="CZ99" s="1878"/>
      <c r="DA99" s="1885"/>
      <c r="DB99" s="1878"/>
      <c r="DC99" s="1885"/>
      <c r="DD99" s="1878"/>
      <c r="DE99" s="1885"/>
      <c r="DF99" s="1878"/>
      <c r="DG99" s="1885"/>
      <c r="DH99" s="1878"/>
      <c r="DI99" s="1885"/>
      <c r="DJ99" s="1878"/>
      <c r="DK99" s="1885"/>
      <c r="DL99" s="1878"/>
      <c r="DM99" s="1885"/>
      <c r="DN99" s="1878"/>
      <c r="DO99" s="1885"/>
      <c r="DP99" s="1878"/>
      <c r="DQ99" s="1885"/>
      <c r="DR99" s="1878"/>
      <c r="DS99" s="1885"/>
      <c r="DT99" s="1878"/>
      <c r="DU99" s="1885"/>
      <c r="DV99" s="1878"/>
      <c r="DW99" s="1885"/>
      <c r="DX99" s="1878"/>
      <c r="DY99" s="1885"/>
      <c r="DZ99" s="1878"/>
      <c r="EA99" s="1885"/>
      <c r="EB99" s="1878"/>
      <c r="EC99" s="1885"/>
      <c r="ED99" s="1878"/>
      <c r="EE99" s="1885"/>
      <c r="EF99" s="1878"/>
      <c r="EG99" s="1885"/>
      <c r="EH99" s="1878"/>
      <c r="EI99" s="1885"/>
      <c r="EJ99" s="1878"/>
      <c r="EK99" s="1885"/>
      <c r="EL99" s="1878"/>
      <c r="EM99" s="1885"/>
      <c r="EN99" s="1878"/>
      <c r="EO99" s="1885"/>
      <c r="EP99" s="1878"/>
      <c r="EQ99" s="1885"/>
      <c r="ER99" s="1878"/>
      <c r="ES99" s="1885"/>
      <c r="ET99" s="1878"/>
      <c r="EU99" s="1885"/>
      <c r="EV99" s="1878"/>
      <c r="EW99" s="1885"/>
      <c r="EX99" s="1878"/>
      <c r="EY99" s="1885"/>
      <c r="EZ99" s="1878"/>
      <c r="FA99" s="1885"/>
      <c r="FB99" s="1878"/>
      <c r="FC99" s="1885"/>
      <c r="FD99" s="1878"/>
      <c r="FE99" s="1885"/>
      <c r="FF99" s="1878"/>
      <c r="FG99" s="1885"/>
      <c r="FH99" s="1878"/>
      <c r="FI99" s="1885"/>
      <c r="FJ99" s="1878"/>
      <c r="FK99" s="1885"/>
      <c r="FL99" s="1878"/>
      <c r="FM99" s="1885"/>
      <c r="FN99" s="1878"/>
      <c r="FO99" s="1885"/>
      <c r="FP99" s="1878"/>
      <c r="FQ99" s="1885"/>
      <c r="FR99" s="1878"/>
      <c r="FS99" s="1885"/>
      <c r="FT99" s="1878"/>
      <c r="FU99" s="1885"/>
      <c r="FV99" s="1878"/>
      <c r="FW99" s="1885"/>
      <c r="FX99" s="1878"/>
      <c r="FY99" s="1885"/>
      <c r="FZ99" s="1878"/>
      <c r="GA99" s="1885"/>
      <c r="GB99" s="1878"/>
      <c r="GC99" s="1885"/>
      <c r="GD99" s="1878"/>
      <c r="GE99" s="1885"/>
      <c r="GF99" s="1878"/>
      <c r="GG99" s="1885"/>
      <c r="GH99" s="1878"/>
      <c r="GI99" s="1885"/>
      <c r="GJ99" s="1878"/>
      <c r="GK99" s="1885"/>
      <c r="GL99" s="1878"/>
      <c r="GM99" s="201" t="s">
        <v>1160</v>
      </c>
    </row>
    <row r="100" spans="1:195" s="1910" customFormat="1" ht="22.5" hidden="1" customHeight="1">
      <c r="A100" s="3628"/>
      <c r="B100" s="409" t="s">
        <v>853</v>
      </c>
      <c r="D100" s="557" t="s">
        <v>133</v>
      </c>
      <c r="E100" s="558" t="s">
        <v>1205</v>
      </c>
      <c r="F100" s="611" t="s">
        <v>566</v>
      </c>
      <c r="G100" s="292"/>
      <c r="H100" s="893"/>
      <c r="I100" s="292"/>
      <c r="J100" s="893"/>
      <c r="K100" s="1885"/>
      <c r="L100" s="1878"/>
      <c r="M100" s="1885"/>
      <c r="N100" s="1878"/>
      <c r="O100" s="1885"/>
      <c r="P100" s="1878"/>
      <c r="Q100" s="1885"/>
      <c r="R100" s="1878"/>
      <c r="S100" s="1885"/>
      <c r="T100" s="1878"/>
      <c r="U100" s="1885"/>
      <c r="V100" s="1878"/>
      <c r="W100" s="1885"/>
      <c r="X100" s="1878"/>
      <c r="Y100" s="1885"/>
      <c r="Z100" s="1878"/>
      <c r="AA100" s="1885"/>
      <c r="AB100" s="1878"/>
      <c r="AC100" s="1885"/>
      <c r="AD100" s="1878"/>
      <c r="AE100" s="1885"/>
      <c r="AF100" s="1878"/>
      <c r="AG100" s="1885"/>
      <c r="AH100" s="1878"/>
      <c r="AI100" s="1885"/>
      <c r="AJ100" s="1878"/>
      <c r="AK100" s="1885"/>
      <c r="AL100" s="1878"/>
      <c r="AM100" s="1885"/>
      <c r="AN100" s="1878"/>
      <c r="AO100" s="1885"/>
      <c r="AP100" s="1878"/>
      <c r="AQ100" s="1885"/>
      <c r="AR100" s="1878"/>
      <c r="AS100" s="1885"/>
      <c r="AT100" s="1878"/>
      <c r="AU100" s="1885"/>
      <c r="AV100" s="1878"/>
      <c r="AW100" s="1885"/>
      <c r="AX100" s="1878"/>
      <c r="AY100" s="1885"/>
      <c r="AZ100" s="1878"/>
      <c r="BA100" s="1885"/>
      <c r="BB100" s="1878"/>
      <c r="BC100" s="1885"/>
      <c r="BD100" s="1878"/>
      <c r="BE100" s="1885"/>
      <c r="BF100" s="1878"/>
      <c r="BG100" s="1885"/>
      <c r="BH100" s="1878"/>
      <c r="BI100" s="1885"/>
      <c r="BJ100" s="1878"/>
      <c r="BK100" s="1885"/>
      <c r="BL100" s="1878"/>
      <c r="BM100" s="1885"/>
      <c r="BN100" s="1878"/>
      <c r="BO100" s="1885"/>
      <c r="BP100" s="1878"/>
      <c r="BQ100" s="1885"/>
      <c r="BR100" s="1878"/>
      <c r="BS100" s="1885"/>
      <c r="BT100" s="1878"/>
      <c r="BU100" s="1885"/>
      <c r="BV100" s="1878"/>
      <c r="BW100" s="1885"/>
      <c r="BX100" s="1878"/>
      <c r="BY100" s="1885"/>
      <c r="BZ100" s="1878"/>
      <c r="CA100" s="1885"/>
      <c r="CB100" s="1878"/>
      <c r="CC100" s="1885"/>
      <c r="CD100" s="1878"/>
      <c r="CE100" s="1885"/>
      <c r="CF100" s="1878"/>
      <c r="CG100" s="1885"/>
      <c r="CH100" s="1878"/>
      <c r="CI100" s="1885"/>
      <c r="CJ100" s="1878"/>
      <c r="CK100" s="1885"/>
      <c r="CL100" s="1878"/>
      <c r="CM100" s="1885"/>
      <c r="CN100" s="1878"/>
      <c r="CO100" s="1885"/>
      <c r="CP100" s="1878"/>
      <c r="CQ100" s="1885"/>
      <c r="CR100" s="1878"/>
      <c r="CS100" s="1885"/>
      <c r="CT100" s="1878"/>
      <c r="CU100" s="1885"/>
      <c r="CV100" s="1878"/>
      <c r="CW100" s="1885"/>
      <c r="CX100" s="1878"/>
      <c r="CY100" s="1885"/>
      <c r="CZ100" s="1878"/>
      <c r="DA100" s="1885"/>
      <c r="DB100" s="1878"/>
      <c r="DC100" s="1885"/>
      <c r="DD100" s="1878"/>
      <c r="DE100" s="1885"/>
      <c r="DF100" s="1878"/>
      <c r="DG100" s="1885"/>
      <c r="DH100" s="1878"/>
      <c r="DI100" s="1885"/>
      <c r="DJ100" s="1878"/>
      <c r="DK100" s="1885"/>
      <c r="DL100" s="1878"/>
      <c r="DM100" s="1885"/>
      <c r="DN100" s="1878"/>
      <c r="DO100" s="1885"/>
      <c r="DP100" s="1878"/>
      <c r="DQ100" s="1885"/>
      <c r="DR100" s="1878"/>
      <c r="DS100" s="1885"/>
      <c r="DT100" s="1878"/>
      <c r="DU100" s="1885"/>
      <c r="DV100" s="1878"/>
      <c r="DW100" s="1885"/>
      <c r="DX100" s="1878"/>
      <c r="DY100" s="1885"/>
      <c r="DZ100" s="1878"/>
      <c r="EA100" s="1885"/>
      <c r="EB100" s="1878"/>
      <c r="EC100" s="1885"/>
      <c r="ED100" s="1878"/>
      <c r="EE100" s="1885"/>
      <c r="EF100" s="1878"/>
      <c r="EG100" s="1885"/>
      <c r="EH100" s="1878"/>
      <c r="EI100" s="1885"/>
      <c r="EJ100" s="1878"/>
      <c r="EK100" s="1885"/>
      <c r="EL100" s="1878"/>
      <c r="EM100" s="1885"/>
      <c r="EN100" s="1878"/>
      <c r="EO100" s="1885"/>
      <c r="EP100" s="1878"/>
      <c r="EQ100" s="1885"/>
      <c r="ER100" s="1878"/>
      <c r="ES100" s="1885"/>
      <c r="ET100" s="1878"/>
      <c r="EU100" s="1885"/>
      <c r="EV100" s="1878"/>
      <c r="EW100" s="1885"/>
      <c r="EX100" s="1878"/>
      <c r="EY100" s="1885"/>
      <c r="EZ100" s="1878"/>
      <c r="FA100" s="1885"/>
      <c r="FB100" s="1878"/>
      <c r="FC100" s="1885"/>
      <c r="FD100" s="1878"/>
      <c r="FE100" s="1885"/>
      <c r="FF100" s="1878"/>
      <c r="FG100" s="1885"/>
      <c r="FH100" s="1878"/>
      <c r="FI100" s="1885"/>
      <c r="FJ100" s="1878"/>
      <c r="FK100" s="1885"/>
      <c r="FL100" s="1878"/>
      <c r="FM100" s="1885"/>
      <c r="FN100" s="1878"/>
      <c r="FO100" s="1885"/>
      <c r="FP100" s="1878"/>
      <c r="FQ100" s="1885"/>
      <c r="FR100" s="1878"/>
      <c r="FS100" s="1885"/>
      <c r="FT100" s="1878"/>
      <c r="FU100" s="1885"/>
      <c r="FV100" s="1878"/>
      <c r="FW100" s="1885"/>
      <c r="FX100" s="1878"/>
      <c r="FY100" s="1885"/>
      <c r="FZ100" s="1878"/>
      <c r="GA100" s="1885"/>
      <c r="GB100" s="1878"/>
      <c r="GC100" s="1885"/>
      <c r="GD100" s="1878"/>
      <c r="GE100" s="1885"/>
      <c r="GF100" s="1878"/>
      <c r="GG100" s="1885"/>
      <c r="GH100" s="1878"/>
      <c r="GI100" s="1885"/>
      <c r="GJ100" s="1878"/>
      <c r="GK100" s="1885"/>
      <c r="GL100" s="1878"/>
      <c r="GM100" s="201" t="s">
        <v>1160</v>
      </c>
    </row>
    <row r="101" spans="1:195" s="1910" customFormat="1" ht="11.25" customHeight="1">
      <c r="A101" s="903"/>
      <c r="B101" s="416"/>
      <c r="D101" s="904"/>
      <c r="E101" s="905"/>
    </row>
  </sheetData>
  <sheetProtection formatColumns="0" formatRows="0" insertRows="0" deleteColumns="0" deleteRows="0" sort="0" autoFilter="0"/>
  <mergeCells count="294">
    <mergeCell ref="GI7:GJ7"/>
    <mergeCell ref="GI8:GJ8"/>
    <mergeCell ref="GI9:GJ9"/>
    <mergeCell ref="GK7:GL7"/>
    <mergeCell ref="GK8:GL8"/>
    <mergeCell ref="GK9:GL9"/>
    <mergeCell ref="GC7:GD7"/>
    <mergeCell ref="GC8:GD8"/>
    <mergeCell ref="GC9:GD9"/>
    <mergeCell ref="GE7:GF7"/>
    <mergeCell ref="GE8:GF8"/>
    <mergeCell ref="GE9:GF9"/>
    <mergeCell ref="GG7:GH7"/>
    <mergeCell ref="GG8:GH8"/>
    <mergeCell ref="GG9:GH9"/>
    <mergeCell ref="FW7:FX7"/>
    <mergeCell ref="FW8:FX8"/>
    <mergeCell ref="FW9:FX9"/>
    <mergeCell ref="FY7:FZ7"/>
    <mergeCell ref="FY8:FZ8"/>
    <mergeCell ref="FY9:FZ9"/>
    <mergeCell ref="GA7:GB7"/>
    <mergeCell ref="GA8:GB8"/>
    <mergeCell ref="GA9:GB9"/>
    <mergeCell ref="FQ7:FR7"/>
    <mergeCell ref="FQ8:FR8"/>
    <mergeCell ref="FQ9:FR9"/>
    <mergeCell ref="FS7:FT7"/>
    <mergeCell ref="FS8:FT8"/>
    <mergeCell ref="FS9:FT9"/>
    <mergeCell ref="FU7:FV7"/>
    <mergeCell ref="FU8:FV8"/>
    <mergeCell ref="FU9:FV9"/>
    <mergeCell ref="FK7:FL7"/>
    <mergeCell ref="FK8:FL8"/>
    <mergeCell ref="FK9:FL9"/>
    <mergeCell ref="FM7:FN7"/>
    <mergeCell ref="FM8:FN8"/>
    <mergeCell ref="FM9:FN9"/>
    <mergeCell ref="FO7:FP7"/>
    <mergeCell ref="FO8:FP8"/>
    <mergeCell ref="FO9:FP9"/>
    <mergeCell ref="FE7:FF7"/>
    <mergeCell ref="FE8:FF8"/>
    <mergeCell ref="FE9:FF9"/>
    <mergeCell ref="FG7:FH7"/>
    <mergeCell ref="FG8:FH8"/>
    <mergeCell ref="FG9:FH9"/>
    <mergeCell ref="FI7:FJ7"/>
    <mergeCell ref="FI8:FJ8"/>
    <mergeCell ref="FI9:FJ9"/>
    <mergeCell ref="EY7:EZ7"/>
    <mergeCell ref="EY8:EZ8"/>
    <mergeCell ref="EY9:EZ9"/>
    <mergeCell ref="FA7:FB7"/>
    <mergeCell ref="FA8:FB8"/>
    <mergeCell ref="FA9:FB9"/>
    <mergeCell ref="FC7:FD7"/>
    <mergeCell ref="FC8:FD8"/>
    <mergeCell ref="FC9:FD9"/>
    <mergeCell ref="ES7:ET7"/>
    <mergeCell ref="ES8:ET8"/>
    <mergeCell ref="ES9:ET9"/>
    <mergeCell ref="EU7:EV7"/>
    <mergeCell ref="EU8:EV8"/>
    <mergeCell ref="EU9:EV9"/>
    <mergeCell ref="EW7:EX7"/>
    <mergeCell ref="EW8:EX8"/>
    <mergeCell ref="EW9:EX9"/>
    <mergeCell ref="EM7:EN7"/>
    <mergeCell ref="EM8:EN8"/>
    <mergeCell ref="EM9:EN9"/>
    <mergeCell ref="EO7:EP7"/>
    <mergeCell ref="EO8:EP8"/>
    <mergeCell ref="EO9:EP9"/>
    <mergeCell ref="EQ7:ER7"/>
    <mergeCell ref="EQ8:ER8"/>
    <mergeCell ref="EQ9:ER9"/>
    <mergeCell ref="EG7:EH7"/>
    <mergeCell ref="EG8:EH8"/>
    <mergeCell ref="EG9:EH9"/>
    <mergeCell ref="EI7:EJ7"/>
    <mergeCell ref="EI8:EJ8"/>
    <mergeCell ref="EI9:EJ9"/>
    <mergeCell ref="EK7:EL7"/>
    <mergeCell ref="EK8:EL8"/>
    <mergeCell ref="EK9:EL9"/>
    <mergeCell ref="EA7:EB7"/>
    <mergeCell ref="EA8:EB8"/>
    <mergeCell ref="EA9:EB9"/>
    <mergeCell ref="EC7:ED7"/>
    <mergeCell ref="EC8:ED8"/>
    <mergeCell ref="EC9:ED9"/>
    <mergeCell ref="EE7:EF7"/>
    <mergeCell ref="EE8:EF8"/>
    <mergeCell ref="EE9:EF9"/>
    <mergeCell ref="DU7:DV7"/>
    <mergeCell ref="DU8:DV8"/>
    <mergeCell ref="DU9:DV9"/>
    <mergeCell ref="DW7:DX7"/>
    <mergeCell ref="DW8:DX8"/>
    <mergeCell ref="DW9:DX9"/>
    <mergeCell ref="DY7:DZ7"/>
    <mergeCell ref="DY8:DZ8"/>
    <mergeCell ref="DY9:DZ9"/>
    <mergeCell ref="DO7:DP7"/>
    <mergeCell ref="DO8:DP8"/>
    <mergeCell ref="DO9:DP9"/>
    <mergeCell ref="DQ7:DR7"/>
    <mergeCell ref="DQ8:DR8"/>
    <mergeCell ref="DQ9:DR9"/>
    <mergeCell ref="DS7:DT7"/>
    <mergeCell ref="DS8:DT8"/>
    <mergeCell ref="DS9:DT9"/>
    <mergeCell ref="DI7:DJ7"/>
    <mergeCell ref="DI8:DJ8"/>
    <mergeCell ref="DI9:DJ9"/>
    <mergeCell ref="DK7:DL7"/>
    <mergeCell ref="DK8:DL8"/>
    <mergeCell ref="DK9:DL9"/>
    <mergeCell ref="DM7:DN7"/>
    <mergeCell ref="DM8:DN8"/>
    <mergeCell ref="DM9:DN9"/>
    <mergeCell ref="DC7:DD7"/>
    <mergeCell ref="DC8:DD8"/>
    <mergeCell ref="DC9:DD9"/>
    <mergeCell ref="DE7:DF7"/>
    <mergeCell ref="DE8:DF8"/>
    <mergeCell ref="DE9:DF9"/>
    <mergeCell ref="DG7:DH7"/>
    <mergeCell ref="DG8:DH8"/>
    <mergeCell ref="DG9:DH9"/>
    <mergeCell ref="CW7:CX7"/>
    <mergeCell ref="CW8:CX8"/>
    <mergeCell ref="CW9:CX9"/>
    <mergeCell ref="CY7:CZ7"/>
    <mergeCell ref="CY8:CZ8"/>
    <mergeCell ref="CY9:CZ9"/>
    <mergeCell ref="DA7:DB7"/>
    <mergeCell ref="DA8:DB8"/>
    <mergeCell ref="DA9:DB9"/>
    <mergeCell ref="CQ7:CR7"/>
    <mergeCell ref="CQ8:CR8"/>
    <mergeCell ref="CQ9:CR9"/>
    <mergeCell ref="CS7:CT7"/>
    <mergeCell ref="CS8:CT8"/>
    <mergeCell ref="CS9:CT9"/>
    <mergeCell ref="CU7:CV7"/>
    <mergeCell ref="CU8:CV8"/>
    <mergeCell ref="CU9:CV9"/>
    <mergeCell ref="CK7:CL7"/>
    <mergeCell ref="CK8:CL8"/>
    <mergeCell ref="CK9:CL9"/>
    <mergeCell ref="CM7:CN7"/>
    <mergeCell ref="CM8:CN8"/>
    <mergeCell ref="CM9:CN9"/>
    <mergeCell ref="CO7:CP7"/>
    <mergeCell ref="CO8:CP8"/>
    <mergeCell ref="CO9:CP9"/>
    <mergeCell ref="CE7:CF7"/>
    <mergeCell ref="CE8:CF8"/>
    <mergeCell ref="CE9:CF9"/>
    <mergeCell ref="CG7:CH7"/>
    <mergeCell ref="CG8:CH8"/>
    <mergeCell ref="CG9:CH9"/>
    <mergeCell ref="CI7:CJ7"/>
    <mergeCell ref="CI8:CJ8"/>
    <mergeCell ref="CI9:CJ9"/>
    <mergeCell ref="BY7:BZ7"/>
    <mergeCell ref="BY8:BZ8"/>
    <mergeCell ref="BY9:BZ9"/>
    <mergeCell ref="CA7:CB7"/>
    <mergeCell ref="CA8:CB8"/>
    <mergeCell ref="CA9:CB9"/>
    <mergeCell ref="CC7:CD7"/>
    <mergeCell ref="CC8:CD8"/>
    <mergeCell ref="CC9:CD9"/>
    <mergeCell ref="BS7:BT7"/>
    <mergeCell ref="BS8:BT8"/>
    <mergeCell ref="BS9:BT9"/>
    <mergeCell ref="BU7:BV7"/>
    <mergeCell ref="BU8:BV8"/>
    <mergeCell ref="BU9:BV9"/>
    <mergeCell ref="BW7:BX7"/>
    <mergeCell ref="BW8:BX8"/>
    <mergeCell ref="BW9:BX9"/>
    <mergeCell ref="BM7:BN7"/>
    <mergeCell ref="BM8:BN8"/>
    <mergeCell ref="BM9:BN9"/>
    <mergeCell ref="BO7:BP7"/>
    <mergeCell ref="BO8:BP8"/>
    <mergeCell ref="BO9:BP9"/>
    <mergeCell ref="BQ7:BR7"/>
    <mergeCell ref="BQ8:BR8"/>
    <mergeCell ref="BQ9:BR9"/>
    <mergeCell ref="BG7:BH7"/>
    <mergeCell ref="BG8:BH8"/>
    <mergeCell ref="BG9:BH9"/>
    <mergeCell ref="BI7:BJ7"/>
    <mergeCell ref="BI8:BJ8"/>
    <mergeCell ref="BI9:BJ9"/>
    <mergeCell ref="BK7:BL7"/>
    <mergeCell ref="BK8:BL8"/>
    <mergeCell ref="BK9:BL9"/>
    <mergeCell ref="BA7:BB7"/>
    <mergeCell ref="BA8:BB8"/>
    <mergeCell ref="BA9:BB9"/>
    <mergeCell ref="BC7:BD7"/>
    <mergeCell ref="BC8:BD8"/>
    <mergeCell ref="BC9:BD9"/>
    <mergeCell ref="BE7:BF7"/>
    <mergeCell ref="BE8:BF8"/>
    <mergeCell ref="BE9:BF9"/>
    <mergeCell ref="AU7:AV7"/>
    <mergeCell ref="AU8:AV8"/>
    <mergeCell ref="AU9:AV9"/>
    <mergeCell ref="AW7:AX7"/>
    <mergeCell ref="AW8:AX8"/>
    <mergeCell ref="AW9:AX9"/>
    <mergeCell ref="AY7:AZ7"/>
    <mergeCell ref="AY8:AZ8"/>
    <mergeCell ref="AY9:AZ9"/>
    <mergeCell ref="AO7:AP7"/>
    <mergeCell ref="AO8:AP8"/>
    <mergeCell ref="AO9:AP9"/>
    <mergeCell ref="AQ7:AR7"/>
    <mergeCell ref="AQ8:AR8"/>
    <mergeCell ref="AQ9:AR9"/>
    <mergeCell ref="AS7:AT7"/>
    <mergeCell ref="AS8:AT8"/>
    <mergeCell ref="AS9:AT9"/>
    <mergeCell ref="AI7:AJ7"/>
    <mergeCell ref="AI8:AJ8"/>
    <mergeCell ref="AI9:AJ9"/>
    <mergeCell ref="AK7:AL7"/>
    <mergeCell ref="AK8:AL8"/>
    <mergeCell ref="AK9:AL9"/>
    <mergeCell ref="AM7:AN7"/>
    <mergeCell ref="AM8:AN8"/>
    <mergeCell ref="AM9:AN9"/>
    <mergeCell ref="AC7:AD7"/>
    <mergeCell ref="AC8:AD8"/>
    <mergeCell ref="AC9:AD9"/>
    <mergeCell ref="AE7:AF7"/>
    <mergeCell ref="AE8:AF8"/>
    <mergeCell ref="AE9:AF9"/>
    <mergeCell ref="AG7:AH7"/>
    <mergeCell ref="AG8:AH8"/>
    <mergeCell ref="AG9:AH9"/>
    <mergeCell ref="U9:V9"/>
    <mergeCell ref="W7:X7"/>
    <mergeCell ref="W8:X8"/>
    <mergeCell ref="W9:X9"/>
    <mergeCell ref="Y7:Z7"/>
    <mergeCell ref="Y8:Z8"/>
    <mergeCell ref="Y9:Z9"/>
    <mergeCell ref="AA7:AB7"/>
    <mergeCell ref="AA8:AB8"/>
    <mergeCell ref="AA9:AB9"/>
    <mergeCell ref="A37:A63"/>
    <mergeCell ref="A65:A75"/>
    <mergeCell ref="A77:A100"/>
    <mergeCell ref="A13:A35"/>
    <mergeCell ref="A11:B11"/>
    <mergeCell ref="K7:L7"/>
    <mergeCell ref="K8:L8"/>
    <mergeCell ref="K9:L9"/>
    <mergeCell ref="M7:N7"/>
    <mergeCell ref="M8:N8"/>
    <mergeCell ref="M9:N9"/>
    <mergeCell ref="D3:F3"/>
    <mergeCell ref="GM7:GM11"/>
    <mergeCell ref="G7:H7"/>
    <mergeCell ref="E7:F7"/>
    <mergeCell ref="E8:F8"/>
    <mergeCell ref="E9:F9"/>
    <mergeCell ref="G8:H8"/>
    <mergeCell ref="G9:H9"/>
    <mergeCell ref="D4:F4"/>
    <mergeCell ref="I7:J7"/>
    <mergeCell ref="I8:J8"/>
    <mergeCell ref="I9:J9"/>
    <mergeCell ref="D10:J10"/>
    <mergeCell ref="O7:P7"/>
    <mergeCell ref="O8:P8"/>
    <mergeCell ref="O9:P9"/>
    <mergeCell ref="Q7:R7"/>
    <mergeCell ref="Q8:R8"/>
    <mergeCell ref="Q9:R9"/>
    <mergeCell ref="S7:T7"/>
    <mergeCell ref="S8:T8"/>
    <mergeCell ref="S9:T9"/>
    <mergeCell ref="U7:V7"/>
    <mergeCell ref="U8:V8"/>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DA19 DC19 DE19 DG19 DI19 DK19 DM19 DO19 DQ19 DS19 DU19 DW19 DY19 EA19 EC19 EE19 EG19 EI19 EK19 EM19 EO19 EQ19 ES19 EU19 EW19 EY19 FA19 FC19 FE19 FG19 FI19 FK19 FM19 FO19 FQ19 FS19 FU19 FW19 FY19 GA19 GC19 GE19 GG19 GI19 GK19" xr:uid="{00000000-0002-0000-24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DA31 DA42 DA43 DA60 DA69 DA70 DA72 DA95 DC31 DC42 DC43 DC60 DC69 DC70 DC72 DC95 DE31 DE42 DE43 DE60 DE69 DE70 DE72 DE95 DG31 DG42 DG43 DG60 DG69 DG70 DG72 DG95 DI31 DI42 DI43 DI60 DI69 DI70 DI72 DI95 DK31 DK42 DK43 DK60 DK69 DK70 DK72 DK95 DM31 DM42 DM43 DM60 DM69 DM70 DM72 DM95 DO31 DO42 DO43 DO60 DO69 DO70 DO72 DO95 DQ31 DQ42 DQ43 DQ60 DQ69 DQ70 DQ72 DQ95 DS31 DS42 DS43 DS60 DS69 DS70 DS72 DS95 DU31 DU42 DU43 DU60 DU69 DU70 DU72 DU95 DW31 DW42 DW43 DW60 DW69 DW70 DW72 DW95 DY31 DY42 DY43 DY60 DY69 DY70 DY72 DY95 EA31 EA42 EA43 EA60 EA69 EA70 EA72 EA95 EC31 EC42 EC43 EC60 EC69 EC70 EC72 EC95 EE31 EE42 EE43 EE60 EE69 EE70 EE72 EE95 EG31 EG42 EG43 EG60 EG69 EG70 EG72 EG95 EI31 EI42 EI43 EI60 EI69 EI70 EI72 EI95 EK31 EK42 EK43 EK60 EK69 EK70 EK72 EK95 EM31 EM42 EM43 EM60 EM69 EM70 EM72 EM95 EO31 EO42 EO43 EO60 EO69 EO70 EO72 EO95 EQ31 EQ42 EQ43 EQ60 EQ69 EQ70 EQ72 EQ95 ES31 ES42 ES43 ES60 ES69 ES70 ES72 ES95 EU31 EU42 EU43 EU60 EU69 EU70 EU72 EU95 EW31 EW42 EW43 EW60 EW69 EW70 EW72 EW95 EY31 EY42 EY43 EY60 EY69 EY70 EY72 EY95 FA31 FA42 FA43 FA60 FA69 FA70 FA72 FA95 FC31 FC42 FC43 FC60 FC69 FC70 FC72 FC95 FE31 FE42 FE43 FE60 FE69 FE70 FE72 FE95 FG31 FG42 FG43 FG60 FG69 FG70 FG72 FG95 FI31 FI42 FI43 FI60 FI69 FI70 FI72 FI95 FK31 FK42 FK43 FK60 FK69 FK70 FK72 FK95 FM31 FM42 FM43 FM60 FM69 FM70 FM72 FM95 FO31 FO42 FO43 FO60 FO69 FO70 FO72 FO95 FQ31 FQ42 FQ43 FQ60 FQ69 FQ70 FQ72 FQ95 FS31 FS42 FS43 FS60 FS69 FS70 FS72 FS95 FU31 FU42 FU43 FU60 FU69 FU70 FU72 FU95 FW31 FW42 FW43 FW60 FW69 FW70 FW72 FW95 FY31 FY42 FY43 FY60 FY69 FY70 FY72 FY95 GA31 GA42 GA43 GA60 GA69 GA70 GA72 GA95 GC31 GC42 GC43 GC60 GC69 GC70 GC72 GC95 GE31 GE42 GE43 GE60 GE69 GE70 GE72 GE95 GG31 GG42 GG43 GG60 GG69 GG70 GG72 GG95 GI31 GI42 GI43 GI60 GI69 GI70 GI72 GI95 GK31 GK42 GK43 GK60 GK69 GK70 GK72 GK95" xr:uid="{00000000-0002-0000-24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L19 N19 P19 R19 T19 V19 X19 Z19 AB19 AD19 AF19 AH19 AJ19 AL19 AN19 AP19 AR19 AT19 AV19 AX19 AZ19 BB19 BD19 BF19 BH19 BJ19 BL19 BN19 BP19 BR19 BT19 BV19 BX19 BZ19 CB19 CD19 CF19 CH19 CJ19 CL19 CN19 CP19 CR19 CT19 CV19 CX19 CZ19 DB19 DD19 DF19 DH19 DJ19 DL19 DN19 DP19 DR19 DT19 DV19 DX19 DZ19 EB19 ED19 EF19 EH19 EJ19 EL19 EN19 EP19 ER19 ET19 EV19 EX19 EZ19 FB19 FD19 FF19 FH19 FJ19 FL19 FN19 FP19 FR19 FT19 FV19 FX19 FZ19 GB19 GD19 GF19 GH19 GJ19 GL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DB31:DB32 DD31:DD32 DF31:DF32 DH31:DH32 DJ31:DJ32 DL31:DL32 DN31:DN32 DP31:DP32 DR31:DR32 DT31:DT32 DV31:DV32 DX31:DX32 DZ31:DZ32 EB31:EB32 ED31:ED32 EF31:EF32 EH31:EH32 EJ31:EJ32 EL31:EL32 EN31:EN32 EP31:EP32 ER31:ER32 ET31:ET32 EV31:EV32 EX31:EX32 EZ31:EZ32 FB31:FB32 FD31:FD32 FF31:FF32 FH31:FH32 FJ31:FJ32 FL31:FL32 FN31:FN32 FP31:FP32 FR31:FR32 FT31:FT32 FV31:FV32 FX31:FX32 FZ31:FZ32 GB31:GB32 GD31:GD32 GF31:GF32 GH31:GH32 GJ31:GJ32 GL31:GL32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DA62 DA63 DA74 DA75 DA97 DA98 DA99 DA100 DC62 DC63 DC74 DC75 DC97 DC98 DC99 DC100 DE62 DE63 DE74 DE75 DE97 DE98 DE99 DE100 DG62 DG63 DG74 DG75 DG97 DG98 DG99 DG100 DI62 DI63 DI74 DI75 DI97 DI98 DI99 DI100 DK62 DK63 DK74 DK75 DK97 DK98 DK99 DK100 DM62 DM63 DM74 DM75 DM97 DM98 DM99 DM100 DO62 DO63 DO74 DO75 DO97 DO98 DO99 DO100 DQ62 DQ63 DQ74 DQ75 DQ97 DQ98 DQ99 DQ100 DS62 DS63 DS74 DS75 DS97 DS98 DS99 DS100 DU62 DU63 DU74 DU75 DU97 DU98 DU99 DU100 DW62 DW63 DW74 DW75 DW97 DW98 DW99 DW100 DY62 DY63 DY74 DY75 DY97 DY98 DY99 DY100 EA62 EA63 EA74 EA75 EA97 EA98 EA99 EA100 EC62 EC63 EC74 EC75 EC97 EC98 EC99 EC100 EE62 EE63 EE74 EE75 EE97 EE98 EE99 EE100 EG62 EG63 EG74 EG75 EG97 EG98 EG99 EG100 EI62 EI63 EI74 EI75 EI97 EI98 EI99 EI100 EK62 EK63 EK74 EK75 EK97 EK98 EK99 EK100 EM62 EM63 EM74 EM75 EM97 EM98 EM99 EM100 EO62 EO63 EO74 EO75 EO97 EO98 EO99 EO100 EQ62 EQ63 EQ74 EQ75 EQ97 EQ98 EQ99 EQ100 ES62 ES63 ES74 ES75 ES97 ES98 ES99 ES100 EU62 EU63 EU74 EU75 EU97 EU98 EU99 EU100 EW62 EW63 EW74 EW75 EW97 EW98 EW99 EW100 EY62 EY63 EY74 EY75 EY97 EY98 EY99 EY100 FA62 FA63 FA74 FA75 FA97 FA98 FA99 FA100 FC62 FC63 FC74 FC75 FC97 FC98 FC99 FC100 FE62 FE63 FE74 FE75 FE97 FE98 FE99 FE100 FG62 FG63 FG74 FG75 FG97 FG98 FG99 FG100 FI62 FI63 FI74 FI75 FI97 FI98 FI99 FI100 FK62 FK63 FK74 FK75 FK97 FK98 FK99 FK100 FM62 FM63 FM74 FM75 FM97 FM98 FM99 FM100 FO62 FO63 FO74 FO75 FO97 FO98 FO99 FO100 FQ62 FQ63 FQ74 FQ75 FQ97 FQ98 FQ99 FQ100 FS62 FS63 FS74 FS75 FS97 FS98 FS99 FS100 FU62 FU63 FU74 FU75 FU97 FU98 FU99 FU100 FW62 FW63 FW74 FW75 FW97 FW98 FW99 FW100 FY62 FY63 FY74 FY75 FY97 FY98 FY99 FY100 GA62 GA63 GA74 GA75 GA97 GA98 GA99 GA100 GC62 GC63 GC74 GC75 GC97 GC98 GC99 GC100 GE62 GE63 GE74 GE75 GE97 GE98 GE99 GE100 GG62 GG63 GG74 GG75 GG97 GG98 GG99 GG100 GI62 GI63 GI74 GI75 GI97 GI98 GI99 GI100 GK62 GK63 GK74 GK75 GK97 GK98 GK99 GK100" xr:uid="{00000000-0002-0000-24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K13 K14 K18 K26 K27 K29 K30 K32 K37 K39 K40 K44 K45 K46 K47 K48 K49 K50 K51 K52 K53 K54 K55 K56 K57 K58 K59 K61 K65 K67 K68 K71 K73 K77 K78 K79 K80 K81 K82 K83 K84 K85 K86 K87 K88 K89 K90 K91 K92 K93 K94 K96 M13 M14 M18 M26 M27 M29 M30 M32 M37 M39 M40 M44 M45 M46 M47 M48 M49 M50 M51 M52 M53 M54 M55 M56 M57 M58 M59 M61 M65 M67 M68 M71 M73 M77 M78 M79 M80 M81 M82 M83 M84 M85 M86 M87 M88 M89 M90 M91 M92 M93 M94 M96 O13 O14 O18 O26 O27 O29 O30 O32 O37 O39 O40 O44 O45 O46 O47 O48 O49 O50 O51 O52 O53 O54 O55 O56 O57 O58 O59 O61 O65 O67 O68 O71 O73 O77 O78 O79 O80 O81 O82 O83 O84 O85 O86 O87 O88 O89 O90 O91 O92 O93 O94 O96 Q13 Q14 Q18 Q26 Q27 Q29 Q30 Q32 Q37 Q39 Q40 Q44 Q45 Q46 Q47 Q48 Q49 Q50 Q51 Q52 Q53 Q54 Q55 Q56 Q57 Q58 Q59 Q61 Q65 Q67 Q68 Q71 Q73 Q77 Q78 Q79 Q80 Q81 Q82 Q83 Q84 Q85 Q86 Q87 Q88 Q89 Q90 Q91 Q92 Q93 Q94 Q96 S13 S14 S18 S26 S27 S29 S30 S32 S37 S39 S40 S44 S45 S46 S47 S48 S49 S50 S51 S52 S53 S54 S55 S56 S57 S58 S59 S61 S65 S67 S68 S71 S73 S77 S78 S79 S80 S81 S82 S83 S84 S85 S86 S87 S88 S89 S90 S91 S92 S93 S94 S96 U13 U14 U18 U26 U27 U29 U30 U32 U37 U39 U40 U44 U45 U46 U47 U48 U49 U50 U51 U52 U53 U54 U55 U56 U57 U58 U59 U61 U65 U67 U68 U71 U73 U77 U78 U79 U80 U81 U82 U83 U84 U85 U86 U87 U88 U89 U90 U91 U92 U93 U94 U96 W13 W14 W18 W26 W27 W29 W30 W32 W37 W39 W40 W44 W45 W46 W47 W48 W49 W50 W51 W52 W53 W54 W55 W56 W57 W58 W59 W61 W65 W67 W68 W71 W73 W77 W78 W79 W80 W81 W82 W83 W84 W85 W86 W87 W88 W89 W90 W91 W92 W93 W94 W96 Y13 Y14 Y18 Y26 Y27 Y29 Y30 Y32 Y37 Y39 Y40 Y44 Y45 Y46 Y47 Y48 Y49 Y50 Y51 Y52 Y53 Y54 Y55 Y56 Y57 Y58 Y59 Y61 Y65 Y67 Y68 Y71 Y73 Y77 Y78 Y79 Y80 Y81 Y82 Y83 Y84 Y85 Y86 Y87 Y88 Y89 Y90 Y91 Y92 Y93 Y94 Y96 AA13 AA14 AA18 AA26 AA27 AA29 AA30 AA32 AA37 AA39 AA40 AA44 AA45 AA46 AA47 AA48 AA49 AA50 AA51 AA52 AA53 AA54 AA55 AA56 AA57 AA58 AA59 AA61 AA65 AA67 AA68 AA71 AA73 AA77 AA78 AA79 AA80 AA81 AA82 AA83 AA84 AA85 AA86 AA87 AA88 AA89 AA90 AA91 AA92 AA93 AA94 AA96 AC13 AC14 AC18 AC26 AC27 AC29 AC30 AC32 AC37 AC39 AC40 AC44 AC45 AC46 AC47 AC48 AC49 AC50 AC51 AC52 AC53 AC54 AC55 AC56 AC57 AC58 AC59 AC61 AC65 AC67 AC68 AC71 AC73 AC77 AC78 AC79 AC80 AC81 AC82 AC83 AC84 AC85 AC86 AC87 AC88 AC89 AC90 AC91 AC92 AC93 AC94 AC96 AE13 AE14 AE18 AE26 AE27 AE29 AE30 AE32 AE37 AE39 AE40 AE44 AE45 AE46 AE47 AE48 AE49 AE50 AE51 AE52 AE53 AE54 AE55 AE56 AE57 AE58 AE59 AE61 AE65 AE67 AE68 AE71 AE73 AE77 AE78 AE79 AE80 AE81 AE82 AE83 AE84 AE85 AE86 AE87 AE88 AE89 AE90 AE91 AE92 AE93 AE94 AE96 AG13 AG14 AG18 AG26 AG27 AG29 AG30 AG32 AG37 AG39 AG40 AG44 AG45 AG46 AG47 AG48 AG49 AG50 AG51 AG52 AG53 AG54 AG55 AG56 AG57 AG58 AG59 AG61 AG65 AG67 AG68 AG71 AG73 AG77 AG78 AG79 AG80 AG81 AG82 AG83 AG84 AG85 AG86 AG87 AG88 AG89 AG90 AG91 AG92 AG93 AG94 AG96 AI13 AI14 AI18 AI26 AI27 AI29 AI30 AI32 AI37 AI39 AI40 AI44 AI45 AI46 AI47 AI48 AI49 AI50 AI51 AI52 AI53 AI54 AI55 AI56 AI57 AI58 AI59 AI61 AI65 AI67 AI68 AI71 AI73 AI77 AI78 AI79 AI80 AI81 AI82 AI83 AI84 AI85 AI86 AI87 AI88 AI89 AI90 AI91 AI92 AI93 AI94 AI96 AK13 AK14 AK18 AK26 AK27 AK29 AK30 AK32 AK37 AK39 AK40 AK44 AK45 AK46 AK47 AK48 AK49 AK50 AK51 AK52 AK53 AK54 AK55 AK56 AK57 AK58 AK59 AK61 AK65 AK67 AK68 AK71 AK73 AK77 AK78 AK79 AK80 AK81 AK82 AK83 AK84 AK85 AK86 AK87 AK88 AK89 AK90 AK91 AK92 AK93 AK94 AK96 AM13 AM14 AM18 AM26 AM27 AM29 AM30 AM32 AM37 AM39 AM40 AM44 AM45 AM46 AM47 AM48 AM49 AM50 AM51 AM52 AM53 AM54 AM55 AM56 AM57 AM58 AM59 AM61 AM65 AM67 AM68 AM71 AM73 AM77 AM78 AM79 AM80 AM81 AM82 AM83 AM84 AM85 AM86 AM87 AM88 AM89 AM90 AM91 AM92 AM93 AM94 AM96 AO13 AO14 AO18 AO26 AO27 AO29 AO30 AO32 AO37 AO39 AO40 AO44 AO45 AO46 AO47 AO48 AO49 AO50 AO51 AO52 AO53 AO54 AO55 AO56 AO57 AO58 AO59 AO61 AO65 AO67 AO68 AO71 AO73 AO77 AO78 AO79 AO80 AO81 AO82 AO83 AO84 AO85 AO86 AO87 AO88 AO89 AO90 AO91 AO92 AO93 AO94 AO96 AQ13 AQ14 AQ18 AQ26 AQ27 AQ29 AQ30 AQ32 AQ37 AQ39 AQ40 AQ44 AQ45 AQ46 AQ47 AQ48 AQ49 AQ50 AQ51 AQ52 AQ53 AQ54 AQ55 AQ56 AQ57 AQ58 AQ59 AQ61 AQ65 AQ67 AQ68 AQ71 AQ73 AQ77 AQ78 AQ79 AQ80 AQ81 AQ82 AQ83 AQ84 AQ85 AQ86 AQ87 AQ88 AQ89 AQ90 AQ91 AQ92 AQ93 AQ94 AQ96 AS13 AS14 AS18 AS26 AS27 AS29 AS30 AS32 AS37 AS39 AS40 AS44 AS45 AS46 AS47 AS48 AS49 AS50 AS51 AS52 AS53 AS54 AS55 AS56 AS57 AS58 AS59 AS61 AS65 AS67 AS68 AS71 AS73 AS77 AS78 AS79 AS80 AS81 AS82 AS83 AS84 AS85 AS86 AS87 AS88 AS89 AS90 AS91 AS92 AS93 AS94 AS96 AU13 AU14 AU18 AU26 AU27 AU29 AU30 AU32 AU37 AU39 AU40 AU44 AU45 AU46 AU47 AU48 AU49 AU50 AU51 AU52 AU53 AU54 AU55 AU56 AU57 AU58 AU59 AU61 AU65 AU67 AU68 AU71 AU73 AU77 AU78 AU79 AU80 AU81 AU82 AU83 AU84 AU85 AU86 AU87 AU88 AU89 AU90 AU91 AU92 AU93 AU94 AU96 AW13 AW14 AW18 AW26 AW27 AW29 AW30 AW32 AW37 AW39 AW40 AW44 AW45 AW46 AW47 AW48 AW49 AW50 AW51 AW52 AW53 AW54 AW55 AW56 AW57 AW58 AW59 AW61 AW65 AW67 AW68 AW71 AW73 AW77 AW78 AW79 AW80 AW81 AW82 AW83 AW84 AW85 AW86 AW87 AW88 AW89 AW90 AW91 AW92 AW93 AW94 AW96 AY13 AY14 AY18 AY26 AY27 AY29 AY30 AY32 AY37 AY39 AY40 AY44 AY45 AY46 AY47 AY48 AY49 AY50 AY51 AY52 AY53 AY54 AY55 AY56 AY57 AY58 AY59 AY61 AY65 AY67 AY68 AY71 AY73 AY77 AY78 AY79 AY80 AY81 AY82 AY83 AY84 AY85 AY86 AY87 AY88 AY89 AY90 AY91 AY92 AY93 AY94 AY96 BA13 BA14 BA18 BA26 BA27 BA29 BA30 BA32 BA37 BA39 BA40 BA44 BA45 BA46 BA47 BA48 BA49 BA50 BA51 BA52 BA53 BA54 BA55 BA56 BA57 BA58 BA59 BA61 BA65 BA67 BA68 BA71 BA73 BA77 BA78 BA79 BA80 BA81 BA82 BA83 BA84 BA85 BA86 BA87 BA88 BA89 BA90 BA91 BA92 BA93 BA94 BA96 BC13 BC14 BC18 BC26 BC27 BC29 BC30 BC32 BC37 BC39 BC40 BC44 BC45 BC46 BC47 BC48 BC49 BC50 BC51 BC52 BC53 BC54 BC55 BC56 BC57 BC58 BC59 BC61 BC65 BC67 BC68 BC71 BC73 BC77 BC78 BC79 BC80 BC81 BC82 BC83 BC84 BC85 BC86 BC87 BC88 BC89 BC90 BC91 BC92 BC93 BC94 BC96 BE13 BE14 BE18 BE26 BE27 BE29 BE30 BE32 BE37 BE39 BE40 BE44 BE45 BE46 BE47 BE48 BE49 BE50 BE51 BE52 BE53 BE54 BE55 BE56 BE57 BE58 BE59 BE61 BE65 BE67 BE68 BE71 BE73 BE77 BE78 BE79 BE80 BE81 BE82 BE83 BE84 BE85 BE86 BE87 BE88 BE89 BE90 BE91 BE92 BE93 BE94 BE96 BG13 BG14 BG18 BG26 BG27 BG29 BG30 BG32 BG37 BG39 BG40 BG44 BG45 BG46 BG47 BG48 BG49 BG50 BG51 BG52 BG53 BG54 BG55 BG56 BG57 BG58 BG59 BG61 BG65 BG67 BG68 BG71 BG73 BG77 BG78 BG79 BG80 BG81 BG82 BG83 BG84 BG85 BG86 BG87 BG88 BG89 BG90 BG91 BG92 BG93 BG94 BG96 BI13 BI14 BI18 BI26 BI27 BI29 BI30 BI32 BI37 BI39 BI40 BI44 BI45 BI46 BI47 BI48 BI49 BI50 BI51 BI52 BI53 BI54 BI55 BI56 BI57 BI58 BI59 BI61 BI65 BI67 BI68 BI71 BI73 BI77 BI78 BI79 BI80 BI81 BI82 BI83 BI84 BI85 BI86 BI87 BI88 BI89 BI90 BI91 BI92 BI93 BI94 BI96 BK13 BK14 BK18 BK26 BK27 BK29 BK30 BK32 BK37 BK39 BK40 BK44 BK45 BK46 BK47 BK48 BK49 BK50 BK51 BK52 BK53 BK54 BK55 BK56 BK57 BK58 BK59 BK61 BK65 BK67 BK68 BK71 BK73 BK77 BK78 BK79 BK80 BK81 BK82 BK83 BK84 BK85 BK86 BK87 BK88 BK89 BK90 BK91 BK92 BK93 BK94 BK96 BM13 BM14 BM18 BM26 BM27 BM29 BM30 BM32 BM37 BM39 BM40 BM44 BM45 BM46 BM47 BM48 BM49 BM50 BM51 BM52 BM53 BM54 BM55 BM56 BM57 BM58 BM59 BM61 BM65 BM67 BM68 BM71 BM73 BM77 BM78 BM79 BM80 BM81 BM82 BM83 BM84 BM85 BM86 BM87 BM88 BM89 BM90 BM91 BM92 BM93 BM94 BM96 BO13 BO14 BO18 BO26 BO27 BO29 BO30 BO32 BO37 BO39 BO40 BO44 BO45 BO46 BO47 BO48 BO49 BO50 BO51 BO52 BO53 BO54 BO55 BO56 BO57 BO58 BO59 BO61 BO65 BO67 BO68 BO71 BO73 BO77 BO78 BO79 BO80 BO81 BO82 BO83 BO84 BO85 BO86 BO87 BO88 BO89 BO90 BO91 BO92 BO93 BO94 BO96 BQ13 BQ14 BQ18 BQ26 BQ27 BQ29 BQ30 BQ32 BQ37 BQ39 BQ40 BQ44 BQ45 BQ46 BQ47 BQ48 BQ49 BQ50 BQ51 BQ52 BQ53 BQ54 BQ55 BQ56 BQ57 BQ58 BQ59 BQ61 BQ65 BQ67 BQ68 BQ71 BQ73 BQ77 BQ78 BQ79 BQ80 BQ81 BQ82 BQ83 BQ84 BQ85 BQ86 BQ87 BQ88 BQ89 BQ90 BQ91 BQ92 BQ93 BQ94 BQ96 BS13 BS14 BS18 BS26 BS27 BS29 BS30 BS32 BS37 BS39 BS40 BS44 BS45 BS46 BS47 BS48 BS49 BS50 BS51 BS52 BS53 BS54 BS55 BS56 BS57 BS58 BS59 BS61 BS65 BS67 BS68 BS71 BS73 BS77 BS78 BS79 BS80 BS81 BS82 BS83 BS84 BS85 BS86 BS87 BS88 BS89 BS90 BS91 BS92 BS93 BS94 BS96 BU13 BU14 BU18 BU26 BU27 BU29 BU30 BU32 BU37 BU39 BU40 BU44 BU45 BU46 BU47 BU48 BU49 BU50 BU51 BU52 BU53 BU54 BU55 BU56 BU57 BU58 BU59 BU61 BU65 BU67 BU68 BU71 BU73 BU77 BU78 BU79 BU80 BU81 BU82 BU83 BU84 BU85 BU86 BU87 BU88 BU89 BU90 BU91 BU92 BU93 BU94 BU96 BW13 BW14 BW18 BW26 BW27 BW29 BW30 BW32 BW37 BW39 BW40 BW44 BW45 BW46 BW47 BW48 BW49 BW50 BW51 BW52 BW53 BW54 BW55 BW56 BW57 BW58 BW59 BW61 BW65 BW67 BW68 BW71 BW73 BW77 BW78 BW79 BW80 BW81 BW82 BW83 BW84 BW85 BW86 BW87 BW88 BW89 BW90 BW91 BW92 BW93 BW94 BW96 BY13 BY14 BY18 BY26 BY27 BY29 BY30 BY32 BY37 BY39 BY40 BY44 BY45 BY46 BY47 BY48 BY49 BY50 BY51 BY52 BY53 BY54 BY55 BY56 BY57 BY58 BY59 BY61 BY65 BY67 BY68 BY71 BY73 BY77 BY78 BY79 BY80 BY81 BY82 BY83 BY84 BY85 BY86 BY87 BY88 BY89 BY90 BY91 BY92 BY93 BY94 BY96 CA13 CA14 CA18 CA26 CA27 CA29 CA30 CA32 CA37 CA39 CA40 CA44 CA45 CA46 CA47 CA48 CA49 CA50 CA51 CA52 CA53 CA54 CA55 CA56 CA57 CA58 CA59 CA61 CA65 CA67 CA68 CA71 CA73 CA77 CA78 CA79 CA80 CA81 CA82 CA83 CA84 CA85 CA86 CA87 CA88 CA89 CA90 CA91 CA92 CA93 CA94 CA96 CC13 CC14 CC18 CC26 CC27 CC29 CC30 CC32 CC37 CC39 CC40 CC44 CC45 CC46 CC47 CC48 CC49 CC50 CC51 CC52 CC53 CC54 CC55 CC56 CC57 CC58 CC59 CC61 CC65 CC67 CC68 CC71 CC73 CC77 CC78 CC79 CC80 CC81 CC82 CC83 CC84 CC85 CC86 CC87 CC88 CC89 CC90 CC91 CC92 CC93 CC94 CC96 CE13 CE14 CE18 CE26 CE27 CE29 CE30 CE32 CE37 CE39 CE40 CE44 CE45 CE46 CE47 CE48 CE49 CE50 CE51 CE52 CE53 CE54 CE55 CE56 CE57 CE58 CE59 CE61 CE65 CE67 CE68 CE71 CE73 CE77 CE78 CE79 CE80 CE81 CE82 CE83 CE84 CE85 CE86 CE87 CE88 CE89 CE90 CE91 CE92 CE93 CE94 CE96 CG13 CG14 CG18 CG26 CG27 CG29 CG30 CG32 CG37 CG39 CG40 CG44 CG45 CG46 CG47 CG48 CG49 CG50 CG51 CG52 CG53 CG54 CG55 CG56 CG57 CG58 CG59 CG61 CG65 CG67 CG68 CG71 CG73 CG77 CG78 CG79 CG80 CG81 CG82 CG83 CG84 CG85 CG86 CG87 CG88 CG89 CG90 CG91 CG92 CG93 CG94 CG96 CI13 CI14 CI18 CI26 CI27 CI29 CI30 CI32 CI37 CI39 CI40 CI44 CI45 CI46 CI47 CI48 CI49 CI50 CI51 CI52 CI53 CI54 CI55 CI56 CI57 CI58 CI59 CI61 CI65 CI67 CI68 CI71 CI73 CI77 CI78 CI79 CI80 CI81 CI82 CI83 CI84 CI85 CI86 CI87 CI88 CI89 CI90 CI91 CI92 CI93 CI94 CI96 CK13 CK14 CK18 CK26 CK27 CK29 CK30 CK32 CK37 CK39 CK40 CK44 CK45 CK46 CK47 CK48 CK49 CK50 CK51 CK52 CK53 CK54 CK55 CK56 CK57 CK58 CK59 CK61 CK65 CK67 CK68 CK71 CK73 CK77 CK78 CK79 CK80 CK81 CK82 CK83 CK84 CK85 CK86 CK87 CK88 CK89 CK90 CK91 CK92 CK93 CK94 CK96 CM13 CM14 CM18 CM26 CM27 CM29 CM30 CM32 CM37 CM39 CM40 CM44 CM45 CM46 CM47 CM48 CM49 CM50 CM51 CM52 CM53 CM54 CM55 CM56 CM57 CM58 CM59 CM61 CM65 CM67 CM68 CM71 CM73 CM77 CM78 CM79 CM80 CM81 CM82 CM83 CM84 CM85 CM86 CM87 CM88 CM89 CM90 CM91 CM92 CM93 CM94 CM96 CO13 CO14 CO18 CO26 CO27 CO29 CO30 CO32 CO37 CO39 CO40 CO44 CO45 CO46 CO47 CO48 CO49 CO50 CO51 CO52 CO53 CO54 CO55 CO56 CO57 CO58 CO59 CO61 CO65 CO67 CO68 CO71 CO73 CO77 CO78 CO79 CO80 CO81 CO82 CO83 CO84 CO85 CO86 CO87 CO88 CO89 CO90 CO91 CO92 CO93 CO94 CO96 CQ13 CQ14 CQ18 CQ26 CQ27 CQ29 CQ30 CQ32 CQ37 CQ39 CQ40 CQ44 CQ45 CQ46 CQ47 CQ48 CQ49 CQ50 CQ51 CQ52 CQ53 CQ54 CQ55 CQ56 CQ57 CQ58 CQ59 CQ61 CQ65 CQ67 CQ68 CQ71 CQ73 CQ77 CQ78 CQ79 CQ80 CQ81 CQ82 CQ83 CQ84 CQ85 CQ86 CQ87 CQ88 CQ89 CQ90 CQ91 CQ92 CQ93 CQ94 CQ96 CS13 CS14 CS18 CS26 CS27 CS29 CS30 CS32 CS37 CS39 CS40 CS44 CS45 CS46 CS47 CS48 CS49 CS50 CS51 CS52 CS53 CS54 CS55 CS56 CS57 CS58 CS59 CS61 CS65 CS67 CS68 CS71 CS73 CS77 CS78 CS79 CS80 CS81 CS82 CS83 CS84 CS85 CS86 CS87 CS88 CS89 CS90 CS91 CS92 CS93 CS94 CS96 CU13 CU14 CU18 CU26 CU27 CU29 CU30 CU32 CU37 CU39 CU40 CU44 CU45 CU46 CU47 CU48 CU49 CU50 CU51 CU52 CU53 CU54 CU55 CU56 CU57 CU58 CU59 CU61 CU65 CU67 CU68 CU71 CU73 CU77 CU78 CU79 CU80 CU81 CU82 CU83 CU84 CU85 CU86 CU87 CU88 CU89 CU90 CU91 CU92 CU93 CU94 CU96 CW13 CW14 CW18 CW26 CW27 CW29 CW30 CW32 CW37 CW39 CW40 CW44 CW45 CW46 CW47 CW48 CW49 CW50 CW51 CW52 CW53 CW54 CW55 CW56 CW57 CW58 CW59 CW61 CW65 CW67 CW68 CW71 CW73 CW77 CW78 CW79 CW80 CW81 CW82 CW83 CW84 CW85 CW86 CW87 CW88 CW89 CW90 CW91 CW92 CW93 CW94 CW96 CY13 CY14 CY18 CY26 CY27 CY29 CY30 CY32 CY37 CY39 CY40 CY44 CY45 CY46 CY47 CY48 CY49 CY50 CY51 CY52 CY53 CY54 CY55 CY56 CY57 CY58 CY59 CY61 CY65 CY67 CY68 CY71 CY73 CY77 CY78 CY79 CY80 CY81 CY82 CY83 CY84 CY85 CY86 CY87 CY88 CY89 CY90 CY91 CY92 CY93 CY94 CY96 DA13 DA14 DA18 DA26 DA27 DA29 DA30 DA32 DA37 DA39 DA40 DA44 DA45 DA46 DA47 DA48 DA49 DA50 DA51 DA52 DA53 DA54 DA55 DA56 DA57 DA58 DA59 DA61 DA65 DA67 DA68 DA71 DA73 DA77 DA78 DA79 DA80 DA81 DA82 DA83 DA84 DA85 DA86 DA87 DA88 DA89 DA90 DA91 DA92 DA93 DA94 DA96 DC13 DC14 DC18 DC26 DC27 DC29 DC30 DC32 DC37 DC39 DC40 DC44 DC45 DC46 DC47 DC48 DC49 DC50 DC51 DC52 DC53 DC54 DC55 DC56 DC57 DC58 DC59 DC61 DC65 DC67 DC68 DC71 DC73 DC77 DC78 DC79 DC80 DC81 DC82 DC83 DC84 DC85 DC86 DC87 DC88 DC89 DC90 DC91 DC92 DC93 DC94 DC96 DE13 DE14 DE18 DE26 DE27 DE29 DE30 DE32 DE37 DE39 DE40 DE44 DE45 DE46 DE47 DE48 DE49 DE50 DE51 DE52 DE53 DE54 DE55 DE56 DE57 DE58 DE59 DE61 DE65 DE67 DE68 DE71 DE73 DE77 DE78 DE79 DE80 DE81 DE82 DE83 DE84 DE85 DE86 DE87 DE88 DE89 DE90 DE91 DE92 DE93 DE94 DE96 DG13 DG14 DG18 DG26 DG27 DG29 DG30 DG32 DG37 DG39 DG40 DG44 DG45 DG46 DG47 DG48 DG49 DG50 DG51 DG52 DG53 DG54 DG55 DG56 DG57 DG58 DG59 DG61 DG65 DG67 DG68 DG71 DG73 DG77 DG78 DG79 DG80 DG81 DG82 DG83 DG84 DG85 DG86 DG87 DG88 DG89 DG90 DG91 DG92 DG93 DG94 DG96 DI13 DI14 DI18 DI26 DI27 DI29 DI30 DI32 DI37 DI39 DI40 DI44 DI45 DI46 DI47 DI48 DI49 DI50 DI51 DI52 DI53 DI54 DI55 DI56 DI57 DI58 DI59 DI61 DI65 DI67 DI68 DI71 DI73 DI77 DI78 DI79 DI80 DI81 DI82 DI83 DI84 DI85 DI86 DI87 DI88 DI89 DI90 DI91 DI92 DI93 DI94 DI96 DK13 DK14 DK18 DK26 DK27 DK29 DK30 DK32 DK37 DK39 DK40 DK44 DK45 DK46 DK47 DK48 DK49 DK50 DK51 DK52 DK53 DK54 DK55 DK56 DK57 DK58 DK59 DK61 DK65 DK67 DK68 DK71 DK73 DK77 DK78 DK79 DK80 DK81 DK82 DK83 DK84 DK85 DK86 DK87 DK88 DK89 DK90 DK91 DK92 DK93 DK94 DK96 DM13 DM14 DM18 DM26 DM27 DM29 DM30 DM32 DM37 DM39 DM40 DM44 DM45 DM46 DM47 DM48 DM49 DM50 DM51 DM52 DM53 DM54 DM55 DM56 DM57 DM58 DM59 DM61 DM65 DM67 DM68 DM71 DM73 DM77 DM78 DM79 DM80 DM81 DM82 DM83 DM84 DM85 DM86 DM87 DM88 DM89 DM90 DM91 DM92 DM93 DM94 DM96 DO13 DO14 DO18 DO26 DO27 DO29 DO30 DO32 DO37 DO39 DO40 DO44 DO45 DO46 DO47 DO48 DO49 DO50 DO51 DO52 DO53 DO54 DO55 DO56 DO57 DO58 DO59 DO61 DO65 DO67 DO68 DO71 DO73 DO77 DO78 DO79 DO80 DO81 DO82 DO83 DO84 DO85 DO86 DO87 DO88 DO89 DO90 DO91 DO92 DO93 DO94 DO96 DQ13 DQ14 DQ18 DQ26 DQ27 DQ29 DQ30 DQ32 DQ37 DQ39 DQ40 DQ44 DQ45 DQ46 DQ47 DQ48 DQ49 DQ50 DQ51 DQ52 DQ53 DQ54 DQ55 DQ56 DQ57 DQ58 DQ59 DQ61 DQ65 DQ67 DQ68 DQ71 DQ73 DQ77 DQ78 DQ79 DQ80 DQ81 DQ82 DQ83 DQ84 DQ85 DQ86 DQ87 DQ88 DQ89 DQ90 DQ91 DQ92 DQ93 DQ94 DQ96 DS13 DS14 DS18 DS26 DS27 DS29 DS30 DS32 DS37 DS39 DS40 DS44 DS45 DS46 DS47 DS48 DS49 DS50 DS51 DS52 DS53 DS54 DS55 DS56 DS57 DS58 DS59 DS61 DS65 DS67 DS68 DS71 DS73 DS77 DS78 DS79 DS80 DS81 DS82 DS83 DS84 DS85 DS86 DS87 DS88 DS89 DS90 DS91 DS92 DS93 DS94 DS96 DU13 DU14 DU18 DU26 DU27 DU29 DU30 DU32 DU37 DU39 DU40 DU44 DU45 DU46 DU47 DU48 DU49 DU50 DU51 DU52 DU53 DU54 DU55 DU56 DU57 DU58 DU59 DU61 DU65 DU67 DU68 DU71 DU73 DU77 DU78 DU79 DU80 DU81 DU82 DU83 DU84 DU85 DU86 DU87 DU88 DU89 DU90 DU91 DU92 DU93 DU94 DU96 DW13 DW14 DW18 DW26 DW27 DW29 DW30 DW32 DW37 DW39 DW40 DW44 DW45 DW46 DW47 DW48 DW49 DW50 DW51 DW52 DW53 DW54 DW55 DW56 DW57 DW58 DW59 DW61 DW65 DW67 DW68 DW71 DW73 DW77 DW78 DW79 DW80 DW81 DW82 DW83 DW84 DW85 DW86 DW87 DW88 DW89 DW90 DW91 DW92 DW93 DW94 DW96 DY13 DY14 DY18 DY26 DY27 DY29 DY30 DY32 DY37 DY39 DY40 DY44 DY45 DY46 DY47 DY48 DY49 DY50 DY51 DY52 DY53 DY54 DY55 DY56 DY57 DY58 DY59 DY61 DY65 DY67 DY68 DY71 DY73 DY77 DY78 DY79 DY80 DY81 DY82 DY83 DY84 DY85 DY86 DY87 DY88 DY89 DY90 DY91 DY92 DY93 DY94 DY96 EA13 EA14 EA18 EA26 EA27 EA29 EA30 EA32 EA37 EA39 EA40 EA44 EA45 EA46 EA47 EA48 EA49 EA50 EA51 EA52 EA53 EA54 EA55 EA56 EA57 EA58 EA59 EA61 EA65 EA67 EA68 EA71 EA73 EA77 EA78 EA79 EA80 EA81 EA82 EA83 EA84 EA85 EA86 EA87 EA88 EA89 EA90 EA91 EA92 EA93 EA94 EA96 EC13 EC14 EC18 EC26 EC27 EC29 EC30 EC32 EC37 EC39 EC40 EC44 EC45 EC46 EC47 EC48 EC49 EC50 EC51 EC52 EC53 EC54 EC55 EC56 EC57 EC58 EC59 EC61 EC65 EC67 EC68 EC71 EC73 EC77 EC78 EC79 EC80 EC81 EC82 EC83 EC84 EC85 EC86 EC87 EC88 EC89 EC90 EC91 EC92 EC93 EC94 EC96 EE13 EE14 EE18 EE26 EE27 EE29 EE30 EE32 EE37 EE39 EE40 EE44 EE45 EE46 EE47 EE48 EE49 EE50 EE51 EE52 EE53 EE54 EE55 EE56 EE57 EE58 EE59 EE61 EE65 EE67 EE68 EE71 EE73 EE77 EE78 EE79 EE80 EE81 EE82 EE83 EE84 EE85 EE86 EE87 EE88 EE89 EE90 EE91 EE92 EE93 EE94 EE96 EG13 EG14 EG18 EG26 EG27 EG29 EG30 EG32 EG37 EG39 EG40 EG44 EG45 EG46 EG47 EG48 EG49 EG50 EG51 EG52 EG53 EG54 EG55 EG56 EG57 EG58 EG59 EG61 EG65 EG67 EG68 EG71 EG73 EG77 EG78 EG79 EG80 EG81 EG82 EG83 EG84 EG85 EG86 EG87 EG88 EG89 EG90 EG91 EG92 EG93 EG94 EG96 EI13 EI14 EI18 EI26 EI27 EI29 EI30 EI32 EI37 EI39 EI40 EI44 EI45 EI46 EI47 EI48 EI49 EI50 EI51 EI52 EI53 EI54 EI55 EI56 EI57 EI58 EI59 EI61 EI65 EI67 EI68 EI71 EI73 EI77 EI78 EI79 EI80 EI81 EI82 EI83 EI84 EI85 EI86 EI87 EI88 EI89 EI90 EI91 EI92 EI93 EI94 EI96 EK13 EK14 EK18 EK26 EK27 EK29 EK30 EK32 EK37 EK39 EK40 EK44 EK45 EK46 EK47 EK48 EK49 EK50 EK51 EK52 EK53 EK54 EK55 EK56 EK57 EK58 EK59 EK61 EK65 EK67 EK68 EK71 EK73 EK77 EK78 EK79 EK80 EK81 EK82 EK83 EK84 EK85 EK86 EK87 EK88 EK89 EK90 EK91 EK92 EK93 EK94 EK96 EM13 EM14 EM18 EM26 EM27 EM29 EM30 EM32 EM37 EM39 EM40 EM44 EM45 EM46 EM47 EM48 EM49 EM50 EM51 EM52 EM53 EM54 EM55 EM56 EM57 EM58 EM59 EM61 EM65 EM67 EM68 EM71 EM73 EM77 EM78 EM79 EM80 EM81 EM82 EM83 EM84 EM85 EM86 EM87 EM88 EM89 EM90 EM91 EM92 EM93 EM94 EM96 EO13 EO14 EO18 EO26 EO27 EO29 EO30 EO32 EO37 EO39 EO40 EO44 EO45 EO46 EO47 EO48 EO49 EO50 EO51 EO52 EO53 EO54 EO55 EO56 EO57 EO58 EO59 EO61 EO65 EO67 EO68 EO71 EO73 EO77 EO78 EO79 EO80 EO81 EO82 EO83 EO84 EO85 EO86 EO87 EO88 EO89 EO90 EO91 EO92 EO93 EO94 EO96 EQ13 EQ14 EQ18 EQ26 EQ27 EQ29 EQ30 EQ32 EQ37 EQ39 EQ40 EQ44 EQ45 EQ46 EQ47 EQ48 EQ49 EQ50 EQ51 EQ52 EQ53 EQ54 EQ55 EQ56 EQ57 EQ58 EQ59 EQ61 EQ65 EQ67 EQ68 EQ71 EQ73 EQ77 EQ78 EQ79 EQ80 EQ81 EQ82 EQ83 EQ84 EQ85 EQ86 EQ87 EQ88 EQ89 EQ90 EQ91 EQ92 EQ93 EQ94 EQ96 ES13 ES14 ES18 ES26 ES27 ES29 ES30 ES32 ES37 ES39 ES40 ES44 ES45 ES46 ES47 ES48 ES49 ES50 ES51 ES52 ES53 ES54 ES55 ES56 ES57 ES58 ES59 ES61 ES65 ES67 ES68 ES71 ES73 ES77 ES78 ES79 ES80 ES81 ES82 ES83 ES84 ES85 ES86 ES87 ES88 ES89 ES90 ES91 ES92 ES93 ES94 ES96 EU13 EU14 EU18 EU26 EU27 EU29 EU30 EU32 EU37 EU39 EU40 EU44 EU45 EU46 EU47 EU48 EU49 EU50 EU51 EU52 EU53 EU54 EU55 EU56 EU57 EU58 EU59 EU61 EU65 EU67 EU68 EU71 EU73 EU77 EU78 EU79 EU80 EU81 EU82 EU83 EU84 EU85 EU86 EU87 EU88 EU89 EU90 EU91 EU92 EU93 EU94 EU96 EW13 EW14 EW18 EW26 EW27 EW29 EW30 EW32 EW37 EW39 EW40 EW44 EW45 EW46 EW47 EW48 EW49 EW50 EW51 EW52 EW53 EW54 EW55 EW56 EW57 EW58 EW59 EW61 EW65 EW67 EW68 EW71 EW73 EW77 EW78 EW79 EW80 EW81 EW82 EW83 EW84 EW85 EW86 EW87 EW88 EW89 EW90 EW91 EW92 EW93 EW94 EW96 EY13 EY14 EY18 EY26 EY27 EY29 EY30 EY32 EY37 EY39 EY40 EY44 EY45 EY46 EY47 EY48 EY49 EY50 EY51 EY52 EY53 EY54 EY55 EY56 EY57 EY58 EY59 EY61 EY65 EY67 EY68 EY71 EY73 EY77 EY78 EY79 EY80 EY81 EY82 EY83 EY84 EY85 EY86 EY87 EY88 EY89 EY90 EY91 EY92 EY93 EY94 EY96 FA13 FA14 FA18 FA26 FA27 FA29 FA30 FA32 FA37 FA39 FA40 FA44 FA45 FA46 FA47 FA48 FA49 FA50 FA51 FA52 FA53 FA54 FA55 FA56 FA57 FA58 FA59 FA61 FA65 FA67 FA68 FA71 FA73 FA77 FA78 FA79 FA80 FA81 FA82 FA83 FA84 FA85 FA86 FA87 FA88 FA89 FA90 FA91 FA92 FA93 FA94 FA96 FC13 FC14 FC18 FC26 FC27 FC29 FC30 FC32 FC37 FC39 FC40 FC44 FC45 FC46 FC47 FC48 FC49 FC50 FC51 FC52 FC53 FC54 FC55 FC56 FC57 FC58 FC59 FC61 FC65 FC67 FC68 FC71 FC73 FC77 FC78 FC79 FC80 FC81 FC82 FC83 FC84 FC85 FC86 FC87 FC88 FC89 FC90 FC91 FC92 FC93 FC94 FC96 FE13 FE14 FE18 FE26 FE27 FE29 FE30 FE32 FE37 FE39 FE40 FE44 FE45 FE46 FE47 FE48 FE49 FE50 FE51 FE52 FE53 FE54 FE55 FE56 FE57 FE58 FE59 FE61 FE65 FE67 FE68 FE71 FE73 FE77 FE78 FE79 FE80 FE81 FE82 FE83 FE84 FE85 FE86 FE87 FE88 FE89 FE90 FE91 FE92 FE93 FE94 FE96 FG13 FG14 FG18 FG26 FG27 FG29 FG30 FG32 FG37 FG39 FG40 FG44 FG45 FG46 FG47 FG48 FG49 FG50 FG51 FG52 FG53 FG54 FG55 FG56 FG57 FG58 FG59 FG61 FG65 FG67 FG68 FG71 FG73 FG77 FG78 FG79 FG80 FG81 FG82 FG83 FG84 FG85 FG86 FG87 FG88 FG89 FG90 FG91 FG92 FG93 FG94 FG96 FI13 FI14 FI18 FI26 FI27 FI29 FI30 FI32 FI37 FI39 FI40 FI44 FI45 FI46 FI47 FI48 FI49 FI50 FI51 FI52 FI53 FI54 FI55 FI56 FI57 FI58 FI59 FI61 FI65 FI67 FI68 FI71 FI73 FI77 FI78 FI79 FI80 FI81 FI82 FI83 FI84 FI85 FI86 FI87 FI88 FI89 FI90 FI91 FI92 FI93 FI94 FI96 FK13 FK14 FK18 FK26 FK27 FK29 FK30 FK32 FK37 FK39 FK40 FK44 FK45 FK46 FK47 FK48 FK49 FK50 FK51 FK52 FK53 FK54 FK55 FK56 FK57 FK58 FK59 FK61 FK65 FK67 FK68 FK71 FK73 FK77 FK78 FK79 FK80 FK81 FK82 FK83 FK84 FK85 FK86 FK87 FK88 FK89 FK90 FK91 FK92 FK93 FK94 FK96 FM13 FM14 FM18 FM26 FM27 FM29 FM30 FM32 FM37 FM39 FM40 FM44 FM45 FM46 FM47 FM48 FM49 FM50 FM51 FM52 FM53 FM54 FM55 FM56 FM57 FM58 FM59 FM61 FM65 FM67 FM68 FM71 FM73 FM77 FM78 FM79 FM80 FM81 FM82 FM83 FM84 FM85 FM86 FM87 FM88 FM89 FM90 FM91 FM92 FM93 FM94 FM96 FO13 FO14 FO18 FO26 FO27 FO29 FO30 FO32 FO37 FO39 FO40 FO44 FO45 FO46 FO47 FO48 FO49 FO50 FO51 FO52 FO53 FO54 FO55 FO56 FO57 FO58 FO59 FO61 FO65 FO67 FO68 FO71 FO73 FO77 FO78 FO79 FO80 FO81 FO82 FO83 FO84 FO85 FO86 FO87 FO88 FO89 FO90 FO91 FO92 FO93 FO94 FO96 FQ13 FQ14 FQ18 FQ26 FQ27 FQ29 FQ30 FQ32 FQ37 FQ39 FQ40 FQ44 FQ45 FQ46 FQ47 FQ48 FQ49 FQ50 FQ51 FQ52 FQ53 FQ54 FQ55 FQ56 FQ57 FQ58 FQ59 FQ61 FQ65 FQ67 FQ68 FQ71 FQ73 FQ77 FQ78 FQ79 FQ80 FQ81 FQ82 FQ83 FQ84 FQ85 FQ86 FQ87 FQ88 FQ89 FQ90 FQ91 FQ92 FQ93 FQ94 FQ96 FS13 FS14 FS18 FS26 FS27 FS29 FS30 FS32 FS37 FS39 FS40 FS44 FS45 FS46 FS47 FS48 FS49 FS50 FS51 FS52 FS53 FS54 FS55 FS56 FS57 FS58 FS59 FS61 FS65 FS67 FS68 FS71 FS73 FS77 FS78 FS79 FS80 FS81 FS82 FS83 FS84 FS85 FS86 FS87 FS88 FS89 FS90 FS91 FS92 FS93 FS94 FS96 FU13 FU14 FU18 FU26 FU27 FU29 FU30 FU32 FU37 FU39 FU40 FU44 FU45 FU46 FU47 FU48 FU49 FU50 FU51 FU52 FU53 FU54 FU55 FU56 FU57 FU58 FU59 FU61 FU65 FU67 FU68 FU71 FU73 FU77 FU78 FU79 FU80 FU81 FU82 FU83 FU84 FU85 FU86 FU87 FU88 FU89 FU90 FU91 FU92 FU93 FU94 FU96 FW13 FW14 FW18 FW26 FW27 FW29 FW30 FW32 FW37 FW39 FW40 FW44 FW45 FW46 FW47 FW48 FW49 FW50 FW51 FW52 FW53 FW54 FW55 FW56 FW57 FW58 FW59 FW61 FW65 FW67 FW68 FW71 FW73 FW77 FW78 FW79 FW80 FW81 FW82 FW83 FW84 FW85 FW86 FW87 FW88 FW89 FW90 FW91 FW92 FW93 FW94 FW96 FY13 FY14 FY18 FY26 FY27 FY29 FY30 FY32 FY37 FY39 FY40 FY44 FY45 FY46 FY47 FY48 FY49 FY50 FY51 FY52 FY53 FY54 FY55 FY56 FY57 FY58 FY59 FY61 FY65 FY67 FY68 FY71 FY73 FY77 FY78 FY79 FY80 FY81 FY82 FY83 FY84 FY85 FY86 FY87 FY88 FY89 FY90 FY91 FY92 FY93 FY94 FY96 GA13 GA14 GA18 GA26 GA27 GA29 GA30 GA32 GA37 GA39 GA40 GA44 GA45 GA46 GA47 GA48 GA49 GA50 GA51 GA52 GA53 GA54 GA55 GA56 GA57 GA58 GA59 GA61 GA65 GA67 GA68 GA71 GA73 GA77 GA78 GA79 GA80 GA81 GA82 GA83 GA84 GA85 GA86 GA87 GA88 GA89 GA90 GA91 GA92 GA93 GA94 GA96 GC13 GC14 GC18 GC26 GC27 GC29 GC30 GC32 GC37 GC39 GC40 GC44 GC45 GC46 GC47 GC48 GC49 GC50 GC51 GC52 GC53 GC54 GC55 GC56 GC57 GC58 GC59 GC61 GC65 GC67 GC68 GC71 GC73 GC77 GC78 GC79 GC80 GC81 GC82 GC83 GC84 GC85 GC86 GC87 GC88 GC89 GC90 GC91 GC92 GC93 GC94 GC96 GE13 GE14 GE18 GE26 GE27 GE29 GE30 GE32 GE37 GE39 GE40 GE44 GE45 GE46 GE47 GE48 GE49 GE50 GE51 GE52 GE53 GE54 GE55 GE56 GE57 GE58 GE59 GE61 GE65 GE67 GE68 GE71 GE73 GE77 GE78 GE79 GE80 GE81 GE82 GE83 GE84 GE85 GE86 GE87 GE88 GE89 GE90 GE91 GE92 GE93 GE94 GE96 GG13 GG14 GG18 GG26 GG27 GG29 GG30 GG32 GG37 GG39 GG40 GG44 GG45 GG46 GG47 GG48 GG49 GG50 GG51 GG52 GG53 GG54 GG55 GG56 GG57 GG58 GG59 GG61 GG65 GG67 GG68 GG71 GG73 GG77 GG78 GG79 GG80 GG81 GG82 GG83 GG84 GG85 GG86 GG87 GG88 GG89 GG90 GG91 GG92 GG93 GG94 GG96 GI13 GI14 GI18 GI26 GI27 GI29 GI30 GI32 GI37 GI39 GI40 GI44 GI45 GI46 GI47 GI48 GI49 GI50 GI51 GI52 GI53 GI54 GI55 GI56 GI57 GI58 GI59 GI61 GI65 GI67 GI68 GI71 GI73 GI77 GI78 GI79 GI80 GI81 GI82 GI83 GI84 GI85 GI86 GI87 GI88 GI89 GI90 GI91 GI92 GI93 GI94 GI96 GK13 GK14 GK18 GK26 GK27 GK29 GK30 GK32 GK37 GK39 GK40 GK44 GK45 GK46 GK47 GK48 GK49 GK50 GK51 GK52 GK53 GK54 GK55 GK56 GK57 GK58 GK59 GK61 GK65 GK67 GK68 GK71 GK73 GK77 GK78 GK79 GK80 GK81 GK82 GK83 GK84 GK85 GK86 GK87 GK88 GK89 GK90 GK91 GK92 GK93 GK94 GK96" xr:uid="{00000000-0002-0000-24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DA16 DA17 DC16 DC17 DE16 DE17 DG16 DG17 DI16 DI17 DK16 DK17 DM16 DM17 DO16 DO17 DQ16 DQ17 DS16 DS17 DU16 DU17 DW16 DW17 DY16 DY17 EA16 EA17 EC16 EC17 EE16 EE17 EG16 EG17 EI16 EI17 EK16 EK17 EM16 EM17 EO16 EO17 EQ16 EQ17 ES16 ES17 EU16 EU17 EW16 EW17 EY16 EY17 FA16 FA17 FC16 FC17 FE16 FE17 FG16 FG17 FI16 FI17 FK16 FK17 FM16 FM17 FO16 FO17 FQ16 FQ17 FS16 FS17 FU16 FU17 FW16 FW17 FY16 FY17 GA16 GA17 GC16 GC17 GE16 GE17 GG16 GG17 GI16 GI17 GK16 GK17" xr:uid="{00000000-0002-0000-24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DB26:DB27 DD26:DD27 DF26:DF27 DH26:DH27 DJ26:DJ27 DL26:DL27 DN26:DN27 DP26:DP27 DR26:DR27 DT26:DT27 DV26:DV27 DX26:DX27 DZ26:DZ27 EB26:EB27 ED26:ED27 EF26:EF27 EH26:EH27 EJ26:EJ27 EL26:EL27 EN26:EN27 EP26:EP27 ER26:ER27 ET26:ET27 EV26:EV27 EX26:EX27 EZ26:EZ27 FB26:FB27 FD26:FD27 FF26:FF27 FH26:FH27 FJ26:FJ27 FL26:FL27 FN26:FN27 FP26:FP27 FR26:FR27 FT26:FT27 FV26:FV27 FX26:FX27 FZ26:FZ27 GB26:GB27 GD26:GD27 GF26:GF27 GH26:GH27 GJ26:GJ27 GL26:GL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DB15:DB18 DD15:DD18 DF15:DF18 DH15:DH18 DJ15:DJ18 DL15:DL18 DN15:DN18 DP15:DP18 DR15:DR18 DT15:DT18 DV15:DV18 DX15:DX18 DZ15:DZ18 EB15:EB18 ED15:ED18 EF15:EF18 EH15:EH18 EJ15:EJ18 EL15:EL18 EN15:EN18 EP15:EP18 ER15:ER18 ET15:ET18 EV15:EV18 EX15:EX18 EZ15:EZ18 FB15:FB18 FD15:FD18 FF15:FF18 FH15:FH18 FJ15:FJ18 FL15:FL18 FN15:FN18 FP15:FP18 FR15:FR18 FT15:FT18 FV15:FV18 FX15:FX18 FZ15:FZ18 GB15:GB18 GD15:GD18 GF15:GF18 GH15:GH18 GJ15:GJ18 GL15:GL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DB21:DB22 DD21:DD22 DF21:DF22 DH21:DH22 DJ21:DJ22 DL21:DL22 DN21:DN22 DP21:DP22 DR21:DR22 DT21:DT22 DV21:DV22 DX21:DX22 DZ21:DZ22 EB21:EB22 ED21:ED22 EF21:EF22 EH21:EH22 EJ21:EJ22 EL21:EL22 EN21:EN22 EP21:EP22 ER21:ER22 ET21:ET22 EV21:EV22 EX21:EX22 EZ21:EZ22 FB21:FB22 FD21:FD22 FF21:FF22 FH21:FH22 FJ21:FJ22 FL21:FL22 FN21:FN22 FP21:FP22 FR21:FR22 FT21:FT22 FV21:FV22 FX21:FX22 FZ21:FZ22 GB21:GB22 GD21:GD22 GF21:GF22 GH21:GH22 GJ21:GJ22 GL21:GL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DB29:DB30 DD29:DD30 DF29:DF30 DH29:DH30 DJ29:DJ30 DL29:DL30 DN29:DN30 DP29:DP30 DR29:DR30 DT29:DT30 DV29:DV30 DX29:DX30 DZ29:DZ30 EB29:EB30 ED29:ED30 EF29:EF30 EH29:EH30 EJ29:EJ30 EL29:EL30 EN29:EN30 EP29:EP30 ER29:ER30 ET29:ET30 EV29:EV30 EX29:EX30 EZ29:EZ30 FB29:FB30 FD29:FD30 FF29:FF30 FH29:FH30 FJ29:FJ30 FL29:FL30 FN29:FN30 FP29:FP30 FR29:FR30 FT29:FT30 FV29:FV30 FX29:FX30 FZ29:FZ30 GB29:GB30 GD29:GD30 GF29:GF30 GH29:GH30 GJ29:GJ30 GL29:GL30 J24 L24 N24 P24 R24 T24 V24 X24 Z24 AB24 AD24 AF24 AH24 AJ24 AL24 AN24 AP24 AR24 AT24 AV24 AX24 AZ24 BB24 BD24 BF24 BH24 BJ24 BL24 BN24 BP24 BR24 BT24 BV24 BX24 BZ24 CB24 CD24 CF24 CH24 CJ24 CL24 CN24 CP24 CR24 CT24 CV24 CX24 CZ24 DB24 DD24 DF24 DH24 DJ24 DL24 DN24 DP24 DR24 DT24 DV24 DX24 DZ24 EB24 ED24 EF24 EH24 EJ24 EL24 EN24 EP24 ER24 ET24 EV24 EX24 EZ24 FB24 FD24 FF24 FH24 FJ24 FL24 FN24 FP24 FR24 FT24 FV24 FX24 FZ24 GB24 GD24 GF24 GH24 GJ24 GL24" xr:uid="{00000000-0002-0000-24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6D70E-4AAF-9FF1-EFC1-6D2C0516B902}">
  <sheetPr>
    <tabColor rgb="FFE26B0A"/>
  </sheetPr>
  <dimension ref="A1:GW39"/>
  <sheetViews>
    <sheetView showGridLines="0" topLeftCell="C21" zoomScale="90" workbookViewId="0">
      <selection activeCell="GK38" sqref="GK38"/>
    </sheetView>
  </sheetViews>
  <sheetFormatPr defaultColWidth="10.5703125" defaultRowHeight="15" customHeight="1"/>
  <cols>
    <col min="1" max="1" width="9.140625" style="1926" hidden="1" customWidth="1"/>
    <col min="2" max="2" width="9.140625" style="1910" hidden="1" customWidth="1"/>
    <col min="3" max="3" width="4.7109375" style="1921" customWidth="1"/>
    <col min="4" max="4" width="6.28515625" style="1910" customWidth="1"/>
    <col min="5" max="5" width="36.7109375" style="1910" customWidth="1"/>
    <col min="6" max="6" width="9.5703125" style="1910" customWidth="1"/>
    <col min="7" max="7" width="25.7109375" style="1910" hidden="1" customWidth="1"/>
    <col min="8" max="8" width="33.7109375" style="1910" hidden="1" customWidth="1"/>
    <col min="9" max="9" width="25.7109375" style="1910" customWidth="1"/>
    <col min="10" max="10" width="33.7109375" style="1910" customWidth="1"/>
    <col min="11" max="11" width="25.7109375" style="1910" customWidth="1"/>
    <col min="12" max="12" width="33.7109375" style="1910" customWidth="1"/>
    <col min="13" max="13" width="25.7109375" style="1910" customWidth="1"/>
    <col min="14" max="14" width="33.7109375" style="1910" customWidth="1"/>
    <col min="15" max="15" width="25.7109375" style="1910" customWidth="1"/>
    <col min="16" max="16" width="33.7109375" style="1910" customWidth="1"/>
    <col min="17" max="17" width="25.7109375" style="1910" customWidth="1"/>
    <col min="18" max="18" width="33.7109375" style="1910" customWidth="1"/>
    <col min="19" max="19" width="25.7109375" style="1910" customWidth="1"/>
    <col min="20" max="20" width="33.7109375" style="1910" customWidth="1"/>
    <col min="21" max="21" width="25.7109375" style="1910" customWidth="1"/>
    <col min="22" max="22" width="33.7109375" style="1910" customWidth="1"/>
    <col min="23" max="23" width="25.7109375" style="1910" customWidth="1"/>
    <col min="24" max="24" width="33.7109375" style="1910" customWidth="1"/>
    <col min="25" max="25" width="25.7109375" style="1910" customWidth="1"/>
    <col min="26" max="26" width="33.7109375" style="1910" customWidth="1"/>
    <col min="27" max="27" width="25.7109375" style="1910" customWidth="1"/>
    <col min="28" max="28" width="33.7109375" style="1910" customWidth="1"/>
    <col min="29" max="29" width="25.7109375" style="1910" customWidth="1"/>
    <col min="30" max="30" width="33.7109375" style="1910" customWidth="1"/>
    <col min="31" max="31" width="25.7109375" style="1910" customWidth="1"/>
    <col min="32" max="32" width="33.7109375" style="1910" customWidth="1"/>
    <col min="33" max="33" width="25.7109375" style="1910" customWidth="1"/>
    <col min="34" max="34" width="33.7109375" style="1910" customWidth="1"/>
    <col min="35" max="35" width="25.7109375" style="1910" customWidth="1"/>
    <col min="36" max="36" width="33.7109375" style="1910" customWidth="1"/>
    <col min="37" max="37" width="25.7109375" style="1910" customWidth="1"/>
    <col min="38" max="38" width="33.7109375" style="1910" customWidth="1"/>
    <col min="39" max="39" width="25.7109375" style="1910" customWidth="1"/>
    <col min="40" max="40" width="33.7109375" style="1910" customWidth="1"/>
    <col min="41" max="41" width="25.7109375" style="1910" customWidth="1"/>
    <col min="42" max="42" width="33.7109375" style="1910" customWidth="1"/>
    <col min="43" max="43" width="25.7109375" style="1910" customWidth="1"/>
    <col min="44" max="44" width="33.7109375" style="1910" customWidth="1"/>
    <col min="45" max="45" width="25.7109375" style="1910" customWidth="1"/>
    <col min="46" max="46" width="33.7109375" style="1910" customWidth="1"/>
    <col min="47" max="47" width="25.7109375" style="1910" customWidth="1"/>
    <col min="48" max="48" width="33.7109375" style="1910" customWidth="1"/>
    <col min="49" max="49" width="25.7109375" style="1910" customWidth="1"/>
    <col min="50" max="50" width="33.7109375" style="1910" customWidth="1"/>
    <col min="51" max="51" width="25.7109375" style="1910" customWidth="1"/>
    <col min="52" max="52" width="33.7109375" style="1910" customWidth="1"/>
    <col min="53" max="53" width="25.7109375" style="1910" customWidth="1"/>
    <col min="54" max="54" width="33.7109375" style="1910" customWidth="1"/>
    <col min="55" max="55" width="25.7109375" style="1910" customWidth="1"/>
    <col min="56" max="56" width="33.7109375" style="1910" customWidth="1"/>
    <col min="57" max="57" width="25.7109375" style="1910" customWidth="1"/>
    <col min="58" max="58" width="33.7109375" style="1910" customWidth="1"/>
    <col min="59" max="59" width="25.7109375" style="1910" customWidth="1"/>
    <col min="60" max="60" width="33.7109375" style="1910" customWidth="1"/>
    <col min="61" max="61" width="25.7109375" style="1910" customWidth="1"/>
    <col min="62" max="62" width="33.7109375" style="1910" customWidth="1"/>
    <col min="63" max="63" width="25.7109375" style="1910" customWidth="1"/>
    <col min="64" max="64" width="33.7109375" style="1910" customWidth="1"/>
    <col min="65" max="65" width="25.7109375" style="1910" customWidth="1"/>
    <col min="66" max="66" width="33.7109375" style="1910" customWidth="1"/>
    <col min="67" max="67" width="25.7109375" style="1910" customWidth="1"/>
    <col min="68" max="68" width="33.7109375" style="1910" customWidth="1"/>
    <col min="69" max="69" width="25.7109375" style="1910" customWidth="1"/>
    <col min="70" max="70" width="33.7109375" style="1910" customWidth="1"/>
    <col min="71" max="71" width="25.7109375" style="1910" customWidth="1"/>
    <col min="72" max="72" width="33.7109375" style="1910" customWidth="1"/>
    <col min="73" max="73" width="25.7109375" style="1910" customWidth="1"/>
    <col min="74" max="74" width="33.7109375" style="1910" customWidth="1"/>
    <col min="75" max="75" width="25.7109375" style="1910" customWidth="1"/>
    <col min="76" max="76" width="33.7109375" style="1910" customWidth="1"/>
    <col min="77" max="77" width="25.7109375" style="1910" customWidth="1"/>
    <col min="78" max="78" width="33.7109375" style="1910" customWidth="1"/>
    <col min="79" max="79" width="25.7109375" style="1910" customWidth="1"/>
    <col min="80" max="80" width="33.7109375" style="1910" customWidth="1"/>
    <col min="81" max="81" width="25.7109375" style="1910" customWidth="1"/>
    <col min="82" max="82" width="33.7109375" style="1910" customWidth="1"/>
    <col min="83" max="83" width="25.7109375" style="1910" customWidth="1"/>
    <col min="84" max="84" width="33.7109375" style="1910" customWidth="1"/>
    <col min="85" max="85" width="25.7109375" style="1910" customWidth="1"/>
    <col min="86" max="86" width="33.7109375" style="1910" customWidth="1"/>
    <col min="87" max="87" width="25.7109375" style="1910" customWidth="1"/>
    <col min="88" max="88" width="33.7109375" style="1910" customWidth="1"/>
    <col min="89" max="89" width="25.7109375" style="1910" customWidth="1"/>
    <col min="90" max="90" width="33.7109375" style="1910" customWidth="1"/>
    <col min="91" max="91" width="25.7109375" style="1910" customWidth="1"/>
    <col min="92" max="92" width="33.7109375" style="1910" customWidth="1"/>
    <col min="93" max="93" width="25.7109375" style="1910" customWidth="1"/>
    <col min="94" max="94" width="33.7109375" style="1910" customWidth="1"/>
    <col min="95" max="95" width="25.7109375" style="1910" customWidth="1"/>
    <col min="96" max="96" width="33.7109375" style="1910" customWidth="1"/>
    <col min="97" max="97" width="25.7109375" style="1910" customWidth="1"/>
    <col min="98" max="98" width="33.7109375" style="1910" customWidth="1"/>
    <col min="99" max="99" width="25.7109375" style="1910" customWidth="1"/>
    <col min="100" max="100" width="33.7109375" style="1910" customWidth="1"/>
    <col min="101" max="101" width="25.7109375" style="1910" customWidth="1"/>
    <col min="102" max="102" width="33.7109375" style="1910" customWidth="1"/>
    <col min="103" max="103" width="25.7109375" style="1910" customWidth="1"/>
    <col min="104" max="104" width="33.7109375" style="1910" customWidth="1"/>
    <col min="105" max="105" width="25.7109375" style="1910" customWidth="1"/>
    <col min="106" max="106" width="33.7109375" style="1910" customWidth="1"/>
    <col min="107" max="107" width="25.7109375" style="1910" customWidth="1"/>
    <col min="108" max="108" width="33.7109375" style="1910" customWidth="1"/>
    <col min="109" max="109" width="25.7109375" style="1910" customWidth="1"/>
    <col min="110" max="110" width="33.7109375" style="1910" customWidth="1"/>
    <col min="111" max="111" width="25.7109375" style="1910" customWidth="1"/>
    <col min="112" max="112" width="33.7109375" style="1910" customWidth="1"/>
    <col min="113" max="113" width="25.7109375" style="1910" customWidth="1"/>
    <col min="114" max="114" width="33.7109375" style="1910" customWidth="1"/>
    <col min="115" max="115" width="25.7109375" style="1910" customWidth="1"/>
    <col min="116" max="116" width="33.7109375" style="1910" customWidth="1"/>
    <col min="117" max="117" width="25.7109375" style="1910" customWidth="1"/>
    <col min="118" max="118" width="33.7109375" style="1910" customWidth="1"/>
    <col min="119" max="119" width="25.7109375" style="1910" customWidth="1"/>
    <col min="120" max="120" width="33.7109375" style="1910" customWidth="1"/>
    <col min="121" max="121" width="25.7109375" style="1910" customWidth="1"/>
    <col min="122" max="122" width="33.7109375" style="1910" customWidth="1"/>
    <col min="123" max="123" width="25.7109375" style="1910" customWidth="1"/>
    <col min="124" max="124" width="33.7109375" style="1910" customWidth="1"/>
    <col min="125" max="125" width="25.7109375" style="1910" customWidth="1"/>
    <col min="126" max="126" width="33.7109375" style="1910" customWidth="1"/>
    <col min="127" max="127" width="25.7109375" style="1910" customWidth="1"/>
    <col min="128" max="128" width="33.7109375" style="1910" customWidth="1"/>
    <col min="129" max="129" width="25.7109375" style="1910" customWidth="1"/>
    <col min="130" max="130" width="33.7109375" style="1910" customWidth="1"/>
    <col min="131" max="131" width="25.7109375" style="1910" customWidth="1"/>
    <col min="132" max="132" width="33.7109375" style="1910" customWidth="1"/>
    <col min="133" max="133" width="25.7109375" style="1910" customWidth="1"/>
    <col min="134" max="134" width="33.7109375" style="1910" customWidth="1"/>
    <col min="135" max="135" width="25.7109375" style="1910" customWidth="1"/>
    <col min="136" max="136" width="33.7109375" style="1910" customWidth="1"/>
    <col min="137" max="137" width="25.7109375" style="1910" customWidth="1"/>
    <col min="138" max="138" width="33.7109375" style="1910" customWidth="1"/>
    <col min="139" max="139" width="25.7109375" style="1910" customWidth="1"/>
    <col min="140" max="140" width="33.7109375" style="1910" customWidth="1"/>
    <col min="141" max="141" width="25.7109375" style="1910" customWidth="1"/>
    <col min="142" max="142" width="33.7109375" style="1910" customWidth="1"/>
    <col min="143" max="143" width="25.7109375" style="1910" customWidth="1"/>
    <col min="144" max="144" width="33.7109375" style="1910" customWidth="1"/>
    <col min="145" max="145" width="25.7109375" style="1910" customWidth="1"/>
    <col min="146" max="146" width="33.7109375" style="1910" customWidth="1"/>
    <col min="147" max="147" width="25.7109375" style="1910" customWidth="1"/>
    <col min="148" max="148" width="33.7109375" style="1910" customWidth="1"/>
    <col min="149" max="149" width="25.7109375" style="1910" customWidth="1"/>
    <col min="150" max="150" width="33.7109375" style="1910" customWidth="1"/>
    <col min="151" max="151" width="25.7109375" style="1910" customWidth="1"/>
    <col min="152" max="152" width="33.7109375" style="1910" customWidth="1"/>
    <col min="153" max="153" width="25.7109375" style="1910" customWidth="1"/>
    <col min="154" max="154" width="33.7109375" style="1910" customWidth="1"/>
    <col min="155" max="155" width="25.7109375" style="1910" customWidth="1"/>
    <col min="156" max="156" width="33.7109375" style="1910" customWidth="1"/>
    <col min="157" max="157" width="25.7109375" style="1910" customWidth="1"/>
    <col min="158" max="158" width="33.7109375" style="1910" customWidth="1"/>
    <col min="159" max="159" width="25.7109375" style="1910" customWidth="1"/>
    <col min="160" max="160" width="33.7109375" style="1910" customWidth="1"/>
    <col min="161" max="161" width="25.7109375" style="1910" customWidth="1"/>
    <col min="162" max="162" width="33.7109375" style="1910" customWidth="1"/>
    <col min="163" max="163" width="25.7109375" style="1910" customWidth="1"/>
    <col min="164" max="164" width="33.7109375" style="1910" customWidth="1"/>
    <col min="165" max="165" width="25.7109375" style="1910" customWidth="1"/>
    <col min="166" max="166" width="33.7109375" style="1910" customWidth="1"/>
    <col min="167" max="167" width="25.7109375" style="1910" customWidth="1"/>
    <col min="168" max="168" width="33.7109375" style="1910" customWidth="1"/>
    <col min="169" max="169" width="25.7109375" style="1910" customWidth="1"/>
    <col min="170" max="170" width="33.7109375" style="1910" customWidth="1"/>
    <col min="171" max="171" width="25.7109375" style="1910" customWidth="1"/>
    <col min="172" max="172" width="33.7109375" style="1910" customWidth="1"/>
    <col min="173" max="173" width="25.7109375" style="1910" customWidth="1"/>
    <col min="174" max="174" width="33.7109375" style="1910" customWidth="1"/>
    <col min="175" max="175" width="25.7109375" style="1910" customWidth="1"/>
    <col min="176" max="176" width="33.7109375" style="1910" customWidth="1"/>
    <col min="177" max="177" width="25.7109375" style="1910" customWidth="1"/>
    <col min="178" max="178" width="33.7109375" style="1910" customWidth="1"/>
    <col min="179" max="179" width="25.7109375" style="1910" customWidth="1"/>
    <col min="180" max="180" width="33.7109375" style="1910" customWidth="1"/>
    <col min="181" max="181" width="25.7109375" style="1910" customWidth="1"/>
    <col min="182" max="182" width="33.7109375" style="1910" customWidth="1"/>
    <col min="183" max="183" width="25.7109375" style="1910" customWidth="1"/>
    <col min="184" max="184" width="33.7109375" style="1910" customWidth="1"/>
    <col min="185" max="185" width="25.7109375" style="1910" customWidth="1"/>
    <col min="186" max="186" width="33.7109375" style="1910" customWidth="1"/>
    <col min="187" max="187" width="25.7109375" style="1910" customWidth="1"/>
    <col min="188" max="188" width="33.7109375" style="1910" customWidth="1"/>
    <col min="189" max="189" width="25.7109375" style="1910" customWidth="1"/>
    <col min="190" max="190" width="33.7109375" style="1910" customWidth="1"/>
    <col min="191" max="191" width="25.7109375" style="1910" customWidth="1"/>
    <col min="192" max="192" width="33.7109375" style="1910" customWidth="1"/>
    <col min="193" max="193" width="25.7109375" style="1910" customWidth="1"/>
    <col min="194" max="194" width="33.7109375" style="1910" customWidth="1"/>
    <col min="195" max="195" width="93.42578125" style="1903" customWidth="1"/>
    <col min="196" max="204" width="10.5703125" style="1910"/>
    <col min="205" max="205" width="10.5703125" style="1911"/>
  </cols>
  <sheetData>
    <row r="1" spans="1:205" s="1903" customFormat="1" ht="15" hidden="1" customHeight="1">
      <c r="C1" s="564"/>
      <c r="G1" s="324">
        <v>4</v>
      </c>
      <c r="I1" s="324">
        <v>4</v>
      </c>
      <c r="K1" s="1903">
        <v>4</v>
      </c>
      <c r="M1" s="1903">
        <v>4</v>
      </c>
      <c r="O1" s="1903">
        <v>4</v>
      </c>
      <c r="Q1" s="1903">
        <v>4</v>
      </c>
      <c r="S1" s="1903">
        <v>4</v>
      </c>
      <c r="U1" s="1903">
        <v>4</v>
      </c>
      <c r="W1" s="1903">
        <v>4</v>
      </c>
      <c r="Y1" s="1903">
        <v>4</v>
      </c>
      <c r="AA1" s="1903">
        <v>4</v>
      </c>
      <c r="AC1" s="1903">
        <v>4</v>
      </c>
      <c r="AE1" s="1903">
        <v>4</v>
      </c>
      <c r="AG1" s="1903">
        <v>4</v>
      </c>
      <c r="AI1" s="1903">
        <v>4</v>
      </c>
      <c r="AK1" s="1903">
        <v>4</v>
      </c>
      <c r="AM1" s="1903">
        <v>4</v>
      </c>
      <c r="AO1" s="1903">
        <v>4</v>
      </c>
      <c r="AQ1" s="1903">
        <v>4</v>
      </c>
      <c r="AS1" s="1903">
        <v>4</v>
      </c>
      <c r="AU1" s="1903">
        <v>4</v>
      </c>
      <c r="AW1" s="1903">
        <v>4</v>
      </c>
      <c r="AY1" s="1903">
        <v>4</v>
      </c>
      <c r="BA1" s="1903">
        <v>4</v>
      </c>
      <c r="BC1" s="1903">
        <v>4</v>
      </c>
      <c r="BE1" s="1903">
        <v>4</v>
      </c>
      <c r="BG1" s="1903">
        <v>4</v>
      </c>
      <c r="BI1" s="1903">
        <v>4</v>
      </c>
      <c r="BK1" s="1903">
        <v>4</v>
      </c>
      <c r="BM1" s="1903">
        <v>4</v>
      </c>
      <c r="BO1" s="1903">
        <v>4</v>
      </c>
      <c r="BQ1" s="1903">
        <v>4</v>
      </c>
      <c r="BS1" s="1903">
        <v>4</v>
      </c>
      <c r="BU1" s="1903">
        <v>4</v>
      </c>
      <c r="BW1" s="1903">
        <v>4</v>
      </c>
      <c r="BY1" s="1903">
        <v>4</v>
      </c>
      <c r="CA1" s="1903">
        <v>4</v>
      </c>
      <c r="CC1" s="1903">
        <v>4</v>
      </c>
      <c r="CE1" s="1903">
        <v>4</v>
      </c>
      <c r="CG1" s="1903">
        <v>4</v>
      </c>
      <c r="CI1" s="1903">
        <v>4</v>
      </c>
      <c r="CK1" s="1903">
        <v>4</v>
      </c>
      <c r="CM1" s="1903">
        <v>4</v>
      </c>
      <c r="CO1" s="1903">
        <v>4</v>
      </c>
      <c r="CQ1" s="1903">
        <v>4</v>
      </c>
      <c r="CS1" s="1903">
        <v>4</v>
      </c>
      <c r="CU1" s="1903">
        <v>4</v>
      </c>
      <c r="CW1" s="1903">
        <v>4</v>
      </c>
      <c r="CY1" s="1903">
        <v>4</v>
      </c>
      <c r="DA1" s="1903">
        <v>4</v>
      </c>
      <c r="DC1" s="1903">
        <v>4</v>
      </c>
      <c r="DE1" s="1903">
        <v>4</v>
      </c>
      <c r="DG1" s="1903">
        <v>4</v>
      </c>
      <c r="DI1" s="1903">
        <v>4</v>
      </c>
      <c r="DK1" s="1903">
        <v>4</v>
      </c>
      <c r="DM1" s="1903">
        <v>4</v>
      </c>
      <c r="DO1" s="1903">
        <v>4</v>
      </c>
      <c r="DQ1" s="1903">
        <v>4</v>
      </c>
      <c r="DS1" s="1903">
        <v>4</v>
      </c>
      <c r="DU1" s="1903">
        <v>4</v>
      </c>
      <c r="DW1" s="1903">
        <v>4</v>
      </c>
      <c r="DY1" s="1903">
        <v>4</v>
      </c>
      <c r="EA1" s="1903">
        <v>4</v>
      </c>
      <c r="EC1" s="1903">
        <v>4</v>
      </c>
      <c r="EE1" s="1903">
        <v>4</v>
      </c>
      <c r="EG1" s="1903">
        <v>4</v>
      </c>
      <c r="EI1" s="1903">
        <v>4</v>
      </c>
      <c r="EK1" s="1903">
        <v>4</v>
      </c>
      <c r="EM1" s="1903">
        <v>4</v>
      </c>
      <c r="EO1" s="1903">
        <v>4</v>
      </c>
      <c r="EQ1" s="1903">
        <v>4</v>
      </c>
      <c r="ES1" s="1903">
        <v>4</v>
      </c>
      <c r="EU1" s="1903">
        <v>4</v>
      </c>
      <c r="EW1" s="1903">
        <v>4</v>
      </c>
      <c r="EY1" s="1903">
        <v>4</v>
      </c>
      <c r="FA1" s="1903">
        <v>4</v>
      </c>
      <c r="FC1" s="1903">
        <v>4</v>
      </c>
      <c r="FE1" s="1903">
        <v>4</v>
      </c>
      <c r="FG1" s="1903">
        <v>4</v>
      </c>
      <c r="FI1" s="1903">
        <v>4</v>
      </c>
      <c r="FK1" s="1903">
        <v>4</v>
      </c>
      <c r="FM1" s="1903">
        <v>4</v>
      </c>
      <c r="FO1" s="1903">
        <v>4</v>
      </c>
      <c r="FQ1" s="1903">
        <v>4</v>
      </c>
      <c r="FS1" s="1903">
        <v>4</v>
      </c>
      <c r="FU1" s="1903">
        <v>4</v>
      </c>
      <c r="FW1" s="1903">
        <v>4</v>
      </c>
      <c r="FY1" s="1903">
        <v>4</v>
      </c>
      <c r="GA1" s="1903">
        <v>4</v>
      </c>
      <c r="GC1" s="1903">
        <v>4</v>
      </c>
      <c r="GE1" s="1903">
        <v>4</v>
      </c>
      <c r="GG1" s="1903">
        <v>4</v>
      </c>
      <c r="GI1" s="1903">
        <v>4</v>
      </c>
      <c r="GK1" s="1903">
        <v>4</v>
      </c>
      <c r="GW1" s="326"/>
    </row>
    <row r="2" spans="1:205" s="1903" customFormat="1" ht="15" hidden="1" customHeight="1">
      <c r="C2" s="564"/>
      <c r="GW2" s="326"/>
    </row>
    <row r="3" spans="1:205" ht="22.5" hidden="1" customHeight="1">
      <c r="A3" s="403"/>
      <c r="B3" s="3629"/>
      <c r="C3" s="3630" t="s">
        <v>118</v>
      </c>
      <c r="D3" s="580" t="str">
        <f>B3&amp;".1"</f>
        <v>.1</v>
      </c>
      <c r="E3" s="581" t="s">
        <v>1206</v>
      </c>
      <c r="F3" s="582" t="s">
        <v>566</v>
      </c>
      <c r="G3" s="577"/>
      <c r="H3" s="308"/>
      <c r="I3" s="577"/>
      <c r="J3" s="308"/>
      <c r="K3" s="1874"/>
      <c r="L3" s="1863"/>
      <c r="M3" s="1874"/>
      <c r="N3" s="1863"/>
      <c r="O3" s="1874"/>
      <c r="P3" s="1863"/>
      <c r="Q3" s="1874"/>
      <c r="R3" s="1863"/>
      <c r="S3" s="1874"/>
      <c r="T3" s="1863"/>
      <c r="U3" s="1874"/>
      <c r="V3" s="1863"/>
      <c r="W3" s="1874"/>
      <c r="X3" s="1863"/>
      <c r="Y3" s="1874"/>
      <c r="Z3" s="1863"/>
      <c r="AA3" s="1874"/>
      <c r="AB3" s="1863"/>
      <c r="AC3" s="1874"/>
      <c r="AD3" s="1863"/>
      <c r="AE3" s="1874"/>
      <c r="AF3" s="1863"/>
      <c r="AG3" s="1874"/>
      <c r="AH3" s="1863"/>
      <c r="AI3" s="1874"/>
      <c r="AJ3" s="1863"/>
      <c r="AK3" s="1874"/>
      <c r="AL3" s="1863"/>
      <c r="AM3" s="1874"/>
      <c r="AN3" s="1863"/>
      <c r="AO3" s="1874"/>
      <c r="AP3" s="1863"/>
      <c r="AQ3" s="1874"/>
      <c r="AR3" s="1863"/>
      <c r="AS3" s="1874"/>
      <c r="AT3" s="1863"/>
      <c r="AU3" s="1874"/>
      <c r="AV3" s="1863"/>
      <c r="AW3" s="1874"/>
      <c r="AX3" s="1863"/>
      <c r="AY3" s="1874"/>
      <c r="AZ3" s="1863"/>
      <c r="BA3" s="1874"/>
      <c r="BB3" s="1863"/>
      <c r="BC3" s="1874"/>
      <c r="BD3" s="1863"/>
      <c r="BE3" s="1874"/>
      <c r="BF3" s="1863"/>
      <c r="BG3" s="1874"/>
      <c r="BH3" s="1863"/>
      <c r="BI3" s="1874"/>
      <c r="BJ3" s="1863"/>
      <c r="BK3" s="1874"/>
      <c r="BL3" s="1863"/>
      <c r="BM3" s="1874"/>
      <c r="BN3" s="1863"/>
      <c r="BO3" s="1874"/>
      <c r="BP3" s="1863"/>
      <c r="BQ3" s="1874"/>
      <c r="BR3" s="1863"/>
      <c r="BS3" s="1874"/>
      <c r="BT3" s="1863"/>
      <c r="BU3" s="1874"/>
      <c r="BV3" s="1863"/>
      <c r="BW3" s="1874"/>
      <c r="BX3" s="1863"/>
      <c r="BY3" s="1874"/>
      <c r="BZ3" s="1863"/>
      <c r="CA3" s="1874"/>
      <c r="CB3" s="1863"/>
      <c r="CC3" s="1874"/>
      <c r="CD3" s="1863"/>
      <c r="CE3" s="1874"/>
      <c r="CF3" s="1863"/>
      <c r="CG3" s="1874"/>
      <c r="CH3" s="1863"/>
      <c r="CI3" s="1874"/>
      <c r="CJ3" s="1863"/>
      <c r="CK3" s="1874"/>
      <c r="CL3" s="1863"/>
      <c r="CM3" s="1874"/>
      <c r="CN3" s="1863"/>
      <c r="CO3" s="1874"/>
      <c r="CP3" s="1863"/>
      <c r="CQ3" s="1874"/>
      <c r="CR3" s="1863"/>
      <c r="CS3" s="1874"/>
      <c r="CT3" s="1863"/>
      <c r="CU3" s="1874"/>
      <c r="CV3" s="1863"/>
      <c r="CW3" s="1874"/>
      <c r="CX3" s="1863"/>
      <c r="CY3" s="1874"/>
      <c r="CZ3" s="1863"/>
      <c r="DA3" s="1874"/>
      <c r="DB3" s="1863"/>
      <c r="DC3" s="1874"/>
      <c r="DD3" s="1863"/>
      <c r="DE3" s="1874"/>
      <c r="DF3" s="1863"/>
      <c r="DG3" s="1874"/>
      <c r="DH3" s="1863"/>
      <c r="DI3" s="1874"/>
      <c r="DJ3" s="1863"/>
      <c r="DK3" s="1874"/>
      <c r="DL3" s="1863"/>
      <c r="DM3" s="1874"/>
      <c r="DN3" s="1863"/>
      <c r="DO3" s="1874"/>
      <c r="DP3" s="1863"/>
      <c r="DQ3" s="1874"/>
      <c r="DR3" s="1863"/>
      <c r="DS3" s="1874"/>
      <c r="DT3" s="1863"/>
      <c r="DU3" s="1874"/>
      <c r="DV3" s="1863"/>
      <c r="DW3" s="1874"/>
      <c r="DX3" s="1863"/>
      <c r="DY3" s="1874"/>
      <c r="DZ3" s="1863"/>
      <c r="EA3" s="1874"/>
      <c r="EB3" s="1863"/>
      <c r="EC3" s="1874"/>
      <c r="ED3" s="1863"/>
      <c r="EE3" s="1874"/>
      <c r="EF3" s="1863"/>
      <c r="EG3" s="1874"/>
      <c r="EH3" s="1863"/>
      <c r="EI3" s="1874"/>
      <c r="EJ3" s="1863"/>
      <c r="EK3" s="1874"/>
      <c r="EL3" s="1863"/>
      <c r="EM3" s="1874"/>
      <c r="EN3" s="1863"/>
      <c r="EO3" s="1874"/>
      <c r="EP3" s="1863"/>
      <c r="EQ3" s="1874"/>
      <c r="ER3" s="1863"/>
      <c r="ES3" s="1874"/>
      <c r="ET3" s="1863"/>
      <c r="EU3" s="1874"/>
      <c r="EV3" s="1863"/>
      <c r="EW3" s="1874"/>
      <c r="EX3" s="1863"/>
      <c r="EY3" s="1874"/>
      <c r="EZ3" s="1863"/>
      <c r="FA3" s="1874"/>
      <c r="FB3" s="1863"/>
      <c r="FC3" s="1874"/>
      <c r="FD3" s="1863"/>
      <c r="FE3" s="1874"/>
      <c r="FF3" s="1863"/>
      <c r="FG3" s="1874"/>
      <c r="FH3" s="1863"/>
      <c r="FI3" s="1874"/>
      <c r="FJ3" s="1863"/>
      <c r="FK3" s="1874"/>
      <c r="FL3" s="1863"/>
      <c r="FM3" s="1874"/>
      <c r="FN3" s="1863"/>
      <c r="FO3" s="1874"/>
      <c r="FP3" s="1863"/>
      <c r="FQ3" s="1874"/>
      <c r="FR3" s="1863"/>
      <c r="FS3" s="1874"/>
      <c r="FT3" s="1863"/>
      <c r="FU3" s="1874"/>
      <c r="FV3" s="1863"/>
      <c r="FW3" s="1874"/>
      <c r="FX3" s="1863"/>
      <c r="FY3" s="1874"/>
      <c r="FZ3" s="1863"/>
      <c r="GA3" s="1874"/>
      <c r="GB3" s="1863"/>
      <c r="GC3" s="1874"/>
      <c r="GD3" s="1863"/>
      <c r="GE3" s="1874"/>
      <c r="GF3" s="1863"/>
      <c r="GG3" s="1874"/>
      <c r="GH3" s="1863"/>
      <c r="GI3" s="1874"/>
      <c r="GJ3" s="1863"/>
      <c r="GK3" s="1874"/>
      <c r="GL3" s="1863"/>
      <c r="GM3" s="201" t="s">
        <v>1207</v>
      </c>
    </row>
    <row r="4" spans="1:205" ht="15" hidden="1" customHeight="1">
      <c r="A4" s="403"/>
      <c r="B4" s="3629"/>
      <c r="C4" s="3630"/>
      <c r="D4" s="580" t="str">
        <f>B3&amp;".2"</f>
        <v>.2</v>
      </c>
      <c r="E4" s="581" t="s">
        <v>1208</v>
      </c>
      <c r="F4" s="582" t="s">
        <v>566</v>
      </c>
      <c r="G4" s="1581" t="s">
        <v>18</v>
      </c>
      <c r="H4" s="308"/>
      <c r="I4" s="1581" t="s">
        <v>18</v>
      </c>
      <c r="J4" s="308"/>
      <c r="K4" s="1886" t="s">
        <v>18</v>
      </c>
      <c r="L4" s="1863"/>
      <c r="M4" s="1886" t="s">
        <v>18</v>
      </c>
      <c r="N4" s="1863"/>
      <c r="O4" s="1886" t="s">
        <v>18</v>
      </c>
      <c r="P4" s="1863"/>
      <c r="Q4" s="1886" t="s">
        <v>18</v>
      </c>
      <c r="R4" s="1863"/>
      <c r="S4" s="1886" t="s">
        <v>18</v>
      </c>
      <c r="T4" s="1863"/>
      <c r="U4" s="1886" t="s">
        <v>18</v>
      </c>
      <c r="V4" s="1863"/>
      <c r="W4" s="1886" t="s">
        <v>18</v>
      </c>
      <c r="X4" s="1863"/>
      <c r="Y4" s="1886" t="s">
        <v>18</v>
      </c>
      <c r="Z4" s="1863"/>
      <c r="AA4" s="1886" t="s">
        <v>18</v>
      </c>
      <c r="AB4" s="1863"/>
      <c r="AC4" s="1886" t="s">
        <v>18</v>
      </c>
      <c r="AD4" s="1863"/>
      <c r="AE4" s="1886" t="s">
        <v>18</v>
      </c>
      <c r="AF4" s="1863"/>
      <c r="AG4" s="1886" t="s">
        <v>18</v>
      </c>
      <c r="AH4" s="1863"/>
      <c r="AI4" s="1886" t="s">
        <v>18</v>
      </c>
      <c r="AJ4" s="1863"/>
      <c r="AK4" s="1886" t="s">
        <v>18</v>
      </c>
      <c r="AL4" s="1863"/>
      <c r="AM4" s="1886" t="s">
        <v>18</v>
      </c>
      <c r="AN4" s="1863"/>
      <c r="AO4" s="1886" t="s">
        <v>18</v>
      </c>
      <c r="AP4" s="1863"/>
      <c r="AQ4" s="1886" t="s">
        <v>18</v>
      </c>
      <c r="AR4" s="1863"/>
      <c r="AS4" s="1886" t="s">
        <v>18</v>
      </c>
      <c r="AT4" s="1863"/>
      <c r="AU4" s="1886" t="s">
        <v>18</v>
      </c>
      <c r="AV4" s="1863"/>
      <c r="AW4" s="1886" t="s">
        <v>18</v>
      </c>
      <c r="AX4" s="1863"/>
      <c r="AY4" s="1886" t="s">
        <v>18</v>
      </c>
      <c r="AZ4" s="1863"/>
      <c r="BA4" s="1886" t="s">
        <v>18</v>
      </c>
      <c r="BB4" s="1863"/>
      <c r="BC4" s="1886" t="s">
        <v>18</v>
      </c>
      <c r="BD4" s="1863"/>
      <c r="BE4" s="1886" t="s">
        <v>18</v>
      </c>
      <c r="BF4" s="1863"/>
      <c r="BG4" s="1886" t="s">
        <v>18</v>
      </c>
      <c r="BH4" s="1863"/>
      <c r="BI4" s="1886" t="s">
        <v>18</v>
      </c>
      <c r="BJ4" s="1863"/>
      <c r="BK4" s="1886" t="s">
        <v>18</v>
      </c>
      <c r="BL4" s="1863"/>
      <c r="BM4" s="1886" t="s">
        <v>18</v>
      </c>
      <c r="BN4" s="1863"/>
      <c r="BO4" s="1886" t="s">
        <v>18</v>
      </c>
      <c r="BP4" s="1863"/>
      <c r="BQ4" s="1886" t="s">
        <v>18</v>
      </c>
      <c r="BR4" s="1863"/>
      <c r="BS4" s="1886" t="s">
        <v>18</v>
      </c>
      <c r="BT4" s="1863"/>
      <c r="BU4" s="1886" t="s">
        <v>18</v>
      </c>
      <c r="BV4" s="1863"/>
      <c r="BW4" s="1886" t="s">
        <v>18</v>
      </c>
      <c r="BX4" s="1863"/>
      <c r="BY4" s="1886" t="s">
        <v>18</v>
      </c>
      <c r="BZ4" s="1863"/>
      <c r="CA4" s="1886" t="s">
        <v>18</v>
      </c>
      <c r="CB4" s="1863"/>
      <c r="CC4" s="1886" t="s">
        <v>18</v>
      </c>
      <c r="CD4" s="1863"/>
      <c r="CE4" s="1886" t="s">
        <v>18</v>
      </c>
      <c r="CF4" s="1863"/>
      <c r="CG4" s="1886" t="s">
        <v>18</v>
      </c>
      <c r="CH4" s="1863"/>
      <c r="CI4" s="1886" t="s">
        <v>18</v>
      </c>
      <c r="CJ4" s="1863"/>
      <c r="CK4" s="1886" t="s">
        <v>18</v>
      </c>
      <c r="CL4" s="1863"/>
      <c r="CM4" s="1886" t="s">
        <v>18</v>
      </c>
      <c r="CN4" s="1863"/>
      <c r="CO4" s="1886" t="s">
        <v>18</v>
      </c>
      <c r="CP4" s="1863"/>
      <c r="CQ4" s="1886" t="s">
        <v>18</v>
      </c>
      <c r="CR4" s="1863"/>
      <c r="CS4" s="1886" t="s">
        <v>18</v>
      </c>
      <c r="CT4" s="1863"/>
      <c r="CU4" s="1886" t="s">
        <v>18</v>
      </c>
      <c r="CV4" s="1863"/>
      <c r="CW4" s="1886" t="s">
        <v>18</v>
      </c>
      <c r="CX4" s="1863"/>
      <c r="CY4" s="1886" t="s">
        <v>18</v>
      </c>
      <c r="CZ4" s="1863"/>
      <c r="DA4" s="1886" t="s">
        <v>18</v>
      </c>
      <c r="DB4" s="1863"/>
      <c r="DC4" s="1886" t="s">
        <v>18</v>
      </c>
      <c r="DD4" s="1863"/>
      <c r="DE4" s="1886" t="s">
        <v>18</v>
      </c>
      <c r="DF4" s="1863"/>
      <c r="DG4" s="1886" t="s">
        <v>18</v>
      </c>
      <c r="DH4" s="1863"/>
      <c r="DI4" s="1886" t="s">
        <v>18</v>
      </c>
      <c r="DJ4" s="1863"/>
      <c r="DK4" s="1886" t="s">
        <v>18</v>
      </c>
      <c r="DL4" s="1863"/>
      <c r="DM4" s="1886" t="s">
        <v>18</v>
      </c>
      <c r="DN4" s="1863"/>
      <c r="DO4" s="1886" t="s">
        <v>18</v>
      </c>
      <c r="DP4" s="1863"/>
      <c r="DQ4" s="1886" t="s">
        <v>18</v>
      </c>
      <c r="DR4" s="1863"/>
      <c r="DS4" s="1886" t="s">
        <v>18</v>
      </c>
      <c r="DT4" s="1863"/>
      <c r="DU4" s="1886" t="s">
        <v>18</v>
      </c>
      <c r="DV4" s="1863"/>
      <c r="DW4" s="1886" t="s">
        <v>18</v>
      </c>
      <c r="DX4" s="1863"/>
      <c r="DY4" s="1886" t="s">
        <v>18</v>
      </c>
      <c r="DZ4" s="1863"/>
      <c r="EA4" s="1886" t="s">
        <v>18</v>
      </c>
      <c r="EB4" s="1863"/>
      <c r="EC4" s="1886" t="s">
        <v>18</v>
      </c>
      <c r="ED4" s="1863"/>
      <c r="EE4" s="1886" t="s">
        <v>18</v>
      </c>
      <c r="EF4" s="1863"/>
      <c r="EG4" s="1886" t="s">
        <v>18</v>
      </c>
      <c r="EH4" s="1863"/>
      <c r="EI4" s="1886" t="s">
        <v>18</v>
      </c>
      <c r="EJ4" s="1863"/>
      <c r="EK4" s="1886" t="s">
        <v>18</v>
      </c>
      <c r="EL4" s="1863"/>
      <c r="EM4" s="1886" t="s">
        <v>18</v>
      </c>
      <c r="EN4" s="1863"/>
      <c r="EO4" s="1886" t="s">
        <v>18</v>
      </c>
      <c r="EP4" s="1863"/>
      <c r="EQ4" s="1886" t="s">
        <v>18</v>
      </c>
      <c r="ER4" s="1863"/>
      <c r="ES4" s="1886" t="s">
        <v>18</v>
      </c>
      <c r="ET4" s="1863"/>
      <c r="EU4" s="1886" t="s">
        <v>18</v>
      </c>
      <c r="EV4" s="1863"/>
      <c r="EW4" s="1886" t="s">
        <v>18</v>
      </c>
      <c r="EX4" s="1863"/>
      <c r="EY4" s="1886" t="s">
        <v>18</v>
      </c>
      <c r="EZ4" s="1863"/>
      <c r="FA4" s="1886" t="s">
        <v>18</v>
      </c>
      <c r="FB4" s="1863"/>
      <c r="FC4" s="1886" t="s">
        <v>18</v>
      </c>
      <c r="FD4" s="1863"/>
      <c r="FE4" s="1886" t="s">
        <v>18</v>
      </c>
      <c r="FF4" s="1863"/>
      <c r="FG4" s="1886" t="s">
        <v>18</v>
      </c>
      <c r="FH4" s="1863"/>
      <c r="FI4" s="1886" t="s">
        <v>18</v>
      </c>
      <c r="FJ4" s="1863"/>
      <c r="FK4" s="1886" t="s">
        <v>18</v>
      </c>
      <c r="FL4" s="1863"/>
      <c r="FM4" s="1886" t="s">
        <v>18</v>
      </c>
      <c r="FN4" s="1863"/>
      <c r="FO4" s="1886" t="s">
        <v>18</v>
      </c>
      <c r="FP4" s="1863"/>
      <c r="FQ4" s="1886" t="s">
        <v>18</v>
      </c>
      <c r="FR4" s="1863"/>
      <c r="FS4" s="1886" t="s">
        <v>18</v>
      </c>
      <c r="FT4" s="1863"/>
      <c r="FU4" s="1886" t="s">
        <v>18</v>
      </c>
      <c r="FV4" s="1863"/>
      <c r="FW4" s="1886" t="s">
        <v>18</v>
      </c>
      <c r="FX4" s="1863"/>
      <c r="FY4" s="1886" t="s">
        <v>18</v>
      </c>
      <c r="FZ4" s="1863"/>
      <c r="GA4" s="1886" t="s">
        <v>18</v>
      </c>
      <c r="GB4" s="1863"/>
      <c r="GC4" s="1886" t="s">
        <v>18</v>
      </c>
      <c r="GD4" s="1863"/>
      <c r="GE4" s="1886" t="s">
        <v>18</v>
      </c>
      <c r="GF4" s="1863"/>
      <c r="GG4" s="1886" t="s">
        <v>18</v>
      </c>
      <c r="GH4" s="1863"/>
      <c r="GI4" s="1886" t="s">
        <v>18</v>
      </c>
      <c r="GJ4" s="1863"/>
      <c r="GK4" s="1886" t="s">
        <v>18</v>
      </c>
      <c r="GL4" s="1863"/>
      <c r="GM4" s="201" t="s">
        <v>1209</v>
      </c>
    </row>
    <row r="5" spans="1:205" s="1903" customFormat="1" ht="15" hidden="1" customHeight="1">
      <c r="C5" s="564"/>
      <c r="GW5" s="326"/>
    </row>
    <row r="6" spans="1:205" ht="22.5" hidden="1" customHeight="1">
      <c r="A6" s="403"/>
      <c r="B6" s="3629"/>
      <c r="C6" s="3630" t="s">
        <v>118</v>
      </c>
      <c r="D6" s="580" t="str">
        <f>B6&amp;".1"</f>
        <v>.1</v>
      </c>
      <c r="E6" s="581" t="s">
        <v>1210</v>
      </c>
      <c r="F6" s="582" t="s">
        <v>566</v>
      </c>
      <c r="G6" s="577"/>
      <c r="H6" s="308"/>
      <c r="I6" s="577"/>
      <c r="J6" s="308"/>
      <c r="K6" s="1874"/>
      <c r="L6" s="1863"/>
      <c r="M6" s="1874"/>
      <c r="N6" s="1863"/>
      <c r="O6" s="1874"/>
      <c r="P6" s="1863"/>
      <c r="Q6" s="1874"/>
      <c r="R6" s="1863"/>
      <c r="S6" s="1874"/>
      <c r="T6" s="1863"/>
      <c r="U6" s="1874"/>
      <c r="V6" s="1863"/>
      <c r="W6" s="1874"/>
      <c r="X6" s="1863"/>
      <c r="Y6" s="1874"/>
      <c r="Z6" s="1863"/>
      <c r="AA6" s="1874"/>
      <c r="AB6" s="1863"/>
      <c r="AC6" s="1874"/>
      <c r="AD6" s="1863"/>
      <c r="AE6" s="1874"/>
      <c r="AF6" s="1863"/>
      <c r="AG6" s="1874"/>
      <c r="AH6" s="1863"/>
      <c r="AI6" s="1874"/>
      <c r="AJ6" s="1863"/>
      <c r="AK6" s="1874"/>
      <c r="AL6" s="1863"/>
      <c r="AM6" s="1874"/>
      <c r="AN6" s="1863"/>
      <c r="AO6" s="1874"/>
      <c r="AP6" s="1863"/>
      <c r="AQ6" s="1874"/>
      <c r="AR6" s="1863"/>
      <c r="AS6" s="1874"/>
      <c r="AT6" s="1863"/>
      <c r="AU6" s="1874"/>
      <c r="AV6" s="1863"/>
      <c r="AW6" s="1874"/>
      <c r="AX6" s="1863"/>
      <c r="AY6" s="1874"/>
      <c r="AZ6" s="1863"/>
      <c r="BA6" s="1874"/>
      <c r="BB6" s="1863"/>
      <c r="BC6" s="1874"/>
      <c r="BD6" s="1863"/>
      <c r="BE6" s="1874"/>
      <c r="BF6" s="1863"/>
      <c r="BG6" s="1874"/>
      <c r="BH6" s="1863"/>
      <c r="BI6" s="1874"/>
      <c r="BJ6" s="1863"/>
      <c r="BK6" s="1874"/>
      <c r="BL6" s="1863"/>
      <c r="BM6" s="1874"/>
      <c r="BN6" s="1863"/>
      <c r="BO6" s="1874"/>
      <c r="BP6" s="1863"/>
      <c r="BQ6" s="1874"/>
      <c r="BR6" s="1863"/>
      <c r="BS6" s="1874"/>
      <c r="BT6" s="1863"/>
      <c r="BU6" s="1874"/>
      <c r="BV6" s="1863"/>
      <c r="BW6" s="1874"/>
      <c r="BX6" s="1863"/>
      <c r="BY6" s="1874"/>
      <c r="BZ6" s="1863"/>
      <c r="CA6" s="1874"/>
      <c r="CB6" s="1863"/>
      <c r="CC6" s="1874"/>
      <c r="CD6" s="1863"/>
      <c r="CE6" s="1874"/>
      <c r="CF6" s="1863"/>
      <c r="CG6" s="1874"/>
      <c r="CH6" s="1863"/>
      <c r="CI6" s="1874"/>
      <c r="CJ6" s="1863"/>
      <c r="CK6" s="1874"/>
      <c r="CL6" s="1863"/>
      <c r="CM6" s="1874"/>
      <c r="CN6" s="1863"/>
      <c r="CO6" s="1874"/>
      <c r="CP6" s="1863"/>
      <c r="CQ6" s="1874"/>
      <c r="CR6" s="1863"/>
      <c r="CS6" s="1874"/>
      <c r="CT6" s="1863"/>
      <c r="CU6" s="1874"/>
      <c r="CV6" s="1863"/>
      <c r="CW6" s="1874"/>
      <c r="CX6" s="1863"/>
      <c r="CY6" s="1874"/>
      <c r="CZ6" s="1863"/>
      <c r="DA6" s="1874"/>
      <c r="DB6" s="1863"/>
      <c r="DC6" s="1874"/>
      <c r="DD6" s="1863"/>
      <c r="DE6" s="1874"/>
      <c r="DF6" s="1863"/>
      <c r="DG6" s="1874"/>
      <c r="DH6" s="1863"/>
      <c r="DI6" s="1874"/>
      <c r="DJ6" s="1863"/>
      <c r="DK6" s="1874"/>
      <c r="DL6" s="1863"/>
      <c r="DM6" s="1874"/>
      <c r="DN6" s="1863"/>
      <c r="DO6" s="1874"/>
      <c r="DP6" s="1863"/>
      <c r="DQ6" s="1874"/>
      <c r="DR6" s="1863"/>
      <c r="DS6" s="1874"/>
      <c r="DT6" s="1863"/>
      <c r="DU6" s="1874"/>
      <c r="DV6" s="1863"/>
      <c r="DW6" s="1874"/>
      <c r="DX6" s="1863"/>
      <c r="DY6" s="1874"/>
      <c r="DZ6" s="1863"/>
      <c r="EA6" s="1874"/>
      <c r="EB6" s="1863"/>
      <c r="EC6" s="1874"/>
      <c r="ED6" s="1863"/>
      <c r="EE6" s="1874"/>
      <c r="EF6" s="1863"/>
      <c r="EG6" s="1874"/>
      <c r="EH6" s="1863"/>
      <c r="EI6" s="1874"/>
      <c r="EJ6" s="1863"/>
      <c r="EK6" s="1874"/>
      <c r="EL6" s="1863"/>
      <c r="EM6" s="1874"/>
      <c r="EN6" s="1863"/>
      <c r="EO6" s="1874"/>
      <c r="EP6" s="1863"/>
      <c r="EQ6" s="1874"/>
      <c r="ER6" s="1863"/>
      <c r="ES6" s="1874"/>
      <c r="ET6" s="1863"/>
      <c r="EU6" s="1874"/>
      <c r="EV6" s="1863"/>
      <c r="EW6" s="1874"/>
      <c r="EX6" s="1863"/>
      <c r="EY6" s="1874"/>
      <c r="EZ6" s="1863"/>
      <c r="FA6" s="1874"/>
      <c r="FB6" s="1863"/>
      <c r="FC6" s="1874"/>
      <c r="FD6" s="1863"/>
      <c r="FE6" s="1874"/>
      <c r="FF6" s="1863"/>
      <c r="FG6" s="1874"/>
      <c r="FH6" s="1863"/>
      <c r="FI6" s="1874"/>
      <c r="FJ6" s="1863"/>
      <c r="FK6" s="1874"/>
      <c r="FL6" s="1863"/>
      <c r="FM6" s="1874"/>
      <c r="FN6" s="1863"/>
      <c r="FO6" s="1874"/>
      <c r="FP6" s="1863"/>
      <c r="FQ6" s="1874"/>
      <c r="FR6" s="1863"/>
      <c r="FS6" s="1874"/>
      <c r="FT6" s="1863"/>
      <c r="FU6" s="1874"/>
      <c r="FV6" s="1863"/>
      <c r="FW6" s="1874"/>
      <c r="FX6" s="1863"/>
      <c r="FY6" s="1874"/>
      <c r="FZ6" s="1863"/>
      <c r="GA6" s="1874"/>
      <c r="GB6" s="1863"/>
      <c r="GC6" s="1874"/>
      <c r="GD6" s="1863"/>
      <c r="GE6" s="1874"/>
      <c r="GF6" s="1863"/>
      <c r="GG6" s="1874"/>
      <c r="GH6" s="1863"/>
      <c r="GI6" s="1874"/>
      <c r="GJ6" s="1863"/>
      <c r="GK6" s="1874"/>
      <c r="GL6" s="1863"/>
      <c r="GM6" s="201" t="s">
        <v>1211</v>
      </c>
    </row>
    <row r="7" spans="1:205" ht="15" hidden="1" customHeight="1">
      <c r="A7" s="403"/>
      <c r="B7" s="3629"/>
      <c r="C7" s="3630"/>
      <c r="D7" s="580" t="str">
        <f>B6&amp;".2"</f>
        <v>.2</v>
      </c>
      <c r="E7" s="581" t="s">
        <v>1208</v>
      </c>
      <c r="F7" s="582" t="s">
        <v>566</v>
      </c>
      <c r="G7" s="1581" t="s">
        <v>18</v>
      </c>
      <c r="H7" s="308"/>
      <c r="I7" s="1581" t="s">
        <v>18</v>
      </c>
      <c r="J7" s="308"/>
      <c r="K7" s="1886" t="s">
        <v>18</v>
      </c>
      <c r="L7" s="1863"/>
      <c r="M7" s="1886" t="s">
        <v>18</v>
      </c>
      <c r="N7" s="1863"/>
      <c r="O7" s="1886" t="s">
        <v>18</v>
      </c>
      <c r="P7" s="1863"/>
      <c r="Q7" s="1886" t="s">
        <v>18</v>
      </c>
      <c r="R7" s="1863"/>
      <c r="S7" s="1886" t="s">
        <v>18</v>
      </c>
      <c r="T7" s="1863"/>
      <c r="U7" s="1886" t="s">
        <v>18</v>
      </c>
      <c r="V7" s="1863"/>
      <c r="W7" s="1886" t="s">
        <v>18</v>
      </c>
      <c r="X7" s="1863"/>
      <c r="Y7" s="1886" t="s">
        <v>18</v>
      </c>
      <c r="Z7" s="1863"/>
      <c r="AA7" s="1886" t="s">
        <v>18</v>
      </c>
      <c r="AB7" s="1863"/>
      <c r="AC7" s="1886" t="s">
        <v>18</v>
      </c>
      <c r="AD7" s="1863"/>
      <c r="AE7" s="1886" t="s">
        <v>18</v>
      </c>
      <c r="AF7" s="1863"/>
      <c r="AG7" s="1886" t="s">
        <v>18</v>
      </c>
      <c r="AH7" s="1863"/>
      <c r="AI7" s="1886" t="s">
        <v>18</v>
      </c>
      <c r="AJ7" s="1863"/>
      <c r="AK7" s="1886" t="s">
        <v>18</v>
      </c>
      <c r="AL7" s="1863"/>
      <c r="AM7" s="1886" t="s">
        <v>18</v>
      </c>
      <c r="AN7" s="1863"/>
      <c r="AO7" s="1886" t="s">
        <v>18</v>
      </c>
      <c r="AP7" s="1863"/>
      <c r="AQ7" s="1886" t="s">
        <v>18</v>
      </c>
      <c r="AR7" s="1863"/>
      <c r="AS7" s="1886" t="s">
        <v>18</v>
      </c>
      <c r="AT7" s="1863"/>
      <c r="AU7" s="1886" t="s">
        <v>18</v>
      </c>
      <c r="AV7" s="1863"/>
      <c r="AW7" s="1886" t="s">
        <v>18</v>
      </c>
      <c r="AX7" s="1863"/>
      <c r="AY7" s="1886" t="s">
        <v>18</v>
      </c>
      <c r="AZ7" s="1863"/>
      <c r="BA7" s="1886" t="s">
        <v>18</v>
      </c>
      <c r="BB7" s="1863"/>
      <c r="BC7" s="1886" t="s">
        <v>18</v>
      </c>
      <c r="BD7" s="1863"/>
      <c r="BE7" s="1886" t="s">
        <v>18</v>
      </c>
      <c r="BF7" s="1863"/>
      <c r="BG7" s="1886" t="s">
        <v>18</v>
      </c>
      <c r="BH7" s="1863"/>
      <c r="BI7" s="1886" t="s">
        <v>18</v>
      </c>
      <c r="BJ7" s="1863"/>
      <c r="BK7" s="1886" t="s">
        <v>18</v>
      </c>
      <c r="BL7" s="1863"/>
      <c r="BM7" s="1886" t="s">
        <v>18</v>
      </c>
      <c r="BN7" s="1863"/>
      <c r="BO7" s="1886" t="s">
        <v>18</v>
      </c>
      <c r="BP7" s="1863"/>
      <c r="BQ7" s="1886" t="s">
        <v>18</v>
      </c>
      <c r="BR7" s="1863"/>
      <c r="BS7" s="1886" t="s">
        <v>18</v>
      </c>
      <c r="BT7" s="1863"/>
      <c r="BU7" s="1886" t="s">
        <v>18</v>
      </c>
      <c r="BV7" s="1863"/>
      <c r="BW7" s="1886" t="s">
        <v>18</v>
      </c>
      <c r="BX7" s="1863"/>
      <c r="BY7" s="1886" t="s">
        <v>18</v>
      </c>
      <c r="BZ7" s="1863"/>
      <c r="CA7" s="1886" t="s">
        <v>18</v>
      </c>
      <c r="CB7" s="1863"/>
      <c r="CC7" s="1886" t="s">
        <v>18</v>
      </c>
      <c r="CD7" s="1863"/>
      <c r="CE7" s="1886" t="s">
        <v>18</v>
      </c>
      <c r="CF7" s="1863"/>
      <c r="CG7" s="1886" t="s">
        <v>18</v>
      </c>
      <c r="CH7" s="1863"/>
      <c r="CI7" s="1886" t="s">
        <v>18</v>
      </c>
      <c r="CJ7" s="1863"/>
      <c r="CK7" s="1886" t="s">
        <v>18</v>
      </c>
      <c r="CL7" s="1863"/>
      <c r="CM7" s="1886" t="s">
        <v>18</v>
      </c>
      <c r="CN7" s="1863"/>
      <c r="CO7" s="1886" t="s">
        <v>18</v>
      </c>
      <c r="CP7" s="1863"/>
      <c r="CQ7" s="1886" t="s">
        <v>18</v>
      </c>
      <c r="CR7" s="1863"/>
      <c r="CS7" s="1886" t="s">
        <v>18</v>
      </c>
      <c r="CT7" s="1863"/>
      <c r="CU7" s="1886" t="s">
        <v>18</v>
      </c>
      <c r="CV7" s="1863"/>
      <c r="CW7" s="1886" t="s">
        <v>18</v>
      </c>
      <c r="CX7" s="1863"/>
      <c r="CY7" s="1886" t="s">
        <v>18</v>
      </c>
      <c r="CZ7" s="1863"/>
      <c r="DA7" s="1886" t="s">
        <v>18</v>
      </c>
      <c r="DB7" s="1863"/>
      <c r="DC7" s="1886" t="s">
        <v>18</v>
      </c>
      <c r="DD7" s="1863"/>
      <c r="DE7" s="1886" t="s">
        <v>18</v>
      </c>
      <c r="DF7" s="1863"/>
      <c r="DG7" s="1886" t="s">
        <v>18</v>
      </c>
      <c r="DH7" s="1863"/>
      <c r="DI7" s="1886" t="s">
        <v>18</v>
      </c>
      <c r="DJ7" s="1863"/>
      <c r="DK7" s="1886" t="s">
        <v>18</v>
      </c>
      <c r="DL7" s="1863"/>
      <c r="DM7" s="1886" t="s">
        <v>18</v>
      </c>
      <c r="DN7" s="1863"/>
      <c r="DO7" s="1886" t="s">
        <v>18</v>
      </c>
      <c r="DP7" s="1863"/>
      <c r="DQ7" s="1886" t="s">
        <v>18</v>
      </c>
      <c r="DR7" s="1863"/>
      <c r="DS7" s="1886" t="s">
        <v>18</v>
      </c>
      <c r="DT7" s="1863"/>
      <c r="DU7" s="1886" t="s">
        <v>18</v>
      </c>
      <c r="DV7" s="1863"/>
      <c r="DW7" s="1886" t="s">
        <v>18</v>
      </c>
      <c r="DX7" s="1863"/>
      <c r="DY7" s="1886" t="s">
        <v>18</v>
      </c>
      <c r="DZ7" s="1863"/>
      <c r="EA7" s="1886" t="s">
        <v>18</v>
      </c>
      <c r="EB7" s="1863"/>
      <c r="EC7" s="1886" t="s">
        <v>18</v>
      </c>
      <c r="ED7" s="1863"/>
      <c r="EE7" s="1886" t="s">
        <v>18</v>
      </c>
      <c r="EF7" s="1863"/>
      <c r="EG7" s="1886" t="s">
        <v>18</v>
      </c>
      <c r="EH7" s="1863"/>
      <c r="EI7" s="1886" t="s">
        <v>18</v>
      </c>
      <c r="EJ7" s="1863"/>
      <c r="EK7" s="1886" t="s">
        <v>18</v>
      </c>
      <c r="EL7" s="1863"/>
      <c r="EM7" s="1886" t="s">
        <v>18</v>
      </c>
      <c r="EN7" s="1863"/>
      <c r="EO7" s="1886" t="s">
        <v>18</v>
      </c>
      <c r="EP7" s="1863"/>
      <c r="EQ7" s="1886" t="s">
        <v>18</v>
      </c>
      <c r="ER7" s="1863"/>
      <c r="ES7" s="1886" t="s">
        <v>18</v>
      </c>
      <c r="ET7" s="1863"/>
      <c r="EU7" s="1886" t="s">
        <v>18</v>
      </c>
      <c r="EV7" s="1863"/>
      <c r="EW7" s="1886" t="s">
        <v>18</v>
      </c>
      <c r="EX7" s="1863"/>
      <c r="EY7" s="1886" t="s">
        <v>18</v>
      </c>
      <c r="EZ7" s="1863"/>
      <c r="FA7" s="1886" t="s">
        <v>18</v>
      </c>
      <c r="FB7" s="1863"/>
      <c r="FC7" s="1886" t="s">
        <v>18</v>
      </c>
      <c r="FD7" s="1863"/>
      <c r="FE7" s="1886" t="s">
        <v>18</v>
      </c>
      <c r="FF7" s="1863"/>
      <c r="FG7" s="1886" t="s">
        <v>18</v>
      </c>
      <c r="FH7" s="1863"/>
      <c r="FI7" s="1886" t="s">
        <v>18</v>
      </c>
      <c r="FJ7" s="1863"/>
      <c r="FK7" s="1886" t="s">
        <v>18</v>
      </c>
      <c r="FL7" s="1863"/>
      <c r="FM7" s="1886" t="s">
        <v>18</v>
      </c>
      <c r="FN7" s="1863"/>
      <c r="FO7" s="1886" t="s">
        <v>18</v>
      </c>
      <c r="FP7" s="1863"/>
      <c r="FQ7" s="1886" t="s">
        <v>18</v>
      </c>
      <c r="FR7" s="1863"/>
      <c r="FS7" s="1886" t="s">
        <v>18</v>
      </c>
      <c r="FT7" s="1863"/>
      <c r="FU7" s="1886" t="s">
        <v>18</v>
      </c>
      <c r="FV7" s="1863"/>
      <c r="FW7" s="1886" t="s">
        <v>18</v>
      </c>
      <c r="FX7" s="1863"/>
      <c r="FY7" s="1886" t="s">
        <v>18</v>
      </c>
      <c r="FZ7" s="1863"/>
      <c r="GA7" s="1886" t="s">
        <v>18</v>
      </c>
      <c r="GB7" s="1863"/>
      <c r="GC7" s="1886" t="s">
        <v>18</v>
      </c>
      <c r="GD7" s="1863"/>
      <c r="GE7" s="1886" t="s">
        <v>18</v>
      </c>
      <c r="GF7" s="1863"/>
      <c r="GG7" s="1886" t="s">
        <v>18</v>
      </c>
      <c r="GH7" s="1863"/>
      <c r="GI7" s="1886" t="s">
        <v>18</v>
      </c>
      <c r="GJ7" s="1863"/>
      <c r="GK7" s="1886" t="s">
        <v>18</v>
      </c>
      <c r="GL7" s="1863"/>
      <c r="GM7" s="201" t="s">
        <v>1209</v>
      </c>
    </row>
    <row r="8" spans="1:205" s="1903" customFormat="1" ht="15" hidden="1" customHeight="1">
      <c r="C8" s="564"/>
      <c r="GW8" s="326"/>
    </row>
    <row r="9" spans="1:205" ht="22.5" hidden="1" customHeight="1">
      <c r="A9" s="403"/>
      <c r="B9" s="3629"/>
      <c r="C9" s="3630" t="s">
        <v>118</v>
      </c>
      <c r="D9" s="580" t="str">
        <f>B9&amp;".1"</f>
        <v>.1</v>
      </c>
      <c r="E9" s="581" t="s">
        <v>1212</v>
      </c>
      <c r="F9" s="582" t="s">
        <v>566</v>
      </c>
      <c r="G9" s="588" t="s">
        <v>18</v>
      </c>
      <c r="H9" s="308" t="s">
        <v>18</v>
      </c>
      <c r="I9" s="2519" t="s">
        <v>18</v>
      </c>
      <c r="J9" s="2520" t="s">
        <v>18</v>
      </c>
      <c r="K9" s="2521" t="s">
        <v>18</v>
      </c>
      <c r="L9" s="2522" t="s">
        <v>18</v>
      </c>
      <c r="M9" s="2521" t="s">
        <v>18</v>
      </c>
      <c r="N9" s="2522" t="s">
        <v>18</v>
      </c>
      <c r="O9" s="2521" t="s">
        <v>18</v>
      </c>
      <c r="P9" s="2522" t="s">
        <v>18</v>
      </c>
      <c r="Q9" s="2521" t="s">
        <v>18</v>
      </c>
      <c r="R9" s="2522" t="s">
        <v>18</v>
      </c>
      <c r="S9" s="2521" t="s">
        <v>18</v>
      </c>
      <c r="T9" s="2522" t="s">
        <v>18</v>
      </c>
      <c r="U9" s="2521" t="s">
        <v>18</v>
      </c>
      <c r="V9" s="2522" t="s">
        <v>18</v>
      </c>
      <c r="W9" s="2521" t="s">
        <v>18</v>
      </c>
      <c r="X9" s="2522" t="s">
        <v>18</v>
      </c>
      <c r="Y9" s="2521" t="s">
        <v>18</v>
      </c>
      <c r="Z9" s="2522" t="s">
        <v>18</v>
      </c>
      <c r="AA9" s="2521" t="s">
        <v>18</v>
      </c>
      <c r="AB9" s="2522" t="s">
        <v>18</v>
      </c>
      <c r="AC9" s="2521" t="s">
        <v>18</v>
      </c>
      <c r="AD9" s="2522" t="s">
        <v>18</v>
      </c>
      <c r="AE9" s="2521" t="s">
        <v>18</v>
      </c>
      <c r="AF9" s="2522" t="s">
        <v>18</v>
      </c>
      <c r="AG9" s="2521" t="s">
        <v>18</v>
      </c>
      <c r="AH9" s="2522" t="s">
        <v>18</v>
      </c>
      <c r="AI9" s="2521" t="s">
        <v>18</v>
      </c>
      <c r="AJ9" s="2522" t="s">
        <v>18</v>
      </c>
      <c r="AK9" s="2521" t="s">
        <v>18</v>
      </c>
      <c r="AL9" s="2522" t="s">
        <v>18</v>
      </c>
      <c r="AM9" s="2521" t="s">
        <v>18</v>
      </c>
      <c r="AN9" s="2522" t="s">
        <v>18</v>
      </c>
      <c r="AO9" s="2521" t="s">
        <v>18</v>
      </c>
      <c r="AP9" s="2522" t="s">
        <v>18</v>
      </c>
      <c r="AQ9" s="2521" t="s">
        <v>18</v>
      </c>
      <c r="AR9" s="2522" t="s">
        <v>18</v>
      </c>
      <c r="AS9" s="2521" t="s">
        <v>18</v>
      </c>
      <c r="AT9" s="2522" t="s">
        <v>18</v>
      </c>
      <c r="AU9" s="2521" t="s">
        <v>18</v>
      </c>
      <c r="AV9" s="2522" t="s">
        <v>18</v>
      </c>
      <c r="AW9" s="2521" t="s">
        <v>18</v>
      </c>
      <c r="AX9" s="2522" t="s">
        <v>18</v>
      </c>
      <c r="AY9" s="2521" t="s">
        <v>18</v>
      </c>
      <c r="AZ9" s="2522" t="s">
        <v>18</v>
      </c>
      <c r="BA9" s="2521" t="s">
        <v>18</v>
      </c>
      <c r="BB9" s="2522" t="s">
        <v>18</v>
      </c>
      <c r="BC9" s="2521" t="s">
        <v>18</v>
      </c>
      <c r="BD9" s="2522" t="s">
        <v>18</v>
      </c>
      <c r="BE9" s="2521" t="s">
        <v>18</v>
      </c>
      <c r="BF9" s="2522" t="s">
        <v>18</v>
      </c>
      <c r="BG9" s="2521" t="s">
        <v>18</v>
      </c>
      <c r="BH9" s="2522" t="s">
        <v>18</v>
      </c>
      <c r="BI9" s="2521" t="s">
        <v>18</v>
      </c>
      <c r="BJ9" s="2522" t="s">
        <v>18</v>
      </c>
      <c r="BK9" s="2521" t="s">
        <v>18</v>
      </c>
      <c r="BL9" s="2522" t="s">
        <v>18</v>
      </c>
      <c r="BM9" s="2521" t="s">
        <v>18</v>
      </c>
      <c r="BN9" s="2522" t="s">
        <v>18</v>
      </c>
      <c r="BO9" s="2521" t="s">
        <v>18</v>
      </c>
      <c r="BP9" s="2522" t="s">
        <v>18</v>
      </c>
      <c r="BQ9" s="2521" t="s">
        <v>18</v>
      </c>
      <c r="BR9" s="2522" t="s">
        <v>18</v>
      </c>
      <c r="BS9" s="2521" t="s">
        <v>18</v>
      </c>
      <c r="BT9" s="2522" t="s">
        <v>18</v>
      </c>
      <c r="BU9" s="2521" t="s">
        <v>18</v>
      </c>
      <c r="BV9" s="2522" t="s">
        <v>18</v>
      </c>
      <c r="BW9" s="2521" t="s">
        <v>18</v>
      </c>
      <c r="BX9" s="2522" t="s">
        <v>18</v>
      </c>
      <c r="BY9" s="2521" t="s">
        <v>18</v>
      </c>
      <c r="BZ9" s="2522" t="s">
        <v>18</v>
      </c>
      <c r="CA9" s="2521" t="s">
        <v>18</v>
      </c>
      <c r="CB9" s="2522" t="s">
        <v>18</v>
      </c>
      <c r="CC9" s="2521" t="s">
        <v>18</v>
      </c>
      <c r="CD9" s="2522" t="s">
        <v>18</v>
      </c>
      <c r="CE9" s="2521" t="s">
        <v>18</v>
      </c>
      <c r="CF9" s="2522" t="s">
        <v>18</v>
      </c>
      <c r="CG9" s="2521" t="s">
        <v>18</v>
      </c>
      <c r="CH9" s="2522" t="s">
        <v>18</v>
      </c>
      <c r="CI9" s="2521" t="s">
        <v>18</v>
      </c>
      <c r="CJ9" s="2522" t="s">
        <v>18</v>
      </c>
      <c r="CK9" s="2521" t="s">
        <v>18</v>
      </c>
      <c r="CL9" s="2522" t="s">
        <v>18</v>
      </c>
      <c r="CM9" s="2521" t="s">
        <v>18</v>
      </c>
      <c r="CN9" s="2522" t="s">
        <v>18</v>
      </c>
      <c r="CO9" s="2521" t="s">
        <v>18</v>
      </c>
      <c r="CP9" s="2522" t="s">
        <v>18</v>
      </c>
      <c r="CQ9" s="2521" t="s">
        <v>18</v>
      </c>
      <c r="CR9" s="2522" t="s">
        <v>18</v>
      </c>
      <c r="CS9" s="2521" t="s">
        <v>18</v>
      </c>
      <c r="CT9" s="2522" t="s">
        <v>18</v>
      </c>
      <c r="CU9" s="2521" t="s">
        <v>18</v>
      </c>
      <c r="CV9" s="2522" t="s">
        <v>18</v>
      </c>
      <c r="CW9" s="2521" t="s">
        <v>18</v>
      </c>
      <c r="CX9" s="2522" t="s">
        <v>18</v>
      </c>
      <c r="CY9" s="2521" t="s">
        <v>18</v>
      </c>
      <c r="CZ9" s="2522" t="s">
        <v>18</v>
      </c>
      <c r="DA9" s="2521" t="s">
        <v>18</v>
      </c>
      <c r="DB9" s="2522" t="s">
        <v>18</v>
      </c>
      <c r="DC9" s="2521" t="s">
        <v>18</v>
      </c>
      <c r="DD9" s="2522" t="s">
        <v>18</v>
      </c>
      <c r="DE9" s="2521" t="s">
        <v>18</v>
      </c>
      <c r="DF9" s="2522" t="s">
        <v>18</v>
      </c>
      <c r="DG9" s="2521" t="s">
        <v>18</v>
      </c>
      <c r="DH9" s="2522" t="s">
        <v>18</v>
      </c>
      <c r="DI9" s="2521" t="s">
        <v>18</v>
      </c>
      <c r="DJ9" s="2522" t="s">
        <v>18</v>
      </c>
      <c r="DK9" s="2521" t="s">
        <v>18</v>
      </c>
      <c r="DL9" s="2522" t="s">
        <v>18</v>
      </c>
      <c r="DM9" s="2521" t="s">
        <v>18</v>
      </c>
      <c r="DN9" s="2522" t="s">
        <v>18</v>
      </c>
      <c r="DO9" s="2521" t="s">
        <v>18</v>
      </c>
      <c r="DP9" s="2522" t="s">
        <v>18</v>
      </c>
      <c r="DQ9" s="2521" t="s">
        <v>18</v>
      </c>
      <c r="DR9" s="2522" t="s">
        <v>18</v>
      </c>
      <c r="DS9" s="2521" t="s">
        <v>18</v>
      </c>
      <c r="DT9" s="2522" t="s">
        <v>18</v>
      </c>
      <c r="DU9" s="2521" t="s">
        <v>18</v>
      </c>
      <c r="DV9" s="2522" t="s">
        <v>18</v>
      </c>
      <c r="DW9" s="2521" t="s">
        <v>18</v>
      </c>
      <c r="DX9" s="2522" t="s">
        <v>18</v>
      </c>
      <c r="DY9" s="2521" t="s">
        <v>18</v>
      </c>
      <c r="DZ9" s="2522" t="s">
        <v>18</v>
      </c>
      <c r="EA9" s="2521" t="s">
        <v>18</v>
      </c>
      <c r="EB9" s="2522" t="s">
        <v>18</v>
      </c>
      <c r="EC9" s="2521" t="s">
        <v>18</v>
      </c>
      <c r="ED9" s="2522" t="s">
        <v>18</v>
      </c>
      <c r="EE9" s="2521" t="s">
        <v>18</v>
      </c>
      <c r="EF9" s="2522" t="s">
        <v>18</v>
      </c>
      <c r="EG9" s="2521" t="s">
        <v>18</v>
      </c>
      <c r="EH9" s="2522" t="s">
        <v>18</v>
      </c>
      <c r="EI9" s="2521" t="s">
        <v>18</v>
      </c>
      <c r="EJ9" s="2522" t="s">
        <v>18</v>
      </c>
      <c r="EK9" s="2521" t="s">
        <v>18</v>
      </c>
      <c r="EL9" s="2522" t="s">
        <v>18</v>
      </c>
      <c r="EM9" s="2521" t="s">
        <v>18</v>
      </c>
      <c r="EN9" s="2522" t="s">
        <v>18</v>
      </c>
      <c r="EO9" s="2521" t="s">
        <v>18</v>
      </c>
      <c r="EP9" s="2522" t="s">
        <v>18</v>
      </c>
      <c r="EQ9" s="2521" t="s">
        <v>18</v>
      </c>
      <c r="ER9" s="2522" t="s">
        <v>18</v>
      </c>
      <c r="ES9" s="2521" t="s">
        <v>18</v>
      </c>
      <c r="ET9" s="2522" t="s">
        <v>18</v>
      </c>
      <c r="EU9" s="2521" t="s">
        <v>18</v>
      </c>
      <c r="EV9" s="2522" t="s">
        <v>18</v>
      </c>
      <c r="EW9" s="2521" t="s">
        <v>18</v>
      </c>
      <c r="EX9" s="2522" t="s">
        <v>18</v>
      </c>
      <c r="EY9" s="2521" t="s">
        <v>18</v>
      </c>
      <c r="EZ9" s="2522" t="s">
        <v>18</v>
      </c>
      <c r="FA9" s="2521" t="s">
        <v>18</v>
      </c>
      <c r="FB9" s="2522" t="s">
        <v>18</v>
      </c>
      <c r="FC9" s="2521" t="s">
        <v>18</v>
      </c>
      <c r="FD9" s="2522" t="s">
        <v>18</v>
      </c>
      <c r="FE9" s="2521" t="s">
        <v>18</v>
      </c>
      <c r="FF9" s="2522" t="s">
        <v>18</v>
      </c>
      <c r="FG9" s="2521" t="s">
        <v>18</v>
      </c>
      <c r="FH9" s="2522" t="s">
        <v>18</v>
      </c>
      <c r="FI9" s="2521" t="s">
        <v>18</v>
      </c>
      <c r="FJ9" s="2522" t="s">
        <v>18</v>
      </c>
      <c r="FK9" s="2521" t="s">
        <v>18</v>
      </c>
      <c r="FL9" s="2522" t="s">
        <v>18</v>
      </c>
      <c r="FM9" s="2521" t="s">
        <v>18</v>
      </c>
      <c r="FN9" s="2522" t="s">
        <v>18</v>
      </c>
      <c r="FO9" s="2521" t="s">
        <v>18</v>
      </c>
      <c r="FP9" s="2522" t="s">
        <v>18</v>
      </c>
      <c r="FQ9" s="2521" t="s">
        <v>18</v>
      </c>
      <c r="FR9" s="2522" t="s">
        <v>18</v>
      </c>
      <c r="FS9" s="2521" t="s">
        <v>18</v>
      </c>
      <c r="FT9" s="2522" t="s">
        <v>18</v>
      </c>
      <c r="FU9" s="2521" t="s">
        <v>18</v>
      </c>
      <c r="FV9" s="2522" t="s">
        <v>18</v>
      </c>
      <c r="FW9" s="2521" t="s">
        <v>18</v>
      </c>
      <c r="FX9" s="2522" t="s">
        <v>18</v>
      </c>
      <c r="FY9" s="2521" t="s">
        <v>18</v>
      </c>
      <c r="FZ9" s="2522" t="s">
        <v>18</v>
      </c>
      <c r="GA9" s="2521" t="s">
        <v>18</v>
      </c>
      <c r="GB9" s="2522" t="s">
        <v>18</v>
      </c>
      <c r="GC9" s="2521" t="s">
        <v>18</v>
      </c>
      <c r="GD9" s="2522" t="s">
        <v>18</v>
      </c>
      <c r="GE9" s="2521" t="s">
        <v>18</v>
      </c>
      <c r="GF9" s="2522" t="s">
        <v>18</v>
      </c>
      <c r="GG9" s="2521" t="s">
        <v>18</v>
      </c>
      <c r="GH9" s="2522" t="s">
        <v>18</v>
      </c>
      <c r="GI9" s="2521" t="s">
        <v>18</v>
      </c>
      <c r="GJ9" s="2522" t="s">
        <v>18</v>
      </c>
      <c r="GK9" s="2521" t="s">
        <v>18</v>
      </c>
      <c r="GL9" s="2522" t="s">
        <v>18</v>
      </c>
      <c r="GM9" s="201"/>
    </row>
    <row r="10" spans="1:205" ht="15" hidden="1" customHeight="1">
      <c r="A10" s="403"/>
      <c r="B10" s="3629"/>
      <c r="C10" s="3630"/>
      <c r="D10" s="580" t="str">
        <f>B9&amp;".2"</f>
        <v>.2</v>
      </c>
      <c r="E10" s="581" t="s">
        <v>1213</v>
      </c>
      <c r="F10" s="582" t="s">
        <v>566</v>
      </c>
      <c r="G10" s="1575" t="s">
        <v>18</v>
      </c>
      <c r="H10" s="308" t="s">
        <v>18</v>
      </c>
      <c r="I10" s="2523" t="s">
        <v>18</v>
      </c>
      <c r="J10" s="2520" t="s">
        <v>18</v>
      </c>
      <c r="K10" s="2524" t="s">
        <v>18</v>
      </c>
      <c r="L10" s="2522" t="s">
        <v>18</v>
      </c>
      <c r="M10" s="2524" t="s">
        <v>18</v>
      </c>
      <c r="N10" s="2522" t="s">
        <v>18</v>
      </c>
      <c r="O10" s="2524" t="s">
        <v>18</v>
      </c>
      <c r="P10" s="2522" t="s">
        <v>18</v>
      </c>
      <c r="Q10" s="2524" t="s">
        <v>18</v>
      </c>
      <c r="R10" s="2522" t="s">
        <v>18</v>
      </c>
      <c r="S10" s="2524" t="s">
        <v>18</v>
      </c>
      <c r="T10" s="2522" t="s">
        <v>18</v>
      </c>
      <c r="U10" s="2524" t="s">
        <v>18</v>
      </c>
      <c r="V10" s="2522" t="s">
        <v>18</v>
      </c>
      <c r="W10" s="2524" t="s">
        <v>18</v>
      </c>
      <c r="X10" s="2522" t="s">
        <v>18</v>
      </c>
      <c r="Y10" s="2524" t="s">
        <v>18</v>
      </c>
      <c r="Z10" s="2522" t="s">
        <v>18</v>
      </c>
      <c r="AA10" s="2524" t="s">
        <v>18</v>
      </c>
      <c r="AB10" s="2522" t="s">
        <v>18</v>
      </c>
      <c r="AC10" s="2524" t="s">
        <v>18</v>
      </c>
      <c r="AD10" s="2522" t="s">
        <v>18</v>
      </c>
      <c r="AE10" s="2524" t="s">
        <v>18</v>
      </c>
      <c r="AF10" s="2522" t="s">
        <v>18</v>
      </c>
      <c r="AG10" s="2524" t="s">
        <v>18</v>
      </c>
      <c r="AH10" s="2522" t="s">
        <v>18</v>
      </c>
      <c r="AI10" s="2524" t="s">
        <v>18</v>
      </c>
      <c r="AJ10" s="2522" t="s">
        <v>18</v>
      </c>
      <c r="AK10" s="2524" t="s">
        <v>18</v>
      </c>
      <c r="AL10" s="2522" t="s">
        <v>18</v>
      </c>
      <c r="AM10" s="2524" t="s">
        <v>18</v>
      </c>
      <c r="AN10" s="2522" t="s">
        <v>18</v>
      </c>
      <c r="AO10" s="2524" t="s">
        <v>18</v>
      </c>
      <c r="AP10" s="2522" t="s">
        <v>18</v>
      </c>
      <c r="AQ10" s="2524" t="s">
        <v>18</v>
      </c>
      <c r="AR10" s="2522" t="s">
        <v>18</v>
      </c>
      <c r="AS10" s="2524" t="s">
        <v>18</v>
      </c>
      <c r="AT10" s="2522" t="s">
        <v>18</v>
      </c>
      <c r="AU10" s="2524" t="s">
        <v>18</v>
      </c>
      <c r="AV10" s="2522" t="s">
        <v>18</v>
      </c>
      <c r="AW10" s="2524" t="s">
        <v>18</v>
      </c>
      <c r="AX10" s="2522" t="s">
        <v>18</v>
      </c>
      <c r="AY10" s="2524" t="s">
        <v>18</v>
      </c>
      <c r="AZ10" s="2522" t="s">
        <v>18</v>
      </c>
      <c r="BA10" s="2524" t="s">
        <v>18</v>
      </c>
      <c r="BB10" s="2522" t="s">
        <v>18</v>
      </c>
      <c r="BC10" s="2524" t="s">
        <v>18</v>
      </c>
      <c r="BD10" s="2522" t="s">
        <v>18</v>
      </c>
      <c r="BE10" s="2524" t="s">
        <v>18</v>
      </c>
      <c r="BF10" s="2522" t="s">
        <v>18</v>
      </c>
      <c r="BG10" s="2524" t="s">
        <v>18</v>
      </c>
      <c r="BH10" s="2522" t="s">
        <v>18</v>
      </c>
      <c r="BI10" s="2524" t="s">
        <v>18</v>
      </c>
      <c r="BJ10" s="2522" t="s">
        <v>18</v>
      </c>
      <c r="BK10" s="2524" t="s">
        <v>18</v>
      </c>
      <c r="BL10" s="2522" t="s">
        <v>18</v>
      </c>
      <c r="BM10" s="2524" t="s">
        <v>18</v>
      </c>
      <c r="BN10" s="2522" t="s">
        <v>18</v>
      </c>
      <c r="BO10" s="2524" t="s">
        <v>18</v>
      </c>
      <c r="BP10" s="2522" t="s">
        <v>18</v>
      </c>
      <c r="BQ10" s="2524" t="s">
        <v>18</v>
      </c>
      <c r="BR10" s="2522" t="s">
        <v>18</v>
      </c>
      <c r="BS10" s="2524" t="s">
        <v>18</v>
      </c>
      <c r="BT10" s="2522" t="s">
        <v>18</v>
      </c>
      <c r="BU10" s="2524" t="s">
        <v>18</v>
      </c>
      <c r="BV10" s="2522" t="s">
        <v>18</v>
      </c>
      <c r="BW10" s="2524" t="s">
        <v>18</v>
      </c>
      <c r="BX10" s="2522" t="s">
        <v>18</v>
      </c>
      <c r="BY10" s="2524" t="s">
        <v>18</v>
      </c>
      <c r="BZ10" s="2522" t="s">
        <v>18</v>
      </c>
      <c r="CA10" s="2524" t="s">
        <v>18</v>
      </c>
      <c r="CB10" s="2522" t="s">
        <v>18</v>
      </c>
      <c r="CC10" s="2524" t="s">
        <v>18</v>
      </c>
      <c r="CD10" s="2522" t="s">
        <v>18</v>
      </c>
      <c r="CE10" s="2524" t="s">
        <v>18</v>
      </c>
      <c r="CF10" s="2522" t="s">
        <v>18</v>
      </c>
      <c r="CG10" s="2524" t="s">
        <v>18</v>
      </c>
      <c r="CH10" s="2522" t="s">
        <v>18</v>
      </c>
      <c r="CI10" s="2524" t="s">
        <v>18</v>
      </c>
      <c r="CJ10" s="2522" t="s">
        <v>18</v>
      </c>
      <c r="CK10" s="2524" t="s">
        <v>18</v>
      </c>
      <c r="CL10" s="2522" t="s">
        <v>18</v>
      </c>
      <c r="CM10" s="2524" t="s">
        <v>18</v>
      </c>
      <c r="CN10" s="2522" t="s">
        <v>18</v>
      </c>
      <c r="CO10" s="2524" t="s">
        <v>18</v>
      </c>
      <c r="CP10" s="2522" t="s">
        <v>18</v>
      </c>
      <c r="CQ10" s="2524" t="s">
        <v>18</v>
      </c>
      <c r="CR10" s="2522" t="s">
        <v>18</v>
      </c>
      <c r="CS10" s="2524" t="s">
        <v>18</v>
      </c>
      <c r="CT10" s="2522" t="s">
        <v>18</v>
      </c>
      <c r="CU10" s="2524" t="s">
        <v>18</v>
      </c>
      <c r="CV10" s="2522" t="s">
        <v>18</v>
      </c>
      <c r="CW10" s="2524" t="s">
        <v>18</v>
      </c>
      <c r="CX10" s="2522" t="s">
        <v>18</v>
      </c>
      <c r="CY10" s="2524" t="s">
        <v>18</v>
      </c>
      <c r="CZ10" s="2522" t="s">
        <v>18</v>
      </c>
      <c r="DA10" s="2524" t="s">
        <v>18</v>
      </c>
      <c r="DB10" s="2522" t="s">
        <v>18</v>
      </c>
      <c r="DC10" s="2524" t="s">
        <v>18</v>
      </c>
      <c r="DD10" s="2522" t="s">
        <v>18</v>
      </c>
      <c r="DE10" s="2524" t="s">
        <v>18</v>
      </c>
      <c r="DF10" s="2522" t="s">
        <v>18</v>
      </c>
      <c r="DG10" s="2524" t="s">
        <v>18</v>
      </c>
      <c r="DH10" s="2522" t="s">
        <v>18</v>
      </c>
      <c r="DI10" s="2524" t="s">
        <v>18</v>
      </c>
      <c r="DJ10" s="2522" t="s">
        <v>18</v>
      </c>
      <c r="DK10" s="2524" t="s">
        <v>18</v>
      </c>
      <c r="DL10" s="2522" t="s">
        <v>18</v>
      </c>
      <c r="DM10" s="2524" t="s">
        <v>18</v>
      </c>
      <c r="DN10" s="2522" t="s">
        <v>18</v>
      </c>
      <c r="DO10" s="2524" t="s">
        <v>18</v>
      </c>
      <c r="DP10" s="2522" t="s">
        <v>18</v>
      </c>
      <c r="DQ10" s="2524" t="s">
        <v>18</v>
      </c>
      <c r="DR10" s="2522" t="s">
        <v>18</v>
      </c>
      <c r="DS10" s="2524" t="s">
        <v>18</v>
      </c>
      <c r="DT10" s="2522" t="s">
        <v>18</v>
      </c>
      <c r="DU10" s="2524" t="s">
        <v>18</v>
      </c>
      <c r="DV10" s="2522" t="s">
        <v>18</v>
      </c>
      <c r="DW10" s="2524" t="s">
        <v>18</v>
      </c>
      <c r="DX10" s="2522" t="s">
        <v>18</v>
      </c>
      <c r="DY10" s="2524" t="s">
        <v>18</v>
      </c>
      <c r="DZ10" s="2522" t="s">
        <v>18</v>
      </c>
      <c r="EA10" s="2524" t="s">
        <v>18</v>
      </c>
      <c r="EB10" s="2522" t="s">
        <v>18</v>
      </c>
      <c r="EC10" s="2524" t="s">
        <v>18</v>
      </c>
      <c r="ED10" s="2522" t="s">
        <v>18</v>
      </c>
      <c r="EE10" s="2524" t="s">
        <v>18</v>
      </c>
      <c r="EF10" s="2522" t="s">
        <v>18</v>
      </c>
      <c r="EG10" s="2524" t="s">
        <v>18</v>
      </c>
      <c r="EH10" s="2522" t="s">
        <v>18</v>
      </c>
      <c r="EI10" s="2524" t="s">
        <v>18</v>
      </c>
      <c r="EJ10" s="2522" t="s">
        <v>18</v>
      </c>
      <c r="EK10" s="2524" t="s">
        <v>18</v>
      </c>
      <c r="EL10" s="2522" t="s">
        <v>18</v>
      </c>
      <c r="EM10" s="2524" t="s">
        <v>18</v>
      </c>
      <c r="EN10" s="2522" t="s">
        <v>18</v>
      </c>
      <c r="EO10" s="2524" t="s">
        <v>18</v>
      </c>
      <c r="EP10" s="2522" t="s">
        <v>18</v>
      </c>
      <c r="EQ10" s="2524" t="s">
        <v>18</v>
      </c>
      <c r="ER10" s="2522" t="s">
        <v>18</v>
      </c>
      <c r="ES10" s="2524" t="s">
        <v>18</v>
      </c>
      <c r="ET10" s="2522" t="s">
        <v>18</v>
      </c>
      <c r="EU10" s="2524" t="s">
        <v>18</v>
      </c>
      <c r="EV10" s="2522" t="s">
        <v>18</v>
      </c>
      <c r="EW10" s="2524" t="s">
        <v>18</v>
      </c>
      <c r="EX10" s="2522" t="s">
        <v>18</v>
      </c>
      <c r="EY10" s="2524" t="s">
        <v>18</v>
      </c>
      <c r="EZ10" s="2522" t="s">
        <v>18</v>
      </c>
      <c r="FA10" s="2524" t="s">
        <v>18</v>
      </c>
      <c r="FB10" s="2522" t="s">
        <v>18</v>
      </c>
      <c r="FC10" s="2524" t="s">
        <v>18</v>
      </c>
      <c r="FD10" s="2522" t="s">
        <v>18</v>
      </c>
      <c r="FE10" s="2524" t="s">
        <v>18</v>
      </c>
      <c r="FF10" s="2522" t="s">
        <v>18</v>
      </c>
      <c r="FG10" s="2524" t="s">
        <v>18</v>
      </c>
      <c r="FH10" s="2522" t="s">
        <v>18</v>
      </c>
      <c r="FI10" s="2524" t="s">
        <v>18</v>
      </c>
      <c r="FJ10" s="2522" t="s">
        <v>18</v>
      </c>
      <c r="FK10" s="2524" t="s">
        <v>18</v>
      </c>
      <c r="FL10" s="2522" t="s">
        <v>18</v>
      </c>
      <c r="FM10" s="2524" t="s">
        <v>18</v>
      </c>
      <c r="FN10" s="2522" t="s">
        <v>18</v>
      </c>
      <c r="FO10" s="2524" t="s">
        <v>18</v>
      </c>
      <c r="FP10" s="2522" t="s">
        <v>18</v>
      </c>
      <c r="FQ10" s="2524" t="s">
        <v>18</v>
      </c>
      <c r="FR10" s="2522" t="s">
        <v>18</v>
      </c>
      <c r="FS10" s="2524" t="s">
        <v>18</v>
      </c>
      <c r="FT10" s="2522" t="s">
        <v>18</v>
      </c>
      <c r="FU10" s="2524" t="s">
        <v>18</v>
      </c>
      <c r="FV10" s="2522" t="s">
        <v>18</v>
      </c>
      <c r="FW10" s="2524" t="s">
        <v>18</v>
      </c>
      <c r="FX10" s="2522" t="s">
        <v>18</v>
      </c>
      <c r="FY10" s="2524" t="s">
        <v>18</v>
      </c>
      <c r="FZ10" s="2522" t="s">
        <v>18</v>
      </c>
      <c r="GA10" s="2524" t="s">
        <v>18</v>
      </c>
      <c r="GB10" s="2522" t="s">
        <v>18</v>
      </c>
      <c r="GC10" s="2524" t="s">
        <v>18</v>
      </c>
      <c r="GD10" s="2522" t="s">
        <v>18</v>
      </c>
      <c r="GE10" s="2524" t="s">
        <v>18</v>
      </c>
      <c r="GF10" s="2522" t="s">
        <v>18</v>
      </c>
      <c r="GG10" s="2524" t="s">
        <v>18</v>
      </c>
      <c r="GH10" s="2522" t="s">
        <v>18</v>
      </c>
      <c r="GI10" s="2524" t="s">
        <v>18</v>
      </c>
      <c r="GJ10" s="2522" t="s">
        <v>18</v>
      </c>
      <c r="GK10" s="2524" t="s">
        <v>18</v>
      </c>
      <c r="GL10" s="2522" t="s">
        <v>18</v>
      </c>
      <c r="GM10" s="201" t="s">
        <v>1214</v>
      </c>
    </row>
    <row r="11" spans="1:205" ht="15" hidden="1" customHeight="1">
      <c r="A11" s="403"/>
      <c r="B11" s="3629"/>
      <c r="C11" s="3630"/>
      <c r="D11" s="580" t="str">
        <f>B9&amp;".3"</f>
        <v>.3</v>
      </c>
      <c r="E11" s="581" t="s">
        <v>1215</v>
      </c>
      <c r="F11" s="582" t="s">
        <v>566</v>
      </c>
      <c r="G11" s="1575" t="s">
        <v>18</v>
      </c>
      <c r="H11" s="308" t="s">
        <v>18</v>
      </c>
      <c r="I11" s="2523" t="s">
        <v>18</v>
      </c>
      <c r="J11" s="2520" t="s">
        <v>18</v>
      </c>
      <c r="K11" s="2524" t="s">
        <v>18</v>
      </c>
      <c r="L11" s="2522" t="s">
        <v>18</v>
      </c>
      <c r="M11" s="2524" t="s">
        <v>18</v>
      </c>
      <c r="N11" s="2522" t="s">
        <v>18</v>
      </c>
      <c r="O11" s="2524" t="s">
        <v>18</v>
      </c>
      <c r="P11" s="2522" t="s">
        <v>18</v>
      </c>
      <c r="Q11" s="2524" t="s">
        <v>18</v>
      </c>
      <c r="R11" s="2522" t="s">
        <v>18</v>
      </c>
      <c r="S11" s="2524" t="s">
        <v>18</v>
      </c>
      <c r="T11" s="2522" t="s">
        <v>18</v>
      </c>
      <c r="U11" s="2524" t="s">
        <v>18</v>
      </c>
      <c r="V11" s="2522" t="s">
        <v>18</v>
      </c>
      <c r="W11" s="2524" t="s">
        <v>18</v>
      </c>
      <c r="X11" s="2522" t="s">
        <v>18</v>
      </c>
      <c r="Y11" s="2524" t="s">
        <v>18</v>
      </c>
      <c r="Z11" s="2522" t="s">
        <v>18</v>
      </c>
      <c r="AA11" s="2524" t="s">
        <v>18</v>
      </c>
      <c r="AB11" s="2522" t="s">
        <v>18</v>
      </c>
      <c r="AC11" s="2524" t="s">
        <v>18</v>
      </c>
      <c r="AD11" s="2522" t="s">
        <v>18</v>
      </c>
      <c r="AE11" s="2524" t="s">
        <v>18</v>
      </c>
      <c r="AF11" s="2522" t="s">
        <v>18</v>
      </c>
      <c r="AG11" s="2524" t="s">
        <v>18</v>
      </c>
      <c r="AH11" s="2522" t="s">
        <v>18</v>
      </c>
      <c r="AI11" s="2524" t="s">
        <v>18</v>
      </c>
      <c r="AJ11" s="2522" t="s">
        <v>18</v>
      </c>
      <c r="AK11" s="2524" t="s">
        <v>18</v>
      </c>
      <c r="AL11" s="2522" t="s">
        <v>18</v>
      </c>
      <c r="AM11" s="2524" t="s">
        <v>18</v>
      </c>
      <c r="AN11" s="2522" t="s">
        <v>18</v>
      </c>
      <c r="AO11" s="2524" t="s">
        <v>18</v>
      </c>
      <c r="AP11" s="2522" t="s">
        <v>18</v>
      </c>
      <c r="AQ11" s="2524" t="s">
        <v>18</v>
      </c>
      <c r="AR11" s="2522" t="s">
        <v>18</v>
      </c>
      <c r="AS11" s="2524" t="s">
        <v>18</v>
      </c>
      <c r="AT11" s="2522" t="s">
        <v>18</v>
      </c>
      <c r="AU11" s="2524" t="s">
        <v>18</v>
      </c>
      <c r="AV11" s="2522" t="s">
        <v>18</v>
      </c>
      <c r="AW11" s="2524" t="s">
        <v>18</v>
      </c>
      <c r="AX11" s="2522" t="s">
        <v>18</v>
      </c>
      <c r="AY11" s="2524" t="s">
        <v>18</v>
      </c>
      <c r="AZ11" s="2522" t="s">
        <v>18</v>
      </c>
      <c r="BA11" s="2524" t="s">
        <v>18</v>
      </c>
      <c r="BB11" s="2522" t="s">
        <v>18</v>
      </c>
      <c r="BC11" s="2524" t="s">
        <v>18</v>
      </c>
      <c r="BD11" s="2522" t="s">
        <v>18</v>
      </c>
      <c r="BE11" s="2524" t="s">
        <v>18</v>
      </c>
      <c r="BF11" s="2522" t="s">
        <v>18</v>
      </c>
      <c r="BG11" s="2524" t="s">
        <v>18</v>
      </c>
      <c r="BH11" s="2522" t="s">
        <v>18</v>
      </c>
      <c r="BI11" s="2524" t="s">
        <v>18</v>
      </c>
      <c r="BJ11" s="2522" t="s">
        <v>18</v>
      </c>
      <c r="BK11" s="2524" t="s">
        <v>18</v>
      </c>
      <c r="BL11" s="2522" t="s">
        <v>18</v>
      </c>
      <c r="BM11" s="2524" t="s">
        <v>18</v>
      </c>
      <c r="BN11" s="2522" t="s">
        <v>18</v>
      </c>
      <c r="BO11" s="2524" t="s">
        <v>18</v>
      </c>
      <c r="BP11" s="2522" t="s">
        <v>18</v>
      </c>
      <c r="BQ11" s="2524" t="s">
        <v>18</v>
      </c>
      <c r="BR11" s="2522" t="s">
        <v>18</v>
      </c>
      <c r="BS11" s="2524" t="s">
        <v>18</v>
      </c>
      <c r="BT11" s="2522" t="s">
        <v>18</v>
      </c>
      <c r="BU11" s="2524" t="s">
        <v>18</v>
      </c>
      <c r="BV11" s="2522" t="s">
        <v>18</v>
      </c>
      <c r="BW11" s="2524" t="s">
        <v>18</v>
      </c>
      <c r="BX11" s="2522" t="s">
        <v>18</v>
      </c>
      <c r="BY11" s="2524" t="s">
        <v>18</v>
      </c>
      <c r="BZ11" s="2522" t="s">
        <v>18</v>
      </c>
      <c r="CA11" s="2524" t="s">
        <v>18</v>
      </c>
      <c r="CB11" s="2522" t="s">
        <v>18</v>
      </c>
      <c r="CC11" s="2524" t="s">
        <v>18</v>
      </c>
      <c r="CD11" s="2522" t="s">
        <v>18</v>
      </c>
      <c r="CE11" s="2524" t="s">
        <v>18</v>
      </c>
      <c r="CF11" s="2522" t="s">
        <v>18</v>
      </c>
      <c r="CG11" s="2524" t="s">
        <v>18</v>
      </c>
      <c r="CH11" s="2522" t="s">
        <v>18</v>
      </c>
      <c r="CI11" s="2524" t="s">
        <v>18</v>
      </c>
      <c r="CJ11" s="2522" t="s">
        <v>18</v>
      </c>
      <c r="CK11" s="2524" t="s">
        <v>18</v>
      </c>
      <c r="CL11" s="2522" t="s">
        <v>18</v>
      </c>
      <c r="CM11" s="2524" t="s">
        <v>18</v>
      </c>
      <c r="CN11" s="2522" t="s">
        <v>18</v>
      </c>
      <c r="CO11" s="2524" t="s">
        <v>18</v>
      </c>
      <c r="CP11" s="2522" t="s">
        <v>18</v>
      </c>
      <c r="CQ11" s="2524" t="s">
        <v>18</v>
      </c>
      <c r="CR11" s="2522" t="s">
        <v>18</v>
      </c>
      <c r="CS11" s="2524" t="s">
        <v>18</v>
      </c>
      <c r="CT11" s="2522" t="s">
        <v>18</v>
      </c>
      <c r="CU11" s="2524" t="s">
        <v>18</v>
      </c>
      <c r="CV11" s="2522" t="s">
        <v>18</v>
      </c>
      <c r="CW11" s="2524" t="s">
        <v>18</v>
      </c>
      <c r="CX11" s="2522" t="s">
        <v>18</v>
      </c>
      <c r="CY11" s="2524" t="s">
        <v>18</v>
      </c>
      <c r="CZ11" s="2522" t="s">
        <v>18</v>
      </c>
      <c r="DA11" s="2524" t="s">
        <v>18</v>
      </c>
      <c r="DB11" s="2522" t="s">
        <v>18</v>
      </c>
      <c r="DC11" s="2524" t="s">
        <v>18</v>
      </c>
      <c r="DD11" s="2522" t="s">
        <v>18</v>
      </c>
      <c r="DE11" s="2524" t="s">
        <v>18</v>
      </c>
      <c r="DF11" s="2522" t="s">
        <v>18</v>
      </c>
      <c r="DG11" s="2524" t="s">
        <v>18</v>
      </c>
      <c r="DH11" s="2522" t="s">
        <v>18</v>
      </c>
      <c r="DI11" s="2524" t="s">
        <v>18</v>
      </c>
      <c r="DJ11" s="2522" t="s">
        <v>18</v>
      </c>
      <c r="DK11" s="2524" t="s">
        <v>18</v>
      </c>
      <c r="DL11" s="2522" t="s">
        <v>18</v>
      </c>
      <c r="DM11" s="2524" t="s">
        <v>18</v>
      </c>
      <c r="DN11" s="2522" t="s">
        <v>18</v>
      </c>
      <c r="DO11" s="2524" t="s">
        <v>18</v>
      </c>
      <c r="DP11" s="2522" t="s">
        <v>18</v>
      </c>
      <c r="DQ11" s="2524" t="s">
        <v>18</v>
      </c>
      <c r="DR11" s="2522" t="s">
        <v>18</v>
      </c>
      <c r="DS11" s="2524" t="s">
        <v>18</v>
      </c>
      <c r="DT11" s="2522" t="s">
        <v>18</v>
      </c>
      <c r="DU11" s="2524" t="s">
        <v>18</v>
      </c>
      <c r="DV11" s="2522" t="s">
        <v>18</v>
      </c>
      <c r="DW11" s="2524" t="s">
        <v>18</v>
      </c>
      <c r="DX11" s="2522" t="s">
        <v>18</v>
      </c>
      <c r="DY11" s="2524" t="s">
        <v>18</v>
      </c>
      <c r="DZ11" s="2522" t="s">
        <v>18</v>
      </c>
      <c r="EA11" s="2524" t="s">
        <v>18</v>
      </c>
      <c r="EB11" s="2522" t="s">
        <v>18</v>
      </c>
      <c r="EC11" s="2524" t="s">
        <v>18</v>
      </c>
      <c r="ED11" s="2522" t="s">
        <v>18</v>
      </c>
      <c r="EE11" s="2524" t="s">
        <v>18</v>
      </c>
      <c r="EF11" s="2522" t="s">
        <v>18</v>
      </c>
      <c r="EG11" s="2524" t="s">
        <v>18</v>
      </c>
      <c r="EH11" s="2522" t="s">
        <v>18</v>
      </c>
      <c r="EI11" s="2524" t="s">
        <v>18</v>
      </c>
      <c r="EJ11" s="2522" t="s">
        <v>18</v>
      </c>
      <c r="EK11" s="2524" t="s">
        <v>18</v>
      </c>
      <c r="EL11" s="2522" t="s">
        <v>18</v>
      </c>
      <c r="EM11" s="2524" t="s">
        <v>18</v>
      </c>
      <c r="EN11" s="2522" t="s">
        <v>18</v>
      </c>
      <c r="EO11" s="2524" t="s">
        <v>18</v>
      </c>
      <c r="EP11" s="2522" t="s">
        <v>18</v>
      </c>
      <c r="EQ11" s="2524" t="s">
        <v>18</v>
      </c>
      <c r="ER11" s="2522" t="s">
        <v>18</v>
      </c>
      <c r="ES11" s="2524" t="s">
        <v>18</v>
      </c>
      <c r="ET11" s="2522" t="s">
        <v>18</v>
      </c>
      <c r="EU11" s="2524" t="s">
        <v>18</v>
      </c>
      <c r="EV11" s="2522" t="s">
        <v>18</v>
      </c>
      <c r="EW11" s="2524" t="s">
        <v>18</v>
      </c>
      <c r="EX11" s="2522" t="s">
        <v>18</v>
      </c>
      <c r="EY11" s="2524" t="s">
        <v>18</v>
      </c>
      <c r="EZ11" s="2522" t="s">
        <v>18</v>
      </c>
      <c r="FA11" s="2524" t="s">
        <v>18</v>
      </c>
      <c r="FB11" s="2522" t="s">
        <v>18</v>
      </c>
      <c r="FC11" s="2524" t="s">
        <v>18</v>
      </c>
      <c r="FD11" s="2522" t="s">
        <v>18</v>
      </c>
      <c r="FE11" s="2524" t="s">
        <v>18</v>
      </c>
      <c r="FF11" s="2522" t="s">
        <v>18</v>
      </c>
      <c r="FG11" s="2524" t="s">
        <v>18</v>
      </c>
      <c r="FH11" s="2522" t="s">
        <v>18</v>
      </c>
      <c r="FI11" s="2524" t="s">
        <v>18</v>
      </c>
      <c r="FJ11" s="2522" t="s">
        <v>18</v>
      </c>
      <c r="FK11" s="2524" t="s">
        <v>18</v>
      </c>
      <c r="FL11" s="2522" t="s">
        <v>18</v>
      </c>
      <c r="FM11" s="2524" t="s">
        <v>18</v>
      </c>
      <c r="FN11" s="2522" t="s">
        <v>18</v>
      </c>
      <c r="FO11" s="2524" t="s">
        <v>18</v>
      </c>
      <c r="FP11" s="2522" t="s">
        <v>18</v>
      </c>
      <c r="FQ11" s="2524" t="s">
        <v>18</v>
      </c>
      <c r="FR11" s="2522" t="s">
        <v>18</v>
      </c>
      <c r="FS11" s="2524" t="s">
        <v>18</v>
      </c>
      <c r="FT11" s="2522" t="s">
        <v>18</v>
      </c>
      <c r="FU11" s="2524" t="s">
        <v>18</v>
      </c>
      <c r="FV11" s="2522" t="s">
        <v>18</v>
      </c>
      <c r="FW11" s="2524" t="s">
        <v>18</v>
      </c>
      <c r="FX11" s="2522" t="s">
        <v>18</v>
      </c>
      <c r="FY11" s="2524" t="s">
        <v>18</v>
      </c>
      <c r="FZ11" s="2522" t="s">
        <v>18</v>
      </c>
      <c r="GA11" s="2524" t="s">
        <v>18</v>
      </c>
      <c r="GB11" s="2522" t="s">
        <v>18</v>
      </c>
      <c r="GC11" s="2524" t="s">
        <v>18</v>
      </c>
      <c r="GD11" s="2522" t="s">
        <v>18</v>
      </c>
      <c r="GE11" s="2524" t="s">
        <v>18</v>
      </c>
      <c r="GF11" s="2522" t="s">
        <v>18</v>
      </c>
      <c r="GG11" s="2524" t="s">
        <v>18</v>
      </c>
      <c r="GH11" s="2522" t="s">
        <v>18</v>
      </c>
      <c r="GI11" s="2524" t="s">
        <v>18</v>
      </c>
      <c r="GJ11" s="2522" t="s">
        <v>18</v>
      </c>
      <c r="GK11" s="2524" t="s">
        <v>18</v>
      </c>
      <c r="GL11" s="2522" t="s">
        <v>18</v>
      </c>
      <c r="GM11" s="201" t="s">
        <v>1216</v>
      </c>
    </row>
    <row r="12" spans="1:205" s="1903" customFormat="1" ht="15" hidden="1" customHeight="1">
      <c r="C12" s="564"/>
      <c r="GW12" s="326"/>
    </row>
    <row r="13" spans="1:205" ht="33.75" hidden="1" customHeight="1">
      <c r="A13" s="403"/>
      <c r="B13" s="3629"/>
      <c r="C13" s="3630" t="s">
        <v>118</v>
      </c>
      <c r="D13" s="580" t="str">
        <f>B13&amp;".1"</f>
        <v>.1</v>
      </c>
      <c r="E13" s="581" t="s">
        <v>1217</v>
      </c>
      <c r="F13" s="582" t="s">
        <v>566</v>
      </c>
      <c r="G13" s="588" t="s">
        <v>18</v>
      </c>
      <c r="H13" s="308" t="s">
        <v>18</v>
      </c>
      <c r="I13" s="2519" t="s">
        <v>18</v>
      </c>
      <c r="J13" s="2520" t="s">
        <v>18</v>
      </c>
      <c r="K13" s="2521" t="s">
        <v>18</v>
      </c>
      <c r="L13" s="2522" t="s">
        <v>18</v>
      </c>
      <c r="M13" s="2521" t="s">
        <v>18</v>
      </c>
      <c r="N13" s="2522" t="s">
        <v>18</v>
      </c>
      <c r="O13" s="2521" t="s">
        <v>18</v>
      </c>
      <c r="P13" s="2522" t="s">
        <v>18</v>
      </c>
      <c r="Q13" s="2521" t="s">
        <v>18</v>
      </c>
      <c r="R13" s="2522" t="s">
        <v>18</v>
      </c>
      <c r="S13" s="2521" t="s">
        <v>18</v>
      </c>
      <c r="T13" s="2522" t="s">
        <v>18</v>
      </c>
      <c r="U13" s="2521" t="s">
        <v>18</v>
      </c>
      <c r="V13" s="2522" t="s">
        <v>18</v>
      </c>
      <c r="W13" s="2521" t="s">
        <v>18</v>
      </c>
      <c r="X13" s="2522" t="s">
        <v>18</v>
      </c>
      <c r="Y13" s="2521" t="s">
        <v>18</v>
      </c>
      <c r="Z13" s="2522" t="s">
        <v>18</v>
      </c>
      <c r="AA13" s="2521" t="s">
        <v>18</v>
      </c>
      <c r="AB13" s="2522" t="s">
        <v>18</v>
      </c>
      <c r="AC13" s="2521" t="s">
        <v>18</v>
      </c>
      <c r="AD13" s="2522" t="s">
        <v>18</v>
      </c>
      <c r="AE13" s="2521" t="s">
        <v>18</v>
      </c>
      <c r="AF13" s="2522" t="s">
        <v>18</v>
      </c>
      <c r="AG13" s="2521" t="s">
        <v>18</v>
      </c>
      <c r="AH13" s="2522" t="s">
        <v>18</v>
      </c>
      <c r="AI13" s="2521" t="s">
        <v>18</v>
      </c>
      <c r="AJ13" s="2522" t="s">
        <v>18</v>
      </c>
      <c r="AK13" s="2521" t="s">
        <v>18</v>
      </c>
      <c r="AL13" s="2522" t="s">
        <v>18</v>
      </c>
      <c r="AM13" s="2521" t="s">
        <v>18</v>
      </c>
      <c r="AN13" s="2522" t="s">
        <v>18</v>
      </c>
      <c r="AO13" s="2521" t="s">
        <v>18</v>
      </c>
      <c r="AP13" s="2522" t="s">
        <v>18</v>
      </c>
      <c r="AQ13" s="2521" t="s">
        <v>18</v>
      </c>
      <c r="AR13" s="2522" t="s">
        <v>18</v>
      </c>
      <c r="AS13" s="2521" t="s">
        <v>18</v>
      </c>
      <c r="AT13" s="2522" t="s">
        <v>18</v>
      </c>
      <c r="AU13" s="2521" t="s">
        <v>18</v>
      </c>
      <c r="AV13" s="2522" t="s">
        <v>18</v>
      </c>
      <c r="AW13" s="2521" t="s">
        <v>18</v>
      </c>
      <c r="AX13" s="2522" t="s">
        <v>18</v>
      </c>
      <c r="AY13" s="2521" t="s">
        <v>18</v>
      </c>
      <c r="AZ13" s="2522" t="s">
        <v>18</v>
      </c>
      <c r="BA13" s="2521" t="s">
        <v>18</v>
      </c>
      <c r="BB13" s="2522" t="s">
        <v>18</v>
      </c>
      <c r="BC13" s="2521" t="s">
        <v>18</v>
      </c>
      <c r="BD13" s="2522" t="s">
        <v>18</v>
      </c>
      <c r="BE13" s="2521" t="s">
        <v>18</v>
      </c>
      <c r="BF13" s="2522" t="s">
        <v>18</v>
      </c>
      <c r="BG13" s="2521" t="s">
        <v>18</v>
      </c>
      <c r="BH13" s="2522" t="s">
        <v>18</v>
      </c>
      <c r="BI13" s="2521" t="s">
        <v>18</v>
      </c>
      <c r="BJ13" s="2522" t="s">
        <v>18</v>
      </c>
      <c r="BK13" s="2521" t="s">
        <v>18</v>
      </c>
      <c r="BL13" s="2522" t="s">
        <v>18</v>
      </c>
      <c r="BM13" s="2521" t="s">
        <v>18</v>
      </c>
      <c r="BN13" s="2522" t="s">
        <v>18</v>
      </c>
      <c r="BO13" s="2521" t="s">
        <v>18</v>
      </c>
      <c r="BP13" s="2522" t="s">
        <v>18</v>
      </c>
      <c r="BQ13" s="2521" t="s">
        <v>18</v>
      </c>
      <c r="BR13" s="2522" t="s">
        <v>18</v>
      </c>
      <c r="BS13" s="2521" t="s">
        <v>18</v>
      </c>
      <c r="BT13" s="2522" t="s">
        <v>18</v>
      </c>
      <c r="BU13" s="2521" t="s">
        <v>18</v>
      </c>
      <c r="BV13" s="2522" t="s">
        <v>18</v>
      </c>
      <c r="BW13" s="2521" t="s">
        <v>18</v>
      </c>
      <c r="BX13" s="2522" t="s">
        <v>18</v>
      </c>
      <c r="BY13" s="2521" t="s">
        <v>18</v>
      </c>
      <c r="BZ13" s="2522" t="s">
        <v>18</v>
      </c>
      <c r="CA13" s="2521" t="s">
        <v>18</v>
      </c>
      <c r="CB13" s="2522" t="s">
        <v>18</v>
      </c>
      <c r="CC13" s="2521" t="s">
        <v>18</v>
      </c>
      <c r="CD13" s="2522" t="s">
        <v>18</v>
      </c>
      <c r="CE13" s="2521" t="s">
        <v>18</v>
      </c>
      <c r="CF13" s="2522" t="s">
        <v>18</v>
      </c>
      <c r="CG13" s="2521" t="s">
        <v>18</v>
      </c>
      <c r="CH13" s="2522" t="s">
        <v>18</v>
      </c>
      <c r="CI13" s="2521" t="s">
        <v>18</v>
      </c>
      <c r="CJ13" s="2522" t="s">
        <v>18</v>
      </c>
      <c r="CK13" s="2521" t="s">
        <v>18</v>
      </c>
      <c r="CL13" s="2522" t="s">
        <v>18</v>
      </c>
      <c r="CM13" s="2521" t="s">
        <v>18</v>
      </c>
      <c r="CN13" s="2522" t="s">
        <v>18</v>
      </c>
      <c r="CO13" s="2521" t="s">
        <v>18</v>
      </c>
      <c r="CP13" s="2522" t="s">
        <v>18</v>
      </c>
      <c r="CQ13" s="2521" t="s">
        <v>18</v>
      </c>
      <c r="CR13" s="2522" t="s">
        <v>18</v>
      </c>
      <c r="CS13" s="2521" t="s">
        <v>18</v>
      </c>
      <c r="CT13" s="2522" t="s">
        <v>18</v>
      </c>
      <c r="CU13" s="2521" t="s">
        <v>18</v>
      </c>
      <c r="CV13" s="2522" t="s">
        <v>18</v>
      </c>
      <c r="CW13" s="2521" t="s">
        <v>18</v>
      </c>
      <c r="CX13" s="2522" t="s">
        <v>18</v>
      </c>
      <c r="CY13" s="2521" t="s">
        <v>18</v>
      </c>
      <c r="CZ13" s="2522" t="s">
        <v>18</v>
      </c>
      <c r="DA13" s="2521" t="s">
        <v>18</v>
      </c>
      <c r="DB13" s="2522" t="s">
        <v>18</v>
      </c>
      <c r="DC13" s="2521" t="s">
        <v>18</v>
      </c>
      <c r="DD13" s="2522" t="s">
        <v>18</v>
      </c>
      <c r="DE13" s="2521" t="s">
        <v>18</v>
      </c>
      <c r="DF13" s="2522" t="s">
        <v>18</v>
      </c>
      <c r="DG13" s="2521" t="s">
        <v>18</v>
      </c>
      <c r="DH13" s="2522" t="s">
        <v>18</v>
      </c>
      <c r="DI13" s="2521" t="s">
        <v>18</v>
      </c>
      <c r="DJ13" s="2522" t="s">
        <v>18</v>
      </c>
      <c r="DK13" s="2521" t="s">
        <v>18</v>
      </c>
      <c r="DL13" s="2522" t="s">
        <v>18</v>
      </c>
      <c r="DM13" s="2521" t="s">
        <v>18</v>
      </c>
      <c r="DN13" s="2522" t="s">
        <v>18</v>
      </c>
      <c r="DO13" s="2521" t="s">
        <v>18</v>
      </c>
      <c r="DP13" s="2522" t="s">
        <v>18</v>
      </c>
      <c r="DQ13" s="2521" t="s">
        <v>18</v>
      </c>
      <c r="DR13" s="2522" t="s">
        <v>18</v>
      </c>
      <c r="DS13" s="2521" t="s">
        <v>18</v>
      </c>
      <c r="DT13" s="2522" t="s">
        <v>18</v>
      </c>
      <c r="DU13" s="2521" t="s">
        <v>18</v>
      </c>
      <c r="DV13" s="2522" t="s">
        <v>18</v>
      </c>
      <c r="DW13" s="2521" t="s">
        <v>18</v>
      </c>
      <c r="DX13" s="2522" t="s">
        <v>18</v>
      </c>
      <c r="DY13" s="2521" t="s">
        <v>18</v>
      </c>
      <c r="DZ13" s="2522" t="s">
        <v>18</v>
      </c>
      <c r="EA13" s="2521" t="s">
        <v>18</v>
      </c>
      <c r="EB13" s="2522" t="s">
        <v>18</v>
      </c>
      <c r="EC13" s="2521" t="s">
        <v>18</v>
      </c>
      <c r="ED13" s="2522" t="s">
        <v>18</v>
      </c>
      <c r="EE13" s="2521" t="s">
        <v>18</v>
      </c>
      <c r="EF13" s="2522" t="s">
        <v>18</v>
      </c>
      <c r="EG13" s="2521" t="s">
        <v>18</v>
      </c>
      <c r="EH13" s="2522" t="s">
        <v>18</v>
      </c>
      <c r="EI13" s="2521" t="s">
        <v>18</v>
      </c>
      <c r="EJ13" s="2522" t="s">
        <v>18</v>
      </c>
      <c r="EK13" s="2521" t="s">
        <v>18</v>
      </c>
      <c r="EL13" s="2522" t="s">
        <v>18</v>
      </c>
      <c r="EM13" s="2521" t="s">
        <v>18</v>
      </c>
      <c r="EN13" s="2522" t="s">
        <v>18</v>
      </c>
      <c r="EO13" s="2521" t="s">
        <v>18</v>
      </c>
      <c r="EP13" s="2522" t="s">
        <v>18</v>
      </c>
      <c r="EQ13" s="2521" t="s">
        <v>18</v>
      </c>
      <c r="ER13" s="2522" t="s">
        <v>18</v>
      </c>
      <c r="ES13" s="2521" t="s">
        <v>18</v>
      </c>
      <c r="ET13" s="2522" t="s">
        <v>18</v>
      </c>
      <c r="EU13" s="2521" t="s">
        <v>18</v>
      </c>
      <c r="EV13" s="2522" t="s">
        <v>18</v>
      </c>
      <c r="EW13" s="2521" t="s">
        <v>18</v>
      </c>
      <c r="EX13" s="2522" t="s">
        <v>18</v>
      </c>
      <c r="EY13" s="2521" t="s">
        <v>18</v>
      </c>
      <c r="EZ13" s="2522" t="s">
        <v>18</v>
      </c>
      <c r="FA13" s="2521" t="s">
        <v>18</v>
      </c>
      <c r="FB13" s="2522" t="s">
        <v>18</v>
      </c>
      <c r="FC13" s="2521" t="s">
        <v>18</v>
      </c>
      <c r="FD13" s="2522" t="s">
        <v>18</v>
      </c>
      <c r="FE13" s="2521" t="s">
        <v>18</v>
      </c>
      <c r="FF13" s="2522" t="s">
        <v>18</v>
      </c>
      <c r="FG13" s="2521" t="s">
        <v>18</v>
      </c>
      <c r="FH13" s="2522" t="s">
        <v>18</v>
      </c>
      <c r="FI13" s="2521" t="s">
        <v>18</v>
      </c>
      <c r="FJ13" s="2522" t="s">
        <v>18</v>
      </c>
      <c r="FK13" s="2521" t="s">
        <v>18</v>
      </c>
      <c r="FL13" s="2522" t="s">
        <v>18</v>
      </c>
      <c r="FM13" s="2521" t="s">
        <v>18</v>
      </c>
      <c r="FN13" s="2522" t="s">
        <v>18</v>
      </c>
      <c r="FO13" s="2521" t="s">
        <v>18</v>
      </c>
      <c r="FP13" s="2522" t="s">
        <v>18</v>
      </c>
      <c r="FQ13" s="2521" t="s">
        <v>18</v>
      </c>
      <c r="FR13" s="2522" t="s">
        <v>18</v>
      </c>
      <c r="FS13" s="2521" t="s">
        <v>18</v>
      </c>
      <c r="FT13" s="2522" t="s">
        <v>18</v>
      </c>
      <c r="FU13" s="2521" t="s">
        <v>18</v>
      </c>
      <c r="FV13" s="2522" t="s">
        <v>18</v>
      </c>
      <c r="FW13" s="2521" t="s">
        <v>18</v>
      </c>
      <c r="FX13" s="2522" t="s">
        <v>18</v>
      </c>
      <c r="FY13" s="2521" t="s">
        <v>18</v>
      </c>
      <c r="FZ13" s="2522" t="s">
        <v>18</v>
      </c>
      <c r="GA13" s="2521" t="s">
        <v>18</v>
      </c>
      <c r="GB13" s="2522" t="s">
        <v>18</v>
      </c>
      <c r="GC13" s="2521" t="s">
        <v>18</v>
      </c>
      <c r="GD13" s="2522" t="s">
        <v>18</v>
      </c>
      <c r="GE13" s="2521" t="s">
        <v>18</v>
      </c>
      <c r="GF13" s="2522" t="s">
        <v>18</v>
      </c>
      <c r="GG13" s="2521" t="s">
        <v>18</v>
      </c>
      <c r="GH13" s="2522" t="s">
        <v>18</v>
      </c>
      <c r="GI13" s="2521" t="s">
        <v>18</v>
      </c>
      <c r="GJ13" s="2522" t="s">
        <v>18</v>
      </c>
      <c r="GK13" s="2521" t="s">
        <v>18</v>
      </c>
      <c r="GL13" s="2522" t="s">
        <v>18</v>
      </c>
      <c r="GM13" s="201" t="s">
        <v>1218</v>
      </c>
    </row>
    <row r="14" spans="1:205" ht="15" hidden="1" customHeight="1">
      <c r="B14" s="3629"/>
      <c r="C14" s="3630"/>
      <c r="D14" s="580" t="str">
        <f>B13&amp;".2"</f>
        <v>.2</v>
      </c>
      <c r="E14" s="581" t="s">
        <v>1219</v>
      </c>
      <c r="F14" s="582" t="s">
        <v>566</v>
      </c>
      <c r="G14" s="1575" t="s">
        <v>18</v>
      </c>
      <c r="H14" s="308" t="s">
        <v>18</v>
      </c>
      <c r="I14" s="2523" t="s">
        <v>18</v>
      </c>
      <c r="J14" s="2520" t="s">
        <v>18</v>
      </c>
      <c r="K14" s="2524" t="s">
        <v>18</v>
      </c>
      <c r="L14" s="2522" t="s">
        <v>18</v>
      </c>
      <c r="M14" s="2524" t="s">
        <v>18</v>
      </c>
      <c r="N14" s="2522" t="s">
        <v>18</v>
      </c>
      <c r="O14" s="2524" t="s">
        <v>18</v>
      </c>
      <c r="P14" s="2522" t="s">
        <v>18</v>
      </c>
      <c r="Q14" s="2524" t="s">
        <v>18</v>
      </c>
      <c r="R14" s="2522" t="s">
        <v>18</v>
      </c>
      <c r="S14" s="2524" t="s">
        <v>18</v>
      </c>
      <c r="T14" s="2522" t="s">
        <v>18</v>
      </c>
      <c r="U14" s="2524" t="s">
        <v>18</v>
      </c>
      <c r="V14" s="2522" t="s">
        <v>18</v>
      </c>
      <c r="W14" s="2524" t="s">
        <v>18</v>
      </c>
      <c r="X14" s="2522" t="s">
        <v>18</v>
      </c>
      <c r="Y14" s="2524" t="s">
        <v>18</v>
      </c>
      <c r="Z14" s="2522" t="s">
        <v>18</v>
      </c>
      <c r="AA14" s="2524" t="s">
        <v>18</v>
      </c>
      <c r="AB14" s="2522" t="s">
        <v>18</v>
      </c>
      <c r="AC14" s="2524" t="s">
        <v>18</v>
      </c>
      <c r="AD14" s="2522" t="s">
        <v>18</v>
      </c>
      <c r="AE14" s="2524" t="s">
        <v>18</v>
      </c>
      <c r="AF14" s="2522" t="s">
        <v>18</v>
      </c>
      <c r="AG14" s="2524" t="s">
        <v>18</v>
      </c>
      <c r="AH14" s="2522" t="s">
        <v>18</v>
      </c>
      <c r="AI14" s="2524" t="s">
        <v>18</v>
      </c>
      <c r="AJ14" s="2522" t="s">
        <v>18</v>
      </c>
      <c r="AK14" s="2524" t="s">
        <v>18</v>
      </c>
      <c r="AL14" s="2522" t="s">
        <v>18</v>
      </c>
      <c r="AM14" s="2524" t="s">
        <v>18</v>
      </c>
      <c r="AN14" s="2522" t="s">
        <v>18</v>
      </c>
      <c r="AO14" s="2524" t="s">
        <v>18</v>
      </c>
      <c r="AP14" s="2522" t="s">
        <v>18</v>
      </c>
      <c r="AQ14" s="2524" t="s">
        <v>18</v>
      </c>
      <c r="AR14" s="2522" t="s">
        <v>18</v>
      </c>
      <c r="AS14" s="2524" t="s">
        <v>18</v>
      </c>
      <c r="AT14" s="2522" t="s">
        <v>18</v>
      </c>
      <c r="AU14" s="2524" t="s">
        <v>18</v>
      </c>
      <c r="AV14" s="2522" t="s">
        <v>18</v>
      </c>
      <c r="AW14" s="2524" t="s">
        <v>18</v>
      </c>
      <c r="AX14" s="2522" t="s">
        <v>18</v>
      </c>
      <c r="AY14" s="2524" t="s">
        <v>18</v>
      </c>
      <c r="AZ14" s="2522" t="s">
        <v>18</v>
      </c>
      <c r="BA14" s="2524" t="s">
        <v>18</v>
      </c>
      <c r="BB14" s="2522" t="s">
        <v>18</v>
      </c>
      <c r="BC14" s="2524" t="s">
        <v>18</v>
      </c>
      <c r="BD14" s="2522" t="s">
        <v>18</v>
      </c>
      <c r="BE14" s="2524" t="s">
        <v>18</v>
      </c>
      <c r="BF14" s="2522" t="s">
        <v>18</v>
      </c>
      <c r="BG14" s="2524" t="s">
        <v>18</v>
      </c>
      <c r="BH14" s="2522" t="s">
        <v>18</v>
      </c>
      <c r="BI14" s="2524" t="s">
        <v>18</v>
      </c>
      <c r="BJ14" s="2522" t="s">
        <v>18</v>
      </c>
      <c r="BK14" s="2524" t="s">
        <v>18</v>
      </c>
      <c r="BL14" s="2522" t="s">
        <v>18</v>
      </c>
      <c r="BM14" s="2524" t="s">
        <v>18</v>
      </c>
      <c r="BN14" s="2522" t="s">
        <v>18</v>
      </c>
      <c r="BO14" s="2524" t="s">
        <v>18</v>
      </c>
      <c r="BP14" s="2522" t="s">
        <v>18</v>
      </c>
      <c r="BQ14" s="2524" t="s">
        <v>18</v>
      </c>
      <c r="BR14" s="2522" t="s">
        <v>18</v>
      </c>
      <c r="BS14" s="2524" t="s">
        <v>18</v>
      </c>
      <c r="BT14" s="2522" t="s">
        <v>18</v>
      </c>
      <c r="BU14" s="2524" t="s">
        <v>18</v>
      </c>
      <c r="BV14" s="2522" t="s">
        <v>18</v>
      </c>
      <c r="BW14" s="2524" t="s">
        <v>18</v>
      </c>
      <c r="BX14" s="2522" t="s">
        <v>18</v>
      </c>
      <c r="BY14" s="2524" t="s">
        <v>18</v>
      </c>
      <c r="BZ14" s="2522" t="s">
        <v>18</v>
      </c>
      <c r="CA14" s="2524" t="s">
        <v>18</v>
      </c>
      <c r="CB14" s="2522" t="s">
        <v>18</v>
      </c>
      <c r="CC14" s="2524" t="s">
        <v>18</v>
      </c>
      <c r="CD14" s="2522" t="s">
        <v>18</v>
      </c>
      <c r="CE14" s="2524" t="s">
        <v>18</v>
      </c>
      <c r="CF14" s="2522" t="s">
        <v>18</v>
      </c>
      <c r="CG14" s="2524" t="s">
        <v>18</v>
      </c>
      <c r="CH14" s="2522" t="s">
        <v>18</v>
      </c>
      <c r="CI14" s="2524" t="s">
        <v>18</v>
      </c>
      <c r="CJ14" s="2522" t="s">
        <v>18</v>
      </c>
      <c r="CK14" s="2524" t="s">
        <v>18</v>
      </c>
      <c r="CL14" s="2522" t="s">
        <v>18</v>
      </c>
      <c r="CM14" s="2524" t="s">
        <v>18</v>
      </c>
      <c r="CN14" s="2522" t="s">
        <v>18</v>
      </c>
      <c r="CO14" s="2524" t="s">
        <v>18</v>
      </c>
      <c r="CP14" s="2522" t="s">
        <v>18</v>
      </c>
      <c r="CQ14" s="2524" t="s">
        <v>18</v>
      </c>
      <c r="CR14" s="2522" t="s">
        <v>18</v>
      </c>
      <c r="CS14" s="2524" t="s">
        <v>18</v>
      </c>
      <c r="CT14" s="2522" t="s">
        <v>18</v>
      </c>
      <c r="CU14" s="2524" t="s">
        <v>18</v>
      </c>
      <c r="CV14" s="2522" t="s">
        <v>18</v>
      </c>
      <c r="CW14" s="2524" t="s">
        <v>18</v>
      </c>
      <c r="CX14" s="2522" t="s">
        <v>18</v>
      </c>
      <c r="CY14" s="2524" t="s">
        <v>18</v>
      </c>
      <c r="CZ14" s="2522" t="s">
        <v>18</v>
      </c>
      <c r="DA14" s="2524" t="s">
        <v>18</v>
      </c>
      <c r="DB14" s="2522" t="s">
        <v>18</v>
      </c>
      <c r="DC14" s="2524" t="s">
        <v>18</v>
      </c>
      <c r="DD14" s="2522" t="s">
        <v>18</v>
      </c>
      <c r="DE14" s="2524" t="s">
        <v>18</v>
      </c>
      <c r="DF14" s="2522" t="s">
        <v>18</v>
      </c>
      <c r="DG14" s="2524" t="s">
        <v>18</v>
      </c>
      <c r="DH14" s="2522" t="s">
        <v>18</v>
      </c>
      <c r="DI14" s="2524" t="s">
        <v>18</v>
      </c>
      <c r="DJ14" s="2522" t="s">
        <v>18</v>
      </c>
      <c r="DK14" s="2524" t="s">
        <v>18</v>
      </c>
      <c r="DL14" s="2522" t="s">
        <v>18</v>
      </c>
      <c r="DM14" s="2524" t="s">
        <v>18</v>
      </c>
      <c r="DN14" s="2522" t="s">
        <v>18</v>
      </c>
      <c r="DO14" s="2524" t="s">
        <v>18</v>
      </c>
      <c r="DP14" s="2522" t="s">
        <v>18</v>
      </c>
      <c r="DQ14" s="2524" t="s">
        <v>18</v>
      </c>
      <c r="DR14" s="2522" t="s">
        <v>18</v>
      </c>
      <c r="DS14" s="2524" t="s">
        <v>18</v>
      </c>
      <c r="DT14" s="2522" t="s">
        <v>18</v>
      </c>
      <c r="DU14" s="2524" t="s">
        <v>18</v>
      </c>
      <c r="DV14" s="2522" t="s">
        <v>18</v>
      </c>
      <c r="DW14" s="2524" t="s">
        <v>18</v>
      </c>
      <c r="DX14" s="2522" t="s">
        <v>18</v>
      </c>
      <c r="DY14" s="2524" t="s">
        <v>18</v>
      </c>
      <c r="DZ14" s="2522" t="s">
        <v>18</v>
      </c>
      <c r="EA14" s="2524" t="s">
        <v>18</v>
      </c>
      <c r="EB14" s="2522" t="s">
        <v>18</v>
      </c>
      <c r="EC14" s="2524" t="s">
        <v>18</v>
      </c>
      <c r="ED14" s="2522" t="s">
        <v>18</v>
      </c>
      <c r="EE14" s="2524" t="s">
        <v>18</v>
      </c>
      <c r="EF14" s="2522" t="s">
        <v>18</v>
      </c>
      <c r="EG14" s="2524" t="s">
        <v>18</v>
      </c>
      <c r="EH14" s="2522" t="s">
        <v>18</v>
      </c>
      <c r="EI14" s="2524" t="s">
        <v>18</v>
      </c>
      <c r="EJ14" s="2522" t="s">
        <v>18</v>
      </c>
      <c r="EK14" s="2524" t="s">
        <v>18</v>
      </c>
      <c r="EL14" s="2522" t="s">
        <v>18</v>
      </c>
      <c r="EM14" s="2524" t="s">
        <v>18</v>
      </c>
      <c r="EN14" s="2522" t="s">
        <v>18</v>
      </c>
      <c r="EO14" s="2524" t="s">
        <v>18</v>
      </c>
      <c r="EP14" s="2522" t="s">
        <v>18</v>
      </c>
      <c r="EQ14" s="2524" t="s">
        <v>18</v>
      </c>
      <c r="ER14" s="2522" t="s">
        <v>18</v>
      </c>
      <c r="ES14" s="2524" t="s">
        <v>18</v>
      </c>
      <c r="ET14" s="2522" t="s">
        <v>18</v>
      </c>
      <c r="EU14" s="2524" t="s">
        <v>18</v>
      </c>
      <c r="EV14" s="2522" t="s">
        <v>18</v>
      </c>
      <c r="EW14" s="2524" t="s">
        <v>18</v>
      </c>
      <c r="EX14" s="2522" t="s">
        <v>18</v>
      </c>
      <c r="EY14" s="2524" t="s">
        <v>18</v>
      </c>
      <c r="EZ14" s="2522" t="s">
        <v>18</v>
      </c>
      <c r="FA14" s="2524" t="s">
        <v>18</v>
      </c>
      <c r="FB14" s="2522" t="s">
        <v>18</v>
      </c>
      <c r="FC14" s="2524" t="s">
        <v>18</v>
      </c>
      <c r="FD14" s="2522" t="s">
        <v>18</v>
      </c>
      <c r="FE14" s="2524" t="s">
        <v>18</v>
      </c>
      <c r="FF14" s="2522" t="s">
        <v>18</v>
      </c>
      <c r="FG14" s="2524" t="s">
        <v>18</v>
      </c>
      <c r="FH14" s="2522" t="s">
        <v>18</v>
      </c>
      <c r="FI14" s="2524" t="s">
        <v>18</v>
      </c>
      <c r="FJ14" s="2522" t="s">
        <v>18</v>
      </c>
      <c r="FK14" s="2524" t="s">
        <v>18</v>
      </c>
      <c r="FL14" s="2522" t="s">
        <v>18</v>
      </c>
      <c r="FM14" s="2524" t="s">
        <v>18</v>
      </c>
      <c r="FN14" s="2522" t="s">
        <v>18</v>
      </c>
      <c r="FO14" s="2524" t="s">
        <v>18</v>
      </c>
      <c r="FP14" s="2522" t="s">
        <v>18</v>
      </c>
      <c r="FQ14" s="2524" t="s">
        <v>18</v>
      </c>
      <c r="FR14" s="2522" t="s">
        <v>18</v>
      </c>
      <c r="FS14" s="2524" t="s">
        <v>18</v>
      </c>
      <c r="FT14" s="2522" t="s">
        <v>18</v>
      </c>
      <c r="FU14" s="2524" t="s">
        <v>18</v>
      </c>
      <c r="FV14" s="2522" t="s">
        <v>18</v>
      </c>
      <c r="FW14" s="2524" t="s">
        <v>18</v>
      </c>
      <c r="FX14" s="2522" t="s">
        <v>18</v>
      </c>
      <c r="FY14" s="2524" t="s">
        <v>18</v>
      </c>
      <c r="FZ14" s="2522" t="s">
        <v>18</v>
      </c>
      <c r="GA14" s="2524" t="s">
        <v>18</v>
      </c>
      <c r="GB14" s="2522" t="s">
        <v>18</v>
      </c>
      <c r="GC14" s="2524" t="s">
        <v>18</v>
      </c>
      <c r="GD14" s="2522" t="s">
        <v>18</v>
      </c>
      <c r="GE14" s="2524" t="s">
        <v>18</v>
      </c>
      <c r="GF14" s="2522" t="s">
        <v>18</v>
      </c>
      <c r="GG14" s="2524" t="s">
        <v>18</v>
      </c>
      <c r="GH14" s="2522" t="s">
        <v>18</v>
      </c>
      <c r="GI14" s="2524" t="s">
        <v>18</v>
      </c>
      <c r="GJ14" s="2522" t="s">
        <v>18</v>
      </c>
      <c r="GK14" s="2524" t="s">
        <v>18</v>
      </c>
      <c r="GL14" s="2522" t="s">
        <v>18</v>
      </c>
      <c r="GM14" s="201" t="s">
        <v>1220</v>
      </c>
    </row>
    <row r="15" spans="1:205" s="1903" customFormat="1" ht="15" hidden="1" customHeight="1">
      <c r="C15" s="564"/>
      <c r="GW15" s="326"/>
    </row>
    <row r="16" spans="1:205" s="1903" customFormat="1" ht="15" hidden="1" customHeight="1">
      <c r="C16" s="564"/>
      <c r="GW16" s="326"/>
    </row>
    <row r="17" spans="1:205" s="1903" customFormat="1" ht="15" hidden="1" customHeight="1">
      <c r="C17" s="564"/>
      <c r="GW17" s="326"/>
    </row>
    <row r="18" spans="1:205" s="1903" customFormat="1" ht="15" hidden="1" customHeight="1">
      <c r="C18" s="564"/>
      <c r="GW18" s="326"/>
    </row>
    <row r="19" spans="1:205" s="1903" customFormat="1" ht="15" hidden="1" customHeight="1">
      <c r="C19" s="564"/>
      <c r="GW19" s="326"/>
    </row>
    <row r="20" spans="1:205" s="1903" customFormat="1" ht="15" hidden="1" customHeight="1">
      <c r="C20" s="564"/>
      <c r="GW20" s="326"/>
    </row>
    <row r="21" spans="1:205" ht="15" customHeight="1">
      <c r="C21" s="93"/>
      <c r="D21" s="407"/>
      <c r="E21" s="407"/>
      <c r="F21" s="407"/>
      <c r="G21" s="407"/>
      <c r="H21" s="407"/>
      <c r="I21" s="407"/>
      <c r="J21" s="407"/>
    </row>
    <row r="22" spans="1:205" ht="22.5" customHeight="1">
      <c r="C22" s="93"/>
      <c r="D22" s="350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3509"/>
      <c r="F22" s="3509"/>
      <c r="G22" s="3509"/>
      <c r="H22" s="3509"/>
      <c r="I22" s="3509"/>
      <c r="J22" s="568"/>
      <c r="K22" s="1835"/>
      <c r="L22" s="1835"/>
      <c r="M22" s="1835"/>
      <c r="N22" s="1835"/>
      <c r="O22" s="1835"/>
      <c r="P22" s="1835"/>
      <c r="Q22" s="1835"/>
      <c r="R22" s="1835"/>
      <c r="S22" s="1835"/>
      <c r="T22" s="1835"/>
      <c r="U22" s="1835"/>
      <c r="V22" s="1835"/>
      <c r="W22" s="1835"/>
      <c r="X22" s="1835"/>
      <c r="Y22" s="1835"/>
      <c r="Z22" s="1835"/>
      <c r="AA22" s="1835"/>
      <c r="AB22" s="1835"/>
      <c r="AC22" s="1835"/>
      <c r="AD22" s="1835"/>
      <c r="AE22" s="1835"/>
      <c r="AF22" s="1835"/>
      <c r="AG22" s="1835"/>
      <c r="AH22" s="1835"/>
      <c r="AI22" s="1835"/>
      <c r="AJ22" s="1835"/>
      <c r="AK22" s="1835"/>
      <c r="AL22" s="1835"/>
      <c r="AM22" s="1835"/>
      <c r="AN22" s="1835"/>
      <c r="AO22" s="1835"/>
      <c r="AP22" s="1835"/>
      <c r="AQ22" s="1835"/>
      <c r="AR22" s="1835"/>
      <c r="AS22" s="1835"/>
      <c r="AT22" s="1835"/>
      <c r="AU22" s="1835"/>
      <c r="AV22" s="1835"/>
      <c r="AW22" s="1835"/>
      <c r="AX22" s="1835"/>
      <c r="AY22" s="1835"/>
      <c r="AZ22" s="1835"/>
      <c r="BA22" s="1835"/>
      <c r="BB22" s="1835"/>
      <c r="BC22" s="1835"/>
      <c r="BD22" s="1835"/>
      <c r="BE22" s="1835"/>
      <c r="BF22" s="1835"/>
      <c r="BG22" s="1835"/>
      <c r="BH22" s="1835"/>
      <c r="BI22" s="1835"/>
      <c r="BJ22" s="1835"/>
      <c r="BK22" s="1835"/>
      <c r="BL22" s="1835"/>
      <c r="BM22" s="1835"/>
      <c r="BN22" s="1835"/>
      <c r="BO22" s="1835"/>
      <c r="BP22" s="1835"/>
      <c r="BQ22" s="1835"/>
      <c r="BR22" s="1835"/>
      <c r="BS22" s="1835"/>
      <c r="BT22" s="1835"/>
      <c r="BU22" s="1835"/>
      <c r="BV22" s="1835"/>
      <c r="BW22" s="1835"/>
      <c r="BX22" s="1835"/>
      <c r="BY22" s="1835"/>
      <c r="BZ22" s="1835"/>
      <c r="CA22" s="1835"/>
      <c r="CB22" s="1835"/>
      <c r="CC22" s="1835"/>
      <c r="CD22" s="1835"/>
      <c r="CE22" s="1835"/>
      <c r="CF22" s="1835"/>
      <c r="CG22" s="1835"/>
      <c r="CH22" s="1835"/>
      <c r="CI22" s="1835"/>
      <c r="CJ22" s="1835"/>
      <c r="CK22" s="1835"/>
      <c r="CL22" s="1835"/>
      <c r="CM22" s="1835"/>
      <c r="CN22" s="1835"/>
      <c r="CO22" s="1835"/>
      <c r="CP22" s="1835"/>
      <c r="CQ22" s="1835"/>
      <c r="CR22" s="1835"/>
      <c r="CS22" s="1835"/>
      <c r="CT22" s="1835"/>
      <c r="CU22" s="1835"/>
      <c r="CV22" s="1835"/>
      <c r="CW22" s="1835"/>
      <c r="CX22" s="1835"/>
      <c r="CY22" s="1835"/>
      <c r="CZ22" s="1835"/>
      <c r="DA22" s="1835"/>
      <c r="DB22" s="1835"/>
      <c r="DC22" s="1835"/>
      <c r="DD22" s="1835"/>
      <c r="DE22" s="1835"/>
      <c r="DF22" s="1835"/>
      <c r="DG22" s="1835"/>
      <c r="DH22" s="1835"/>
      <c r="DI22" s="1835"/>
      <c r="DJ22" s="1835"/>
      <c r="DK22" s="1835"/>
      <c r="DL22" s="1835"/>
      <c r="DM22" s="1835"/>
      <c r="DN22" s="1835"/>
      <c r="DO22" s="1835"/>
      <c r="DP22" s="1835"/>
      <c r="DQ22" s="1835"/>
      <c r="DR22" s="1835"/>
      <c r="DS22" s="1835"/>
      <c r="DT22" s="1835"/>
      <c r="DU22" s="1835"/>
      <c r="DV22" s="1835"/>
      <c r="DW22" s="1835"/>
      <c r="DX22" s="1835"/>
      <c r="DY22" s="1835"/>
      <c r="DZ22" s="1835"/>
      <c r="EA22" s="1835"/>
      <c r="EB22" s="1835"/>
      <c r="EC22" s="1835"/>
      <c r="ED22" s="1835"/>
      <c r="EE22" s="1835"/>
      <c r="EF22" s="1835"/>
      <c r="EG22" s="1835"/>
      <c r="EH22" s="1835"/>
      <c r="EI22" s="1835"/>
      <c r="EJ22" s="1835"/>
      <c r="EK22" s="1835"/>
      <c r="EL22" s="1835"/>
      <c r="EM22" s="1835"/>
      <c r="EN22" s="1835"/>
      <c r="EO22" s="1835"/>
      <c r="EP22" s="1835"/>
      <c r="EQ22" s="1835"/>
      <c r="ER22" s="1835"/>
      <c r="ES22" s="1835"/>
      <c r="ET22" s="1835"/>
      <c r="EU22" s="1835"/>
      <c r="EV22" s="1835"/>
      <c r="EW22" s="1835"/>
      <c r="EX22" s="1835"/>
      <c r="EY22" s="1835"/>
      <c r="EZ22" s="1835"/>
      <c r="FA22" s="1835"/>
      <c r="FB22" s="1835"/>
      <c r="FC22" s="1835"/>
      <c r="FD22" s="1835"/>
      <c r="FE22" s="1835"/>
      <c r="FF22" s="1835"/>
      <c r="FG22" s="1835"/>
      <c r="FH22" s="1835"/>
      <c r="FI22" s="1835"/>
      <c r="FJ22" s="1835"/>
      <c r="FK22" s="1835"/>
      <c r="FL22" s="1835"/>
      <c r="FM22" s="1835"/>
      <c r="FN22" s="1835"/>
      <c r="FO22" s="1835"/>
      <c r="FP22" s="1835"/>
      <c r="FQ22" s="1835"/>
      <c r="FR22" s="1835"/>
      <c r="FS22" s="1835"/>
      <c r="FT22" s="1835"/>
      <c r="FU22" s="1835"/>
      <c r="FV22" s="1835"/>
      <c r="FW22" s="1835"/>
      <c r="FX22" s="1835"/>
      <c r="FY22" s="1835"/>
      <c r="FZ22" s="1835"/>
      <c r="GA22" s="1835"/>
      <c r="GB22" s="1835"/>
      <c r="GC22" s="1835"/>
      <c r="GD22" s="1835"/>
      <c r="GE22" s="1835"/>
      <c r="GF22" s="1835"/>
      <c r="GG22" s="1835"/>
      <c r="GH22" s="1835"/>
      <c r="GI22" s="1835"/>
      <c r="GJ22" s="1835"/>
      <c r="GK22" s="1835"/>
      <c r="GL22" s="1835"/>
      <c r="GM22" s="434"/>
    </row>
    <row r="23" spans="1:205" ht="15" customHeight="1">
      <c r="C23" s="93"/>
      <c r="D23" s="3480" t="str">
        <f>IF(org=0,"Не определено",org)</f>
        <v>АО "Орелгортеплоэнерго"</v>
      </c>
      <c r="E23" s="3480"/>
      <c r="F23" s="3480"/>
      <c r="G23" s="3480"/>
      <c r="H23" s="3480"/>
      <c r="I23" s="3480"/>
      <c r="J23" s="568"/>
      <c r="K23" s="1836"/>
      <c r="L23" s="1836"/>
      <c r="M23" s="1836"/>
      <c r="N23" s="1836"/>
      <c r="O23" s="1836"/>
      <c r="P23" s="1836"/>
      <c r="Q23" s="1836"/>
      <c r="R23" s="1836"/>
      <c r="S23" s="1836"/>
      <c r="T23" s="1836"/>
      <c r="U23" s="1836"/>
      <c r="V23" s="1836"/>
      <c r="W23" s="1836"/>
      <c r="X23" s="1836"/>
      <c r="Y23" s="1836"/>
      <c r="Z23" s="1836"/>
      <c r="AA23" s="1836"/>
      <c r="AB23" s="1836"/>
      <c r="AC23" s="1836"/>
      <c r="AD23" s="1836"/>
      <c r="AE23" s="1836"/>
      <c r="AF23" s="1836"/>
      <c r="AG23" s="1836"/>
      <c r="AH23" s="1836"/>
      <c r="AI23" s="1836"/>
      <c r="AJ23" s="1836"/>
      <c r="AK23" s="1836"/>
      <c r="AL23" s="1836"/>
      <c r="AM23" s="1836"/>
      <c r="AN23" s="1836"/>
      <c r="AO23" s="1836"/>
      <c r="AP23" s="1836"/>
      <c r="AQ23" s="1836"/>
      <c r="AR23" s="1836"/>
      <c r="AS23" s="1836"/>
      <c r="AT23" s="1836"/>
      <c r="AU23" s="1836"/>
      <c r="AV23" s="1836"/>
      <c r="AW23" s="1836"/>
      <c r="AX23" s="1836"/>
      <c r="AY23" s="1836"/>
      <c r="AZ23" s="1836"/>
      <c r="BA23" s="1836"/>
      <c r="BB23" s="1836"/>
      <c r="BC23" s="1836"/>
      <c r="BD23" s="1836"/>
      <c r="BE23" s="1836"/>
      <c r="BF23" s="1836"/>
      <c r="BG23" s="1836"/>
      <c r="BH23" s="1836"/>
      <c r="BI23" s="1836"/>
      <c r="BJ23" s="1836"/>
      <c r="BK23" s="1836"/>
      <c r="BL23" s="1836"/>
      <c r="BM23" s="1836"/>
      <c r="BN23" s="1836"/>
      <c r="BO23" s="1836"/>
      <c r="BP23" s="1836"/>
      <c r="BQ23" s="1836"/>
      <c r="BR23" s="1836"/>
      <c r="BS23" s="1836"/>
      <c r="BT23" s="1836"/>
      <c r="BU23" s="1836"/>
      <c r="BV23" s="1836"/>
      <c r="BW23" s="1836"/>
      <c r="BX23" s="1836"/>
      <c r="BY23" s="1836"/>
      <c r="BZ23" s="1836"/>
      <c r="CA23" s="1836"/>
      <c r="CB23" s="1836"/>
      <c r="CC23" s="1836"/>
      <c r="CD23" s="1836"/>
      <c r="CE23" s="1836"/>
      <c r="CF23" s="1836"/>
      <c r="CG23" s="1836"/>
      <c r="CH23" s="1836"/>
      <c r="CI23" s="1836"/>
      <c r="CJ23" s="1836"/>
      <c r="CK23" s="1836"/>
      <c r="CL23" s="1836"/>
      <c r="CM23" s="1836"/>
      <c r="CN23" s="1836"/>
      <c r="CO23" s="1836"/>
      <c r="CP23" s="1836"/>
      <c r="CQ23" s="1836"/>
      <c r="CR23" s="1836"/>
      <c r="CS23" s="1836"/>
      <c r="CT23" s="1836"/>
      <c r="CU23" s="1836"/>
      <c r="CV23" s="1836"/>
      <c r="CW23" s="1836"/>
      <c r="CX23" s="1836"/>
      <c r="CY23" s="1836"/>
      <c r="CZ23" s="1836"/>
      <c r="DA23" s="1836"/>
      <c r="DB23" s="1836"/>
      <c r="DC23" s="1836"/>
      <c r="DD23" s="1836"/>
      <c r="DE23" s="1836"/>
      <c r="DF23" s="1836"/>
      <c r="DG23" s="1836"/>
      <c r="DH23" s="1836"/>
      <c r="DI23" s="1836"/>
      <c r="DJ23" s="1836"/>
      <c r="DK23" s="1836"/>
      <c r="DL23" s="1836"/>
      <c r="DM23" s="1836"/>
      <c r="DN23" s="1836"/>
      <c r="DO23" s="1836"/>
      <c r="DP23" s="1836"/>
      <c r="DQ23" s="1836"/>
      <c r="DR23" s="1836"/>
      <c r="DS23" s="1836"/>
      <c r="DT23" s="1836"/>
      <c r="DU23" s="1836"/>
      <c r="DV23" s="1836"/>
      <c r="DW23" s="1836"/>
      <c r="DX23" s="1836"/>
      <c r="DY23" s="1836"/>
      <c r="DZ23" s="1836"/>
      <c r="EA23" s="1836"/>
      <c r="EB23" s="1836"/>
      <c r="EC23" s="1836"/>
      <c r="ED23" s="1836"/>
      <c r="EE23" s="1836"/>
      <c r="EF23" s="1836"/>
      <c r="EG23" s="1836"/>
      <c r="EH23" s="1836"/>
      <c r="EI23" s="1836"/>
      <c r="EJ23" s="1836"/>
      <c r="EK23" s="1836"/>
      <c r="EL23" s="1836"/>
      <c r="EM23" s="1836"/>
      <c r="EN23" s="1836"/>
      <c r="EO23" s="1836"/>
      <c r="EP23" s="1836"/>
      <c r="EQ23" s="1836"/>
      <c r="ER23" s="1836"/>
      <c r="ES23" s="1836"/>
      <c r="ET23" s="1836"/>
      <c r="EU23" s="1836"/>
      <c r="EV23" s="1836"/>
      <c r="EW23" s="1836"/>
      <c r="EX23" s="1836"/>
      <c r="EY23" s="1836"/>
      <c r="EZ23" s="1836"/>
      <c r="FA23" s="1836"/>
      <c r="FB23" s="1836"/>
      <c r="FC23" s="1836"/>
      <c r="FD23" s="1836"/>
      <c r="FE23" s="1836"/>
      <c r="FF23" s="1836"/>
      <c r="FG23" s="1836"/>
      <c r="FH23" s="1836"/>
      <c r="FI23" s="1836"/>
      <c r="FJ23" s="1836"/>
      <c r="FK23" s="1836"/>
      <c r="FL23" s="1836"/>
      <c r="FM23" s="1836"/>
      <c r="FN23" s="1836"/>
      <c r="FO23" s="1836"/>
      <c r="FP23" s="1836"/>
      <c r="FQ23" s="1836"/>
      <c r="FR23" s="1836"/>
      <c r="FS23" s="1836"/>
      <c r="FT23" s="1836"/>
      <c r="FU23" s="1836"/>
      <c r="FV23" s="1836"/>
      <c r="FW23" s="1836"/>
      <c r="FX23" s="1836"/>
      <c r="FY23" s="1836"/>
      <c r="FZ23" s="1836"/>
      <c r="GA23" s="1836"/>
      <c r="GB23" s="1836"/>
      <c r="GC23" s="1836"/>
      <c r="GD23" s="1836"/>
      <c r="GE23" s="1836"/>
      <c r="GF23" s="1836"/>
      <c r="GG23" s="1836"/>
      <c r="GH23" s="1836"/>
      <c r="GI23" s="1836"/>
      <c r="GJ23" s="1836"/>
      <c r="GK23" s="1836"/>
      <c r="GL23" s="1836"/>
      <c r="GM23" s="434"/>
    </row>
    <row r="24" spans="1:205" ht="15" customHeight="1">
      <c r="C24" s="93"/>
      <c r="D24" s="407"/>
      <c r="E24" s="407"/>
      <c r="F24" s="407"/>
      <c r="G24" s="434">
        <v>22</v>
      </c>
      <c r="H24" s="640"/>
      <c r="I24" s="434">
        <v>22</v>
      </c>
      <c r="J24" s="640"/>
      <c r="K24" s="1903" t="s">
        <v>18</v>
      </c>
      <c r="L24" s="1826"/>
      <c r="M24" s="1903" t="s">
        <v>18</v>
      </c>
      <c r="N24" s="1826"/>
      <c r="O24" s="1903" t="s">
        <v>18</v>
      </c>
      <c r="P24" s="1826"/>
      <c r="Q24" s="1903" t="s">
        <v>18</v>
      </c>
      <c r="R24" s="1826"/>
      <c r="S24" s="1903" t="s">
        <v>18</v>
      </c>
      <c r="T24" s="1826"/>
      <c r="U24" s="1903" t="s">
        <v>18</v>
      </c>
      <c r="V24" s="1826"/>
      <c r="W24" s="1903" t="s">
        <v>18</v>
      </c>
      <c r="X24" s="1826"/>
      <c r="Y24" s="1903" t="s">
        <v>18</v>
      </c>
      <c r="Z24" s="1826"/>
      <c r="AA24" s="1903" t="s">
        <v>18</v>
      </c>
      <c r="AB24" s="1826"/>
      <c r="AC24" s="1903" t="s">
        <v>18</v>
      </c>
      <c r="AD24" s="1826"/>
      <c r="AE24" s="1903" t="s">
        <v>18</v>
      </c>
      <c r="AF24" s="1826"/>
      <c r="AG24" s="1903" t="s">
        <v>18</v>
      </c>
      <c r="AH24" s="1826"/>
      <c r="AI24" s="1903" t="s">
        <v>18</v>
      </c>
      <c r="AJ24" s="1826"/>
      <c r="AK24" s="1903" t="s">
        <v>18</v>
      </c>
      <c r="AL24" s="1826"/>
      <c r="AM24" s="1903" t="s">
        <v>18</v>
      </c>
      <c r="AN24" s="1826"/>
      <c r="AO24" s="1903" t="s">
        <v>18</v>
      </c>
      <c r="AP24" s="1826"/>
      <c r="AQ24" s="1903" t="s">
        <v>18</v>
      </c>
      <c r="AR24" s="1826"/>
      <c r="AS24" s="1903" t="s">
        <v>18</v>
      </c>
      <c r="AT24" s="1826"/>
      <c r="AU24" s="1903" t="s">
        <v>18</v>
      </c>
      <c r="AV24" s="1826"/>
      <c r="AW24" s="1903" t="s">
        <v>18</v>
      </c>
      <c r="AX24" s="1826"/>
      <c r="AY24" s="1903" t="s">
        <v>18</v>
      </c>
      <c r="AZ24" s="1826"/>
      <c r="BA24" s="1903" t="s">
        <v>18</v>
      </c>
      <c r="BB24" s="1826"/>
      <c r="BC24" s="1903" t="s">
        <v>18</v>
      </c>
      <c r="BD24" s="1826"/>
      <c r="BE24" s="1903" t="s">
        <v>18</v>
      </c>
      <c r="BF24" s="1826"/>
      <c r="BG24" s="1903" t="s">
        <v>18</v>
      </c>
      <c r="BH24" s="1826"/>
      <c r="BI24" s="1903" t="s">
        <v>18</v>
      </c>
      <c r="BJ24" s="1826"/>
      <c r="BK24" s="1903" t="s">
        <v>18</v>
      </c>
      <c r="BL24" s="1826"/>
      <c r="BM24" s="1903" t="s">
        <v>18</v>
      </c>
      <c r="BN24" s="1826"/>
      <c r="BO24" s="1903" t="s">
        <v>18</v>
      </c>
      <c r="BP24" s="1826"/>
      <c r="BQ24" s="1903" t="s">
        <v>18</v>
      </c>
      <c r="BR24" s="1826"/>
      <c r="BS24" s="1903" t="s">
        <v>18</v>
      </c>
      <c r="BT24" s="1826"/>
      <c r="BU24" s="1903" t="s">
        <v>18</v>
      </c>
      <c r="BV24" s="1826"/>
      <c r="BW24" s="1903" t="s">
        <v>18</v>
      </c>
      <c r="BX24" s="1826"/>
      <c r="BY24" s="1903" t="s">
        <v>18</v>
      </c>
      <c r="BZ24" s="1826"/>
      <c r="CA24" s="1903" t="s">
        <v>18</v>
      </c>
      <c r="CB24" s="1826"/>
      <c r="CC24" s="1903" t="s">
        <v>18</v>
      </c>
      <c r="CD24" s="1826"/>
      <c r="CE24" s="1903" t="s">
        <v>18</v>
      </c>
      <c r="CF24" s="1826"/>
      <c r="CG24" s="1903" t="s">
        <v>18</v>
      </c>
      <c r="CH24" s="1826"/>
      <c r="CI24" s="1903" t="s">
        <v>18</v>
      </c>
      <c r="CJ24" s="1826"/>
      <c r="CK24" s="1903" t="s">
        <v>18</v>
      </c>
      <c r="CL24" s="1826"/>
      <c r="CM24" s="1903" t="s">
        <v>18</v>
      </c>
      <c r="CN24" s="1826"/>
      <c r="CO24" s="1903" t="s">
        <v>18</v>
      </c>
      <c r="CP24" s="1826"/>
      <c r="CQ24" s="1903" t="s">
        <v>18</v>
      </c>
      <c r="CR24" s="1826"/>
      <c r="CS24" s="1903" t="s">
        <v>18</v>
      </c>
      <c r="CT24" s="1826"/>
      <c r="CU24" s="1903" t="s">
        <v>18</v>
      </c>
      <c r="CV24" s="1826"/>
      <c r="CW24" s="1903" t="s">
        <v>18</v>
      </c>
      <c r="CX24" s="1826"/>
      <c r="CY24" s="1903" t="s">
        <v>18</v>
      </c>
      <c r="CZ24" s="1826"/>
      <c r="DA24" s="1903" t="s">
        <v>18</v>
      </c>
      <c r="DB24" s="1826"/>
      <c r="DC24" s="1903" t="s">
        <v>18</v>
      </c>
      <c r="DD24" s="1826"/>
      <c r="DE24" s="1903" t="s">
        <v>18</v>
      </c>
      <c r="DF24" s="1826"/>
      <c r="DG24" s="1903" t="s">
        <v>18</v>
      </c>
      <c r="DH24" s="1826"/>
      <c r="DI24" s="1903" t="s">
        <v>18</v>
      </c>
      <c r="DJ24" s="1826"/>
      <c r="DK24" s="1903" t="s">
        <v>18</v>
      </c>
      <c r="DL24" s="1826"/>
      <c r="DM24" s="1903" t="s">
        <v>18</v>
      </c>
      <c r="DN24" s="1826"/>
      <c r="DO24" s="1903" t="s">
        <v>18</v>
      </c>
      <c r="DP24" s="1826"/>
      <c r="DQ24" s="1903" t="s">
        <v>18</v>
      </c>
      <c r="DR24" s="1826"/>
      <c r="DS24" s="1903" t="s">
        <v>18</v>
      </c>
      <c r="DT24" s="1826"/>
      <c r="DU24" s="1903" t="s">
        <v>18</v>
      </c>
      <c r="DV24" s="1826"/>
      <c r="DW24" s="1903" t="s">
        <v>18</v>
      </c>
      <c r="DX24" s="1826"/>
      <c r="DY24" s="1903" t="s">
        <v>18</v>
      </c>
      <c r="DZ24" s="1826"/>
      <c r="EA24" s="1903" t="s">
        <v>18</v>
      </c>
      <c r="EB24" s="1826"/>
      <c r="EC24" s="1903" t="s">
        <v>18</v>
      </c>
      <c r="ED24" s="1826"/>
      <c r="EE24" s="1903" t="s">
        <v>18</v>
      </c>
      <c r="EF24" s="1826"/>
      <c r="EG24" s="1903" t="s">
        <v>18</v>
      </c>
      <c r="EH24" s="1826"/>
      <c r="EI24" s="1903" t="s">
        <v>18</v>
      </c>
      <c r="EJ24" s="1826"/>
      <c r="EK24" s="1903" t="s">
        <v>18</v>
      </c>
      <c r="EL24" s="1826"/>
      <c r="EM24" s="1903" t="s">
        <v>18</v>
      </c>
      <c r="EN24" s="1826"/>
      <c r="EO24" s="1903" t="s">
        <v>18</v>
      </c>
      <c r="EP24" s="1826"/>
      <c r="EQ24" s="1903" t="s">
        <v>18</v>
      </c>
      <c r="ER24" s="1826"/>
      <c r="ES24" s="1903" t="s">
        <v>18</v>
      </c>
      <c r="ET24" s="1826"/>
      <c r="EU24" s="1903" t="s">
        <v>18</v>
      </c>
      <c r="EV24" s="1826"/>
      <c r="EW24" s="1903" t="s">
        <v>18</v>
      </c>
      <c r="EX24" s="1826"/>
      <c r="EY24" s="1903" t="s">
        <v>18</v>
      </c>
      <c r="EZ24" s="1826"/>
      <c r="FA24" s="1903" t="s">
        <v>18</v>
      </c>
      <c r="FB24" s="1826"/>
      <c r="FC24" s="1903" t="s">
        <v>18</v>
      </c>
      <c r="FD24" s="1826"/>
      <c r="FE24" s="1903" t="s">
        <v>18</v>
      </c>
      <c r="FF24" s="1826"/>
      <c r="FG24" s="1903" t="s">
        <v>18</v>
      </c>
      <c r="FH24" s="1826"/>
      <c r="FI24" s="1903" t="s">
        <v>18</v>
      </c>
      <c r="FJ24" s="1826"/>
      <c r="FK24" s="1903" t="s">
        <v>18</v>
      </c>
      <c r="FL24" s="1826"/>
      <c r="FM24" s="1903" t="s">
        <v>18</v>
      </c>
      <c r="FN24" s="1826"/>
      <c r="FO24" s="1903" t="s">
        <v>18</v>
      </c>
      <c r="FP24" s="1826"/>
      <c r="FQ24" s="1903" t="s">
        <v>18</v>
      </c>
      <c r="FR24" s="1826"/>
      <c r="FS24" s="1903" t="s">
        <v>18</v>
      </c>
      <c r="FT24" s="1826"/>
      <c r="FU24" s="1903" t="s">
        <v>18</v>
      </c>
      <c r="FV24" s="1826"/>
      <c r="FW24" s="1903" t="s">
        <v>18</v>
      </c>
      <c r="FX24" s="1826"/>
      <c r="FY24" s="1903" t="s">
        <v>18</v>
      </c>
      <c r="FZ24" s="1826"/>
      <c r="GA24" s="1903" t="s">
        <v>18</v>
      </c>
      <c r="GB24" s="1826"/>
      <c r="GC24" s="1903" t="s">
        <v>18</v>
      </c>
      <c r="GD24" s="1826"/>
      <c r="GE24" s="1903" t="s">
        <v>18</v>
      </c>
      <c r="GF24" s="1826"/>
      <c r="GG24" s="1903" t="s">
        <v>18</v>
      </c>
      <c r="GH24" s="1826"/>
      <c r="GI24" s="1903" t="s">
        <v>18</v>
      </c>
      <c r="GJ24" s="1826"/>
      <c r="GK24" s="1903" t="s">
        <v>18</v>
      </c>
      <c r="GL24" s="1826"/>
    </row>
    <row r="25" spans="1:205" s="1910" customFormat="1" ht="0.75" customHeight="1">
      <c r="A25" s="645"/>
      <c r="C25" s="93"/>
      <c r="D25" s="407"/>
      <c r="E25" s="407"/>
      <c r="F25" s="407"/>
      <c r="G25" s="434"/>
      <c r="H25" s="640"/>
      <c r="I25" s="434" t="s">
        <v>115</v>
      </c>
      <c r="J25" s="640"/>
      <c r="K25" s="1903" t="s">
        <v>120</v>
      </c>
      <c r="L25" s="1826"/>
      <c r="M25" s="1903" t="s">
        <v>122</v>
      </c>
      <c r="N25" s="1826"/>
      <c r="O25" s="1903" t="s">
        <v>124</v>
      </c>
      <c r="P25" s="1826"/>
      <c r="Q25" s="1903" t="s">
        <v>126</v>
      </c>
      <c r="R25" s="1826"/>
      <c r="S25" s="1903" t="s">
        <v>128</v>
      </c>
      <c r="T25" s="1826"/>
      <c r="U25" s="1903" t="s">
        <v>130</v>
      </c>
      <c r="V25" s="1826"/>
      <c r="W25" s="1903" t="s">
        <v>132</v>
      </c>
      <c r="X25" s="1826"/>
      <c r="Y25" s="1903" t="s">
        <v>135</v>
      </c>
      <c r="Z25" s="1826"/>
      <c r="AA25" s="1903" t="s">
        <v>138</v>
      </c>
      <c r="AB25" s="1826"/>
      <c r="AC25" s="1903" t="s">
        <v>141</v>
      </c>
      <c r="AD25" s="1826"/>
      <c r="AE25" s="1903" t="s">
        <v>144</v>
      </c>
      <c r="AF25" s="1826"/>
      <c r="AG25" s="1903" t="s">
        <v>147</v>
      </c>
      <c r="AH25" s="1826"/>
      <c r="AI25" s="1903" t="s">
        <v>150</v>
      </c>
      <c r="AJ25" s="1826"/>
      <c r="AK25" s="1903" t="s">
        <v>153</v>
      </c>
      <c r="AL25" s="1826"/>
      <c r="AM25" s="1903" t="s">
        <v>156</v>
      </c>
      <c r="AN25" s="1826"/>
      <c r="AO25" s="1903" t="s">
        <v>159</v>
      </c>
      <c r="AP25" s="1826"/>
      <c r="AQ25" s="1903" t="s">
        <v>162</v>
      </c>
      <c r="AR25" s="1826"/>
      <c r="AS25" s="1903" t="s">
        <v>165</v>
      </c>
      <c r="AT25" s="1826"/>
      <c r="AU25" s="1903" t="s">
        <v>168</v>
      </c>
      <c r="AV25" s="1826"/>
      <c r="AW25" s="1903" t="s">
        <v>171</v>
      </c>
      <c r="AX25" s="1826"/>
      <c r="AY25" s="1903" t="s">
        <v>174</v>
      </c>
      <c r="AZ25" s="1826"/>
      <c r="BA25" s="1903" t="s">
        <v>177</v>
      </c>
      <c r="BB25" s="1826"/>
      <c r="BC25" s="1903" t="s">
        <v>180</v>
      </c>
      <c r="BD25" s="1826"/>
      <c r="BE25" s="1903" t="s">
        <v>183</v>
      </c>
      <c r="BF25" s="1826"/>
      <c r="BG25" s="1903" t="s">
        <v>186</v>
      </c>
      <c r="BH25" s="1826"/>
      <c r="BI25" s="1903" t="s">
        <v>189</v>
      </c>
      <c r="BJ25" s="1826"/>
      <c r="BK25" s="1903" t="s">
        <v>192</v>
      </c>
      <c r="BL25" s="1826"/>
      <c r="BM25" s="1903" t="s">
        <v>195</v>
      </c>
      <c r="BN25" s="1826"/>
      <c r="BO25" s="1903" t="s">
        <v>198</v>
      </c>
      <c r="BP25" s="1826"/>
      <c r="BQ25" s="1903" t="s">
        <v>201</v>
      </c>
      <c r="BR25" s="1826"/>
      <c r="BS25" s="1903" t="s">
        <v>204</v>
      </c>
      <c r="BT25" s="1826"/>
      <c r="BU25" s="1903" t="s">
        <v>207</v>
      </c>
      <c r="BV25" s="1826"/>
      <c r="BW25" s="1903" t="s">
        <v>210</v>
      </c>
      <c r="BX25" s="1826"/>
      <c r="BY25" s="1903" t="s">
        <v>213</v>
      </c>
      <c r="BZ25" s="1826"/>
      <c r="CA25" s="1903" t="s">
        <v>216</v>
      </c>
      <c r="CB25" s="1826"/>
      <c r="CC25" s="1903" t="s">
        <v>219</v>
      </c>
      <c r="CD25" s="1826"/>
      <c r="CE25" s="1903" t="s">
        <v>222</v>
      </c>
      <c r="CF25" s="1826"/>
      <c r="CG25" s="1903" t="s">
        <v>224</v>
      </c>
      <c r="CH25" s="1826"/>
      <c r="CI25" s="1903" t="s">
        <v>227</v>
      </c>
      <c r="CJ25" s="1826"/>
      <c r="CK25" s="1903" t="s">
        <v>230</v>
      </c>
      <c r="CL25" s="1826"/>
      <c r="CM25" s="1903" t="s">
        <v>233</v>
      </c>
      <c r="CN25" s="1826"/>
      <c r="CO25" s="1903" t="s">
        <v>236</v>
      </c>
      <c r="CP25" s="1826"/>
      <c r="CQ25" s="1903" t="s">
        <v>239</v>
      </c>
      <c r="CR25" s="1826"/>
      <c r="CS25" s="1903" t="s">
        <v>242</v>
      </c>
      <c r="CT25" s="1826"/>
      <c r="CU25" s="1903" t="s">
        <v>245</v>
      </c>
      <c r="CV25" s="1826"/>
      <c r="CW25" s="1903" t="s">
        <v>248</v>
      </c>
      <c r="CX25" s="1826"/>
      <c r="CY25" s="1903" t="s">
        <v>251</v>
      </c>
      <c r="CZ25" s="1826"/>
      <c r="DA25" s="1903" t="s">
        <v>254</v>
      </c>
      <c r="DB25" s="1826"/>
      <c r="DC25" s="1903" t="s">
        <v>257</v>
      </c>
      <c r="DD25" s="1826"/>
      <c r="DE25" s="1903" t="s">
        <v>260</v>
      </c>
      <c r="DF25" s="1826"/>
      <c r="DG25" s="1903" t="s">
        <v>263</v>
      </c>
      <c r="DH25" s="1826"/>
      <c r="DI25" s="1903" t="s">
        <v>266</v>
      </c>
      <c r="DJ25" s="1826"/>
      <c r="DK25" s="1903" t="s">
        <v>269</v>
      </c>
      <c r="DL25" s="1826"/>
      <c r="DM25" s="1903" t="s">
        <v>272</v>
      </c>
      <c r="DN25" s="1826"/>
      <c r="DO25" s="1903" t="s">
        <v>275</v>
      </c>
      <c r="DP25" s="1826"/>
      <c r="DQ25" s="1903" t="s">
        <v>278</v>
      </c>
      <c r="DR25" s="1826"/>
      <c r="DS25" s="1903" t="s">
        <v>281</v>
      </c>
      <c r="DT25" s="1826"/>
      <c r="DU25" s="1903" t="s">
        <v>284</v>
      </c>
      <c r="DV25" s="1826"/>
      <c r="DW25" s="1903" t="s">
        <v>287</v>
      </c>
      <c r="DX25" s="1826"/>
      <c r="DY25" s="1903" t="s">
        <v>290</v>
      </c>
      <c r="DZ25" s="1826"/>
      <c r="EA25" s="1903" t="s">
        <v>293</v>
      </c>
      <c r="EB25" s="1826"/>
      <c r="EC25" s="1903" t="s">
        <v>296</v>
      </c>
      <c r="ED25" s="1826"/>
      <c r="EE25" s="1903" t="s">
        <v>299</v>
      </c>
      <c r="EF25" s="1826"/>
      <c r="EG25" s="1903" t="s">
        <v>302</v>
      </c>
      <c r="EH25" s="1826"/>
      <c r="EI25" s="1903" t="s">
        <v>305</v>
      </c>
      <c r="EJ25" s="1826"/>
      <c r="EK25" s="1903" t="s">
        <v>308</v>
      </c>
      <c r="EL25" s="1826"/>
      <c r="EM25" s="1903" t="s">
        <v>311</v>
      </c>
      <c r="EN25" s="1826"/>
      <c r="EO25" s="1903" t="s">
        <v>314</v>
      </c>
      <c r="EP25" s="1826"/>
      <c r="EQ25" s="1903" t="s">
        <v>317</v>
      </c>
      <c r="ER25" s="1826"/>
      <c r="ES25" s="1903" t="s">
        <v>320</v>
      </c>
      <c r="ET25" s="1826"/>
      <c r="EU25" s="1903" t="s">
        <v>323</v>
      </c>
      <c r="EV25" s="1826"/>
      <c r="EW25" s="1903" t="s">
        <v>326</v>
      </c>
      <c r="EX25" s="1826"/>
      <c r="EY25" s="1903" t="s">
        <v>329</v>
      </c>
      <c r="EZ25" s="1826"/>
      <c r="FA25" s="1903" t="s">
        <v>332</v>
      </c>
      <c r="FB25" s="1826"/>
      <c r="FC25" s="1903" t="s">
        <v>335</v>
      </c>
      <c r="FD25" s="1826"/>
      <c r="FE25" s="1903" t="s">
        <v>338</v>
      </c>
      <c r="FF25" s="1826"/>
      <c r="FG25" s="1903" t="s">
        <v>341</v>
      </c>
      <c r="FH25" s="1826"/>
      <c r="FI25" s="1903" t="s">
        <v>344</v>
      </c>
      <c r="FJ25" s="1826"/>
      <c r="FK25" s="1903" t="s">
        <v>347</v>
      </c>
      <c r="FL25" s="1826"/>
      <c r="FM25" s="1903" t="s">
        <v>350</v>
      </c>
      <c r="FN25" s="1826"/>
      <c r="FO25" s="1903" t="s">
        <v>353</v>
      </c>
      <c r="FP25" s="1826"/>
      <c r="FQ25" s="1903" t="s">
        <v>356</v>
      </c>
      <c r="FR25" s="1826"/>
      <c r="FS25" s="1903" t="s">
        <v>359</v>
      </c>
      <c r="FT25" s="1826"/>
      <c r="FU25" s="1903" t="s">
        <v>362</v>
      </c>
      <c r="FV25" s="1826"/>
      <c r="FW25" s="1903" t="s">
        <v>365</v>
      </c>
      <c r="FX25" s="1826"/>
      <c r="FY25" s="1903" t="s">
        <v>368</v>
      </c>
      <c r="FZ25" s="1826"/>
      <c r="GA25" s="1903" t="s">
        <v>371</v>
      </c>
      <c r="GB25" s="1826"/>
      <c r="GC25" s="1903" t="s">
        <v>374</v>
      </c>
      <c r="GD25" s="1826"/>
      <c r="GE25" s="1903" t="s">
        <v>377</v>
      </c>
      <c r="GF25" s="1826"/>
      <c r="GG25" s="1903" t="s">
        <v>380</v>
      </c>
      <c r="GH25" s="1826"/>
      <c r="GI25" s="1903" t="s">
        <v>383</v>
      </c>
      <c r="GJ25" s="1826"/>
      <c r="GK25" s="1903" t="s">
        <v>386</v>
      </c>
      <c r="GL25" s="1826"/>
      <c r="GM25" s="324"/>
      <c r="GW25" s="567"/>
    </row>
    <row r="26" spans="1:205" ht="15" customHeight="1">
      <c r="C26" s="93"/>
      <c r="D26" s="601"/>
      <c r="E26" s="3607" t="s">
        <v>102</v>
      </c>
      <c r="F26" s="3608"/>
      <c r="G26" s="3631" t="str">
        <f>IF(G25="","",INDEX(DIFFERENTIATION_UNMERGE_VD,MATCH(G25,DIFFERENTIATION_ID_DIFF,0)))</f>
        <v/>
      </c>
      <c r="H26" s="3632"/>
      <c r="I26" s="3631" t="str">
        <f>IF(I25="","",INDEX(DIFFERENTIATION_UNMERGE_VD,MATCH(I25,DIFFERENTIATION_ID_DIFF,0)))</f>
        <v>Производство тепловой энергии. Некомбинированная выработка</v>
      </c>
      <c r="J26" s="3632"/>
      <c r="K26" s="3631" t="str">
        <f>IF(K25="","",INDEX(DIFFERENTIATION_UNMERGE_VD,MATCH(K25,DIFFERENTIATION_ID_DIFF,0)))</f>
        <v>Производство тепловой энергии. Некомбинированная выработка</v>
      </c>
      <c r="L26" s="3632"/>
      <c r="M26" s="3631" t="str">
        <f>IF(M25="","",INDEX(DIFFERENTIATION_UNMERGE_VD,MATCH(M25,DIFFERENTIATION_ID_DIFF,0)))</f>
        <v>Производство тепловой энергии. Некомбинированная выработка</v>
      </c>
      <c r="N26" s="3632"/>
      <c r="O26" s="3631" t="str">
        <f>IF(O25="","",INDEX(DIFFERENTIATION_UNMERGE_VD,MATCH(O25,DIFFERENTIATION_ID_DIFF,0)))</f>
        <v>Производство тепловой энергии. Некомбинированная выработка</v>
      </c>
      <c r="P26" s="3632"/>
      <c r="Q26" s="3631" t="str">
        <f>IF(Q25="","",INDEX(DIFFERENTIATION_UNMERGE_VD,MATCH(Q25,DIFFERENTIATION_ID_DIFF,0)))</f>
        <v>Производство тепловой энергии. Некомбинированная выработка</v>
      </c>
      <c r="R26" s="3632"/>
      <c r="S26" s="3631" t="str">
        <f>IF(S25="","",INDEX(DIFFERENTIATION_UNMERGE_VD,MATCH(S25,DIFFERENTIATION_ID_DIFF,0)))</f>
        <v>Производство тепловой энергии. Некомбинированная выработка</v>
      </c>
      <c r="T26" s="3632"/>
      <c r="U26" s="3631" t="str">
        <f>IF(U25="","",INDEX(DIFFERENTIATION_UNMERGE_VD,MATCH(U25,DIFFERENTIATION_ID_DIFF,0)))</f>
        <v>Производство тепловой энергии. Некомбинированная выработка</v>
      </c>
      <c r="V26" s="3632"/>
      <c r="W26" s="3631" t="str">
        <f>IF(W25="","",INDEX(DIFFERENTIATION_UNMERGE_VD,MATCH(W25,DIFFERENTIATION_ID_DIFF,0)))</f>
        <v>Производство тепловой энергии. Некомбинированная выработка</v>
      </c>
      <c r="X26" s="3632"/>
      <c r="Y26" s="3631" t="str">
        <f>IF(Y25="","",INDEX(DIFFERENTIATION_UNMERGE_VD,MATCH(Y25,DIFFERENTIATION_ID_DIFF,0)))</f>
        <v>Производство тепловой энергии. Некомбинированная выработка</v>
      </c>
      <c r="Z26" s="3632"/>
      <c r="AA26" s="3631" t="str">
        <f>IF(AA25="","",INDEX(DIFFERENTIATION_UNMERGE_VD,MATCH(AA25,DIFFERENTIATION_ID_DIFF,0)))</f>
        <v>Производство тепловой энергии. Некомбинированная выработка</v>
      </c>
      <c r="AB26" s="3632"/>
      <c r="AC26" s="3631" t="str">
        <f>IF(AC25="","",INDEX(DIFFERENTIATION_UNMERGE_VD,MATCH(AC25,DIFFERENTIATION_ID_DIFF,0)))</f>
        <v>Производство тепловой энергии. Некомбинированная выработка</v>
      </c>
      <c r="AD26" s="3632"/>
      <c r="AE26" s="3631" t="str">
        <f>IF(AE25="","",INDEX(DIFFERENTIATION_UNMERGE_VD,MATCH(AE25,DIFFERENTIATION_ID_DIFF,0)))</f>
        <v>Производство тепловой энергии. Некомбинированная выработка</v>
      </c>
      <c r="AF26" s="3632"/>
      <c r="AG26" s="3631" t="str">
        <f>IF(AG25="","",INDEX(DIFFERENTIATION_UNMERGE_VD,MATCH(AG25,DIFFERENTIATION_ID_DIFF,0)))</f>
        <v>Производство тепловой энергии. Некомбинированная выработка</v>
      </c>
      <c r="AH26" s="3632"/>
      <c r="AI26" s="3631" t="str">
        <f>IF(AI25="","",INDEX(DIFFERENTIATION_UNMERGE_VD,MATCH(AI25,DIFFERENTIATION_ID_DIFF,0)))</f>
        <v>Производство тепловой энергии. Некомбинированная выработка</v>
      </c>
      <c r="AJ26" s="3632"/>
      <c r="AK26" s="3631" t="str">
        <f>IF(AK25="","",INDEX(DIFFERENTIATION_UNMERGE_VD,MATCH(AK25,DIFFERENTIATION_ID_DIFF,0)))</f>
        <v>Производство тепловой энергии. Некомбинированная выработка</v>
      </c>
      <c r="AL26" s="3632"/>
      <c r="AM26" s="3631" t="str">
        <f>IF(AM25="","",INDEX(DIFFERENTIATION_UNMERGE_VD,MATCH(AM25,DIFFERENTIATION_ID_DIFF,0)))</f>
        <v>Производство тепловой энергии. Некомбинированная выработка</v>
      </c>
      <c r="AN26" s="3632"/>
      <c r="AO26" s="3631" t="str">
        <f>IF(AO25="","",INDEX(DIFFERENTIATION_UNMERGE_VD,MATCH(AO25,DIFFERENTIATION_ID_DIFF,0)))</f>
        <v>Производство тепловой энергии. Некомбинированная выработка</v>
      </c>
      <c r="AP26" s="3632"/>
      <c r="AQ26" s="3631" t="str">
        <f>IF(AQ25="","",INDEX(DIFFERENTIATION_UNMERGE_VD,MATCH(AQ25,DIFFERENTIATION_ID_DIFF,0)))</f>
        <v>Производство тепловой энергии. Некомбинированная выработка</v>
      </c>
      <c r="AR26" s="3632"/>
      <c r="AS26" s="3631" t="str">
        <f>IF(AS25="","",INDEX(DIFFERENTIATION_UNMERGE_VD,MATCH(AS25,DIFFERENTIATION_ID_DIFF,0)))</f>
        <v>Производство тепловой энергии. Некомбинированная выработка</v>
      </c>
      <c r="AT26" s="3632"/>
      <c r="AU26" s="3631" t="str">
        <f>IF(AU25="","",INDEX(DIFFERENTIATION_UNMERGE_VD,MATCH(AU25,DIFFERENTIATION_ID_DIFF,0)))</f>
        <v>Производство тепловой энергии. Некомбинированная выработка</v>
      </c>
      <c r="AV26" s="3632"/>
      <c r="AW26" s="3631" t="str">
        <f>IF(AW25="","",INDEX(DIFFERENTIATION_UNMERGE_VD,MATCH(AW25,DIFFERENTIATION_ID_DIFF,0)))</f>
        <v>Производство тепловой энергии. Некомбинированная выработка</v>
      </c>
      <c r="AX26" s="3632"/>
      <c r="AY26" s="3631" t="str">
        <f>IF(AY25="","",INDEX(DIFFERENTIATION_UNMERGE_VD,MATCH(AY25,DIFFERENTIATION_ID_DIFF,0)))</f>
        <v>Производство тепловой энергии. Некомбинированная выработка</v>
      </c>
      <c r="AZ26" s="3632"/>
      <c r="BA26" s="3631" t="str">
        <f>IF(BA25="","",INDEX(DIFFERENTIATION_UNMERGE_VD,MATCH(BA25,DIFFERENTIATION_ID_DIFF,0)))</f>
        <v>Производство тепловой энергии. Некомбинированная выработка</v>
      </c>
      <c r="BB26" s="3632"/>
      <c r="BC26" s="3631" t="str">
        <f>IF(BC25="","",INDEX(DIFFERENTIATION_UNMERGE_VD,MATCH(BC25,DIFFERENTIATION_ID_DIFF,0)))</f>
        <v>Производство тепловой энергии. Некомбинированная выработка</v>
      </c>
      <c r="BD26" s="3632"/>
      <c r="BE26" s="3631" t="str">
        <f>IF(BE25="","",INDEX(DIFFERENTIATION_UNMERGE_VD,MATCH(BE25,DIFFERENTIATION_ID_DIFF,0)))</f>
        <v>Производство тепловой энергии. Некомбинированная выработка</v>
      </c>
      <c r="BF26" s="3632"/>
      <c r="BG26" s="3631" t="str">
        <f>IF(BG25="","",INDEX(DIFFERENTIATION_UNMERGE_VD,MATCH(BG25,DIFFERENTIATION_ID_DIFF,0)))</f>
        <v>Производство тепловой энергии. Некомбинированная выработка</v>
      </c>
      <c r="BH26" s="3632"/>
      <c r="BI26" s="3631" t="str">
        <f>IF(BI25="","",INDEX(DIFFERENTIATION_UNMERGE_VD,MATCH(BI25,DIFFERENTIATION_ID_DIFF,0)))</f>
        <v>Производство тепловой энергии. Некомбинированная выработка</v>
      </c>
      <c r="BJ26" s="3632"/>
      <c r="BK26" s="3631" t="str">
        <f>IF(BK25="","",INDEX(DIFFERENTIATION_UNMERGE_VD,MATCH(BK25,DIFFERENTIATION_ID_DIFF,0)))</f>
        <v>Производство тепловой энергии. Некомбинированная выработка</v>
      </c>
      <c r="BL26" s="3632"/>
      <c r="BM26" s="3631" t="str">
        <f>IF(BM25="","",INDEX(DIFFERENTIATION_UNMERGE_VD,MATCH(BM25,DIFFERENTIATION_ID_DIFF,0)))</f>
        <v>Производство тепловой энергии. Некомбинированная выработка</v>
      </c>
      <c r="BN26" s="3632"/>
      <c r="BO26" s="3631" t="str">
        <f>IF(BO25="","",INDEX(DIFFERENTIATION_UNMERGE_VD,MATCH(BO25,DIFFERENTIATION_ID_DIFF,0)))</f>
        <v>Производство тепловой энергии. Некомбинированная выработка</v>
      </c>
      <c r="BP26" s="3632"/>
      <c r="BQ26" s="3631" t="str">
        <f>IF(BQ25="","",INDEX(DIFFERENTIATION_UNMERGE_VD,MATCH(BQ25,DIFFERENTIATION_ID_DIFF,0)))</f>
        <v>Производство тепловой энергии. Некомбинированная выработка</v>
      </c>
      <c r="BR26" s="3632"/>
      <c r="BS26" s="3631" t="str">
        <f>IF(BS25="","",INDEX(DIFFERENTIATION_UNMERGE_VD,MATCH(BS25,DIFFERENTIATION_ID_DIFF,0)))</f>
        <v>Производство тепловой энергии. Некомбинированная выработка</v>
      </c>
      <c r="BT26" s="3632"/>
      <c r="BU26" s="3631" t="str">
        <f>IF(BU25="","",INDEX(DIFFERENTIATION_UNMERGE_VD,MATCH(BU25,DIFFERENTIATION_ID_DIFF,0)))</f>
        <v>Производство тепловой энергии. Некомбинированная выработка</v>
      </c>
      <c r="BV26" s="3632"/>
      <c r="BW26" s="3631" t="str">
        <f>IF(BW25="","",INDEX(DIFFERENTIATION_UNMERGE_VD,MATCH(BW25,DIFFERENTIATION_ID_DIFF,0)))</f>
        <v>Производство тепловой энергии. Некомбинированная выработка</v>
      </c>
      <c r="BX26" s="3632"/>
      <c r="BY26" s="3631" t="str">
        <f>IF(BY25="","",INDEX(DIFFERENTIATION_UNMERGE_VD,MATCH(BY25,DIFFERENTIATION_ID_DIFF,0)))</f>
        <v>Производство тепловой энергии. Некомбинированная выработка</v>
      </c>
      <c r="BZ26" s="3632"/>
      <c r="CA26" s="3631" t="str">
        <f>IF(CA25="","",INDEX(DIFFERENTIATION_UNMERGE_VD,MATCH(CA25,DIFFERENTIATION_ID_DIFF,0)))</f>
        <v>Производство тепловой энергии. Некомбинированная выработка</v>
      </c>
      <c r="CB26" s="3632"/>
      <c r="CC26" s="3631" t="str">
        <f>IF(CC25="","",INDEX(DIFFERENTIATION_UNMERGE_VD,MATCH(CC25,DIFFERENTIATION_ID_DIFF,0)))</f>
        <v>Производство тепловой энергии. Некомбинированная выработка</v>
      </c>
      <c r="CD26" s="3632"/>
      <c r="CE26" s="3631" t="str">
        <f>IF(CE25="","",INDEX(DIFFERENTIATION_UNMERGE_VD,MATCH(CE25,DIFFERENTIATION_ID_DIFF,0)))</f>
        <v>Производство тепловой энергии. Некомбинированная выработка</v>
      </c>
      <c r="CF26" s="3632"/>
      <c r="CG26" s="3631" t="str">
        <f>IF(CG25="","",INDEX(DIFFERENTIATION_UNMERGE_VD,MATCH(CG25,DIFFERENTIATION_ID_DIFF,0)))</f>
        <v>Производство тепловой энергии. Некомбинированная выработка</v>
      </c>
      <c r="CH26" s="3632"/>
      <c r="CI26" s="3631" t="str">
        <f>IF(CI25="","",INDEX(DIFFERENTIATION_UNMERGE_VD,MATCH(CI25,DIFFERENTIATION_ID_DIFF,0)))</f>
        <v>Производство тепловой энергии. Некомбинированная выработка</v>
      </c>
      <c r="CJ26" s="3632"/>
      <c r="CK26" s="3631" t="str">
        <f>IF(CK25="","",INDEX(DIFFERENTIATION_UNMERGE_VD,MATCH(CK25,DIFFERENTIATION_ID_DIFF,0)))</f>
        <v>Производство тепловой энергии. Некомбинированная выработка</v>
      </c>
      <c r="CL26" s="3632"/>
      <c r="CM26" s="3631" t="str">
        <f>IF(CM25="","",INDEX(DIFFERENTIATION_UNMERGE_VD,MATCH(CM25,DIFFERENTIATION_ID_DIFF,0)))</f>
        <v>Производство тепловой энергии. Некомбинированная выработка</v>
      </c>
      <c r="CN26" s="3632"/>
      <c r="CO26" s="3631" t="str">
        <f>IF(CO25="","",INDEX(DIFFERENTIATION_UNMERGE_VD,MATCH(CO25,DIFFERENTIATION_ID_DIFF,0)))</f>
        <v>Производство тепловой энергии. Некомбинированная выработка</v>
      </c>
      <c r="CP26" s="3632"/>
      <c r="CQ26" s="3631" t="str">
        <f>IF(CQ25="","",INDEX(DIFFERENTIATION_UNMERGE_VD,MATCH(CQ25,DIFFERENTIATION_ID_DIFF,0)))</f>
        <v>Производство тепловой энергии. Некомбинированная выработка</v>
      </c>
      <c r="CR26" s="3632"/>
      <c r="CS26" s="3631" t="str">
        <f>IF(CS25="","",INDEX(DIFFERENTIATION_UNMERGE_VD,MATCH(CS25,DIFFERENTIATION_ID_DIFF,0)))</f>
        <v>Производство тепловой энергии. Некомбинированная выработка</v>
      </c>
      <c r="CT26" s="3632"/>
      <c r="CU26" s="3631" t="str">
        <f>IF(CU25="","",INDEX(DIFFERENTIATION_UNMERGE_VD,MATCH(CU25,DIFFERENTIATION_ID_DIFF,0)))</f>
        <v>Производство тепловой энергии. Некомбинированная выработка</v>
      </c>
      <c r="CV26" s="3632"/>
      <c r="CW26" s="3631" t="str">
        <f>IF(CW25="","",INDEX(DIFFERENTIATION_UNMERGE_VD,MATCH(CW25,DIFFERENTIATION_ID_DIFF,0)))</f>
        <v>Производство тепловой энергии. Некомбинированная выработка</v>
      </c>
      <c r="CX26" s="3632"/>
      <c r="CY26" s="3631" t="str">
        <f>IF(CY25="","",INDEX(DIFFERENTIATION_UNMERGE_VD,MATCH(CY25,DIFFERENTIATION_ID_DIFF,0)))</f>
        <v>Производство тепловой энергии. Некомбинированная выработка</v>
      </c>
      <c r="CZ26" s="3632"/>
      <c r="DA26" s="3631" t="str">
        <f>IF(DA25="","",INDEX(DIFFERENTIATION_UNMERGE_VD,MATCH(DA25,DIFFERENTIATION_ID_DIFF,0)))</f>
        <v>Производство тепловой энергии. Некомбинированная выработка</v>
      </c>
      <c r="DB26" s="3632"/>
      <c r="DC26" s="3631" t="str">
        <f>IF(DC25="","",INDEX(DIFFERENTIATION_UNMERGE_VD,MATCH(DC25,DIFFERENTIATION_ID_DIFF,0)))</f>
        <v>Производство тепловой энергии. Некомбинированная выработка</v>
      </c>
      <c r="DD26" s="3632"/>
      <c r="DE26" s="3631" t="str">
        <f>IF(DE25="","",INDEX(DIFFERENTIATION_UNMERGE_VD,MATCH(DE25,DIFFERENTIATION_ID_DIFF,0)))</f>
        <v>Производство тепловой энергии. Некомбинированная выработка</v>
      </c>
      <c r="DF26" s="3632"/>
      <c r="DG26" s="3631" t="str">
        <f>IF(DG25="","",INDEX(DIFFERENTIATION_UNMERGE_VD,MATCH(DG25,DIFFERENTIATION_ID_DIFF,0)))</f>
        <v>Производство тепловой энергии. Некомбинированная выработка</v>
      </c>
      <c r="DH26" s="3632"/>
      <c r="DI26" s="3631" t="str">
        <f>IF(DI25="","",INDEX(DIFFERENTIATION_UNMERGE_VD,MATCH(DI25,DIFFERENTIATION_ID_DIFF,0)))</f>
        <v>Производство тепловой энергии. Некомбинированная выработка</v>
      </c>
      <c r="DJ26" s="3632"/>
      <c r="DK26" s="3631" t="str">
        <f>IF(DK25="","",INDEX(DIFFERENTIATION_UNMERGE_VD,MATCH(DK25,DIFFERENTIATION_ID_DIFF,0)))</f>
        <v>Производство тепловой энергии. Некомбинированная выработка</v>
      </c>
      <c r="DL26" s="3632"/>
      <c r="DM26" s="3631" t="str">
        <f>IF(DM25="","",INDEX(DIFFERENTIATION_UNMERGE_VD,MATCH(DM25,DIFFERENTIATION_ID_DIFF,0)))</f>
        <v>Производство тепловой энергии. Некомбинированная выработка</v>
      </c>
      <c r="DN26" s="3632"/>
      <c r="DO26" s="3631" t="str">
        <f>IF(DO25="","",INDEX(DIFFERENTIATION_UNMERGE_VD,MATCH(DO25,DIFFERENTIATION_ID_DIFF,0)))</f>
        <v>Производство тепловой энергии. Некомбинированная выработка</v>
      </c>
      <c r="DP26" s="3632"/>
      <c r="DQ26" s="3631" t="str">
        <f>IF(DQ25="","",INDEX(DIFFERENTIATION_UNMERGE_VD,MATCH(DQ25,DIFFERENTIATION_ID_DIFF,0)))</f>
        <v>Производство тепловой энергии. Некомбинированная выработка</v>
      </c>
      <c r="DR26" s="3632"/>
      <c r="DS26" s="3631" t="str">
        <f>IF(DS25="","",INDEX(DIFFERENTIATION_UNMERGE_VD,MATCH(DS25,DIFFERENTIATION_ID_DIFF,0)))</f>
        <v>Производство тепловой энергии. Некомбинированная выработка</v>
      </c>
      <c r="DT26" s="3632"/>
      <c r="DU26" s="3631" t="str">
        <f>IF(DU25="","",INDEX(DIFFERENTIATION_UNMERGE_VD,MATCH(DU25,DIFFERENTIATION_ID_DIFF,0)))</f>
        <v>Производство тепловой энергии. Некомбинированная выработка</v>
      </c>
      <c r="DV26" s="3632"/>
      <c r="DW26" s="3631" t="str">
        <f>IF(DW25="","",INDEX(DIFFERENTIATION_UNMERGE_VD,MATCH(DW25,DIFFERENTIATION_ID_DIFF,0)))</f>
        <v>Производство тепловой энергии. Некомбинированная выработка</v>
      </c>
      <c r="DX26" s="3632"/>
      <c r="DY26" s="3631" t="str">
        <f>IF(DY25="","",INDEX(DIFFERENTIATION_UNMERGE_VD,MATCH(DY25,DIFFERENTIATION_ID_DIFF,0)))</f>
        <v>Производство тепловой энергии. Некомбинированная выработка</v>
      </c>
      <c r="DZ26" s="3632"/>
      <c r="EA26" s="3631" t="str">
        <f>IF(EA25="","",INDEX(DIFFERENTIATION_UNMERGE_VD,MATCH(EA25,DIFFERENTIATION_ID_DIFF,0)))</f>
        <v>Производство тепловой энергии. Некомбинированная выработка</v>
      </c>
      <c r="EB26" s="3632"/>
      <c r="EC26" s="3631" t="str">
        <f>IF(EC25="","",INDEX(DIFFERENTIATION_UNMERGE_VD,MATCH(EC25,DIFFERENTIATION_ID_DIFF,0)))</f>
        <v>Производство тепловой энергии. Некомбинированная выработка</v>
      </c>
      <c r="ED26" s="3632"/>
      <c r="EE26" s="3631" t="str">
        <f>IF(EE25="","",INDEX(DIFFERENTIATION_UNMERGE_VD,MATCH(EE25,DIFFERENTIATION_ID_DIFF,0)))</f>
        <v>Производство тепловой энергии. Некомбинированная выработка</v>
      </c>
      <c r="EF26" s="3632"/>
      <c r="EG26" s="3631" t="str">
        <f>IF(EG25="","",INDEX(DIFFERENTIATION_UNMERGE_VD,MATCH(EG25,DIFFERENTIATION_ID_DIFF,0)))</f>
        <v>Производство тепловой энергии. Некомбинированная выработка</v>
      </c>
      <c r="EH26" s="3632"/>
      <c r="EI26" s="3631" t="str">
        <f>IF(EI25="","",INDEX(DIFFERENTIATION_UNMERGE_VD,MATCH(EI25,DIFFERENTIATION_ID_DIFF,0)))</f>
        <v>Производство тепловой энергии. Некомбинированная выработка</v>
      </c>
      <c r="EJ26" s="3632"/>
      <c r="EK26" s="3631" t="str">
        <f>IF(EK25="","",INDEX(DIFFERENTIATION_UNMERGE_VD,MATCH(EK25,DIFFERENTIATION_ID_DIFF,0)))</f>
        <v>Производство тепловой энергии. Некомбинированная выработка</v>
      </c>
      <c r="EL26" s="3632"/>
      <c r="EM26" s="3631" t="str">
        <f>IF(EM25="","",INDEX(DIFFERENTIATION_UNMERGE_VD,MATCH(EM25,DIFFERENTIATION_ID_DIFF,0)))</f>
        <v>Производство тепловой энергии. Некомбинированная выработка</v>
      </c>
      <c r="EN26" s="3632"/>
      <c r="EO26" s="3631" t="str">
        <f>IF(EO25="","",INDEX(DIFFERENTIATION_UNMERGE_VD,MATCH(EO25,DIFFERENTIATION_ID_DIFF,0)))</f>
        <v>Производство тепловой энергии. Некомбинированная выработка</v>
      </c>
      <c r="EP26" s="3632"/>
      <c r="EQ26" s="3631" t="str">
        <f>IF(EQ25="","",INDEX(DIFFERENTIATION_UNMERGE_VD,MATCH(EQ25,DIFFERENTIATION_ID_DIFF,0)))</f>
        <v>Производство тепловой энергии. Некомбинированная выработка</v>
      </c>
      <c r="ER26" s="3632"/>
      <c r="ES26" s="3631" t="str">
        <f>IF(ES25="","",INDEX(DIFFERENTIATION_UNMERGE_VD,MATCH(ES25,DIFFERENTIATION_ID_DIFF,0)))</f>
        <v>Производство тепловой энергии. Некомбинированная выработка</v>
      </c>
      <c r="ET26" s="3632"/>
      <c r="EU26" s="3631" t="str">
        <f>IF(EU25="","",INDEX(DIFFERENTIATION_UNMERGE_VD,MATCH(EU25,DIFFERENTIATION_ID_DIFF,0)))</f>
        <v>Производство тепловой энергии. Некомбинированная выработка</v>
      </c>
      <c r="EV26" s="3632"/>
      <c r="EW26" s="3631" t="str">
        <f>IF(EW25="","",INDEX(DIFFERENTIATION_UNMERGE_VD,MATCH(EW25,DIFFERENTIATION_ID_DIFF,0)))</f>
        <v>Производство тепловой энергии. Некомбинированная выработка</v>
      </c>
      <c r="EX26" s="3632"/>
      <c r="EY26" s="3631" t="str">
        <f>IF(EY25="","",INDEX(DIFFERENTIATION_UNMERGE_VD,MATCH(EY25,DIFFERENTIATION_ID_DIFF,0)))</f>
        <v>Производство тепловой энергии. Некомбинированная выработка</v>
      </c>
      <c r="EZ26" s="3632"/>
      <c r="FA26" s="3631" t="str">
        <f>IF(FA25="","",INDEX(DIFFERENTIATION_UNMERGE_VD,MATCH(FA25,DIFFERENTIATION_ID_DIFF,0)))</f>
        <v>Производство тепловой энергии. Некомбинированная выработка</v>
      </c>
      <c r="FB26" s="3632"/>
      <c r="FC26" s="3631" t="str">
        <f>IF(FC25="","",INDEX(DIFFERENTIATION_UNMERGE_VD,MATCH(FC25,DIFFERENTIATION_ID_DIFF,0)))</f>
        <v>Производство тепловой энергии. Некомбинированная выработка</v>
      </c>
      <c r="FD26" s="3632"/>
      <c r="FE26" s="3631" t="str">
        <f>IF(FE25="","",INDEX(DIFFERENTIATION_UNMERGE_VD,MATCH(FE25,DIFFERENTIATION_ID_DIFF,0)))</f>
        <v>Производство тепловой энергии. Некомбинированная выработка</v>
      </c>
      <c r="FF26" s="3632"/>
      <c r="FG26" s="3631" t="str">
        <f>IF(FG25="","",INDEX(DIFFERENTIATION_UNMERGE_VD,MATCH(FG25,DIFFERENTIATION_ID_DIFF,0)))</f>
        <v>Производство тепловой энергии. Некомбинированная выработка</v>
      </c>
      <c r="FH26" s="3632"/>
      <c r="FI26" s="3631" t="str">
        <f>IF(FI25="","",INDEX(DIFFERENTIATION_UNMERGE_VD,MATCH(FI25,DIFFERENTIATION_ID_DIFF,0)))</f>
        <v>Производство тепловой энергии. Некомбинированная выработка</v>
      </c>
      <c r="FJ26" s="3632"/>
      <c r="FK26" s="3631" t="str">
        <f>IF(FK25="","",INDEX(DIFFERENTIATION_UNMERGE_VD,MATCH(FK25,DIFFERENTIATION_ID_DIFF,0)))</f>
        <v>Производство тепловой энергии. Некомбинированная выработка</v>
      </c>
      <c r="FL26" s="3632"/>
      <c r="FM26" s="3631" t="str">
        <f>IF(FM25="","",INDEX(DIFFERENTIATION_UNMERGE_VD,MATCH(FM25,DIFFERENTIATION_ID_DIFF,0)))</f>
        <v>Производство тепловой энергии. Некомбинированная выработка</v>
      </c>
      <c r="FN26" s="3632"/>
      <c r="FO26" s="3631" t="str">
        <f>IF(FO25="","",INDEX(DIFFERENTIATION_UNMERGE_VD,MATCH(FO25,DIFFERENTIATION_ID_DIFF,0)))</f>
        <v>Производство тепловой энергии. Некомбинированная выработка</v>
      </c>
      <c r="FP26" s="3632"/>
      <c r="FQ26" s="3631" t="str">
        <f>IF(FQ25="","",INDEX(DIFFERENTIATION_UNMERGE_VD,MATCH(FQ25,DIFFERENTIATION_ID_DIFF,0)))</f>
        <v>Производство тепловой энергии. Некомбинированная выработка</v>
      </c>
      <c r="FR26" s="3632"/>
      <c r="FS26" s="3631" t="str">
        <f>IF(FS25="","",INDEX(DIFFERENTIATION_UNMERGE_VD,MATCH(FS25,DIFFERENTIATION_ID_DIFF,0)))</f>
        <v>Производство тепловой энергии. Некомбинированная выработка</v>
      </c>
      <c r="FT26" s="3632"/>
      <c r="FU26" s="3631" t="str">
        <f>IF(FU25="","",INDEX(DIFFERENTIATION_UNMERGE_VD,MATCH(FU25,DIFFERENTIATION_ID_DIFF,0)))</f>
        <v>Производство тепловой энергии. Некомбинированная выработка</v>
      </c>
      <c r="FV26" s="3632"/>
      <c r="FW26" s="3631" t="str">
        <f>IF(FW25="","",INDEX(DIFFERENTIATION_UNMERGE_VD,MATCH(FW25,DIFFERENTIATION_ID_DIFF,0)))</f>
        <v>Производство тепловой энергии. Некомбинированная выработка</v>
      </c>
      <c r="FX26" s="3632"/>
      <c r="FY26" s="3631" t="str">
        <f>IF(FY25="","",INDEX(DIFFERENTIATION_UNMERGE_VD,MATCH(FY25,DIFFERENTIATION_ID_DIFF,0)))</f>
        <v>Производство тепловой энергии. Некомбинированная выработка</v>
      </c>
      <c r="FZ26" s="3632"/>
      <c r="GA26" s="3631" t="str">
        <f>IF(GA25="","",INDEX(DIFFERENTIATION_UNMERGE_VD,MATCH(GA25,DIFFERENTIATION_ID_DIFF,0)))</f>
        <v>Производство тепловой энергии. Некомбинированная выработка</v>
      </c>
      <c r="GB26" s="3632"/>
      <c r="GC26" s="3631" t="str">
        <f>IF(GC25="","",INDEX(DIFFERENTIATION_UNMERGE_VD,MATCH(GC25,DIFFERENTIATION_ID_DIFF,0)))</f>
        <v>Производство тепловой энергии. Некомбинированная выработка</v>
      </c>
      <c r="GD26" s="3632"/>
      <c r="GE26" s="3631" t="str">
        <f>IF(GE25="","",INDEX(DIFFERENTIATION_UNMERGE_VD,MATCH(GE25,DIFFERENTIATION_ID_DIFF,0)))</f>
        <v>Производство тепловой энергии. Некомбинированная выработка</v>
      </c>
      <c r="GF26" s="3632"/>
      <c r="GG26" s="3631" t="str">
        <f>IF(GG25="","",INDEX(DIFFERENTIATION_UNMERGE_VD,MATCH(GG25,DIFFERENTIATION_ID_DIFF,0)))</f>
        <v>Производство тепловой энергии. Некомбинированная выработка</v>
      </c>
      <c r="GH26" s="3632"/>
      <c r="GI26" s="3631" t="str">
        <f>IF(GI25="","",INDEX(DIFFERENTIATION_UNMERGE_VD,MATCH(GI25,DIFFERENTIATION_ID_DIFF,0)))</f>
        <v>Производство тепловой энергии. Некомбинированная выработка</v>
      </c>
      <c r="GJ26" s="3632"/>
      <c r="GK26" s="3631" t="str">
        <f>IF(GK25="","",INDEX(DIFFERENTIATION_UNMERGE_VD,MATCH(GK25,DIFFERENTIATION_ID_DIFF,0)))</f>
        <v>Производство тепловой энергии. Некомбинированная выработка</v>
      </c>
      <c r="GL26" s="3632"/>
      <c r="GM26" s="3458" t="s">
        <v>561</v>
      </c>
    </row>
    <row r="27" spans="1:205" s="1910" customFormat="1" ht="15" customHeight="1">
      <c r="A27" s="645"/>
      <c r="C27" s="93"/>
      <c r="D27" s="601"/>
      <c r="E27" s="3607" t="s">
        <v>829</v>
      </c>
      <c r="F27" s="3608"/>
      <c r="G27" s="3631" t="str">
        <f>IF(G25="","",INDEX(DIFFERENTIATION_UNMERGE_AREA,MATCH(G25,DIFFERENTIATION_ID_DIFF,0)))</f>
        <v/>
      </c>
      <c r="H27" s="3632"/>
      <c r="I27" s="3631" t="str">
        <f>IF(I25="","",INDEX(DIFFERENTIATION_UNMERGE_AREA,MATCH(I25,DIFFERENTIATION_ID_DIFF,0)))</f>
        <v>Территория 1</v>
      </c>
      <c r="J27" s="3632"/>
      <c r="K27" s="3631" t="str">
        <f>IF(K25="","",INDEX(DIFFERENTIATION_UNMERGE_AREA,MATCH(K25,DIFFERENTIATION_ID_DIFF,0)))</f>
        <v>Территория 1</v>
      </c>
      <c r="L27" s="3632"/>
      <c r="M27" s="3631" t="str">
        <f>IF(M25="","",INDEX(DIFFERENTIATION_UNMERGE_AREA,MATCH(M25,DIFFERENTIATION_ID_DIFF,0)))</f>
        <v>Территория 1</v>
      </c>
      <c r="N27" s="3632"/>
      <c r="O27" s="3631" t="str">
        <f>IF(O25="","",INDEX(DIFFERENTIATION_UNMERGE_AREA,MATCH(O25,DIFFERENTIATION_ID_DIFF,0)))</f>
        <v>Территория 1</v>
      </c>
      <c r="P27" s="3632"/>
      <c r="Q27" s="3631" t="str">
        <f>IF(Q25="","",INDEX(DIFFERENTIATION_UNMERGE_AREA,MATCH(Q25,DIFFERENTIATION_ID_DIFF,0)))</f>
        <v>Территория 1</v>
      </c>
      <c r="R27" s="3632"/>
      <c r="S27" s="3631" t="str">
        <f>IF(S25="","",INDEX(DIFFERENTIATION_UNMERGE_AREA,MATCH(S25,DIFFERENTIATION_ID_DIFF,0)))</f>
        <v>Территория 1</v>
      </c>
      <c r="T27" s="3632"/>
      <c r="U27" s="3631" t="str">
        <f>IF(U25="","",INDEX(DIFFERENTIATION_UNMERGE_AREA,MATCH(U25,DIFFERENTIATION_ID_DIFF,0)))</f>
        <v>Территория 1</v>
      </c>
      <c r="V27" s="3632"/>
      <c r="W27" s="3631" t="str">
        <f>IF(W25="","",INDEX(DIFFERENTIATION_UNMERGE_AREA,MATCH(W25,DIFFERENTIATION_ID_DIFF,0)))</f>
        <v>Территория 1</v>
      </c>
      <c r="X27" s="3632"/>
      <c r="Y27" s="3631" t="str">
        <f>IF(Y25="","",INDEX(DIFFERENTIATION_UNMERGE_AREA,MATCH(Y25,DIFFERENTIATION_ID_DIFF,0)))</f>
        <v>Территория 1</v>
      </c>
      <c r="Z27" s="3632"/>
      <c r="AA27" s="3631" t="str">
        <f>IF(AA25="","",INDEX(DIFFERENTIATION_UNMERGE_AREA,MATCH(AA25,DIFFERENTIATION_ID_DIFF,0)))</f>
        <v>Территория 1</v>
      </c>
      <c r="AB27" s="3632"/>
      <c r="AC27" s="3631" t="str">
        <f>IF(AC25="","",INDEX(DIFFERENTIATION_UNMERGE_AREA,MATCH(AC25,DIFFERENTIATION_ID_DIFF,0)))</f>
        <v>Территория 1</v>
      </c>
      <c r="AD27" s="3632"/>
      <c r="AE27" s="3631" t="str">
        <f>IF(AE25="","",INDEX(DIFFERENTIATION_UNMERGE_AREA,MATCH(AE25,DIFFERENTIATION_ID_DIFF,0)))</f>
        <v>Территория 1</v>
      </c>
      <c r="AF27" s="3632"/>
      <c r="AG27" s="3631" t="str">
        <f>IF(AG25="","",INDEX(DIFFERENTIATION_UNMERGE_AREA,MATCH(AG25,DIFFERENTIATION_ID_DIFF,0)))</f>
        <v>Территория 1</v>
      </c>
      <c r="AH27" s="3632"/>
      <c r="AI27" s="3631" t="str">
        <f>IF(AI25="","",INDEX(DIFFERENTIATION_UNMERGE_AREA,MATCH(AI25,DIFFERENTIATION_ID_DIFF,0)))</f>
        <v>Территория 1</v>
      </c>
      <c r="AJ27" s="3632"/>
      <c r="AK27" s="3631" t="str">
        <f>IF(AK25="","",INDEX(DIFFERENTIATION_UNMERGE_AREA,MATCH(AK25,DIFFERENTIATION_ID_DIFF,0)))</f>
        <v>Территория 1</v>
      </c>
      <c r="AL27" s="3632"/>
      <c r="AM27" s="3631" t="str">
        <f>IF(AM25="","",INDEX(DIFFERENTIATION_UNMERGE_AREA,MATCH(AM25,DIFFERENTIATION_ID_DIFF,0)))</f>
        <v>Территория 1</v>
      </c>
      <c r="AN27" s="3632"/>
      <c r="AO27" s="3631" t="str">
        <f>IF(AO25="","",INDEX(DIFFERENTIATION_UNMERGE_AREA,MATCH(AO25,DIFFERENTIATION_ID_DIFF,0)))</f>
        <v>Территория 1</v>
      </c>
      <c r="AP27" s="3632"/>
      <c r="AQ27" s="3631" t="str">
        <f>IF(AQ25="","",INDEX(DIFFERENTIATION_UNMERGE_AREA,MATCH(AQ25,DIFFERENTIATION_ID_DIFF,0)))</f>
        <v>Территория 1</v>
      </c>
      <c r="AR27" s="3632"/>
      <c r="AS27" s="3631" t="str">
        <f>IF(AS25="","",INDEX(DIFFERENTIATION_UNMERGE_AREA,MATCH(AS25,DIFFERENTIATION_ID_DIFF,0)))</f>
        <v>Территория 1</v>
      </c>
      <c r="AT27" s="3632"/>
      <c r="AU27" s="3631" t="str">
        <f>IF(AU25="","",INDEX(DIFFERENTIATION_UNMERGE_AREA,MATCH(AU25,DIFFERENTIATION_ID_DIFF,0)))</f>
        <v>Территория 1</v>
      </c>
      <c r="AV27" s="3632"/>
      <c r="AW27" s="3631" t="str">
        <f>IF(AW25="","",INDEX(DIFFERENTIATION_UNMERGE_AREA,MATCH(AW25,DIFFERENTIATION_ID_DIFF,0)))</f>
        <v>Территория 1</v>
      </c>
      <c r="AX27" s="3632"/>
      <c r="AY27" s="3631" t="str">
        <f>IF(AY25="","",INDEX(DIFFERENTIATION_UNMERGE_AREA,MATCH(AY25,DIFFERENTIATION_ID_DIFF,0)))</f>
        <v>Территория 1</v>
      </c>
      <c r="AZ27" s="3632"/>
      <c r="BA27" s="3631" t="str">
        <f>IF(BA25="","",INDEX(DIFFERENTIATION_UNMERGE_AREA,MATCH(BA25,DIFFERENTIATION_ID_DIFF,0)))</f>
        <v>Территория 1</v>
      </c>
      <c r="BB27" s="3632"/>
      <c r="BC27" s="3631" t="str">
        <f>IF(BC25="","",INDEX(DIFFERENTIATION_UNMERGE_AREA,MATCH(BC25,DIFFERENTIATION_ID_DIFF,0)))</f>
        <v>Территория 1</v>
      </c>
      <c r="BD27" s="3632"/>
      <c r="BE27" s="3631" t="str">
        <f>IF(BE25="","",INDEX(DIFFERENTIATION_UNMERGE_AREA,MATCH(BE25,DIFFERENTIATION_ID_DIFF,0)))</f>
        <v>Территория 1</v>
      </c>
      <c r="BF27" s="3632"/>
      <c r="BG27" s="3631" t="str">
        <f>IF(BG25="","",INDEX(DIFFERENTIATION_UNMERGE_AREA,MATCH(BG25,DIFFERENTIATION_ID_DIFF,0)))</f>
        <v>Территория 1</v>
      </c>
      <c r="BH27" s="3632"/>
      <c r="BI27" s="3631" t="str">
        <f>IF(BI25="","",INDEX(DIFFERENTIATION_UNMERGE_AREA,MATCH(BI25,DIFFERENTIATION_ID_DIFF,0)))</f>
        <v>Территория 1</v>
      </c>
      <c r="BJ27" s="3632"/>
      <c r="BK27" s="3631" t="str">
        <f>IF(BK25="","",INDEX(DIFFERENTIATION_UNMERGE_AREA,MATCH(BK25,DIFFERENTIATION_ID_DIFF,0)))</f>
        <v>Территория 1</v>
      </c>
      <c r="BL27" s="3632"/>
      <c r="BM27" s="3631" t="str">
        <f>IF(BM25="","",INDEX(DIFFERENTIATION_UNMERGE_AREA,MATCH(BM25,DIFFERENTIATION_ID_DIFF,0)))</f>
        <v>Территория 1</v>
      </c>
      <c r="BN27" s="3632"/>
      <c r="BO27" s="3631" t="str">
        <f>IF(BO25="","",INDEX(DIFFERENTIATION_UNMERGE_AREA,MATCH(BO25,DIFFERENTIATION_ID_DIFF,0)))</f>
        <v>Территория 1</v>
      </c>
      <c r="BP27" s="3632"/>
      <c r="BQ27" s="3631" t="str">
        <f>IF(BQ25="","",INDEX(DIFFERENTIATION_UNMERGE_AREA,MATCH(BQ25,DIFFERENTIATION_ID_DIFF,0)))</f>
        <v>Территория 1</v>
      </c>
      <c r="BR27" s="3632"/>
      <c r="BS27" s="3631" t="str">
        <f>IF(BS25="","",INDEX(DIFFERENTIATION_UNMERGE_AREA,MATCH(BS25,DIFFERENTIATION_ID_DIFF,0)))</f>
        <v>Территория 1</v>
      </c>
      <c r="BT27" s="3632"/>
      <c r="BU27" s="3631" t="str">
        <f>IF(BU25="","",INDEX(DIFFERENTIATION_UNMERGE_AREA,MATCH(BU25,DIFFERENTIATION_ID_DIFF,0)))</f>
        <v>Территория 1</v>
      </c>
      <c r="BV27" s="3632"/>
      <c r="BW27" s="3631" t="str">
        <f>IF(BW25="","",INDEX(DIFFERENTIATION_UNMERGE_AREA,MATCH(BW25,DIFFERENTIATION_ID_DIFF,0)))</f>
        <v>Территория 1</v>
      </c>
      <c r="BX27" s="3632"/>
      <c r="BY27" s="3631" t="str">
        <f>IF(BY25="","",INDEX(DIFFERENTIATION_UNMERGE_AREA,MATCH(BY25,DIFFERENTIATION_ID_DIFF,0)))</f>
        <v>Территория 1</v>
      </c>
      <c r="BZ27" s="3632"/>
      <c r="CA27" s="3631" t="str">
        <f>IF(CA25="","",INDEX(DIFFERENTIATION_UNMERGE_AREA,MATCH(CA25,DIFFERENTIATION_ID_DIFF,0)))</f>
        <v>Территория 1</v>
      </c>
      <c r="CB27" s="3632"/>
      <c r="CC27" s="3631" t="str">
        <f>IF(CC25="","",INDEX(DIFFERENTIATION_UNMERGE_AREA,MATCH(CC25,DIFFERENTIATION_ID_DIFF,0)))</f>
        <v>Территория 1</v>
      </c>
      <c r="CD27" s="3632"/>
      <c r="CE27" s="3631" t="str">
        <f>IF(CE25="","",INDEX(DIFFERENTIATION_UNMERGE_AREA,MATCH(CE25,DIFFERENTIATION_ID_DIFF,0)))</f>
        <v>Территория 1</v>
      </c>
      <c r="CF27" s="3632"/>
      <c r="CG27" s="3631" t="str">
        <f>IF(CG25="","",INDEX(DIFFERENTIATION_UNMERGE_AREA,MATCH(CG25,DIFFERENTIATION_ID_DIFF,0)))</f>
        <v>Территория 1</v>
      </c>
      <c r="CH27" s="3632"/>
      <c r="CI27" s="3631" t="str">
        <f>IF(CI25="","",INDEX(DIFFERENTIATION_UNMERGE_AREA,MATCH(CI25,DIFFERENTIATION_ID_DIFF,0)))</f>
        <v>Территория 1</v>
      </c>
      <c r="CJ27" s="3632"/>
      <c r="CK27" s="3631" t="str">
        <f>IF(CK25="","",INDEX(DIFFERENTIATION_UNMERGE_AREA,MATCH(CK25,DIFFERENTIATION_ID_DIFF,0)))</f>
        <v>Территория 1</v>
      </c>
      <c r="CL27" s="3632"/>
      <c r="CM27" s="3631" t="str">
        <f>IF(CM25="","",INDEX(DIFFERENTIATION_UNMERGE_AREA,MATCH(CM25,DIFFERENTIATION_ID_DIFF,0)))</f>
        <v>Территория 1</v>
      </c>
      <c r="CN27" s="3632"/>
      <c r="CO27" s="3631" t="str">
        <f>IF(CO25="","",INDEX(DIFFERENTIATION_UNMERGE_AREA,MATCH(CO25,DIFFERENTIATION_ID_DIFF,0)))</f>
        <v>Территория 1</v>
      </c>
      <c r="CP27" s="3632"/>
      <c r="CQ27" s="3631" t="str">
        <f>IF(CQ25="","",INDEX(DIFFERENTIATION_UNMERGE_AREA,MATCH(CQ25,DIFFERENTIATION_ID_DIFF,0)))</f>
        <v>Территория 1</v>
      </c>
      <c r="CR27" s="3632"/>
      <c r="CS27" s="3631" t="str">
        <f>IF(CS25="","",INDEX(DIFFERENTIATION_UNMERGE_AREA,MATCH(CS25,DIFFERENTIATION_ID_DIFF,0)))</f>
        <v>Территория 1</v>
      </c>
      <c r="CT27" s="3632"/>
      <c r="CU27" s="3631" t="str">
        <f>IF(CU25="","",INDEX(DIFFERENTIATION_UNMERGE_AREA,MATCH(CU25,DIFFERENTIATION_ID_DIFF,0)))</f>
        <v>Территория 1</v>
      </c>
      <c r="CV27" s="3632"/>
      <c r="CW27" s="3631" t="str">
        <f>IF(CW25="","",INDEX(DIFFERENTIATION_UNMERGE_AREA,MATCH(CW25,DIFFERENTIATION_ID_DIFF,0)))</f>
        <v>Территория 1</v>
      </c>
      <c r="CX27" s="3632"/>
      <c r="CY27" s="3631" t="str">
        <f>IF(CY25="","",INDEX(DIFFERENTIATION_UNMERGE_AREA,MATCH(CY25,DIFFERENTIATION_ID_DIFF,0)))</f>
        <v>Территория 1</v>
      </c>
      <c r="CZ27" s="3632"/>
      <c r="DA27" s="3631" t="str">
        <f>IF(DA25="","",INDEX(DIFFERENTIATION_UNMERGE_AREA,MATCH(DA25,DIFFERENTIATION_ID_DIFF,0)))</f>
        <v>Территория 1</v>
      </c>
      <c r="DB27" s="3632"/>
      <c r="DC27" s="3631" t="str">
        <f>IF(DC25="","",INDEX(DIFFERENTIATION_UNMERGE_AREA,MATCH(DC25,DIFFERENTIATION_ID_DIFF,0)))</f>
        <v>Территория 1</v>
      </c>
      <c r="DD27" s="3632"/>
      <c r="DE27" s="3631" t="str">
        <f>IF(DE25="","",INDEX(DIFFERENTIATION_UNMERGE_AREA,MATCH(DE25,DIFFERENTIATION_ID_DIFF,0)))</f>
        <v>Территория 1</v>
      </c>
      <c r="DF27" s="3632"/>
      <c r="DG27" s="3631" t="str">
        <f>IF(DG25="","",INDEX(DIFFERENTIATION_UNMERGE_AREA,MATCH(DG25,DIFFERENTIATION_ID_DIFF,0)))</f>
        <v>Территория 1</v>
      </c>
      <c r="DH27" s="3632"/>
      <c r="DI27" s="3631" t="str">
        <f>IF(DI25="","",INDEX(DIFFERENTIATION_UNMERGE_AREA,MATCH(DI25,DIFFERENTIATION_ID_DIFF,0)))</f>
        <v>Территория 1</v>
      </c>
      <c r="DJ27" s="3632"/>
      <c r="DK27" s="3631" t="str">
        <f>IF(DK25="","",INDEX(DIFFERENTIATION_UNMERGE_AREA,MATCH(DK25,DIFFERENTIATION_ID_DIFF,0)))</f>
        <v>Территория 1</v>
      </c>
      <c r="DL27" s="3632"/>
      <c r="DM27" s="3631" t="str">
        <f>IF(DM25="","",INDEX(DIFFERENTIATION_UNMERGE_AREA,MATCH(DM25,DIFFERENTIATION_ID_DIFF,0)))</f>
        <v>Территория 1</v>
      </c>
      <c r="DN27" s="3632"/>
      <c r="DO27" s="3631" t="str">
        <f>IF(DO25="","",INDEX(DIFFERENTIATION_UNMERGE_AREA,MATCH(DO25,DIFFERENTIATION_ID_DIFF,0)))</f>
        <v>Территория 1</v>
      </c>
      <c r="DP27" s="3632"/>
      <c r="DQ27" s="3631" t="str">
        <f>IF(DQ25="","",INDEX(DIFFERENTIATION_UNMERGE_AREA,MATCH(DQ25,DIFFERENTIATION_ID_DIFF,0)))</f>
        <v>Территория 1</v>
      </c>
      <c r="DR27" s="3632"/>
      <c r="DS27" s="3631" t="str">
        <f>IF(DS25="","",INDEX(DIFFERENTIATION_UNMERGE_AREA,MATCH(DS25,DIFFERENTIATION_ID_DIFF,0)))</f>
        <v>Территория 1</v>
      </c>
      <c r="DT27" s="3632"/>
      <c r="DU27" s="3631" t="str">
        <f>IF(DU25="","",INDEX(DIFFERENTIATION_UNMERGE_AREA,MATCH(DU25,DIFFERENTIATION_ID_DIFF,0)))</f>
        <v>Территория 1</v>
      </c>
      <c r="DV27" s="3632"/>
      <c r="DW27" s="3631" t="str">
        <f>IF(DW25="","",INDEX(DIFFERENTIATION_UNMERGE_AREA,MATCH(DW25,DIFFERENTIATION_ID_DIFF,0)))</f>
        <v>Территория 1</v>
      </c>
      <c r="DX27" s="3632"/>
      <c r="DY27" s="3631" t="str">
        <f>IF(DY25="","",INDEX(DIFFERENTIATION_UNMERGE_AREA,MATCH(DY25,DIFFERENTIATION_ID_DIFF,0)))</f>
        <v>Территория 1</v>
      </c>
      <c r="DZ27" s="3632"/>
      <c r="EA27" s="3631" t="str">
        <f>IF(EA25="","",INDEX(DIFFERENTIATION_UNMERGE_AREA,MATCH(EA25,DIFFERENTIATION_ID_DIFF,0)))</f>
        <v>Территория 1</v>
      </c>
      <c r="EB27" s="3632"/>
      <c r="EC27" s="3631" t="str">
        <f>IF(EC25="","",INDEX(DIFFERENTIATION_UNMERGE_AREA,MATCH(EC25,DIFFERENTIATION_ID_DIFF,0)))</f>
        <v>Территория 1</v>
      </c>
      <c r="ED27" s="3632"/>
      <c r="EE27" s="3631" t="str">
        <f>IF(EE25="","",INDEX(DIFFERENTIATION_UNMERGE_AREA,MATCH(EE25,DIFFERENTIATION_ID_DIFF,0)))</f>
        <v>Территория 1</v>
      </c>
      <c r="EF27" s="3632"/>
      <c r="EG27" s="3631" t="str">
        <f>IF(EG25="","",INDEX(DIFFERENTIATION_UNMERGE_AREA,MATCH(EG25,DIFFERENTIATION_ID_DIFF,0)))</f>
        <v>Территория 1</v>
      </c>
      <c r="EH27" s="3632"/>
      <c r="EI27" s="3631" t="str">
        <f>IF(EI25="","",INDEX(DIFFERENTIATION_UNMERGE_AREA,MATCH(EI25,DIFFERENTIATION_ID_DIFF,0)))</f>
        <v>Территория 1</v>
      </c>
      <c r="EJ27" s="3632"/>
      <c r="EK27" s="3631" t="str">
        <f>IF(EK25="","",INDEX(DIFFERENTIATION_UNMERGE_AREA,MATCH(EK25,DIFFERENTIATION_ID_DIFF,0)))</f>
        <v>Территория 1</v>
      </c>
      <c r="EL27" s="3632"/>
      <c r="EM27" s="3631" t="str">
        <f>IF(EM25="","",INDEX(DIFFERENTIATION_UNMERGE_AREA,MATCH(EM25,DIFFERENTIATION_ID_DIFF,0)))</f>
        <v>Территория 1</v>
      </c>
      <c r="EN27" s="3632"/>
      <c r="EO27" s="3631" t="str">
        <f>IF(EO25="","",INDEX(DIFFERENTIATION_UNMERGE_AREA,MATCH(EO25,DIFFERENTIATION_ID_DIFF,0)))</f>
        <v>Территория 1</v>
      </c>
      <c r="EP27" s="3632"/>
      <c r="EQ27" s="3631" t="str">
        <f>IF(EQ25="","",INDEX(DIFFERENTIATION_UNMERGE_AREA,MATCH(EQ25,DIFFERENTIATION_ID_DIFF,0)))</f>
        <v>Территория 1</v>
      </c>
      <c r="ER27" s="3632"/>
      <c r="ES27" s="3631" t="str">
        <f>IF(ES25="","",INDEX(DIFFERENTIATION_UNMERGE_AREA,MATCH(ES25,DIFFERENTIATION_ID_DIFF,0)))</f>
        <v>Территория 1</v>
      </c>
      <c r="ET27" s="3632"/>
      <c r="EU27" s="3631" t="str">
        <f>IF(EU25="","",INDEX(DIFFERENTIATION_UNMERGE_AREA,MATCH(EU25,DIFFERENTIATION_ID_DIFF,0)))</f>
        <v>Территория 1</v>
      </c>
      <c r="EV27" s="3632"/>
      <c r="EW27" s="3631" t="str">
        <f>IF(EW25="","",INDEX(DIFFERENTIATION_UNMERGE_AREA,MATCH(EW25,DIFFERENTIATION_ID_DIFF,0)))</f>
        <v>Территория 1</v>
      </c>
      <c r="EX27" s="3632"/>
      <c r="EY27" s="3631" t="str">
        <f>IF(EY25="","",INDEX(DIFFERENTIATION_UNMERGE_AREA,MATCH(EY25,DIFFERENTIATION_ID_DIFF,0)))</f>
        <v>Территория 1</v>
      </c>
      <c r="EZ27" s="3632"/>
      <c r="FA27" s="3631" t="str">
        <f>IF(FA25="","",INDEX(DIFFERENTIATION_UNMERGE_AREA,MATCH(FA25,DIFFERENTIATION_ID_DIFF,0)))</f>
        <v>Территория 1</v>
      </c>
      <c r="FB27" s="3632"/>
      <c r="FC27" s="3631" t="str">
        <f>IF(FC25="","",INDEX(DIFFERENTIATION_UNMERGE_AREA,MATCH(FC25,DIFFERENTIATION_ID_DIFF,0)))</f>
        <v>Территория 1</v>
      </c>
      <c r="FD27" s="3632"/>
      <c r="FE27" s="3631" t="str">
        <f>IF(FE25="","",INDEX(DIFFERENTIATION_UNMERGE_AREA,MATCH(FE25,DIFFERENTIATION_ID_DIFF,0)))</f>
        <v>Территория 1</v>
      </c>
      <c r="FF27" s="3632"/>
      <c r="FG27" s="3631" t="str">
        <f>IF(FG25="","",INDEX(DIFFERENTIATION_UNMERGE_AREA,MATCH(FG25,DIFFERENTIATION_ID_DIFF,0)))</f>
        <v>Территория 1</v>
      </c>
      <c r="FH27" s="3632"/>
      <c r="FI27" s="3631" t="str">
        <f>IF(FI25="","",INDEX(DIFFERENTIATION_UNMERGE_AREA,MATCH(FI25,DIFFERENTIATION_ID_DIFF,0)))</f>
        <v>Территория 1</v>
      </c>
      <c r="FJ27" s="3632"/>
      <c r="FK27" s="3631" t="str">
        <f>IF(FK25="","",INDEX(DIFFERENTIATION_UNMERGE_AREA,MATCH(FK25,DIFFERENTIATION_ID_DIFF,0)))</f>
        <v>Территория 1</v>
      </c>
      <c r="FL27" s="3632"/>
      <c r="FM27" s="3631" t="str">
        <f>IF(FM25="","",INDEX(DIFFERENTIATION_UNMERGE_AREA,MATCH(FM25,DIFFERENTIATION_ID_DIFF,0)))</f>
        <v>Территория 1</v>
      </c>
      <c r="FN27" s="3632"/>
      <c r="FO27" s="3631" t="str">
        <f>IF(FO25="","",INDEX(DIFFERENTIATION_UNMERGE_AREA,MATCH(FO25,DIFFERENTIATION_ID_DIFF,0)))</f>
        <v>Территория 1</v>
      </c>
      <c r="FP27" s="3632"/>
      <c r="FQ27" s="3631" t="str">
        <f>IF(FQ25="","",INDEX(DIFFERENTIATION_UNMERGE_AREA,MATCH(FQ25,DIFFERENTIATION_ID_DIFF,0)))</f>
        <v>Территория 1</v>
      </c>
      <c r="FR27" s="3632"/>
      <c r="FS27" s="3631" t="str">
        <f>IF(FS25="","",INDEX(DIFFERENTIATION_UNMERGE_AREA,MATCH(FS25,DIFFERENTIATION_ID_DIFF,0)))</f>
        <v>Территория 1</v>
      </c>
      <c r="FT27" s="3632"/>
      <c r="FU27" s="3631" t="str">
        <f>IF(FU25="","",INDEX(DIFFERENTIATION_UNMERGE_AREA,MATCH(FU25,DIFFERENTIATION_ID_DIFF,0)))</f>
        <v>Территория 1</v>
      </c>
      <c r="FV27" s="3632"/>
      <c r="FW27" s="3631" t="str">
        <f>IF(FW25="","",INDEX(DIFFERENTIATION_UNMERGE_AREA,MATCH(FW25,DIFFERENTIATION_ID_DIFF,0)))</f>
        <v>Территория 1</v>
      </c>
      <c r="FX27" s="3632"/>
      <c r="FY27" s="3631" t="str">
        <f>IF(FY25="","",INDEX(DIFFERENTIATION_UNMERGE_AREA,MATCH(FY25,DIFFERENTIATION_ID_DIFF,0)))</f>
        <v>Территория 1</v>
      </c>
      <c r="FZ27" s="3632"/>
      <c r="GA27" s="3631" t="str">
        <f>IF(GA25="","",INDEX(DIFFERENTIATION_UNMERGE_AREA,MATCH(GA25,DIFFERENTIATION_ID_DIFF,0)))</f>
        <v>Территория 1</v>
      </c>
      <c r="GB27" s="3632"/>
      <c r="GC27" s="3631" t="str">
        <f>IF(GC25="","",INDEX(DIFFERENTIATION_UNMERGE_AREA,MATCH(GC25,DIFFERENTIATION_ID_DIFF,0)))</f>
        <v>Территория 1</v>
      </c>
      <c r="GD27" s="3632"/>
      <c r="GE27" s="3631" t="str">
        <f>IF(GE25="","",INDEX(DIFFERENTIATION_UNMERGE_AREA,MATCH(GE25,DIFFERENTIATION_ID_DIFF,0)))</f>
        <v>Территория 1</v>
      </c>
      <c r="GF27" s="3632"/>
      <c r="GG27" s="3631" t="str">
        <f>IF(GG25="","",INDEX(DIFFERENTIATION_UNMERGE_AREA,MATCH(GG25,DIFFERENTIATION_ID_DIFF,0)))</f>
        <v>Территория 1</v>
      </c>
      <c r="GH27" s="3632"/>
      <c r="GI27" s="3631" t="str">
        <f>IF(GI25="","",INDEX(DIFFERENTIATION_UNMERGE_AREA,MATCH(GI25,DIFFERENTIATION_ID_DIFF,0)))</f>
        <v>Территория 1</v>
      </c>
      <c r="GJ27" s="3632"/>
      <c r="GK27" s="3631" t="str">
        <f>IF(GK25="","",INDEX(DIFFERENTIATION_UNMERGE_AREA,MATCH(GK25,DIFFERENTIATION_ID_DIFF,0)))</f>
        <v>Территория 1</v>
      </c>
      <c r="GL27" s="3632"/>
      <c r="GM27" s="3462"/>
      <c r="GW27" s="567"/>
    </row>
    <row r="28" spans="1:205" s="1910" customFormat="1" ht="15" customHeight="1">
      <c r="A28" s="645"/>
      <c r="C28" s="93"/>
      <c r="D28" s="601"/>
      <c r="E28" s="3607" t="s">
        <v>830</v>
      </c>
      <c r="F28" s="3608"/>
      <c r="G28" s="3631" t="str">
        <f>IF(G25="","",INDEX(DIFFERENTIATION_UNMERGE_SYSTEM,MATCH(G25,DIFFERENTIATION_ID_DIFF,0)))</f>
        <v/>
      </c>
      <c r="H28" s="3632"/>
      <c r="I28" s="3631" t="str">
        <f>IF(I25="","",INDEX(DIFFERENTIATION_UNMERGE_SYSTEM,MATCH(I25,DIFFERENTIATION_ID_DIFF,0)))</f>
        <v>Авиационная, 1</v>
      </c>
      <c r="J28" s="3632"/>
      <c r="K28" s="3631" t="str">
        <f>IF(K25="","",INDEX(DIFFERENTIATION_UNMERGE_SYSTEM,MATCH(K25,DIFFERENTIATION_ID_DIFF,0)))</f>
        <v>Автовокзальная, 77</v>
      </c>
      <c r="L28" s="3632"/>
      <c r="M28" s="3631" t="str">
        <f>IF(M25="","",INDEX(DIFFERENTIATION_UNMERGE_SYSTEM,MATCH(M25,DIFFERENTIATION_ID_DIFF,0)))</f>
        <v>Бетонный, 4а</v>
      </c>
      <c r="N28" s="3632"/>
      <c r="O28" s="3631" t="str">
        <f>IF(O25="","",INDEX(DIFFERENTIATION_UNMERGE_SYSTEM,MATCH(O25,DIFFERENTIATION_ID_DIFF,0)))</f>
        <v>Ботанический, 2а</v>
      </c>
      <c r="P28" s="3632"/>
      <c r="Q28" s="3631" t="str">
        <f>IF(Q25="","",INDEX(DIFFERENTIATION_UNMERGE_SYSTEM,MATCH(Q25,DIFFERENTIATION_ID_DIFF,0)))</f>
        <v>Васильевская, 84б</v>
      </c>
      <c r="R28" s="3632"/>
      <c r="S28" s="3631" t="str">
        <f>IF(S25="","",INDEX(DIFFERENTIATION_UNMERGE_SYSTEM,MATCH(S25,DIFFERENTIATION_ID_DIFF,0)))</f>
        <v>Васильевская, 138а</v>
      </c>
      <c r="T28" s="3632"/>
      <c r="U28" s="3631" t="str">
        <f>IF(U25="","",INDEX(DIFFERENTIATION_UNMERGE_SYSTEM,MATCH(U25,DIFFERENTIATION_ID_DIFF,0)))</f>
        <v>Гагарина, 48а</v>
      </c>
      <c r="V28" s="3632"/>
      <c r="W28" s="3631" t="str">
        <f>IF(W25="","",INDEX(DIFFERENTIATION_UNMERGE_SYSTEM,MATCH(W25,DIFFERENTIATION_ID_DIFF,0)))</f>
        <v>Городская, 98к</v>
      </c>
      <c r="X28" s="3632"/>
      <c r="Y28" s="3631" t="str">
        <f>IF(Y25="","",INDEX(DIFFERENTIATION_UNMERGE_SYSTEM,MATCH(Y25,DIFFERENTIATION_ID_DIFF,0)))</f>
        <v>Калинина, 6б</v>
      </c>
      <c r="Z28" s="3632"/>
      <c r="AA28" s="3631" t="str">
        <f>IF(AA25="","",INDEX(DIFFERENTIATION_UNMERGE_SYSTEM,MATCH(AA25,DIFFERENTIATION_ID_DIFF,0)))</f>
        <v>Карачевская, 29а</v>
      </c>
      <c r="AB28" s="3632"/>
      <c r="AC28" s="3631" t="str">
        <f>IF(AC25="","",INDEX(DIFFERENTIATION_UNMERGE_SYSTEM,MATCH(AC25,DIFFERENTIATION_ID_DIFF,0)))</f>
        <v>Карачевская, 41б</v>
      </c>
      <c r="AD28" s="3632"/>
      <c r="AE28" s="3631" t="str">
        <f>IF(AE25="","",INDEX(DIFFERENTIATION_UNMERGE_SYSTEM,MATCH(AE25,DIFFERENTIATION_ID_DIFF,0)))</f>
        <v>Карачвский, 23а</v>
      </c>
      <c r="AF28" s="3632"/>
      <c r="AG28" s="3631" t="str">
        <f>IF(AG25="","",INDEX(DIFFERENTIATION_UNMERGE_SYSTEM,MATCH(AG25,DIFFERENTIATION_ID_DIFF,0)))</f>
        <v>Карачевское, 5а</v>
      </c>
      <c r="AH28" s="3632"/>
      <c r="AI28" s="3631" t="str">
        <f>IF(AI25="","",INDEX(DIFFERENTIATION_UNMERGE_SYSTEM,MATCH(AI25,DIFFERENTIATION_ID_DIFF,0)))</f>
        <v>Карачевское, 60а</v>
      </c>
      <c r="AJ28" s="3632"/>
      <c r="AK28" s="3631" t="str">
        <f>IF(AK25="","",INDEX(DIFFERENTIATION_UNMERGE_SYSTEM,MATCH(AK25,DIFFERENTIATION_ID_DIFF,0)))</f>
        <v>Комсомольская, 15а</v>
      </c>
      <c r="AL28" s="3632"/>
      <c r="AM28" s="3631" t="str">
        <f>IF(AM25="","",INDEX(DIFFERENTIATION_UNMERGE_SYSTEM,MATCH(AM25,DIFFERENTIATION_ID_DIFF,0)))</f>
        <v>Комсомольская, 119а</v>
      </c>
      <c r="AN28" s="3632"/>
      <c r="AO28" s="3631" t="str">
        <f>IF(AO25="","",INDEX(DIFFERENTIATION_UNMERGE_SYSTEM,MATCH(AO25,DIFFERENTIATION_ID_DIFF,0)))</f>
        <v>Комсомольская, 127а</v>
      </c>
      <c r="AP28" s="3632"/>
      <c r="AQ28" s="3631" t="str">
        <f>IF(AQ25="","",INDEX(DIFFERENTIATION_UNMERGE_SYSTEM,MATCH(AQ25,DIFFERENTIATION_ID_DIFF,0)))</f>
        <v>Комсомольская, 185а</v>
      </c>
      <c r="AR28" s="3632"/>
      <c r="AS28" s="3631" t="str">
        <f>IF(AS25="","",INDEX(DIFFERENTIATION_UNMERGE_SYSTEM,MATCH(AS25,DIFFERENTIATION_ID_DIFF,0)))</f>
        <v>Комсомольская, 206а</v>
      </c>
      <c r="AT28" s="3632"/>
      <c r="AU28" s="3631" t="str">
        <f>IF(AU25="","",INDEX(DIFFERENTIATION_UNMERGE_SYSTEM,MATCH(AU25,DIFFERENTIATION_ID_DIFF,0)))</f>
        <v>Комсомольская, 252а</v>
      </c>
      <c r="AV28" s="3632"/>
      <c r="AW28" s="3631" t="str">
        <f>IF(AW25="","",INDEX(DIFFERENTIATION_UNMERGE_SYSTEM,MATCH(AW25,DIFFERENTIATION_ID_DIFF,0)))</f>
        <v>Комсомольская, 261а</v>
      </c>
      <c r="AX28" s="3632"/>
      <c r="AY28" s="3631" t="str">
        <f>IF(AY25="","",INDEX(DIFFERENTIATION_UNMERGE_SYSTEM,MATCH(AY25,DIFFERENTIATION_ID_DIFF,0)))</f>
        <v>Красина, 6а</v>
      </c>
      <c r="AZ28" s="3632"/>
      <c r="BA28" s="3631" t="str">
        <f>IF(BA25="","",INDEX(DIFFERENTIATION_UNMERGE_SYSTEM,MATCH(BA25,DIFFERENTIATION_ID_DIFF,0)))</f>
        <v>Красина, 7а</v>
      </c>
      <c r="BB28" s="3632"/>
      <c r="BC28" s="3631" t="str">
        <f>IF(BC25="","",INDEX(DIFFERENTIATION_UNMERGE_SYSTEM,MATCH(BC25,DIFFERENTIATION_ID_DIFF,0)))</f>
        <v>Красина, 52</v>
      </c>
      <c r="BD28" s="3632"/>
      <c r="BE28" s="3631" t="str">
        <f>IF(BE25="","",INDEX(DIFFERENTIATION_UNMERGE_SYSTEM,MATCH(BE25,DIFFERENTIATION_ID_DIFF,0)))</f>
        <v>Кромская, 7а(908кв)</v>
      </c>
      <c r="BF28" s="3632"/>
      <c r="BG28" s="3631" t="str">
        <f>IF(BG25="","",INDEX(DIFFERENTIATION_UNMERGE_SYSTEM,MATCH(BG25,DIFFERENTIATION_ID_DIFF,0)))</f>
        <v>Кромская, 7а(909кв)</v>
      </c>
      <c r="BH28" s="3632"/>
      <c r="BI28" s="3631" t="str">
        <f>IF(BI25="","",INDEX(DIFFERENTIATION_UNMERGE_SYSTEM,MATCH(BI25,DIFFERENTIATION_ID_DIFF,0)))</f>
        <v>Кромское шоссе, 13а</v>
      </c>
      <c r="BJ28" s="3632"/>
      <c r="BK28" s="3631" t="str">
        <f>IF(BK25="","",INDEX(DIFFERENTIATION_UNMERGE_SYSTEM,MATCH(BK25,DIFFERENTIATION_ID_DIFF,0)))</f>
        <v>Латышских стрелков, 37а</v>
      </c>
      <c r="BL28" s="3632"/>
      <c r="BM28" s="3631" t="str">
        <f>IF(BM25="","",INDEX(DIFFERENTIATION_UNMERGE_SYSTEM,MATCH(BM25,DIFFERENTIATION_ID_DIFF,0)))</f>
        <v>Латышских стрелков,98</v>
      </c>
      <c r="BN28" s="3632"/>
      <c r="BO28" s="3631" t="str">
        <f>IF(BO25="","",INDEX(DIFFERENTIATION_UNMERGE_SYSTEM,MATCH(BO25,DIFFERENTIATION_ID_DIFF,0)))</f>
        <v>Латышских стрелков, 109</v>
      </c>
      <c r="BP28" s="3632"/>
      <c r="BQ28" s="3631" t="str">
        <f>IF(BQ25="","",INDEX(DIFFERENTIATION_UNMERGE_SYSTEM,MATCH(BQ25,DIFFERENTIATION_ID_DIFF,0)))</f>
        <v>Левый берег р. Оки,23</v>
      </c>
      <c r="BR28" s="3632"/>
      <c r="BS28" s="3631" t="str">
        <f>IF(BS25="","",INDEX(DIFFERENTIATION_UNMERGE_SYSTEM,MATCH(BS25,DIFFERENTIATION_ID_DIFF,0)))</f>
        <v>ГК "Лесной" с/с Сабуровский</v>
      </c>
      <c r="BT28" s="3632"/>
      <c r="BU28" s="3631" t="str">
        <f>IF(BU25="","",INDEX(DIFFERENTIATION_UNMERGE_SYSTEM,MATCH(BU25,DIFFERENTIATION_ID_DIFF,0)))</f>
        <v>Машиностроительная, 5а</v>
      </c>
      <c r="BV28" s="3632"/>
      <c r="BW28" s="3631" t="str">
        <f>IF(BW25="","",INDEX(DIFFERENTIATION_UNMERGE_SYSTEM,MATCH(BW25,DIFFERENTIATION_ID_DIFF,0)))</f>
        <v>Маяковского, 10а</v>
      </c>
      <c r="BX28" s="3632"/>
      <c r="BY28" s="3631" t="str">
        <f>IF(BY25="","",INDEX(DIFFERENTIATION_UNMERGE_SYSTEM,MATCH(BY25,DIFFERENTIATION_ID_DIFF,0)))</f>
        <v>Маяковского, 55а</v>
      </c>
      <c r="BZ28" s="3632"/>
      <c r="CA28" s="3631" t="str">
        <f>IF(CA25="","",INDEX(DIFFERENTIATION_UNMERGE_SYSTEM,MATCH(CA25,DIFFERENTIATION_ID_DIFF,0)))</f>
        <v>Маяковского, 62а</v>
      </c>
      <c r="CB28" s="3632"/>
      <c r="CC28" s="3631" t="str">
        <f>IF(CC25="","",INDEX(DIFFERENTIATION_UNMERGE_SYSTEM,MATCH(CC25,DIFFERENTIATION_ID_DIFF,0)))</f>
        <v>Мопра, 28а</v>
      </c>
      <c r="CD28" s="3632"/>
      <c r="CE28" s="3631" t="str">
        <f>IF(CE25="","",INDEX(DIFFERENTIATION_UNMERGE_SYSTEM,MATCH(CE25,DIFFERENTIATION_ID_DIFF,0)))</f>
        <v>Мопра, 48а</v>
      </c>
      <c r="CF28" s="3632"/>
      <c r="CG28" s="3631" t="str">
        <f>IF(CG25="","",INDEX(DIFFERENTIATION_UNMERGE_SYSTEM,MATCH(CG25,DIFFERENTIATION_ID_DIFF,0)))</f>
        <v>6-й Орловской дивизии,14</v>
      </c>
      <c r="CH28" s="3632"/>
      <c r="CI28" s="3631" t="str">
        <f>IF(CI25="","",INDEX(DIFFERENTIATION_UNMERGE_SYSTEM,MATCH(CI25,DIFFERENTIATION_ID_DIFF,0)))</f>
        <v>Пищевой, 9а</v>
      </c>
      <c r="CJ28" s="3632"/>
      <c r="CK28" s="3631" t="str">
        <f>IF(CK25="","",INDEX(DIFFERENTIATION_UNMERGE_SYSTEM,MATCH(CK25,DIFFERENTIATION_ID_DIFF,0)))</f>
        <v>2-а Посадская, 19а</v>
      </c>
      <c r="CL28" s="3632"/>
      <c r="CM28" s="3631" t="str">
        <f>IF(CM25="","",INDEX(DIFFERENTIATION_UNMERGE_SYSTEM,MATCH(CM25,DIFFERENTIATION_ID_DIFF,0)))</f>
        <v>1-я Пушкарная, 20а</v>
      </c>
      <c r="CN28" s="3632"/>
      <c r="CO28" s="3631" t="str">
        <f>IF(CO25="","",INDEX(DIFFERENTIATION_UNMERGE_SYSTEM,MATCH(CO25,DIFFERENTIATION_ID_DIFF,0)))</f>
        <v>1-я Пушкарная, 21а</v>
      </c>
      <c r="CP28" s="3632"/>
      <c r="CQ28" s="3631" t="str">
        <f>IF(CQ25="","",INDEX(DIFFERENTIATION_UNMERGE_SYSTEM,MATCH(CQ25,DIFFERENTIATION_ID_DIFF,0)))</f>
        <v>Связистов, 1а</v>
      </c>
      <c r="CR28" s="3632"/>
      <c r="CS28" s="3631" t="str">
        <f>IF(CS25="","",INDEX(DIFFERENTIATION_UNMERGE_SYSTEM,MATCH(CS25,DIFFERENTIATION_ID_DIFF,0)))</f>
        <v>Спивака, 85</v>
      </c>
      <c r="CT28" s="3632"/>
      <c r="CU28" s="3631" t="str">
        <f>IF(CU25="","",INDEX(DIFFERENTIATION_UNMERGE_SYSTEM,MATCH(CU25,DIFFERENTIATION_ID_DIFF,0)))</f>
        <v>Федотовой, 12</v>
      </c>
      <c r="CV28" s="3632"/>
      <c r="CW28" s="3631" t="str">
        <f>IF(CW25="","",INDEX(DIFFERENTIATION_UNMERGE_SYSTEM,MATCH(CW25,DIFFERENTIATION_ID_DIFF,0)))</f>
        <v>Циолковского,1б</v>
      </c>
      <c r="CX28" s="3632"/>
      <c r="CY28" s="3631" t="str">
        <f>IF(CY25="","",INDEX(DIFFERENTIATION_UNMERGE_SYSTEM,MATCH(CY25,DIFFERENTIATION_ID_DIFF,0)))</f>
        <v>Циолковского,51а</v>
      </c>
      <c r="CZ28" s="3632"/>
      <c r="DA28" s="3631" t="str">
        <f>IF(DA25="","",INDEX(DIFFERENTIATION_UNMERGE_SYSTEM,MATCH(DA25,DIFFERENTIATION_ID_DIFF,0)))</f>
        <v>Черепичная, 24б</v>
      </c>
      <c r="DB28" s="3632"/>
      <c r="DC28" s="3631" t="str">
        <f>IF(DC25="","",INDEX(DIFFERENTIATION_UNMERGE_SYSTEM,MATCH(DC25,DIFFERENTIATION_ID_DIFF,0)))</f>
        <v>Шпагатный,92</v>
      </c>
      <c r="DD28" s="3632"/>
      <c r="DE28" s="3631" t="str">
        <f>IF(DE25="","",INDEX(DIFFERENTIATION_UNMERGE_SYSTEM,MATCH(DE25,DIFFERENTIATION_ID_DIFF,0)))</f>
        <v>Шпагатный, 92г</v>
      </c>
      <c r="DF28" s="3632"/>
      <c r="DG28" s="3631" t="str">
        <f>IF(DG25="","",INDEX(DIFFERENTIATION_UNMERGE_SYSTEM,MATCH(DG25,DIFFERENTIATION_ID_DIFF,0)))</f>
        <v>Щепная, 12б</v>
      </c>
      <c r="DH28" s="3632"/>
      <c r="DI28" s="3631" t="str">
        <f>IF(DI25="","",INDEX(DIFFERENTIATION_UNMERGE_SYSTEM,MATCH(DI25,DIFFERENTIATION_ID_DIFF,0)))</f>
        <v>Энгельса,88а</v>
      </c>
      <c r="DJ28" s="3632"/>
      <c r="DK28" s="3631" t="str">
        <f>IF(DK25="","",INDEX(DIFFERENTIATION_UNMERGE_SYSTEM,MATCH(DK25,DIFFERENTIATION_ID_DIFF,0)))</f>
        <v>Яблочная, 59а</v>
      </c>
      <c r="DL28" s="3632"/>
      <c r="DM28" s="3631" t="str">
        <f>IF(DM25="","",INDEX(DIFFERENTIATION_UNMERGE_SYSTEM,MATCH(DM25,DIFFERENTIATION_ID_DIFF,0)))</f>
        <v>Комсомольская, 241б</v>
      </c>
      <c r="DN28" s="3632"/>
      <c r="DO28" s="3631" t="str">
        <f>IF(DO25="","",INDEX(DIFFERENTIATION_UNMERGE_SYSTEM,MATCH(DO25,DIFFERENTIATION_ID_DIFF,0)))</f>
        <v>Генерала Жадова, 4а</v>
      </c>
      <c r="DP28" s="3632"/>
      <c r="DQ28" s="3631" t="str">
        <f>IF(DQ25="","",INDEX(DIFFERENTIATION_UNMERGE_SYSTEM,MATCH(DQ25,DIFFERENTIATION_ID_DIFF,0)))</f>
        <v>Генерала Родина, 69а</v>
      </c>
      <c r="DR28" s="3632"/>
      <c r="DS28" s="3631" t="str">
        <f>IF(DS25="","",INDEX(DIFFERENTIATION_UNMERGE_SYSTEM,MATCH(DS25,DIFFERENTIATION_ID_DIFF,0)))</f>
        <v>Ипподромный,2а</v>
      </c>
      <c r="DT28" s="3632"/>
      <c r="DU28" s="3631" t="str">
        <f>IF(DU25="","",INDEX(DIFFERENTIATION_UNMERGE_SYSTEM,MATCH(DU25,DIFFERENTIATION_ID_DIFF,0)))</f>
        <v>Лескова, 31а</v>
      </c>
      <c r="DV28" s="3632"/>
      <c r="DW28" s="3631" t="str">
        <f>IF(DW25="","",INDEX(DIFFERENTIATION_UNMERGE_SYSTEM,MATCH(DW25,DIFFERENTIATION_ID_DIFF,0)))</f>
        <v>Матвеева, 9а</v>
      </c>
      <c r="DX28" s="3632"/>
      <c r="DY28" s="3631" t="str">
        <f>IF(DY25="","",INDEX(DIFFERENTIATION_UNMERGE_SYSTEM,MATCH(DY25,DIFFERENTIATION_ID_DIFF,0)))</f>
        <v>Матросова, 46б</v>
      </c>
      <c r="DZ28" s="3632"/>
      <c r="EA28" s="3631" t="str">
        <f>IF(EA25="","",INDEX(DIFFERENTIATION_UNMERGE_SYSTEM,MATCH(EA25,DIFFERENTIATION_ID_DIFF,0)))</f>
        <v>Наугорское, 13б</v>
      </c>
      <c r="EB28" s="3632"/>
      <c r="EC28" s="3631" t="str">
        <f>IF(EC25="","",INDEX(DIFFERENTIATION_UNMERGE_SYSTEM,MATCH(EC25,DIFFERENTIATION_ID_DIFF,0)))</f>
        <v>Наугорское, 27</v>
      </c>
      <c r="ED28" s="3632"/>
      <c r="EE28" s="3631" t="str">
        <f>IF(EE25="","",INDEX(DIFFERENTIATION_UNMERGE_SYSTEM,MATCH(EE25,DIFFERENTIATION_ID_DIFF,0)))</f>
        <v>Наугорское, 29б</v>
      </c>
      <c r="EF28" s="3632"/>
      <c r="EG28" s="3631" t="str">
        <f>IF(EG25="","",INDEX(DIFFERENTIATION_UNMERGE_SYSTEM,MATCH(EG25,DIFFERENTIATION_ID_DIFF,0)))</f>
        <v>Октябрьская, 4а</v>
      </c>
      <c r="EH28" s="3632"/>
      <c r="EI28" s="3631" t="str">
        <f>IF(EI25="","",INDEX(DIFFERENTIATION_UNMERGE_SYSTEM,MATCH(EI25,DIFFERENTIATION_ID_DIFF,0)))</f>
        <v>Октябрьская, 54а</v>
      </c>
      <c r="EJ28" s="3632"/>
      <c r="EK28" s="3631" t="str">
        <f>IF(EK25="","",INDEX(DIFFERENTIATION_UNMERGE_SYSTEM,MATCH(EK25,DIFFERENTIATION_ID_DIFF,0)))</f>
        <v>Трудовые резервы, 32а</v>
      </c>
      <c r="EL28" s="3632"/>
      <c r="EM28" s="3631" t="str">
        <f>IF(EM25="","",INDEX(DIFFERENTIATION_UNMERGE_SYSTEM,MATCH(EM25,DIFFERENTIATION_ID_DIFF,0)))</f>
        <v>Цветаева, 15б</v>
      </c>
      <c r="EN28" s="3632"/>
      <c r="EO28" s="3631" t="str">
        <f>IF(EO25="","",INDEX(DIFFERENTIATION_UNMERGE_SYSTEM,MATCH(EO25,DIFFERENTIATION_ID_DIFF,0)))</f>
        <v>Бресткая,6</v>
      </c>
      <c r="EP28" s="3632"/>
      <c r="EQ28" s="3631" t="str">
        <f>IF(EQ25="","",INDEX(DIFFERENTIATION_UNMERGE_SYSTEM,MATCH(EQ25,DIFFERENTIATION_ID_DIFF,0)))</f>
        <v>Веселая,2</v>
      </c>
      <c r="ER28" s="3632"/>
      <c r="ES28" s="3631" t="str">
        <f>IF(ES25="","",INDEX(DIFFERENTIATION_UNMERGE_SYSTEM,MATCH(ES25,DIFFERENTIATION_ID_DIFF,0)))</f>
        <v>Огородный,7а</v>
      </c>
      <c r="ET28" s="3632"/>
      <c r="EU28" s="3631" t="str">
        <f>IF(EU25="","",INDEX(DIFFERENTIATION_UNMERGE_SYSTEM,MATCH(EU25,DIFFERENTIATION_ID_DIFF,0)))</f>
        <v>Пролетарская гора, 1</v>
      </c>
      <c r="EV28" s="3632"/>
      <c r="EW28" s="3631" t="str">
        <f>IF(EW25="","",INDEX(DIFFERENTIATION_UNMERGE_SYSTEM,MATCH(EW25,DIFFERENTIATION_ID_DIFF,0)))</f>
        <v>Тургенева, 50а</v>
      </c>
      <c r="EX28" s="3632"/>
      <c r="EY28" s="3631" t="str">
        <f>IF(EY25="","",INDEX(DIFFERENTIATION_UNMERGE_SYSTEM,MATCH(EY25,DIFFERENTIATION_ID_DIFF,0)))</f>
        <v>Абрамова-Соколова, 76б</v>
      </c>
      <c r="EZ28" s="3632"/>
      <c r="FA28" s="3631" t="str">
        <f>IF(FA25="","",INDEX(DIFFERENTIATION_UNMERGE_SYSTEM,MATCH(FA25,DIFFERENTIATION_ID_DIFF,0)))</f>
        <v>5 августа,66а</v>
      </c>
      <c r="FB28" s="3632"/>
      <c r="FC28" s="3631" t="str">
        <f>IF(FC25="","",INDEX(DIFFERENTIATION_UNMERGE_SYSTEM,MATCH(FC25,DIFFERENTIATION_ID_DIFF,0)))</f>
        <v>Грузовая, 119г</v>
      </c>
      <c r="FD28" s="3632"/>
      <c r="FE28" s="3631" t="str">
        <f>IF(FE25="","",INDEX(DIFFERENTIATION_UNMERGE_SYSTEM,MATCH(FE25,DIFFERENTIATION_ID_DIFF,0)))</f>
        <v>Деповская, 6а</v>
      </c>
      <c r="FF28" s="3632"/>
      <c r="FG28" s="3631" t="str">
        <f>IF(FG25="","",INDEX(DIFFERENTIATION_UNMERGE_SYSTEM,MATCH(FG25,DIFFERENTIATION_ID_DIFF,0)))</f>
        <v>3-я Курская, 3а</v>
      </c>
      <c r="FH28" s="3632"/>
      <c r="FI28" s="3631" t="str">
        <f>IF(FI25="","",INDEX(DIFFERENTIATION_UNMERGE_SYSTEM,MATCH(FI25,DIFFERENTIATION_ID_DIFF,0)))</f>
        <v>Ливенская, 48г</v>
      </c>
      <c r="FJ28" s="3632"/>
      <c r="FK28" s="3631" t="str">
        <f>IF(FK25="","",INDEX(DIFFERENTIATION_UNMERGE_SYSTEM,MATCH(FK25,DIFFERENTIATION_ID_DIFF,0)))</f>
        <v>Лесная, 9а</v>
      </c>
      <c r="FL28" s="3632"/>
      <c r="FM28" s="3631" t="str">
        <f>IF(FM25="","",INDEX(DIFFERENTIATION_UNMERGE_SYSTEM,MATCH(FM25,DIFFERENTIATION_ID_DIFF,0)))</f>
        <v>Московская, 27а</v>
      </c>
      <c r="FN28" s="3632"/>
      <c r="FO28" s="3631" t="str">
        <f>IF(FO25="","",INDEX(DIFFERENTIATION_UNMERGE_SYSTEM,MATCH(FO25,DIFFERENTIATION_ID_DIFF,0)))</f>
        <v>Новосильская, 7а пом.1</v>
      </c>
      <c r="FP28" s="3632"/>
      <c r="FQ28" s="3631" t="str">
        <f>IF(FQ25="","",INDEX(DIFFERENTIATION_UNMERGE_SYSTEM,MATCH(FQ25,DIFFERENTIATION_ID_DIFF,0)))</f>
        <v>Новосильская, 7а пом.2</v>
      </c>
      <c r="FR28" s="3632"/>
      <c r="FS28" s="3631" t="str">
        <f>IF(FS25="","",INDEX(DIFFERENTIATION_UNMERGE_SYSTEM,MATCH(FS25,DIFFERENTIATION_ID_DIFF,0)))</f>
        <v>Паровозная,64б</v>
      </c>
      <c r="FT28" s="3632"/>
      <c r="FU28" s="3631" t="str">
        <f>IF(FU25="","",INDEX(DIFFERENTIATION_UNMERGE_SYSTEM,MATCH(FU25,DIFFERENTIATION_ID_DIFF,0)))</f>
        <v>Пушкина, 68а</v>
      </c>
      <c r="FV28" s="3632"/>
      <c r="FW28" s="3631" t="str">
        <f>IF(FW25="","",INDEX(DIFFERENTIATION_UNMERGE_SYSTEM,MATCH(FW25,DIFFERENTIATION_ID_DIFF,0)))</f>
        <v>Ст. Разина, 11б</v>
      </c>
      <c r="FX28" s="3632"/>
      <c r="FY28" s="3631" t="str">
        <f>IF(FY25="","",INDEX(DIFFERENTIATION_UNMERGE_SYSTEM,MATCH(FY25,DIFFERENTIATION_ID_DIFF,0)))</f>
        <v>Рельсовая, 7а</v>
      </c>
      <c r="FZ28" s="3632"/>
      <c r="GA28" s="3631" t="str">
        <f>IF(GA25="","",INDEX(DIFFERENTIATION_UNMERGE_SYSTEM,MATCH(GA25,DIFFERENTIATION_ID_DIFF,0)))</f>
        <v>Студенческая, 2а</v>
      </c>
      <c r="GB28" s="3632"/>
      <c r="GC28" s="3631" t="str">
        <f>IF(GC25="","",INDEX(DIFFERENTIATION_UNMERGE_SYSTEM,MATCH(GC25,DIFFERENTIATION_ID_DIFF,0)))</f>
        <v>Тульская, 24а</v>
      </c>
      <c r="GD28" s="3632"/>
      <c r="GE28" s="3631" t="str">
        <f>IF(GE25="","",INDEX(DIFFERENTIATION_UNMERGE_SYSTEM,MATCH(GE25,DIFFERENTIATION_ID_DIFF,0)))</f>
        <v>Тульская, 63б</v>
      </c>
      <c r="GF28" s="3632"/>
      <c r="GG28" s="3631" t="str">
        <f>IF(GG25="","",INDEX(DIFFERENTIATION_UNMERGE_SYSTEM,MATCH(GG25,DIFFERENTIATION_ID_DIFF,0)))</f>
        <v>Южный, 26б</v>
      </c>
      <c r="GH28" s="3632"/>
      <c r="GI28" s="3631" t="str">
        <f>IF(GI25="","",INDEX(DIFFERENTIATION_UNMERGE_SYSTEM,MATCH(GI25,DIFFERENTIATION_ID_DIFF,0)))</f>
        <v>Металлургов,80б</v>
      </c>
      <c r="GJ28" s="3632"/>
      <c r="GK28" s="3631" t="str">
        <f>IF(GK25="","",INDEX(DIFFERENTIATION_UNMERGE_SYSTEM,MATCH(GK25,DIFFERENTIATION_ID_DIFF,0)))</f>
        <v>Силикатная,28а</v>
      </c>
      <c r="GL28" s="3632"/>
      <c r="GM28" s="3462"/>
      <c r="GW28" s="567"/>
    </row>
    <row r="29" spans="1:205" s="1910" customFormat="1" ht="15" customHeight="1">
      <c r="A29" s="645"/>
      <c r="C29" s="93"/>
      <c r="D29" s="3609" t="s">
        <v>560</v>
      </c>
      <c r="E29" s="3610"/>
      <c r="F29" s="3610"/>
      <c r="G29" s="763"/>
      <c r="H29" s="763"/>
      <c r="I29" s="763"/>
      <c r="J29" s="764"/>
      <c r="K29" s="1888"/>
      <c r="L29" s="1888"/>
      <c r="M29" s="1888"/>
      <c r="N29" s="1888"/>
      <c r="O29" s="1888"/>
      <c r="P29" s="1888"/>
      <c r="Q29" s="1888"/>
      <c r="R29" s="1888"/>
      <c r="S29" s="1888"/>
      <c r="T29" s="1888"/>
      <c r="U29" s="1888"/>
      <c r="V29" s="1888"/>
      <c r="W29" s="1888"/>
      <c r="X29" s="1888"/>
      <c r="Y29" s="1888"/>
      <c r="Z29" s="1888"/>
      <c r="AA29" s="1888"/>
      <c r="AB29" s="1888"/>
      <c r="AC29" s="1888"/>
      <c r="AD29" s="1888"/>
      <c r="AE29" s="1888"/>
      <c r="AF29" s="1888"/>
      <c r="AG29" s="1888"/>
      <c r="AH29" s="1888"/>
      <c r="AI29" s="1888"/>
      <c r="AJ29" s="1888"/>
      <c r="AK29" s="1888"/>
      <c r="AL29" s="1888"/>
      <c r="AM29" s="1888"/>
      <c r="AN29" s="1888"/>
      <c r="AO29" s="1888"/>
      <c r="AP29" s="1888"/>
      <c r="AQ29" s="1888"/>
      <c r="AR29" s="1888"/>
      <c r="AS29" s="1888"/>
      <c r="AT29" s="1888"/>
      <c r="AU29" s="1888"/>
      <c r="AV29" s="1888"/>
      <c r="AW29" s="1888"/>
      <c r="AX29" s="1888"/>
      <c r="AY29" s="1888"/>
      <c r="AZ29" s="1888"/>
      <c r="BA29" s="1888"/>
      <c r="BB29" s="1888"/>
      <c r="BC29" s="1888"/>
      <c r="BD29" s="1888"/>
      <c r="BE29" s="1888"/>
      <c r="BF29" s="1888"/>
      <c r="BG29" s="1888"/>
      <c r="BH29" s="1888"/>
      <c r="BI29" s="1888"/>
      <c r="BJ29" s="1888"/>
      <c r="BK29" s="1888"/>
      <c r="BL29" s="1888"/>
      <c r="BM29" s="1888"/>
      <c r="BN29" s="1888"/>
      <c r="BO29" s="1888"/>
      <c r="BP29" s="1888"/>
      <c r="BQ29" s="1888"/>
      <c r="BR29" s="1888"/>
      <c r="BS29" s="1888"/>
      <c r="BT29" s="1888"/>
      <c r="BU29" s="1888"/>
      <c r="BV29" s="1888"/>
      <c r="BW29" s="1888"/>
      <c r="BX29" s="1888"/>
      <c r="BY29" s="1888"/>
      <c r="BZ29" s="1888"/>
      <c r="CA29" s="1888"/>
      <c r="CB29" s="1888"/>
      <c r="CC29" s="1888"/>
      <c r="CD29" s="1888"/>
      <c r="CE29" s="1888"/>
      <c r="CF29" s="1888"/>
      <c r="CG29" s="1888"/>
      <c r="CH29" s="1888"/>
      <c r="CI29" s="1888"/>
      <c r="CJ29" s="1888"/>
      <c r="CK29" s="1888"/>
      <c r="CL29" s="1888"/>
      <c r="CM29" s="1888"/>
      <c r="CN29" s="1888"/>
      <c r="CO29" s="1888"/>
      <c r="CP29" s="1888"/>
      <c r="CQ29" s="1888"/>
      <c r="CR29" s="1888"/>
      <c r="CS29" s="1888"/>
      <c r="CT29" s="1888"/>
      <c r="CU29" s="1888"/>
      <c r="CV29" s="1888"/>
      <c r="CW29" s="1888"/>
      <c r="CX29" s="1888"/>
      <c r="CY29" s="1888"/>
      <c r="CZ29" s="1888"/>
      <c r="DA29" s="1888"/>
      <c r="DB29" s="1888"/>
      <c r="DC29" s="1888"/>
      <c r="DD29" s="1888"/>
      <c r="DE29" s="1888"/>
      <c r="DF29" s="1888"/>
      <c r="DG29" s="1888"/>
      <c r="DH29" s="1888"/>
      <c r="DI29" s="1888"/>
      <c r="DJ29" s="1888"/>
      <c r="DK29" s="1888"/>
      <c r="DL29" s="1888"/>
      <c r="DM29" s="1888"/>
      <c r="DN29" s="1888"/>
      <c r="DO29" s="1888"/>
      <c r="DP29" s="1888"/>
      <c r="DQ29" s="1888"/>
      <c r="DR29" s="1888"/>
      <c r="DS29" s="1888"/>
      <c r="DT29" s="1888"/>
      <c r="DU29" s="1888"/>
      <c r="DV29" s="1888"/>
      <c r="DW29" s="1888"/>
      <c r="DX29" s="1888"/>
      <c r="DY29" s="1888"/>
      <c r="DZ29" s="1888"/>
      <c r="EA29" s="1888"/>
      <c r="EB29" s="1888"/>
      <c r="EC29" s="1888"/>
      <c r="ED29" s="1888"/>
      <c r="EE29" s="1888"/>
      <c r="EF29" s="1888"/>
      <c r="EG29" s="1888"/>
      <c r="EH29" s="1888"/>
      <c r="EI29" s="1888"/>
      <c r="EJ29" s="1888"/>
      <c r="EK29" s="1888"/>
      <c r="EL29" s="1888"/>
      <c r="EM29" s="1888"/>
      <c r="EN29" s="1888"/>
      <c r="EO29" s="1888"/>
      <c r="EP29" s="1888"/>
      <c r="EQ29" s="1888"/>
      <c r="ER29" s="1888"/>
      <c r="ES29" s="1888"/>
      <c r="ET29" s="1888"/>
      <c r="EU29" s="1888"/>
      <c r="EV29" s="1888"/>
      <c r="EW29" s="1888"/>
      <c r="EX29" s="1888"/>
      <c r="EY29" s="1888"/>
      <c r="EZ29" s="1888"/>
      <c r="FA29" s="1888"/>
      <c r="FB29" s="1888"/>
      <c r="FC29" s="1888"/>
      <c r="FD29" s="1888"/>
      <c r="FE29" s="1888"/>
      <c r="FF29" s="1888"/>
      <c r="FG29" s="1888"/>
      <c r="FH29" s="1888"/>
      <c r="FI29" s="1888"/>
      <c r="FJ29" s="1888"/>
      <c r="FK29" s="1888"/>
      <c r="FL29" s="1888"/>
      <c r="FM29" s="1888"/>
      <c r="FN29" s="1888"/>
      <c r="FO29" s="1888"/>
      <c r="FP29" s="1888"/>
      <c r="FQ29" s="1888"/>
      <c r="FR29" s="1888"/>
      <c r="FS29" s="1888"/>
      <c r="FT29" s="1888"/>
      <c r="FU29" s="1888"/>
      <c r="FV29" s="1888"/>
      <c r="FW29" s="1888"/>
      <c r="FX29" s="1888"/>
      <c r="FY29" s="1888"/>
      <c r="FZ29" s="1888"/>
      <c r="GA29" s="1888"/>
      <c r="GB29" s="1888"/>
      <c r="GC29" s="1888"/>
      <c r="GD29" s="1888"/>
      <c r="GE29" s="1888"/>
      <c r="GF29" s="1888"/>
      <c r="GG29" s="1888"/>
      <c r="GH29" s="1888"/>
      <c r="GI29" s="1888"/>
      <c r="GJ29" s="1888"/>
      <c r="GK29" s="1888"/>
      <c r="GL29" s="1888"/>
      <c r="GM29" s="3462"/>
      <c r="GW29" s="567"/>
    </row>
    <row r="30" spans="1:205" ht="33.75" customHeight="1">
      <c r="C30" s="93"/>
      <c r="D30" s="647" t="s">
        <v>85</v>
      </c>
      <c r="E30" s="646" t="s">
        <v>562</v>
      </c>
      <c r="F30" s="646" t="s">
        <v>831</v>
      </c>
      <c r="G30" s="689" t="s">
        <v>563</v>
      </c>
      <c r="H30" s="688" t="s">
        <v>652</v>
      </c>
      <c r="I30" s="575" t="s">
        <v>563</v>
      </c>
      <c r="J30" s="364" t="s">
        <v>652</v>
      </c>
      <c r="K30" s="1922" t="s">
        <v>563</v>
      </c>
      <c r="L30" s="1933" t="s">
        <v>652</v>
      </c>
      <c r="M30" s="1922" t="s">
        <v>563</v>
      </c>
      <c r="N30" s="1933" t="s">
        <v>652</v>
      </c>
      <c r="O30" s="1922" t="s">
        <v>563</v>
      </c>
      <c r="P30" s="1933" t="s">
        <v>652</v>
      </c>
      <c r="Q30" s="1922" t="s">
        <v>563</v>
      </c>
      <c r="R30" s="1933" t="s">
        <v>652</v>
      </c>
      <c r="S30" s="1922" t="s">
        <v>563</v>
      </c>
      <c r="T30" s="1933" t="s">
        <v>652</v>
      </c>
      <c r="U30" s="1922" t="s">
        <v>563</v>
      </c>
      <c r="V30" s="1933" t="s">
        <v>652</v>
      </c>
      <c r="W30" s="1922" t="s">
        <v>563</v>
      </c>
      <c r="X30" s="1933" t="s">
        <v>652</v>
      </c>
      <c r="Y30" s="1922" t="s">
        <v>563</v>
      </c>
      <c r="Z30" s="1933" t="s">
        <v>652</v>
      </c>
      <c r="AA30" s="1922" t="s">
        <v>563</v>
      </c>
      <c r="AB30" s="1933" t="s">
        <v>652</v>
      </c>
      <c r="AC30" s="1922" t="s">
        <v>563</v>
      </c>
      <c r="AD30" s="1933" t="s">
        <v>652</v>
      </c>
      <c r="AE30" s="1922" t="s">
        <v>563</v>
      </c>
      <c r="AF30" s="1933" t="s">
        <v>652</v>
      </c>
      <c r="AG30" s="1922" t="s">
        <v>563</v>
      </c>
      <c r="AH30" s="1933" t="s">
        <v>652</v>
      </c>
      <c r="AI30" s="1922" t="s">
        <v>563</v>
      </c>
      <c r="AJ30" s="1933" t="s">
        <v>652</v>
      </c>
      <c r="AK30" s="1922" t="s">
        <v>563</v>
      </c>
      <c r="AL30" s="1933" t="s">
        <v>652</v>
      </c>
      <c r="AM30" s="1922" t="s">
        <v>563</v>
      </c>
      <c r="AN30" s="1933" t="s">
        <v>652</v>
      </c>
      <c r="AO30" s="1922" t="s">
        <v>563</v>
      </c>
      <c r="AP30" s="1933" t="s">
        <v>652</v>
      </c>
      <c r="AQ30" s="1922" t="s">
        <v>563</v>
      </c>
      <c r="AR30" s="1933" t="s">
        <v>652</v>
      </c>
      <c r="AS30" s="1922" t="s">
        <v>563</v>
      </c>
      <c r="AT30" s="1933" t="s">
        <v>652</v>
      </c>
      <c r="AU30" s="1922" t="s">
        <v>563</v>
      </c>
      <c r="AV30" s="1933" t="s">
        <v>652</v>
      </c>
      <c r="AW30" s="1922" t="s">
        <v>563</v>
      </c>
      <c r="AX30" s="1933" t="s">
        <v>652</v>
      </c>
      <c r="AY30" s="1922" t="s">
        <v>563</v>
      </c>
      <c r="AZ30" s="1933" t="s">
        <v>652</v>
      </c>
      <c r="BA30" s="1922" t="s">
        <v>563</v>
      </c>
      <c r="BB30" s="1933" t="s">
        <v>652</v>
      </c>
      <c r="BC30" s="1922" t="s">
        <v>563</v>
      </c>
      <c r="BD30" s="1933" t="s">
        <v>652</v>
      </c>
      <c r="BE30" s="1922" t="s">
        <v>563</v>
      </c>
      <c r="BF30" s="1933" t="s">
        <v>652</v>
      </c>
      <c r="BG30" s="1922" t="s">
        <v>563</v>
      </c>
      <c r="BH30" s="1933" t="s">
        <v>652</v>
      </c>
      <c r="BI30" s="1922" t="s">
        <v>563</v>
      </c>
      <c r="BJ30" s="1933" t="s">
        <v>652</v>
      </c>
      <c r="BK30" s="1922" t="s">
        <v>563</v>
      </c>
      <c r="BL30" s="1933" t="s">
        <v>652</v>
      </c>
      <c r="BM30" s="1922" t="s">
        <v>563</v>
      </c>
      <c r="BN30" s="1933" t="s">
        <v>652</v>
      </c>
      <c r="BO30" s="1922" t="s">
        <v>563</v>
      </c>
      <c r="BP30" s="1933" t="s">
        <v>652</v>
      </c>
      <c r="BQ30" s="1922" t="s">
        <v>563</v>
      </c>
      <c r="BR30" s="1933" t="s">
        <v>652</v>
      </c>
      <c r="BS30" s="1922" t="s">
        <v>563</v>
      </c>
      <c r="BT30" s="1933" t="s">
        <v>652</v>
      </c>
      <c r="BU30" s="1922" t="s">
        <v>563</v>
      </c>
      <c r="BV30" s="1933" t="s">
        <v>652</v>
      </c>
      <c r="BW30" s="1922" t="s">
        <v>563</v>
      </c>
      <c r="BX30" s="1933" t="s">
        <v>652</v>
      </c>
      <c r="BY30" s="1922" t="s">
        <v>563</v>
      </c>
      <c r="BZ30" s="1933" t="s">
        <v>652</v>
      </c>
      <c r="CA30" s="1922" t="s">
        <v>563</v>
      </c>
      <c r="CB30" s="1933" t="s">
        <v>652</v>
      </c>
      <c r="CC30" s="1922" t="s">
        <v>563</v>
      </c>
      <c r="CD30" s="1933" t="s">
        <v>652</v>
      </c>
      <c r="CE30" s="1922" t="s">
        <v>563</v>
      </c>
      <c r="CF30" s="1933" t="s">
        <v>652</v>
      </c>
      <c r="CG30" s="1922" t="s">
        <v>563</v>
      </c>
      <c r="CH30" s="1933" t="s">
        <v>652</v>
      </c>
      <c r="CI30" s="1922" t="s">
        <v>563</v>
      </c>
      <c r="CJ30" s="1933" t="s">
        <v>652</v>
      </c>
      <c r="CK30" s="1922" t="s">
        <v>563</v>
      </c>
      <c r="CL30" s="1933" t="s">
        <v>652</v>
      </c>
      <c r="CM30" s="1922" t="s">
        <v>563</v>
      </c>
      <c r="CN30" s="1933" t="s">
        <v>652</v>
      </c>
      <c r="CO30" s="1922" t="s">
        <v>563</v>
      </c>
      <c r="CP30" s="1933" t="s">
        <v>652</v>
      </c>
      <c r="CQ30" s="1922" t="s">
        <v>563</v>
      </c>
      <c r="CR30" s="1933" t="s">
        <v>652</v>
      </c>
      <c r="CS30" s="1922" t="s">
        <v>563</v>
      </c>
      <c r="CT30" s="1933" t="s">
        <v>652</v>
      </c>
      <c r="CU30" s="1922" t="s">
        <v>563</v>
      </c>
      <c r="CV30" s="1933" t="s">
        <v>652</v>
      </c>
      <c r="CW30" s="1922" t="s">
        <v>563</v>
      </c>
      <c r="CX30" s="1933" t="s">
        <v>652</v>
      </c>
      <c r="CY30" s="1922" t="s">
        <v>563</v>
      </c>
      <c r="CZ30" s="1933" t="s">
        <v>652</v>
      </c>
      <c r="DA30" s="1922" t="s">
        <v>563</v>
      </c>
      <c r="DB30" s="1933" t="s">
        <v>652</v>
      </c>
      <c r="DC30" s="1922" t="s">
        <v>563</v>
      </c>
      <c r="DD30" s="1933" t="s">
        <v>652</v>
      </c>
      <c r="DE30" s="1922" t="s">
        <v>563</v>
      </c>
      <c r="DF30" s="1933" t="s">
        <v>652</v>
      </c>
      <c r="DG30" s="1922" t="s">
        <v>563</v>
      </c>
      <c r="DH30" s="1933" t="s">
        <v>652</v>
      </c>
      <c r="DI30" s="1922" t="s">
        <v>563</v>
      </c>
      <c r="DJ30" s="1933" t="s">
        <v>652</v>
      </c>
      <c r="DK30" s="1922" t="s">
        <v>563</v>
      </c>
      <c r="DL30" s="1933" t="s">
        <v>652</v>
      </c>
      <c r="DM30" s="1922" t="s">
        <v>563</v>
      </c>
      <c r="DN30" s="1933" t="s">
        <v>652</v>
      </c>
      <c r="DO30" s="1922" t="s">
        <v>563</v>
      </c>
      <c r="DP30" s="1933" t="s">
        <v>652</v>
      </c>
      <c r="DQ30" s="1922" t="s">
        <v>563</v>
      </c>
      <c r="DR30" s="1933" t="s">
        <v>652</v>
      </c>
      <c r="DS30" s="1922" t="s">
        <v>563</v>
      </c>
      <c r="DT30" s="1933" t="s">
        <v>652</v>
      </c>
      <c r="DU30" s="1922" t="s">
        <v>563</v>
      </c>
      <c r="DV30" s="1933" t="s">
        <v>652</v>
      </c>
      <c r="DW30" s="1922" t="s">
        <v>563</v>
      </c>
      <c r="DX30" s="1933" t="s">
        <v>652</v>
      </c>
      <c r="DY30" s="1922" t="s">
        <v>563</v>
      </c>
      <c r="DZ30" s="1933" t="s">
        <v>652</v>
      </c>
      <c r="EA30" s="1922" t="s">
        <v>563</v>
      </c>
      <c r="EB30" s="1933" t="s">
        <v>652</v>
      </c>
      <c r="EC30" s="1922" t="s">
        <v>563</v>
      </c>
      <c r="ED30" s="1933" t="s">
        <v>652</v>
      </c>
      <c r="EE30" s="1922" t="s">
        <v>563</v>
      </c>
      <c r="EF30" s="1933" t="s">
        <v>652</v>
      </c>
      <c r="EG30" s="1922" t="s">
        <v>563</v>
      </c>
      <c r="EH30" s="1933" t="s">
        <v>652</v>
      </c>
      <c r="EI30" s="1922" t="s">
        <v>563</v>
      </c>
      <c r="EJ30" s="1933" t="s">
        <v>652</v>
      </c>
      <c r="EK30" s="1922" t="s">
        <v>563</v>
      </c>
      <c r="EL30" s="1933" t="s">
        <v>652</v>
      </c>
      <c r="EM30" s="1922" t="s">
        <v>563</v>
      </c>
      <c r="EN30" s="1933" t="s">
        <v>652</v>
      </c>
      <c r="EO30" s="1922" t="s">
        <v>563</v>
      </c>
      <c r="EP30" s="1933" t="s">
        <v>652</v>
      </c>
      <c r="EQ30" s="1922" t="s">
        <v>563</v>
      </c>
      <c r="ER30" s="1933" t="s">
        <v>652</v>
      </c>
      <c r="ES30" s="1922" t="s">
        <v>563</v>
      </c>
      <c r="ET30" s="1933" t="s">
        <v>652</v>
      </c>
      <c r="EU30" s="1922" t="s">
        <v>563</v>
      </c>
      <c r="EV30" s="1933" t="s">
        <v>652</v>
      </c>
      <c r="EW30" s="1922" t="s">
        <v>563</v>
      </c>
      <c r="EX30" s="1933" t="s">
        <v>652</v>
      </c>
      <c r="EY30" s="1922" t="s">
        <v>563</v>
      </c>
      <c r="EZ30" s="1933" t="s">
        <v>652</v>
      </c>
      <c r="FA30" s="1922" t="s">
        <v>563</v>
      </c>
      <c r="FB30" s="1933" t="s">
        <v>652</v>
      </c>
      <c r="FC30" s="1922" t="s">
        <v>563</v>
      </c>
      <c r="FD30" s="1933" t="s">
        <v>652</v>
      </c>
      <c r="FE30" s="1922" t="s">
        <v>563</v>
      </c>
      <c r="FF30" s="1933" t="s">
        <v>652</v>
      </c>
      <c r="FG30" s="1922" t="s">
        <v>563</v>
      </c>
      <c r="FH30" s="1933" t="s">
        <v>652</v>
      </c>
      <c r="FI30" s="1922" t="s">
        <v>563</v>
      </c>
      <c r="FJ30" s="1933" t="s">
        <v>652</v>
      </c>
      <c r="FK30" s="1922" t="s">
        <v>563</v>
      </c>
      <c r="FL30" s="1933" t="s">
        <v>652</v>
      </c>
      <c r="FM30" s="1922" t="s">
        <v>563</v>
      </c>
      <c r="FN30" s="1933" t="s">
        <v>652</v>
      </c>
      <c r="FO30" s="1922" t="s">
        <v>563</v>
      </c>
      <c r="FP30" s="1933" t="s">
        <v>652</v>
      </c>
      <c r="FQ30" s="1922" t="s">
        <v>563</v>
      </c>
      <c r="FR30" s="1933" t="s">
        <v>652</v>
      </c>
      <c r="FS30" s="1922" t="s">
        <v>563</v>
      </c>
      <c r="FT30" s="1933" t="s">
        <v>652</v>
      </c>
      <c r="FU30" s="1922" t="s">
        <v>563</v>
      </c>
      <c r="FV30" s="1933" t="s">
        <v>652</v>
      </c>
      <c r="FW30" s="1922" t="s">
        <v>563</v>
      </c>
      <c r="FX30" s="1933" t="s">
        <v>652</v>
      </c>
      <c r="FY30" s="1922" t="s">
        <v>563</v>
      </c>
      <c r="FZ30" s="1933" t="s">
        <v>652</v>
      </c>
      <c r="GA30" s="1922" t="s">
        <v>563</v>
      </c>
      <c r="GB30" s="1933" t="s">
        <v>652</v>
      </c>
      <c r="GC30" s="1922" t="s">
        <v>563</v>
      </c>
      <c r="GD30" s="1933" t="s">
        <v>652</v>
      </c>
      <c r="GE30" s="1922" t="s">
        <v>563</v>
      </c>
      <c r="GF30" s="1933" t="s">
        <v>652</v>
      </c>
      <c r="GG30" s="1922" t="s">
        <v>563</v>
      </c>
      <c r="GH30" s="1933" t="s">
        <v>652</v>
      </c>
      <c r="GI30" s="1922" t="s">
        <v>563</v>
      </c>
      <c r="GJ30" s="1933" t="s">
        <v>652</v>
      </c>
      <c r="GK30" s="1922" t="s">
        <v>563</v>
      </c>
      <c r="GL30" s="1933" t="s">
        <v>652</v>
      </c>
      <c r="GM30" s="3465"/>
    </row>
    <row r="31" spans="1:205" ht="15" hidden="1" customHeight="1">
      <c r="C31" s="93"/>
      <c r="D31" s="488"/>
      <c r="E31" s="488"/>
      <c r="F31" s="488"/>
      <c r="G31" s="551"/>
      <c r="H31" s="551"/>
      <c r="I31" s="551"/>
      <c r="J31" s="551"/>
      <c r="K31" s="1921"/>
      <c r="L31" s="1921"/>
      <c r="M31" s="1921"/>
      <c r="N31" s="1921"/>
      <c r="O31" s="1921"/>
      <c r="P31" s="1921"/>
      <c r="Q31" s="1921"/>
      <c r="R31" s="1921"/>
      <c r="S31" s="1921"/>
      <c r="T31" s="1921"/>
      <c r="U31" s="1921"/>
      <c r="V31" s="1921"/>
      <c r="W31" s="1921"/>
      <c r="X31" s="1921"/>
      <c r="Y31" s="1921"/>
      <c r="Z31" s="1921"/>
      <c r="AA31" s="1921"/>
      <c r="AB31" s="1921"/>
      <c r="AC31" s="1921"/>
      <c r="AD31" s="1921"/>
      <c r="AE31" s="1921"/>
      <c r="AF31" s="1921"/>
      <c r="AG31" s="1921"/>
      <c r="AH31" s="1921"/>
      <c r="AI31" s="1921"/>
      <c r="AJ31" s="1921"/>
      <c r="AK31" s="1921"/>
      <c r="AL31" s="1921"/>
      <c r="AM31" s="1921"/>
      <c r="AN31" s="1921"/>
      <c r="AO31" s="1921"/>
      <c r="AP31" s="1921"/>
      <c r="AQ31" s="1921"/>
      <c r="AR31" s="1921"/>
      <c r="AS31" s="1921"/>
      <c r="AT31" s="1921"/>
      <c r="AU31" s="1921"/>
      <c r="AV31" s="1921"/>
      <c r="AW31" s="1921"/>
      <c r="AX31" s="1921"/>
      <c r="AY31" s="1921"/>
      <c r="AZ31" s="1921"/>
      <c r="BA31" s="1921"/>
      <c r="BB31" s="1921"/>
      <c r="BC31" s="1921"/>
      <c r="BD31" s="1921"/>
      <c r="BE31" s="1921"/>
      <c r="BF31" s="1921"/>
      <c r="BG31" s="1921"/>
      <c r="BH31" s="1921"/>
      <c r="BI31" s="1921"/>
      <c r="BJ31" s="1921"/>
      <c r="BK31" s="1921"/>
      <c r="BL31" s="1921"/>
      <c r="BM31" s="1921"/>
      <c r="BN31" s="1921"/>
      <c r="BO31" s="1921"/>
      <c r="BP31" s="1921"/>
      <c r="BQ31" s="1921"/>
      <c r="BR31" s="1921"/>
      <c r="BS31" s="1921"/>
      <c r="BT31" s="1921"/>
      <c r="BU31" s="1921"/>
      <c r="BV31" s="1921"/>
      <c r="BW31" s="1921"/>
      <c r="BX31" s="1921"/>
      <c r="BY31" s="1921"/>
      <c r="BZ31" s="1921"/>
      <c r="CA31" s="1921"/>
      <c r="CB31" s="1921"/>
      <c r="CC31" s="1921"/>
      <c r="CD31" s="1921"/>
      <c r="CE31" s="1921"/>
      <c r="CF31" s="1921"/>
      <c r="CG31" s="1921"/>
      <c r="CH31" s="1921"/>
      <c r="CI31" s="1921"/>
      <c r="CJ31" s="1921"/>
      <c r="CK31" s="1921"/>
      <c r="CL31" s="1921"/>
      <c r="CM31" s="1921"/>
      <c r="CN31" s="1921"/>
      <c r="CO31" s="1921"/>
      <c r="CP31" s="1921"/>
      <c r="CQ31" s="1921"/>
      <c r="CR31" s="1921"/>
      <c r="CS31" s="1921"/>
      <c r="CT31" s="1921"/>
      <c r="CU31" s="1921"/>
      <c r="CV31" s="1921"/>
      <c r="CW31" s="1921"/>
      <c r="CX31" s="1921"/>
      <c r="CY31" s="1921"/>
      <c r="CZ31" s="1921"/>
      <c r="DA31" s="1921"/>
      <c r="DB31" s="1921"/>
      <c r="DC31" s="1921"/>
      <c r="DD31" s="1921"/>
      <c r="DE31" s="1921"/>
      <c r="DF31" s="1921"/>
      <c r="DG31" s="1921"/>
      <c r="DH31" s="1921"/>
      <c r="DI31" s="1921"/>
      <c r="DJ31" s="1921"/>
      <c r="DK31" s="1921"/>
      <c r="DL31" s="1921"/>
      <c r="DM31" s="1921"/>
      <c r="DN31" s="1921"/>
      <c r="DO31" s="1921"/>
      <c r="DP31" s="1921"/>
      <c r="DQ31" s="1921"/>
      <c r="DR31" s="1921"/>
      <c r="DS31" s="1921"/>
      <c r="DT31" s="1921"/>
      <c r="DU31" s="1921"/>
      <c r="DV31" s="1921"/>
      <c r="DW31" s="1921"/>
      <c r="DX31" s="1921"/>
      <c r="DY31" s="1921"/>
      <c r="DZ31" s="1921"/>
      <c r="EA31" s="1921"/>
      <c r="EB31" s="1921"/>
      <c r="EC31" s="1921"/>
      <c r="ED31" s="1921"/>
      <c r="EE31" s="1921"/>
      <c r="EF31" s="1921"/>
      <c r="EG31" s="1921"/>
      <c r="EH31" s="1921"/>
      <c r="EI31" s="1921"/>
      <c r="EJ31" s="1921"/>
      <c r="EK31" s="1921"/>
      <c r="EL31" s="1921"/>
      <c r="EM31" s="1921"/>
      <c r="EN31" s="1921"/>
      <c r="EO31" s="1921"/>
      <c r="EP31" s="1921"/>
      <c r="EQ31" s="1921"/>
      <c r="ER31" s="1921"/>
      <c r="ES31" s="1921"/>
      <c r="ET31" s="1921"/>
      <c r="EU31" s="1921"/>
      <c r="EV31" s="1921"/>
      <c r="EW31" s="1921"/>
      <c r="EX31" s="1921"/>
      <c r="EY31" s="1921"/>
      <c r="EZ31" s="1921"/>
      <c r="FA31" s="1921"/>
      <c r="FB31" s="1921"/>
      <c r="FC31" s="1921"/>
      <c r="FD31" s="1921"/>
      <c r="FE31" s="1921"/>
      <c r="FF31" s="1921"/>
      <c r="FG31" s="1921"/>
      <c r="FH31" s="1921"/>
      <c r="FI31" s="1921"/>
      <c r="FJ31" s="1921"/>
      <c r="FK31" s="1921"/>
      <c r="FL31" s="1921"/>
      <c r="FM31" s="1921"/>
      <c r="FN31" s="1921"/>
      <c r="FO31" s="1921"/>
      <c r="FP31" s="1921"/>
      <c r="FQ31" s="1921"/>
      <c r="FR31" s="1921"/>
      <c r="FS31" s="1921"/>
      <c r="FT31" s="1921"/>
      <c r="FU31" s="1921"/>
      <c r="FV31" s="1921"/>
      <c r="FW31" s="1921"/>
      <c r="FX31" s="1921"/>
      <c r="FY31" s="1921"/>
      <c r="FZ31" s="1921"/>
      <c r="GA31" s="1921"/>
      <c r="GB31" s="1921"/>
      <c r="GC31" s="1921"/>
      <c r="GD31" s="1921"/>
      <c r="GE31" s="1921"/>
      <c r="GF31" s="1921"/>
      <c r="GG31" s="1921"/>
      <c r="GH31" s="1921"/>
      <c r="GI31" s="1921"/>
      <c r="GJ31" s="1921"/>
      <c r="GK31" s="1921"/>
      <c r="GL31" s="1921"/>
      <c r="GM31" s="201"/>
    </row>
    <row r="32" spans="1:205" ht="22.5" customHeight="1">
      <c r="A32" s="403"/>
      <c r="B32" s="403" t="s">
        <v>1221</v>
      </c>
      <c r="C32" s="424"/>
      <c r="D32" s="583">
        <v>1</v>
      </c>
      <c r="E32" s="584" t="s">
        <v>1222</v>
      </c>
      <c r="F32" s="582" t="s">
        <v>566</v>
      </c>
      <c r="G32" s="694" t="s">
        <v>566</v>
      </c>
      <c r="H32" s="694" t="s">
        <v>566</v>
      </c>
      <c r="I32" s="582" t="s">
        <v>566</v>
      </c>
      <c r="J32" s="582" t="s">
        <v>566</v>
      </c>
      <c r="K32" s="1889" t="s">
        <v>566</v>
      </c>
      <c r="L32" s="1889" t="s">
        <v>566</v>
      </c>
      <c r="M32" s="1889" t="s">
        <v>566</v>
      </c>
      <c r="N32" s="1889" t="s">
        <v>566</v>
      </c>
      <c r="O32" s="1889" t="s">
        <v>566</v>
      </c>
      <c r="P32" s="1889" t="s">
        <v>566</v>
      </c>
      <c r="Q32" s="1889" t="s">
        <v>566</v>
      </c>
      <c r="R32" s="1889" t="s">
        <v>566</v>
      </c>
      <c r="S32" s="1889" t="s">
        <v>566</v>
      </c>
      <c r="T32" s="1889" t="s">
        <v>566</v>
      </c>
      <c r="U32" s="1889" t="s">
        <v>566</v>
      </c>
      <c r="V32" s="1889" t="s">
        <v>566</v>
      </c>
      <c r="W32" s="1889" t="s">
        <v>566</v>
      </c>
      <c r="X32" s="1889" t="s">
        <v>566</v>
      </c>
      <c r="Y32" s="1889" t="s">
        <v>566</v>
      </c>
      <c r="Z32" s="1889" t="s">
        <v>566</v>
      </c>
      <c r="AA32" s="1889" t="s">
        <v>566</v>
      </c>
      <c r="AB32" s="1889" t="s">
        <v>566</v>
      </c>
      <c r="AC32" s="1889" t="s">
        <v>566</v>
      </c>
      <c r="AD32" s="1889" t="s">
        <v>566</v>
      </c>
      <c r="AE32" s="1889" t="s">
        <v>566</v>
      </c>
      <c r="AF32" s="1889" t="s">
        <v>566</v>
      </c>
      <c r="AG32" s="1889" t="s">
        <v>566</v>
      </c>
      <c r="AH32" s="1889" t="s">
        <v>566</v>
      </c>
      <c r="AI32" s="1889" t="s">
        <v>566</v>
      </c>
      <c r="AJ32" s="1889" t="s">
        <v>566</v>
      </c>
      <c r="AK32" s="1889" t="s">
        <v>566</v>
      </c>
      <c r="AL32" s="1889" t="s">
        <v>566</v>
      </c>
      <c r="AM32" s="1889" t="s">
        <v>566</v>
      </c>
      <c r="AN32" s="1889" t="s">
        <v>566</v>
      </c>
      <c r="AO32" s="1889" t="s">
        <v>566</v>
      </c>
      <c r="AP32" s="1889" t="s">
        <v>566</v>
      </c>
      <c r="AQ32" s="1889" t="s">
        <v>566</v>
      </c>
      <c r="AR32" s="1889" t="s">
        <v>566</v>
      </c>
      <c r="AS32" s="1889" t="s">
        <v>566</v>
      </c>
      <c r="AT32" s="1889" t="s">
        <v>566</v>
      </c>
      <c r="AU32" s="1889" t="s">
        <v>566</v>
      </c>
      <c r="AV32" s="1889" t="s">
        <v>566</v>
      </c>
      <c r="AW32" s="1889" t="s">
        <v>566</v>
      </c>
      <c r="AX32" s="1889" t="s">
        <v>566</v>
      </c>
      <c r="AY32" s="1889" t="s">
        <v>566</v>
      </c>
      <c r="AZ32" s="1889" t="s">
        <v>566</v>
      </c>
      <c r="BA32" s="1889" t="s">
        <v>566</v>
      </c>
      <c r="BB32" s="1889" t="s">
        <v>566</v>
      </c>
      <c r="BC32" s="1889" t="s">
        <v>566</v>
      </c>
      <c r="BD32" s="1889" t="s">
        <v>566</v>
      </c>
      <c r="BE32" s="1889" t="s">
        <v>566</v>
      </c>
      <c r="BF32" s="1889" t="s">
        <v>566</v>
      </c>
      <c r="BG32" s="1889" t="s">
        <v>566</v>
      </c>
      <c r="BH32" s="1889" t="s">
        <v>566</v>
      </c>
      <c r="BI32" s="1889" t="s">
        <v>566</v>
      </c>
      <c r="BJ32" s="1889" t="s">
        <v>566</v>
      </c>
      <c r="BK32" s="1889" t="s">
        <v>566</v>
      </c>
      <c r="BL32" s="1889" t="s">
        <v>566</v>
      </c>
      <c r="BM32" s="1889" t="s">
        <v>566</v>
      </c>
      <c r="BN32" s="1889" t="s">
        <v>566</v>
      </c>
      <c r="BO32" s="1889" t="s">
        <v>566</v>
      </c>
      <c r="BP32" s="1889" t="s">
        <v>566</v>
      </c>
      <c r="BQ32" s="1889" t="s">
        <v>566</v>
      </c>
      <c r="BR32" s="1889" t="s">
        <v>566</v>
      </c>
      <c r="BS32" s="1889" t="s">
        <v>566</v>
      </c>
      <c r="BT32" s="1889" t="s">
        <v>566</v>
      </c>
      <c r="BU32" s="1889" t="s">
        <v>566</v>
      </c>
      <c r="BV32" s="1889" t="s">
        <v>566</v>
      </c>
      <c r="BW32" s="1889" t="s">
        <v>566</v>
      </c>
      <c r="BX32" s="1889" t="s">
        <v>566</v>
      </c>
      <c r="BY32" s="1889" t="s">
        <v>566</v>
      </c>
      <c r="BZ32" s="1889" t="s">
        <v>566</v>
      </c>
      <c r="CA32" s="1889" t="s">
        <v>566</v>
      </c>
      <c r="CB32" s="1889" t="s">
        <v>566</v>
      </c>
      <c r="CC32" s="1889" t="s">
        <v>566</v>
      </c>
      <c r="CD32" s="1889" t="s">
        <v>566</v>
      </c>
      <c r="CE32" s="1889" t="s">
        <v>566</v>
      </c>
      <c r="CF32" s="1889" t="s">
        <v>566</v>
      </c>
      <c r="CG32" s="1889" t="s">
        <v>566</v>
      </c>
      <c r="CH32" s="1889" t="s">
        <v>566</v>
      </c>
      <c r="CI32" s="1889" t="s">
        <v>566</v>
      </c>
      <c r="CJ32" s="1889" t="s">
        <v>566</v>
      </c>
      <c r="CK32" s="1889" t="s">
        <v>566</v>
      </c>
      <c r="CL32" s="1889" t="s">
        <v>566</v>
      </c>
      <c r="CM32" s="1889" t="s">
        <v>566</v>
      </c>
      <c r="CN32" s="1889" t="s">
        <v>566</v>
      </c>
      <c r="CO32" s="1889" t="s">
        <v>566</v>
      </c>
      <c r="CP32" s="1889" t="s">
        <v>566</v>
      </c>
      <c r="CQ32" s="1889" t="s">
        <v>566</v>
      </c>
      <c r="CR32" s="1889" t="s">
        <v>566</v>
      </c>
      <c r="CS32" s="1889" t="s">
        <v>566</v>
      </c>
      <c r="CT32" s="1889" t="s">
        <v>566</v>
      </c>
      <c r="CU32" s="1889" t="s">
        <v>566</v>
      </c>
      <c r="CV32" s="1889" t="s">
        <v>566</v>
      </c>
      <c r="CW32" s="1889" t="s">
        <v>566</v>
      </c>
      <c r="CX32" s="1889" t="s">
        <v>566</v>
      </c>
      <c r="CY32" s="1889" t="s">
        <v>566</v>
      </c>
      <c r="CZ32" s="1889" t="s">
        <v>566</v>
      </c>
      <c r="DA32" s="1889" t="s">
        <v>566</v>
      </c>
      <c r="DB32" s="1889" t="s">
        <v>566</v>
      </c>
      <c r="DC32" s="1889" t="s">
        <v>566</v>
      </c>
      <c r="DD32" s="1889" t="s">
        <v>566</v>
      </c>
      <c r="DE32" s="1889" t="s">
        <v>566</v>
      </c>
      <c r="DF32" s="1889" t="s">
        <v>566</v>
      </c>
      <c r="DG32" s="1889" t="s">
        <v>566</v>
      </c>
      <c r="DH32" s="1889" t="s">
        <v>566</v>
      </c>
      <c r="DI32" s="1889" t="s">
        <v>566</v>
      </c>
      <c r="DJ32" s="1889" t="s">
        <v>566</v>
      </c>
      <c r="DK32" s="1889" t="s">
        <v>566</v>
      </c>
      <c r="DL32" s="1889" t="s">
        <v>566</v>
      </c>
      <c r="DM32" s="1889" t="s">
        <v>566</v>
      </c>
      <c r="DN32" s="1889" t="s">
        <v>566</v>
      </c>
      <c r="DO32" s="1889" t="s">
        <v>566</v>
      </c>
      <c r="DP32" s="1889" t="s">
        <v>566</v>
      </c>
      <c r="DQ32" s="1889" t="s">
        <v>566</v>
      </c>
      <c r="DR32" s="1889" t="s">
        <v>566</v>
      </c>
      <c r="DS32" s="1889" t="s">
        <v>566</v>
      </c>
      <c r="DT32" s="1889" t="s">
        <v>566</v>
      </c>
      <c r="DU32" s="1889" t="s">
        <v>566</v>
      </c>
      <c r="DV32" s="1889" t="s">
        <v>566</v>
      </c>
      <c r="DW32" s="1889" t="s">
        <v>566</v>
      </c>
      <c r="DX32" s="1889" t="s">
        <v>566</v>
      </c>
      <c r="DY32" s="1889" t="s">
        <v>566</v>
      </c>
      <c r="DZ32" s="1889" t="s">
        <v>566</v>
      </c>
      <c r="EA32" s="1889" t="s">
        <v>566</v>
      </c>
      <c r="EB32" s="1889" t="s">
        <v>566</v>
      </c>
      <c r="EC32" s="1889" t="s">
        <v>566</v>
      </c>
      <c r="ED32" s="1889" t="s">
        <v>566</v>
      </c>
      <c r="EE32" s="1889" t="s">
        <v>566</v>
      </c>
      <c r="EF32" s="1889" t="s">
        <v>566</v>
      </c>
      <c r="EG32" s="1889" t="s">
        <v>566</v>
      </c>
      <c r="EH32" s="1889" t="s">
        <v>566</v>
      </c>
      <c r="EI32" s="1889" t="s">
        <v>566</v>
      </c>
      <c r="EJ32" s="1889" t="s">
        <v>566</v>
      </c>
      <c r="EK32" s="1889" t="s">
        <v>566</v>
      </c>
      <c r="EL32" s="1889" t="s">
        <v>566</v>
      </c>
      <c r="EM32" s="1889" t="s">
        <v>566</v>
      </c>
      <c r="EN32" s="1889" t="s">
        <v>566</v>
      </c>
      <c r="EO32" s="1889" t="s">
        <v>566</v>
      </c>
      <c r="EP32" s="1889" t="s">
        <v>566</v>
      </c>
      <c r="EQ32" s="1889" t="s">
        <v>566</v>
      </c>
      <c r="ER32" s="1889" t="s">
        <v>566</v>
      </c>
      <c r="ES32" s="1889" t="s">
        <v>566</v>
      </c>
      <c r="ET32" s="1889" t="s">
        <v>566</v>
      </c>
      <c r="EU32" s="1889" t="s">
        <v>566</v>
      </c>
      <c r="EV32" s="1889" t="s">
        <v>566</v>
      </c>
      <c r="EW32" s="1889" t="s">
        <v>566</v>
      </c>
      <c r="EX32" s="1889" t="s">
        <v>566</v>
      </c>
      <c r="EY32" s="1889" t="s">
        <v>566</v>
      </c>
      <c r="EZ32" s="1889" t="s">
        <v>566</v>
      </c>
      <c r="FA32" s="1889" t="s">
        <v>566</v>
      </c>
      <c r="FB32" s="1889" t="s">
        <v>566</v>
      </c>
      <c r="FC32" s="1889" t="s">
        <v>566</v>
      </c>
      <c r="FD32" s="1889" t="s">
        <v>566</v>
      </c>
      <c r="FE32" s="1889" t="s">
        <v>566</v>
      </c>
      <c r="FF32" s="1889" t="s">
        <v>566</v>
      </c>
      <c r="FG32" s="1889" t="s">
        <v>566</v>
      </c>
      <c r="FH32" s="1889" t="s">
        <v>566</v>
      </c>
      <c r="FI32" s="1889" t="s">
        <v>566</v>
      </c>
      <c r="FJ32" s="1889" t="s">
        <v>566</v>
      </c>
      <c r="FK32" s="1889" t="s">
        <v>566</v>
      </c>
      <c r="FL32" s="1889" t="s">
        <v>566</v>
      </c>
      <c r="FM32" s="1889" t="s">
        <v>566</v>
      </c>
      <c r="FN32" s="1889" t="s">
        <v>566</v>
      </c>
      <c r="FO32" s="1889" t="s">
        <v>566</v>
      </c>
      <c r="FP32" s="1889" t="s">
        <v>566</v>
      </c>
      <c r="FQ32" s="1889" t="s">
        <v>566</v>
      </c>
      <c r="FR32" s="1889" t="s">
        <v>566</v>
      </c>
      <c r="FS32" s="1889" t="s">
        <v>566</v>
      </c>
      <c r="FT32" s="1889" t="s">
        <v>566</v>
      </c>
      <c r="FU32" s="1889" t="s">
        <v>566</v>
      </c>
      <c r="FV32" s="1889" t="s">
        <v>566</v>
      </c>
      <c r="FW32" s="1889" t="s">
        <v>566</v>
      </c>
      <c r="FX32" s="1889" t="s">
        <v>566</v>
      </c>
      <c r="FY32" s="1889" t="s">
        <v>566</v>
      </c>
      <c r="FZ32" s="1889" t="s">
        <v>566</v>
      </c>
      <c r="GA32" s="1889" t="s">
        <v>566</v>
      </c>
      <c r="GB32" s="1889" t="s">
        <v>566</v>
      </c>
      <c r="GC32" s="1889" t="s">
        <v>566</v>
      </c>
      <c r="GD32" s="1889" t="s">
        <v>566</v>
      </c>
      <c r="GE32" s="1889" t="s">
        <v>566</v>
      </c>
      <c r="GF32" s="1889" t="s">
        <v>566</v>
      </c>
      <c r="GG32" s="1889" t="s">
        <v>566</v>
      </c>
      <c r="GH32" s="1889" t="s">
        <v>566</v>
      </c>
      <c r="GI32" s="1889" t="s">
        <v>566</v>
      </c>
      <c r="GJ32" s="1889" t="s">
        <v>566</v>
      </c>
      <c r="GK32" s="1889" t="s">
        <v>566</v>
      </c>
      <c r="GL32" s="1889" t="s">
        <v>566</v>
      </c>
      <c r="GM32" s="201"/>
    </row>
    <row r="33" spans="1:205" ht="11.25" customHeight="1">
      <c r="A33" s="403"/>
      <c r="C33" s="403"/>
      <c r="D33" s="257"/>
      <c r="E33" s="477" t="s">
        <v>851</v>
      </c>
      <c r="F33" s="469"/>
      <c r="G33" s="469"/>
      <c r="H33" s="469"/>
      <c r="I33" s="469"/>
      <c r="J33" s="469"/>
      <c r="K33" s="2525"/>
      <c r="L33" s="2526"/>
      <c r="M33" s="2527"/>
      <c r="N33" s="2528"/>
      <c r="O33" s="2529"/>
      <c r="P33" s="2530"/>
      <c r="Q33" s="2531"/>
      <c r="R33" s="2532"/>
      <c r="S33" s="2533"/>
      <c r="T33" s="2534"/>
      <c r="U33" s="2535"/>
      <c r="V33" s="2536"/>
      <c r="W33" s="2537"/>
      <c r="X33" s="2538"/>
      <c r="Y33" s="2539"/>
      <c r="Z33" s="2540"/>
      <c r="AA33" s="2541"/>
      <c r="AB33" s="2542"/>
      <c r="AC33" s="2543"/>
      <c r="AD33" s="2544"/>
      <c r="AE33" s="2545"/>
      <c r="AF33" s="2546"/>
      <c r="AG33" s="2547"/>
      <c r="AH33" s="2548"/>
      <c r="AI33" s="2549"/>
      <c r="AJ33" s="2550"/>
      <c r="AK33" s="2551"/>
      <c r="AL33" s="2552"/>
      <c r="AM33" s="2553"/>
      <c r="AN33" s="2554"/>
      <c r="AO33" s="2555"/>
      <c r="AP33" s="2556"/>
      <c r="AQ33" s="2557"/>
      <c r="AR33" s="2558"/>
      <c r="AS33" s="2559"/>
      <c r="AT33" s="2560"/>
      <c r="AU33" s="2561"/>
      <c r="AV33" s="2562"/>
      <c r="AW33" s="2563"/>
      <c r="AX33" s="2564"/>
      <c r="AY33" s="2565"/>
      <c r="AZ33" s="2566"/>
      <c r="BA33" s="2567"/>
      <c r="BB33" s="2568"/>
      <c r="BC33" s="2569"/>
      <c r="BD33" s="2570"/>
      <c r="BE33" s="2571"/>
      <c r="BF33" s="2572"/>
      <c r="BG33" s="2573"/>
      <c r="BH33" s="2574"/>
      <c r="BI33" s="2575"/>
      <c r="BJ33" s="2576"/>
      <c r="BK33" s="2577"/>
      <c r="BL33" s="2578"/>
      <c r="BM33" s="2579"/>
      <c r="BN33" s="2580"/>
      <c r="BO33" s="2581"/>
      <c r="BP33" s="2582"/>
      <c r="BQ33" s="2583"/>
      <c r="BR33" s="2584"/>
      <c r="BS33" s="2585"/>
      <c r="BT33" s="2586"/>
      <c r="BU33" s="2587"/>
      <c r="BV33" s="2588"/>
      <c r="BW33" s="2589"/>
      <c r="BX33" s="2590"/>
      <c r="BY33" s="2591"/>
      <c r="BZ33" s="2592"/>
      <c r="CA33" s="2593"/>
      <c r="CB33" s="2594"/>
      <c r="CC33" s="2595"/>
      <c r="CD33" s="2596"/>
      <c r="CE33" s="2597"/>
      <c r="CF33" s="2598"/>
      <c r="CG33" s="2599"/>
      <c r="CH33" s="2600"/>
      <c r="CI33" s="2601"/>
      <c r="CJ33" s="2602"/>
      <c r="CK33" s="2603"/>
      <c r="CL33" s="2604"/>
      <c r="CM33" s="2605"/>
      <c r="CN33" s="2606"/>
      <c r="CO33" s="2607"/>
      <c r="CP33" s="2608"/>
      <c r="CQ33" s="2609"/>
      <c r="CR33" s="2610"/>
      <c r="CS33" s="2611"/>
      <c r="CT33" s="2612"/>
      <c r="CU33" s="2613"/>
      <c r="CV33" s="2614"/>
      <c r="CW33" s="2615"/>
      <c r="CX33" s="2616"/>
      <c r="CY33" s="2617"/>
      <c r="CZ33" s="2618"/>
      <c r="DA33" s="2619"/>
      <c r="DB33" s="2620"/>
      <c r="DC33" s="2621"/>
      <c r="DD33" s="2622"/>
      <c r="DE33" s="2623"/>
      <c r="DF33" s="2624"/>
      <c r="DG33" s="2625"/>
      <c r="DH33" s="2626"/>
      <c r="DI33" s="2627"/>
      <c r="DJ33" s="2628"/>
      <c r="DK33" s="2629"/>
      <c r="DL33" s="2630"/>
      <c r="DM33" s="2631"/>
      <c r="DN33" s="2632"/>
      <c r="DO33" s="2633"/>
      <c r="DP33" s="2634"/>
      <c r="DQ33" s="2635"/>
      <c r="DR33" s="2636"/>
      <c r="DS33" s="2637"/>
      <c r="DT33" s="2638"/>
      <c r="DU33" s="2639"/>
      <c r="DV33" s="2640"/>
      <c r="DW33" s="2641"/>
      <c r="DX33" s="2642"/>
      <c r="DY33" s="2643"/>
      <c r="DZ33" s="2644"/>
      <c r="EA33" s="2645"/>
      <c r="EB33" s="2646"/>
      <c r="EC33" s="2647"/>
      <c r="ED33" s="2648"/>
      <c r="EE33" s="2649"/>
      <c r="EF33" s="2650"/>
      <c r="EG33" s="2651"/>
      <c r="EH33" s="2652"/>
      <c r="EI33" s="2653"/>
      <c r="EJ33" s="2654"/>
      <c r="EK33" s="2655"/>
      <c r="EL33" s="2656"/>
      <c r="EM33" s="2657"/>
      <c r="EN33" s="2658"/>
      <c r="EO33" s="2659"/>
      <c r="EP33" s="2660"/>
      <c r="EQ33" s="2661"/>
      <c r="ER33" s="2662"/>
      <c r="ES33" s="2663"/>
      <c r="ET33" s="2664"/>
      <c r="EU33" s="2665"/>
      <c r="EV33" s="2666"/>
      <c r="EW33" s="2667"/>
      <c r="EX33" s="2668"/>
      <c r="EY33" s="2669"/>
      <c r="EZ33" s="2670"/>
      <c r="FA33" s="2671"/>
      <c r="FB33" s="2672"/>
      <c r="FC33" s="2673"/>
      <c r="FD33" s="2674"/>
      <c r="FE33" s="2675"/>
      <c r="FF33" s="2676"/>
      <c r="FG33" s="2677"/>
      <c r="FH33" s="2678"/>
      <c r="FI33" s="2679"/>
      <c r="FJ33" s="2680"/>
      <c r="FK33" s="2681"/>
      <c r="FL33" s="2682"/>
      <c r="FM33" s="2683"/>
      <c r="FN33" s="2684"/>
      <c r="FO33" s="2685"/>
      <c r="FP33" s="2686"/>
      <c r="FQ33" s="2687"/>
      <c r="FR33" s="2688"/>
      <c r="FS33" s="2689"/>
      <c r="FT33" s="2690"/>
      <c r="FU33" s="2691"/>
      <c r="FV33" s="2692"/>
      <c r="FW33" s="2693"/>
      <c r="FX33" s="2694"/>
      <c r="FY33" s="2695"/>
      <c r="FZ33" s="2696"/>
      <c r="GA33" s="2697"/>
      <c r="GB33" s="2698"/>
      <c r="GC33" s="2699"/>
      <c r="GD33" s="2700"/>
      <c r="GE33" s="2701"/>
      <c r="GF33" s="2702"/>
      <c r="GG33" s="2703"/>
      <c r="GH33" s="2704"/>
      <c r="GI33" s="2705"/>
      <c r="GJ33" s="2706"/>
      <c r="GK33" s="2707"/>
      <c r="GL33" s="2708"/>
      <c r="GM33" s="470"/>
      <c r="GW33" s="403"/>
    </row>
    <row r="34" spans="1:205" ht="22.5" customHeight="1">
      <c r="A34" s="403"/>
      <c r="B34" s="478" t="s">
        <v>1223</v>
      </c>
      <c r="C34" s="424"/>
      <c r="D34" s="583">
        <v>2</v>
      </c>
      <c r="E34" s="584" t="s">
        <v>1224</v>
      </c>
      <c r="F34" s="701" t="s">
        <v>566</v>
      </c>
      <c r="G34" s="701" t="s">
        <v>566</v>
      </c>
      <c r="H34" s="701" t="s">
        <v>566</v>
      </c>
      <c r="I34" s="582"/>
      <c r="J34" s="582"/>
      <c r="K34" s="1889" t="s">
        <v>566</v>
      </c>
      <c r="L34" s="1889" t="s">
        <v>566</v>
      </c>
      <c r="M34" s="1889" t="s">
        <v>566</v>
      </c>
      <c r="N34" s="1889" t="s">
        <v>566</v>
      </c>
      <c r="O34" s="1889" t="s">
        <v>566</v>
      </c>
      <c r="P34" s="1889" t="s">
        <v>566</v>
      </c>
      <c r="Q34" s="1889" t="s">
        <v>566</v>
      </c>
      <c r="R34" s="1889" t="s">
        <v>566</v>
      </c>
      <c r="S34" s="1889" t="s">
        <v>566</v>
      </c>
      <c r="T34" s="1889" t="s">
        <v>566</v>
      </c>
      <c r="U34" s="1889" t="s">
        <v>566</v>
      </c>
      <c r="V34" s="1889" t="s">
        <v>566</v>
      </c>
      <c r="W34" s="1889" t="s">
        <v>566</v>
      </c>
      <c r="X34" s="1889" t="s">
        <v>566</v>
      </c>
      <c r="Y34" s="1889" t="s">
        <v>566</v>
      </c>
      <c r="Z34" s="1889" t="s">
        <v>566</v>
      </c>
      <c r="AA34" s="1889" t="s">
        <v>566</v>
      </c>
      <c r="AB34" s="1889" t="s">
        <v>566</v>
      </c>
      <c r="AC34" s="1889" t="s">
        <v>566</v>
      </c>
      <c r="AD34" s="1889" t="s">
        <v>566</v>
      </c>
      <c r="AE34" s="1889" t="s">
        <v>566</v>
      </c>
      <c r="AF34" s="1889" t="s">
        <v>566</v>
      </c>
      <c r="AG34" s="1889" t="s">
        <v>566</v>
      </c>
      <c r="AH34" s="1889" t="s">
        <v>566</v>
      </c>
      <c r="AI34" s="1889" t="s">
        <v>566</v>
      </c>
      <c r="AJ34" s="1889" t="s">
        <v>566</v>
      </c>
      <c r="AK34" s="1889" t="s">
        <v>566</v>
      </c>
      <c r="AL34" s="1889" t="s">
        <v>566</v>
      </c>
      <c r="AM34" s="1889" t="s">
        <v>566</v>
      </c>
      <c r="AN34" s="1889" t="s">
        <v>566</v>
      </c>
      <c r="AO34" s="1889" t="s">
        <v>566</v>
      </c>
      <c r="AP34" s="1889" t="s">
        <v>566</v>
      </c>
      <c r="AQ34" s="1889" t="s">
        <v>566</v>
      </c>
      <c r="AR34" s="1889" t="s">
        <v>566</v>
      </c>
      <c r="AS34" s="1889" t="s">
        <v>566</v>
      </c>
      <c r="AT34" s="1889" t="s">
        <v>566</v>
      </c>
      <c r="AU34" s="1889" t="s">
        <v>566</v>
      </c>
      <c r="AV34" s="1889" t="s">
        <v>566</v>
      </c>
      <c r="AW34" s="1889" t="s">
        <v>566</v>
      </c>
      <c r="AX34" s="1889" t="s">
        <v>566</v>
      </c>
      <c r="AY34" s="1889" t="s">
        <v>566</v>
      </c>
      <c r="AZ34" s="1889" t="s">
        <v>566</v>
      </c>
      <c r="BA34" s="1889" t="s">
        <v>566</v>
      </c>
      <c r="BB34" s="1889" t="s">
        <v>566</v>
      </c>
      <c r="BC34" s="1889" t="s">
        <v>566</v>
      </c>
      <c r="BD34" s="1889" t="s">
        <v>566</v>
      </c>
      <c r="BE34" s="1889" t="s">
        <v>566</v>
      </c>
      <c r="BF34" s="1889" t="s">
        <v>566</v>
      </c>
      <c r="BG34" s="1889" t="s">
        <v>566</v>
      </c>
      <c r="BH34" s="1889" t="s">
        <v>566</v>
      </c>
      <c r="BI34" s="1889" t="s">
        <v>566</v>
      </c>
      <c r="BJ34" s="1889" t="s">
        <v>566</v>
      </c>
      <c r="BK34" s="1889" t="s">
        <v>566</v>
      </c>
      <c r="BL34" s="1889" t="s">
        <v>566</v>
      </c>
      <c r="BM34" s="1889" t="s">
        <v>566</v>
      </c>
      <c r="BN34" s="1889" t="s">
        <v>566</v>
      </c>
      <c r="BO34" s="1889" t="s">
        <v>566</v>
      </c>
      <c r="BP34" s="1889" t="s">
        <v>566</v>
      </c>
      <c r="BQ34" s="1889" t="s">
        <v>566</v>
      </c>
      <c r="BR34" s="1889" t="s">
        <v>566</v>
      </c>
      <c r="BS34" s="1889" t="s">
        <v>566</v>
      </c>
      <c r="BT34" s="1889" t="s">
        <v>566</v>
      </c>
      <c r="BU34" s="1889" t="s">
        <v>566</v>
      </c>
      <c r="BV34" s="1889" t="s">
        <v>566</v>
      </c>
      <c r="BW34" s="1889" t="s">
        <v>566</v>
      </c>
      <c r="BX34" s="1889" t="s">
        <v>566</v>
      </c>
      <c r="BY34" s="1889" t="s">
        <v>566</v>
      </c>
      <c r="BZ34" s="1889" t="s">
        <v>566</v>
      </c>
      <c r="CA34" s="1889" t="s">
        <v>566</v>
      </c>
      <c r="CB34" s="1889" t="s">
        <v>566</v>
      </c>
      <c r="CC34" s="1889" t="s">
        <v>566</v>
      </c>
      <c r="CD34" s="1889" t="s">
        <v>566</v>
      </c>
      <c r="CE34" s="1889" t="s">
        <v>566</v>
      </c>
      <c r="CF34" s="1889" t="s">
        <v>566</v>
      </c>
      <c r="CG34" s="1889" t="s">
        <v>566</v>
      </c>
      <c r="CH34" s="1889" t="s">
        <v>566</v>
      </c>
      <c r="CI34" s="1889" t="s">
        <v>566</v>
      </c>
      <c r="CJ34" s="1889" t="s">
        <v>566</v>
      </c>
      <c r="CK34" s="1889" t="s">
        <v>566</v>
      </c>
      <c r="CL34" s="1889" t="s">
        <v>566</v>
      </c>
      <c r="CM34" s="1889" t="s">
        <v>566</v>
      </c>
      <c r="CN34" s="1889" t="s">
        <v>566</v>
      </c>
      <c r="CO34" s="1889" t="s">
        <v>566</v>
      </c>
      <c r="CP34" s="1889" t="s">
        <v>566</v>
      </c>
      <c r="CQ34" s="1889" t="s">
        <v>566</v>
      </c>
      <c r="CR34" s="1889" t="s">
        <v>566</v>
      </c>
      <c r="CS34" s="1889" t="s">
        <v>566</v>
      </c>
      <c r="CT34" s="1889" t="s">
        <v>566</v>
      </c>
      <c r="CU34" s="1889" t="s">
        <v>566</v>
      </c>
      <c r="CV34" s="1889" t="s">
        <v>566</v>
      </c>
      <c r="CW34" s="1889" t="s">
        <v>566</v>
      </c>
      <c r="CX34" s="1889" t="s">
        <v>566</v>
      </c>
      <c r="CY34" s="1889" t="s">
        <v>566</v>
      </c>
      <c r="CZ34" s="1889" t="s">
        <v>566</v>
      </c>
      <c r="DA34" s="1889" t="s">
        <v>566</v>
      </c>
      <c r="DB34" s="1889" t="s">
        <v>566</v>
      </c>
      <c r="DC34" s="1889" t="s">
        <v>566</v>
      </c>
      <c r="DD34" s="1889" t="s">
        <v>566</v>
      </c>
      <c r="DE34" s="1889" t="s">
        <v>566</v>
      </c>
      <c r="DF34" s="1889" t="s">
        <v>566</v>
      </c>
      <c r="DG34" s="1889" t="s">
        <v>566</v>
      </c>
      <c r="DH34" s="1889" t="s">
        <v>566</v>
      </c>
      <c r="DI34" s="1889" t="s">
        <v>566</v>
      </c>
      <c r="DJ34" s="1889" t="s">
        <v>566</v>
      </c>
      <c r="DK34" s="1889" t="s">
        <v>566</v>
      </c>
      <c r="DL34" s="1889" t="s">
        <v>566</v>
      </c>
      <c r="DM34" s="1889" t="s">
        <v>566</v>
      </c>
      <c r="DN34" s="1889" t="s">
        <v>566</v>
      </c>
      <c r="DO34" s="1889" t="s">
        <v>566</v>
      </c>
      <c r="DP34" s="1889" t="s">
        <v>566</v>
      </c>
      <c r="DQ34" s="1889" t="s">
        <v>566</v>
      </c>
      <c r="DR34" s="1889" t="s">
        <v>566</v>
      </c>
      <c r="DS34" s="1889" t="s">
        <v>566</v>
      </c>
      <c r="DT34" s="1889" t="s">
        <v>566</v>
      </c>
      <c r="DU34" s="1889" t="s">
        <v>566</v>
      </c>
      <c r="DV34" s="1889" t="s">
        <v>566</v>
      </c>
      <c r="DW34" s="1889" t="s">
        <v>566</v>
      </c>
      <c r="DX34" s="1889" t="s">
        <v>566</v>
      </c>
      <c r="DY34" s="1889" t="s">
        <v>566</v>
      </c>
      <c r="DZ34" s="1889" t="s">
        <v>566</v>
      </c>
      <c r="EA34" s="1889" t="s">
        <v>566</v>
      </c>
      <c r="EB34" s="1889" t="s">
        <v>566</v>
      </c>
      <c r="EC34" s="1889" t="s">
        <v>566</v>
      </c>
      <c r="ED34" s="1889" t="s">
        <v>566</v>
      </c>
      <c r="EE34" s="1889" t="s">
        <v>566</v>
      </c>
      <c r="EF34" s="1889" t="s">
        <v>566</v>
      </c>
      <c r="EG34" s="1889" t="s">
        <v>566</v>
      </c>
      <c r="EH34" s="1889" t="s">
        <v>566</v>
      </c>
      <c r="EI34" s="1889" t="s">
        <v>566</v>
      </c>
      <c r="EJ34" s="1889" t="s">
        <v>566</v>
      </c>
      <c r="EK34" s="1889" t="s">
        <v>566</v>
      </c>
      <c r="EL34" s="1889" t="s">
        <v>566</v>
      </c>
      <c r="EM34" s="1889" t="s">
        <v>566</v>
      </c>
      <c r="EN34" s="1889" t="s">
        <v>566</v>
      </c>
      <c r="EO34" s="1889" t="s">
        <v>566</v>
      </c>
      <c r="EP34" s="1889" t="s">
        <v>566</v>
      </c>
      <c r="EQ34" s="1889" t="s">
        <v>566</v>
      </c>
      <c r="ER34" s="1889" t="s">
        <v>566</v>
      </c>
      <c r="ES34" s="1889" t="s">
        <v>566</v>
      </c>
      <c r="ET34" s="1889" t="s">
        <v>566</v>
      </c>
      <c r="EU34" s="1889" t="s">
        <v>566</v>
      </c>
      <c r="EV34" s="1889" t="s">
        <v>566</v>
      </c>
      <c r="EW34" s="1889" t="s">
        <v>566</v>
      </c>
      <c r="EX34" s="1889" t="s">
        <v>566</v>
      </c>
      <c r="EY34" s="1889" t="s">
        <v>566</v>
      </c>
      <c r="EZ34" s="1889" t="s">
        <v>566</v>
      </c>
      <c r="FA34" s="1889" t="s">
        <v>566</v>
      </c>
      <c r="FB34" s="1889" t="s">
        <v>566</v>
      </c>
      <c r="FC34" s="1889" t="s">
        <v>566</v>
      </c>
      <c r="FD34" s="1889" t="s">
        <v>566</v>
      </c>
      <c r="FE34" s="1889" t="s">
        <v>566</v>
      </c>
      <c r="FF34" s="1889" t="s">
        <v>566</v>
      </c>
      <c r="FG34" s="1889" t="s">
        <v>566</v>
      </c>
      <c r="FH34" s="1889" t="s">
        <v>566</v>
      </c>
      <c r="FI34" s="1889" t="s">
        <v>566</v>
      </c>
      <c r="FJ34" s="1889" t="s">
        <v>566</v>
      </c>
      <c r="FK34" s="1889" t="s">
        <v>566</v>
      </c>
      <c r="FL34" s="1889" t="s">
        <v>566</v>
      </c>
      <c r="FM34" s="1889" t="s">
        <v>566</v>
      </c>
      <c r="FN34" s="1889" t="s">
        <v>566</v>
      </c>
      <c r="FO34" s="1889" t="s">
        <v>566</v>
      </c>
      <c r="FP34" s="1889" t="s">
        <v>566</v>
      </c>
      <c r="FQ34" s="1889" t="s">
        <v>566</v>
      </c>
      <c r="FR34" s="1889" t="s">
        <v>566</v>
      </c>
      <c r="FS34" s="1889" t="s">
        <v>566</v>
      </c>
      <c r="FT34" s="1889" t="s">
        <v>566</v>
      </c>
      <c r="FU34" s="1889" t="s">
        <v>566</v>
      </c>
      <c r="FV34" s="1889" t="s">
        <v>566</v>
      </c>
      <c r="FW34" s="1889" t="s">
        <v>566</v>
      </c>
      <c r="FX34" s="1889" t="s">
        <v>566</v>
      </c>
      <c r="FY34" s="1889" t="s">
        <v>566</v>
      </c>
      <c r="FZ34" s="1889" t="s">
        <v>566</v>
      </c>
      <c r="GA34" s="1889" t="s">
        <v>566</v>
      </c>
      <c r="GB34" s="1889" t="s">
        <v>566</v>
      </c>
      <c r="GC34" s="1889" t="s">
        <v>566</v>
      </c>
      <c r="GD34" s="1889" t="s">
        <v>566</v>
      </c>
      <c r="GE34" s="1889" t="s">
        <v>566</v>
      </c>
      <c r="GF34" s="1889" t="s">
        <v>566</v>
      </c>
      <c r="GG34" s="1889" t="s">
        <v>566</v>
      </c>
      <c r="GH34" s="1889" t="s">
        <v>566</v>
      </c>
      <c r="GI34" s="1889" t="s">
        <v>566</v>
      </c>
      <c r="GJ34" s="1889" t="s">
        <v>566</v>
      </c>
      <c r="GK34" s="1889" t="s">
        <v>566</v>
      </c>
      <c r="GL34" s="1889" t="s">
        <v>566</v>
      </c>
      <c r="GM34" s="201"/>
    </row>
    <row r="35" spans="1:205" ht="11.25" customHeight="1">
      <c r="A35" s="403"/>
      <c r="C35" s="403"/>
      <c r="D35" s="257"/>
      <c r="E35" s="477" t="s">
        <v>1225</v>
      </c>
      <c r="F35" s="469"/>
      <c r="G35" s="585"/>
      <c r="H35" s="469"/>
      <c r="I35" s="585"/>
      <c r="J35" s="469"/>
      <c r="K35" s="2709"/>
      <c r="L35" s="2710"/>
      <c r="M35" s="2711"/>
      <c r="N35" s="2712"/>
      <c r="O35" s="2713"/>
      <c r="P35" s="2714"/>
      <c r="Q35" s="2715"/>
      <c r="R35" s="2716"/>
      <c r="S35" s="2717"/>
      <c r="T35" s="2718"/>
      <c r="U35" s="2719"/>
      <c r="V35" s="2720"/>
      <c r="W35" s="2721"/>
      <c r="X35" s="2722"/>
      <c r="Y35" s="2723"/>
      <c r="Z35" s="2724"/>
      <c r="AA35" s="2725"/>
      <c r="AB35" s="2726"/>
      <c r="AC35" s="2727"/>
      <c r="AD35" s="2728"/>
      <c r="AE35" s="2729"/>
      <c r="AF35" s="2730"/>
      <c r="AG35" s="2731"/>
      <c r="AH35" s="2732"/>
      <c r="AI35" s="2733"/>
      <c r="AJ35" s="2734"/>
      <c r="AK35" s="2735"/>
      <c r="AL35" s="2736"/>
      <c r="AM35" s="2737"/>
      <c r="AN35" s="2738"/>
      <c r="AO35" s="2739"/>
      <c r="AP35" s="2740"/>
      <c r="AQ35" s="2741"/>
      <c r="AR35" s="2742"/>
      <c r="AS35" s="2743"/>
      <c r="AT35" s="2744"/>
      <c r="AU35" s="2745"/>
      <c r="AV35" s="2746"/>
      <c r="AW35" s="2747"/>
      <c r="AX35" s="2748"/>
      <c r="AY35" s="2749"/>
      <c r="AZ35" s="2750"/>
      <c r="BA35" s="2751"/>
      <c r="BB35" s="2752"/>
      <c r="BC35" s="2753"/>
      <c r="BD35" s="2754"/>
      <c r="BE35" s="2755"/>
      <c r="BF35" s="2756"/>
      <c r="BG35" s="2757"/>
      <c r="BH35" s="2758"/>
      <c r="BI35" s="2759"/>
      <c r="BJ35" s="2760"/>
      <c r="BK35" s="2761"/>
      <c r="BL35" s="2762"/>
      <c r="BM35" s="2763"/>
      <c r="BN35" s="2764"/>
      <c r="BO35" s="2765"/>
      <c r="BP35" s="2766"/>
      <c r="BQ35" s="2767"/>
      <c r="BR35" s="2768"/>
      <c r="BS35" s="2769"/>
      <c r="BT35" s="2770"/>
      <c r="BU35" s="2771"/>
      <c r="BV35" s="2772"/>
      <c r="BW35" s="2773"/>
      <c r="BX35" s="2774"/>
      <c r="BY35" s="2775"/>
      <c r="BZ35" s="2776"/>
      <c r="CA35" s="2777"/>
      <c r="CB35" s="2778"/>
      <c r="CC35" s="2779"/>
      <c r="CD35" s="2780"/>
      <c r="CE35" s="2781"/>
      <c r="CF35" s="2782"/>
      <c r="CG35" s="2783"/>
      <c r="CH35" s="2784"/>
      <c r="CI35" s="2785"/>
      <c r="CJ35" s="2786"/>
      <c r="CK35" s="2787"/>
      <c r="CL35" s="2788"/>
      <c r="CM35" s="2789"/>
      <c r="CN35" s="2790"/>
      <c r="CO35" s="2791"/>
      <c r="CP35" s="2792"/>
      <c r="CQ35" s="2793"/>
      <c r="CR35" s="2794"/>
      <c r="CS35" s="2795"/>
      <c r="CT35" s="2796"/>
      <c r="CU35" s="2797"/>
      <c r="CV35" s="2798"/>
      <c r="CW35" s="2799"/>
      <c r="CX35" s="2800"/>
      <c r="CY35" s="2801"/>
      <c r="CZ35" s="2802"/>
      <c r="DA35" s="2803"/>
      <c r="DB35" s="2804"/>
      <c r="DC35" s="2805"/>
      <c r="DD35" s="2806"/>
      <c r="DE35" s="2807"/>
      <c r="DF35" s="2808"/>
      <c r="DG35" s="2809"/>
      <c r="DH35" s="2810"/>
      <c r="DI35" s="2811"/>
      <c r="DJ35" s="2812"/>
      <c r="DK35" s="2813"/>
      <c r="DL35" s="2814"/>
      <c r="DM35" s="2815"/>
      <c r="DN35" s="2816"/>
      <c r="DO35" s="2817"/>
      <c r="DP35" s="2818"/>
      <c r="DQ35" s="2819"/>
      <c r="DR35" s="2820"/>
      <c r="DS35" s="2821"/>
      <c r="DT35" s="2822"/>
      <c r="DU35" s="2823"/>
      <c r="DV35" s="2824"/>
      <c r="DW35" s="2825"/>
      <c r="DX35" s="2826"/>
      <c r="DY35" s="2827"/>
      <c r="DZ35" s="2828"/>
      <c r="EA35" s="2829"/>
      <c r="EB35" s="2830"/>
      <c r="EC35" s="2831"/>
      <c r="ED35" s="2832"/>
      <c r="EE35" s="2833"/>
      <c r="EF35" s="2834"/>
      <c r="EG35" s="2835"/>
      <c r="EH35" s="2836"/>
      <c r="EI35" s="2837"/>
      <c r="EJ35" s="2838"/>
      <c r="EK35" s="2839"/>
      <c r="EL35" s="2840"/>
      <c r="EM35" s="2841"/>
      <c r="EN35" s="2842"/>
      <c r="EO35" s="2843"/>
      <c r="EP35" s="2844"/>
      <c r="EQ35" s="2845"/>
      <c r="ER35" s="2846"/>
      <c r="ES35" s="2847"/>
      <c r="ET35" s="2848"/>
      <c r="EU35" s="2849"/>
      <c r="EV35" s="2850"/>
      <c r="EW35" s="2851"/>
      <c r="EX35" s="2852"/>
      <c r="EY35" s="2853"/>
      <c r="EZ35" s="2854"/>
      <c r="FA35" s="2855"/>
      <c r="FB35" s="2856"/>
      <c r="FC35" s="2857"/>
      <c r="FD35" s="2858"/>
      <c r="FE35" s="2859"/>
      <c r="FF35" s="2860"/>
      <c r="FG35" s="2861"/>
      <c r="FH35" s="2862"/>
      <c r="FI35" s="2863"/>
      <c r="FJ35" s="2864"/>
      <c r="FK35" s="2865"/>
      <c r="FL35" s="2866"/>
      <c r="FM35" s="2867"/>
      <c r="FN35" s="2868"/>
      <c r="FO35" s="2869"/>
      <c r="FP35" s="2870"/>
      <c r="FQ35" s="2871"/>
      <c r="FR35" s="2872"/>
      <c r="FS35" s="2873"/>
      <c r="FT35" s="2874"/>
      <c r="FU35" s="2875"/>
      <c r="FV35" s="2876"/>
      <c r="FW35" s="2877"/>
      <c r="FX35" s="2878"/>
      <c r="FY35" s="2879"/>
      <c r="FZ35" s="2880"/>
      <c r="GA35" s="2881"/>
      <c r="GB35" s="2882"/>
      <c r="GC35" s="2883"/>
      <c r="GD35" s="2884"/>
      <c r="GE35" s="2885"/>
      <c r="GF35" s="2886"/>
      <c r="GG35" s="2887"/>
      <c r="GH35" s="2888"/>
      <c r="GI35" s="2889"/>
      <c r="GJ35" s="2890"/>
      <c r="GK35" s="2891"/>
      <c r="GL35" s="2892"/>
      <c r="GM35" s="470"/>
      <c r="GW35" s="403"/>
    </row>
    <row r="36" spans="1:205" ht="67.5" customHeight="1">
      <c r="A36" s="403"/>
      <c r="B36" s="403" t="s">
        <v>1226</v>
      </c>
      <c r="C36" s="424"/>
      <c r="D36" s="583">
        <v>3</v>
      </c>
      <c r="E36" s="584" t="s">
        <v>1227</v>
      </c>
      <c r="F36" s="586" t="s">
        <v>566</v>
      </c>
      <c r="G36" s="695" t="s">
        <v>1228</v>
      </c>
      <c r="H36" s="694" t="s">
        <v>566</v>
      </c>
      <c r="I36" s="422" t="s">
        <v>1229</v>
      </c>
      <c r="J36" s="582" t="s">
        <v>566</v>
      </c>
      <c r="K36" s="1890" t="s">
        <v>1229</v>
      </c>
      <c r="L36" s="1889" t="s">
        <v>566</v>
      </c>
      <c r="M36" s="1890" t="s">
        <v>1229</v>
      </c>
      <c r="N36" s="1889" t="s">
        <v>566</v>
      </c>
      <c r="O36" s="1890" t="s">
        <v>1229</v>
      </c>
      <c r="P36" s="1889" t="s">
        <v>566</v>
      </c>
      <c r="Q36" s="1890" t="s">
        <v>1229</v>
      </c>
      <c r="R36" s="1889" t="s">
        <v>566</v>
      </c>
      <c r="S36" s="1890" t="s">
        <v>1229</v>
      </c>
      <c r="T36" s="1889" t="s">
        <v>566</v>
      </c>
      <c r="U36" s="1890" t="s">
        <v>1229</v>
      </c>
      <c r="V36" s="1889" t="s">
        <v>566</v>
      </c>
      <c r="W36" s="1890" t="s">
        <v>1229</v>
      </c>
      <c r="X36" s="1889" t="s">
        <v>566</v>
      </c>
      <c r="Y36" s="1890" t="s">
        <v>1229</v>
      </c>
      <c r="Z36" s="1889" t="s">
        <v>566</v>
      </c>
      <c r="AA36" s="1890" t="s">
        <v>1229</v>
      </c>
      <c r="AB36" s="1889" t="s">
        <v>566</v>
      </c>
      <c r="AC36" s="1890" t="s">
        <v>1229</v>
      </c>
      <c r="AD36" s="1889" t="s">
        <v>566</v>
      </c>
      <c r="AE36" s="1890" t="s">
        <v>1229</v>
      </c>
      <c r="AF36" s="1889" t="s">
        <v>566</v>
      </c>
      <c r="AG36" s="1890" t="s">
        <v>1229</v>
      </c>
      <c r="AH36" s="1889" t="s">
        <v>566</v>
      </c>
      <c r="AI36" s="1890" t="s">
        <v>1229</v>
      </c>
      <c r="AJ36" s="1889" t="s">
        <v>566</v>
      </c>
      <c r="AK36" s="1890" t="s">
        <v>1229</v>
      </c>
      <c r="AL36" s="1889" t="s">
        <v>566</v>
      </c>
      <c r="AM36" s="1890" t="s">
        <v>1229</v>
      </c>
      <c r="AN36" s="1889" t="s">
        <v>566</v>
      </c>
      <c r="AO36" s="1890" t="s">
        <v>1229</v>
      </c>
      <c r="AP36" s="1889" t="s">
        <v>566</v>
      </c>
      <c r="AQ36" s="1890" t="s">
        <v>1229</v>
      </c>
      <c r="AR36" s="1889" t="s">
        <v>566</v>
      </c>
      <c r="AS36" s="1890" t="s">
        <v>1229</v>
      </c>
      <c r="AT36" s="1889" t="s">
        <v>566</v>
      </c>
      <c r="AU36" s="1890" t="s">
        <v>1229</v>
      </c>
      <c r="AV36" s="1889" t="s">
        <v>566</v>
      </c>
      <c r="AW36" s="1890" t="s">
        <v>1229</v>
      </c>
      <c r="AX36" s="1889" t="s">
        <v>566</v>
      </c>
      <c r="AY36" s="1890" t="s">
        <v>1229</v>
      </c>
      <c r="AZ36" s="1889" t="s">
        <v>566</v>
      </c>
      <c r="BA36" s="1890" t="s">
        <v>1229</v>
      </c>
      <c r="BB36" s="1889" t="s">
        <v>566</v>
      </c>
      <c r="BC36" s="1890" t="s">
        <v>1229</v>
      </c>
      <c r="BD36" s="1889" t="s">
        <v>566</v>
      </c>
      <c r="BE36" s="1890" t="s">
        <v>1229</v>
      </c>
      <c r="BF36" s="1889" t="s">
        <v>566</v>
      </c>
      <c r="BG36" s="1890" t="s">
        <v>1229</v>
      </c>
      <c r="BH36" s="1889" t="s">
        <v>566</v>
      </c>
      <c r="BI36" s="1890" t="s">
        <v>1229</v>
      </c>
      <c r="BJ36" s="1889" t="s">
        <v>566</v>
      </c>
      <c r="BK36" s="1890" t="s">
        <v>1229</v>
      </c>
      <c r="BL36" s="1889" t="s">
        <v>566</v>
      </c>
      <c r="BM36" s="1890" t="s">
        <v>1229</v>
      </c>
      <c r="BN36" s="1889" t="s">
        <v>566</v>
      </c>
      <c r="BO36" s="1890" t="s">
        <v>1229</v>
      </c>
      <c r="BP36" s="1889" t="s">
        <v>566</v>
      </c>
      <c r="BQ36" s="1890" t="s">
        <v>1229</v>
      </c>
      <c r="BR36" s="1889" t="s">
        <v>566</v>
      </c>
      <c r="BS36" s="1890" t="s">
        <v>1229</v>
      </c>
      <c r="BT36" s="1889" t="s">
        <v>566</v>
      </c>
      <c r="BU36" s="1890" t="s">
        <v>1229</v>
      </c>
      <c r="BV36" s="1889" t="s">
        <v>566</v>
      </c>
      <c r="BW36" s="1890" t="s">
        <v>1229</v>
      </c>
      <c r="BX36" s="1889" t="s">
        <v>566</v>
      </c>
      <c r="BY36" s="1890" t="s">
        <v>1229</v>
      </c>
      <c r="BZ36" s="1889" t="s">
        <v>566</v>
      </c>
      <c r="CA36" s="1890" t="s">
        <v>1229</v>
      </c>
      <c r="CB36" s="1889" t="s">
        <v>566</v>
      </c>
      <c r="CC36" s="1890" t="s">
        <v>1229</v>
      </c>
      <c r="CD36" s="1889" t="s">
        <v>566</v>
      </c>
      <c r="CE36" s="1890" t="s">
        <v>1229</v>
      </c>
      <c r="CF36" s="1889" t="s">
        <v>566</v>
      </c>
      <c r="CG36" s="1890" t="s">
        <v>1229</v>
      </c>
      <c r="CH36" s="1889" t="s">
        <v>566</v>
      </c>
      <c r="CI36" s="1890" t="s">
        <v>1229</v>
      </c>
      <c r="CJ36" s="1889" t="s">
        <v>566</v>
      </c>
      <c r="CK36" s="1890" t="s">
        <v>1229</v>
      </c>
      <c r="CL36" s="1889" t="s">
        <v>566</v>
      </c>
      <c r="CM36" s="1890" t="s">
        <v>1229</v>
      </c>
      <c r="CN36" s="1889" t="s">
        <v>566</v>
      </c>
      <c r="CO36" s="1890" t="s">
        <v>1229</v>
      </c>
      <c r="CP36" s="1889" t="s">
        <v>566</v>
      </c>
      <c r="CQ36" s="1890" t="s">
        <v>1229</v>
      </c>
      <c r="CR36" s="1889" t="s">
        <v>566</v>
      </c>
      <c r="CS36" s="1890" t="s">
        <v>1229</v>
      </c>
      <c r="CT36" s="1889" t="s">
        <v>566</v>
      </c>
      <c r="CU36" s="1890" t="s">
        <v>1229</v>
      </c>
      <c r="CV36" s="1889" t="s">
        <v>566</v>
      </c>
      <c r="CW36" s="1890" t="s">
        <v>1229</v>
      </c>
      <c r="CX36" s="1889" t="s">
        <v>566</v>
      </c>
      <c r="CY36" s="1890" t="s">
        <v>1229</v>
      </c>
      <c r="CZ36" s="1889" t="s">
        <v>566</v>
      </c>
      <c r="DA36" s="1890" t="s">
        <v>1229</v>
      </c>
      <c r="DB36" s="1889" t="s">
        <v>566</v>
      </c>
      <c r="DC36" s="1890" t="s">
        <v>1229</v>
      </c>
      <c r="DD36" s="1889" t="s">
        <v>566</v>
      </c>
      <c r="DE36" s="1890" t="s">
        <v>1229</v>
      </c>
      <c r="DF36" s="1889" t="s">
        <v>566</v>
      </c>
      <c r="DG36" s="1890" t="s">
        <v>1229</v>
      </c>
      <c r="DH36" s="1889" t="s">
        <v>566</v>
      </c>
      <c r="DI36" s="1890" t="s">
        <v>1229</v>
      </c>
      <c r="DJ36" s="1889" t="s">
        <v>566</v>
      </c>
      <c r="DK36" s="1890" t="s">
        <v>1229</v>
      </c>
      <c r="DL36" s="1889" t="s">
        <v>566</v>
      </c>
      <c r="DM36" s="1890" t="s">
        <v>1229</v>
      </c>
      <c r="DN36" s="1889" t="s">
        <v>566</v>
      </c>
      <c r="DO36" s="1890" t="s">
        <v>1229</v>
      </c>
      <c r="DP36" s="1889" t="s">
        <v>566</v>
      </c>
      <c r="DQ36" s="1890" t="s">
        <v>1229</v>
      </c>
      <c r="DR36" s="1889" t="s">
        <v>566</v>
      </c>
      <c r="DS36" s="1890" t="s">
        <v>1229</v>
      </c>
      <c r="DT36" s="1889" t="s">
        <v>566</v>
      </c>
      <c r="DU36" s="1890" t="s">
        <v>1229</v>
      </c>
      <c r="DV36" s="1889" t="s">
        <v>566</v>
      </c>
      <c r="DW36" s="1890" t="s">
        <v>1229</v>
      </c>
      <c r="DX36" s="1889" t="s">
        <v>566</v>
      </c>
      <c r="DY36" s="1890" t="s">
        <v>1229</v>
      </c>
      <c r="DZ36" s="1889" t="s">
        <v>566</v>
      </c>
      <c r="EA36" s="1890" t="s">
        <v>1229</v>
      </c>
      <c r="EB36" s="1889" t="s">
        <v>566</v>
      </c>
      <c r="EC36" s="1890" t="s">
        <v>1229</v>
      </c>
      <c r="ED36" s="1889" t="s">
        <v>566</v>
      </c>
      <c r="EE36" s="1890" t="s">
        <v>1229</v>
      </c>
      <c r="EF36" s="1889" t="s">
        <v>566</v>
      </c>
      <c r="EG36" s="1890" t="s">
        <v>1229</v>
      </c>
      <c r="EH36" s="1889" t="s">
        <v>566</v>
      </c>
      <c r="EI36" s="1890" t="s">
        <v>1229</v>
      </c>
      <c r="EJ36" s="1889" t="s">
        <v>566</v>
      </c>
      <c r="EK36" s="1890" t="s">
        <v>1229</v>
      </c>
      <c r="EL36" s="1889" t="s">
        <v>566</v>
      </c>
      <c r="EM36" s="1890" t="s">
        <v>1229</v>
      </c>
      <c r="EN36" s="1889" t="s">
        <v>566</v>
      </c>
      <c r="EO36" s="1890" t="s">
        <v>1229</v>
      </c>
      <c r="EP36" s="1889" t="s">
        <v>566</v>
      </c>
      <c r="EQ36" s="1890" t="s">
        <v>1229</v>
      </c>
      <c r="ER36" s="1889" t="s">
        <v>566</v>
      </c>
      <c r="ES36" s="1890" t="s">
        <v>1229</v>
      </c>
      <c r="ET36" s="1889" t="s">
        <v>566</v>
      </c>
      <c r="EU36" s="1890" t="s">
        <v>1229</v>
      </c>
      <c r="EV36" s="1889" t="s">
        <v>566</v>
      </c>
      <c r="EW36" s="1890" t="s">
        <v>1229</v>
      </c>
      <c r="EX36" s="1889" t="s">
        <v>566</v>
      </c>
      <c r="EY36" s="1890" t="s">
        <v>1229</v>
      </c>
      <c r="EZ36" s="1889" t="s">
        <v>566</v>
      </c>
      <c r="FA36" s="1890" t="s">
        <v>1229</v>
      </c>
      <c r="FB36" s="1889" t="s">
        <v>566</v>
      </c>
      <c r="FC36" s="1890" t="s">
        <v>1229</v>
      </c>
      <c r="FD36" s="1889" t="s">
        <v>566</v>
      </c>
      <c r="FE36" s="1890" t="s">
        <v>1229</v>
      </c>
      <c r="FF36" s="1889" t="s">
        <v>566</v>
      </c>
      <c r="FG36" s="1890" t="s">
        <v>1229</v>
      </c>
      <c r="FH36" s="1889" t="s">
        <v>566</v>
      </c>
      <c r="FI36" s="1890" t="s">
        <v>1229</v>
      </c>
      <c r="FJ36" s="1889" t="s">
        <v>566</v>
      </c>
      <c r="FK36" s="1890" t="s">
        <v>1229</v>
      </c>
      <c r="FL36" s="1889" t="s">
        <v>566</v>
      </c>
      <c r="FM36" s="1890" t="s">
        <v>1229</v>
      </c>
      <c r="FN36" s="1889" t="s">
        <v>566</v>
      </c>
      <c r="FO36" s="1890" t="s">
        <v>1229</v>
      </c>
      <c r="FP36" s="1889" t="s">
        <v>566</v>
      </c>
      <c r="FQ36" s="1890" t="s">
        <v>1229</v>
      </c>
      <c r="FR36" s="1889" t="s">
        <v>566</v>
      </c>
      <c r="FS36" s="1890" t="s">
        <v>1229</v>
      </c>
      <c r="FT36" s="1889" t="s">
        <v>566</v>
      </c>
      <c r="FU36" s="1890" t="s">
        <v>1229</v>
      </c>
      <c r="FV36" s="1889" t="s">
        <v>566</v>
      </c>
      <c r="FW36" s="1890" t="s">
        <v>1229</v>
      </c>
      <c r="FX36" s="1889" t="s">
        <v>566</v>
      </c>
      <c r="FY36" s="1890" t="s">
        <v>1229</v>
      </c>
      <c r="FZ36" s="1889" t="s">
        <v>566</v>
      </c>
      <c r="GA36" s="1890" t="s">
        <v>1229</v>
      </c>
      <c r="GB36" s="1889" t="s">
        <v>566</v>
      </c>
      <c r="GC36" s="1890" t="s">
        <v>1229</v>
      </c>
      <c r="GD36" s="1889" t="s">
        <v>566</v>
      </c>
      <c r="GE36" s="1890" t="s">
        <v>1229</v>
      </c>
      <c r="GF36" s="1889" t="s">
        <v>566</v>
      </c>
      <c r="GG36" s="1890" t="s">
        <v>1229</v>
      </c>
      <c r="GH36" s="1889" t="s">
        <v>566</v>
      </c>
      <c r="GI36" s="1890" t="s">
        <v>1229</v>
      </c>
      <c r="GJ36" s="1889" t="s">
        <v>566</v>
      </c>
      <c r="GK36" s="1890" t="s">
        <v>1229</v>
      </c>
      <c r="GL36" s="1889" t="s">
        <v>566</v>
      </c>
      <c r="GM36" s="201" t="s">
        <v>1230</v>
      </c>
    </row>
    <row r="37" spans="1:205" ht="11.25" customHeight="1">
      <c r="A37" s="403"/>
      <c r="C37" s="403"/>
      <c r="D37" s="257"/>
      <c r="E37" s="477" t="s">
        <v>1231</v>
      </c>
      <c r="F37" s="469"/>
      <c r="G37" s="585"/>
      <c r="H37" s="585"/>
      <c r="I37" s="585"/>
      <c r="J37" s="585"/>
      <c r="K37" s="2893"/>
      <c r="L37" s="2894"/>
      <c r="M37" s="2895"/>
      <c r="N37" s="2896"/>
      <c r="O37" s="2897"/>
      <c r="P37" s="2898"/>
      <c r="Q37" s="2899"/>
      <c r="R37" s="2900"/>
      <c r="S37" s="2901"/>
      <c r="T37" s="2902"/>
      <c r="U37" s="2903"/>
      <c r="V37" s="2904"/>
      <c r="W37" s="2905"/>
      <c r="X37" s="2906"/>
      <c r="Y37" s="2907"/>
      <c r="Z37" s="2908"/>
      <c r="AA37" s="2909"/>
      <c r="AB37" s="2910"/>
      <c r="AC37" s="2911"/>
      <c r="AD37" s="2912"/>
      <c r="AE37" s="2913"/>
      <c r="AF37" s="2914"/>
      <c r="AG37" s="2915"/>
      <c r="AH37" s="2916"/>
      <c r="AI37" s="2917"/>
      <c r="AJ37" s="2918"/>
      <c r="AK37" s="2919"/>
      <c r="AL37" s="2920"/>
      <c r="AM37" s="2921"/>
      <c r="AN37" s="2922"/>
      <c r="AO37" s="2923"/>
      <c r="AP37" s="2924"/>
      <c r="AQ37" s="2925"/>
      <c r="AR37" s="2926"/>
      <c r="AS37" s="2927"/>
      <c r="AT37" s="2928"/>
      <c r="AU37" s="2929"/>
      <c r="AV37" s="2930"/>
      <c r="AW37" s="2931"/>
      <c r="AX37" s="2932"/>
      <c r="AY37" s="2933"/>
      <c r="AZ37" s="2934"/>
      <c r="BA37" s="2935"/>
      <c r="BB37" s="2936"/>
      <c r="BC37" s="2937"/>
      <c r="BD37" s="2938"/>
      <c r="BE37" s="2939"/>
      <c r="BF37" s="2940"/>
      <c r="BG37" s="2941"/>
      <c r="BH37" s="2942"/>
      <c r="BI37" s="2943"/>
      <c r="BJ37" s="2944"/>
      <c r="BK37" s="2945"/>
      <c r="BL37" s="2946"/>
      <c r="BM37" s="2947"/>
      <c r="BN37" s="2948"/>
      <c r="BO37" s="2949"/>
      <c r="BP37" s="2950"/>
      <c r="BQ37" s="2951"/>
      <c r="BR37" s="2952"/>
      <c r="BS37" s="2953"/>
      <c r="BT37" s="2954"/>
      <c r="BU37" s="2955"/>
      <c r="BV37" s="2956"/>
      <c r="BW37" s="2957"/>
      <c r="BX37" s="2958"/>
      <c r="BY37" s="2959"/>
      <c r="BZ37" s="2960"/>
      <c r="CA37" s="2961"/>
      <c r="CB37" s="2962"/>
      <c r="CC37" s="2963"/>
      <c r="CD37" s="2964"/>
      <c r="CE37" s="2965"/>
      <c r="CF37" s="2966"/>
      <c r="CG37" s="2967"/>
      <c r="CH37" s="2968"/>
      <c r="CI37" s="2969"/>
      <c r="CJ37" s="2970"/>
      <c r="CK37" s="2971"/>
      <c r="CL37" s="2972"/>
      <c r="CM37" s="2973"/>
      <c r="CN37" s="2974"/>
      <c r="CO37" s="2975"/>
      <c r="CP37" s="2976"/>
      <c r="CQ37" s="2977"/>
      <c r="CR37" s="2978"/>
      <c r="CS37" s="2979"/>
      <c r="CT37" s="2980"/>
      <c r="CU37" s="2981"/>
      <c r="CV37" s="2982"/>
      <c r="CW37" s="2983"/>
      <c r="CX37" s="2984"/>
      <c r="CY37" s="2985"/>
      <c r="CZ37" s="2986"/>
      <c r="DA37" s="2987"/>
      <c r="DB37" s="2988"/>
      <c r="DC37" s="2989"/>
      <c r="DD37" s="2990"/>
      <c r="DE37" s="2991"/>
      <c r="DF37" s="2992"/>
      <c r="DG37" s="2993"/>
      <c r="DH37" s="2994"/>
      <c r="DI37" s="2995"/>
      <c r="DJ37" s="2996"/>
      <c r="DK37" s="2997"/>
      <c r="DL37" s="2998"/>
      <c r="DM37" s="2999"/>
      <c r="DN37" s="3000"/>
      <c r="DO37" s="3001"/>
      <c r="DP37" s="3002"/>
      <c r="DQ37" s="3003"/>
      <c r="DR37" s="3004"/>
      <c r="DS37" s="3005"/>
      <c r="DT37" s="3006"/>
      <c r="DU37" s="3007"/>
      <c r="DV37" s="3008"/>
      <c r="DW37" s="3009"/>
      <c r="DX37" s="3010"/>
      <c r="DY37" s="3011"/>
      <c r="DZ37" s="3012"/>
      <c r="EA37" s="3013"/>
      <c r="EB37" s="3014"/>
      <c r="EC37" s="3015"/>
      <c r="ED37" s="3016"/>
      <c r="EE37" s="3017"/>
      <c r="EF37" s="3018"/>
      <c r="EG37" s="3019"/>
      <c r="EH37" s="3020"/>
      <c r="EI37" s="3021"/>
      <c r="EJ37" s="3022"/>
      <c r="EK37" s="3023"/>
      <c r="EL37" s="3024"/>
      <c r="EM37" s="3025"/>
      <c r="EN37" s="3026"/>
      <c r="EO37" s="3027"/>
      <c r="EP37" s="3028"/>
      <c r="EQ37" s="3029"/>
      <c r="ER37" s="3030"/>
      <c r="ES37" s="3031"/>
      <c r="ET37" s="3032"/>
      <c r="EU37" s="3033"/>
      <c r="EV37" s="3034"/>
      <c r="EW37" s="3035"/>
      <c r="EX37" s="3036"/>
      <c r="EY37" s="3037"/>
      <c r="EZ37" s="3038"/>
      <c r="FA37" s="3039"/>
      <c r="FB37" s="3040"/>
      <c r="FC37" s="3041"/>
      <c r="FD37" s="3042"/>
      <c r="FE37" s="3043"/>
      <c r="FF37" s="3044"/>
      <c r="FG37" s="3045"/>
      <c r="FH37" s="3046"/>
      <c r="FI37" s="3047"/>
      <c r="FJ37" s="3048"/>
      <c r="FK37" s="3049"/>
      <c r="FL37" s="3050"/>
      <c r="FM37" s="3051"/>
      <c r="FN37" s="3052"/>
      <c r="FO37" s="3053"/>
      <c r="FP37" s="3054"/>
      <c r="FQ37" s="3055"/>
      <c r="FR37" s="3056"/>
      <c r="FS37" s="3057"/>
      <c r="FT37" s="3058"/>
      <c r="FU37" s="3059"/>
      <c r="FV37" s="3060"/>
      <c r="FW37" s="3061"/>
      <c r="FX37" s="3062"/>
      <c r="FY37" s="3063"/>
      <c r="FZ37" s="3064"/>
      <c r="GA37" s="3065"/>
      <c r="GB37" s="3066"/>
      <c r="GC37" s="3067"/>
      <c r="GD37" s="3068"/>
      <c r="GE37" s="3069"/>
      <c r="GF37" s="3070"/>
      <c r="GG37" s="3071"/>
      <c r="GH37" s="3072"/>
      <c r="GI37" s="3073"/>
      <c r="GJ37" s="3074"/>
      <c r="GK37" s="3075"/>
      <c r="GL37" s="3076"/>
      <c r="GM37" s="470"/>
      <c r="GW37" s="403"/>
    </row>
    <row r="38" spans="1:205" ht="67.5" customHeight="1">
      <c r="A38" s="403"/>
      <c r="B38" s="403" t="s">
        <v>1232</v>
      </c>
      <c r="C38" s="424"/>
      <c r="D38" s="583">
        <v>4</v>
      </c>
      <c r="E38" s="584" t="s">
        <v>1233</v>
      </c>
      <c r="F38" s="586" t="s">
        <v>566</v>
      </c>
      <c r="G38" s="695" t="s">
        <v>1228</v>
      </c>
      <c r="H38" s="696" t="s">
        <v>566</v>
      </c>
      <c r="I38" s="422" t="s">
        <v>1229</v>
      </c>
      <c r="J38" s="419" t="s">
        <v>566</v>
      </c>
      <c r="K38" s="1890" t="s">
        <v>1229</v>
      </c>
      <c r="L38" s="1933" t="s">
        <v>566</v>
      </c>
      <c r="M38" s="1890" t="s">
        <v>1229</v>
      </c>
      <c r="N38" s="1933" t="s">
        <v>566</v>
      </c>
      <c r="O38" s="1890" t="s">
        <v>1229</v>
      </c>
      <c r="P38" s="1933" t="s">
        <v>566</v>
      </c>
      <c r="Q38" s="1890" t="s">
        <v>1229</v>
      </c>
      <c r="R38" s="1933" t="s">
        <v>566</v>
      </c>
      <c r="S38" s="1890" t="s">
        <v>1229</v>
      </c>
      <c r="T38" s="1933" t="s">
        <v>566</v>
      </c>
      <c r="U38" s="1890" t="s">
        <v>1229</v>
      </c>
      <c r="V38" s="1933" t="s">
        <v>566</v>
      </c>
      <c r="W38" s="1890" t="s">
        <v>1229</v>
      </c>
      <c r="X38" s="1933" t="s">
        <v>566</v>
      </c>
      <c r="Y38" s="1890" t="s">
        <v>1229</v>
      </c>
      <c r="Z38" s="1933" t="s">
        <v>566</v>
      </c>
      <c r="AA38" s="1890" t="s">
        <v>1229</v>
      </c>
      <c r="AB38" s="1933" t="s">
        <v>566</v>
      </c>
      <c r="AC38" s="1890" t="s">
        <v>1229</v>
      </c>
      <c r="AD38" s="1933" t="s">
        <v>566</v>
      </c>
      <c r="AE38" s="1890" t="s">
        <v>1229</v>
      </c>
      <c r="AF38" s="1933" t="s">
        <v>566</v>
      </c>
      <c r="AG38" s="1890" t="s">
        <v>1229</v>
      </c>
      <c r="AH38" s="1933" t="s">
        <v>566</v>
      </c>
      <c r="AI38" s="1890" t="s">
        <v>1229</v>
      </c>
      <c r="AJ38" s="1933" t="s">
        <v>566</v>
      </c>
      <c r="AK38" s="1890" t="s">
        <v>1229</v>
      </c>
      <c r="AL38" s="1933" t="s">
        <v>566</v>
      </c>
      <c r="AM38" s="1890" t="s">
        <v>1229</v>
      </c>
      <c r="AN38" s="1933" t="s">
        <v>566</v>
      </c>
      <c r="AO38" s="1890" t="s">
        <v>1229</v>
      </c>
      <c r="AP38" s="1933" t="s">
        <v>566</v>
      </c>
      <c r="AQ38" s="1890" t="s">
        <v>1229</v>
      </c>
      <c r="AR38" s="1933" t="s">
        <v>566</v>
      </c>
      <c r="AS38" s="1890" t="s">
        <v>1229</v>
      </c>
      <c r="AT38" s="1933" t="s">
        <v>566</v>
      </c>
      <c r="AU38" s="1890" t="s">
        <v>1229</v>
      </c>
      <c r="AV38" s="1933" t="s">
        <v>566</v>
      </c>
      <c r="AW38" s="1890" t="s">
        <v>1229</v>
      </c>
      <c r="AX38" s="1933" t="s">
        <v>566</v>
      </c>
      <c r="AY38" s="1890" t="s">
        <v>1229</v>
      </c>
      <c r="AZ38" s="1933" t="s">
        <v>566</v>
      </c>
      <c r="BA38" s="1890" t="s">
        <v>1229</v>
      </c>
      <c r="BB38" s="1933" t="s">
        <v>566</v>
      </c>
      <c r="BC38" s="1890" t="s">
        <v>1229</v>
      </c>
      <c r="BD38" s="1933" t="s">
        <v>566</v>
      </c>
      <c r="BE38" s="1890" t="s">
        <v>1229</v>
      </c>
      <c r="BF38" s="1933" t="s">
        <v>566</v>
      </c>
      <c r="BG38" s="1890" t="s">
        <v>1229</v>
      </c>
      <c r="BH38" s="1933" t="s">
        <v>566</v>
      </c>
      <c r="BI38" s="1890" t="s">
        <v>1229</v>
      </c>
      <c r="BJ38" s="1933" t="s">
        <v>566</v>
      </c>
      <c r="BK38" s="1890" t="s">
        <v>1229</v>
      </c>
      <c r="BL38" s="1933" t="s">
        <v>566</v>
      </c>
      <c r="BM38" s="1890" t="s">
        <v>1229</v>
      </c>
      <c r="BN38" s="1933" t="s">
        <v>566</v>
      </c>
      <c r="BO38" s="1890" t="s">
        <v>1229</v>
      </c>
      <c r="BP38" s="1933" t="s">
        <v>566</v>
      </c>
      <c r="BQ38" s="1890" t="s">
        <v>1229</v>
      </c>
      <c r="BR38" s="1933" t="s">
        <v>566</v>
      </c>
      <c r="BS38" s="1890" t="s">
        <v>1229</v>
      </c>
      <c r="BT38" s="1933" t="s">
        <v>566</v>
      </c>
      <c r="BU38" s="1890" t="s">
        <v>1229</v>
      </c>
      <c r="BV38" s="1933" t="s">
        <v>566</v>
      </c>
      <c r="BW38" s="1890" t="s">
        <v>1229</v>
      </c>
      <c r="BX38" s="1933" t="s">
        <v>566</v>
      </c>
      <c r="BY38" s="1890" t="s">
        <v>1229</v>
      </c>
      <c r="BZ38" s="1933" t="s">
        <v>566</v>
      </c>
      <c r="CA38" s="1890" t="s">
        <v>1229</v>
      </c>
      <c r="CB38" s="1933" t="s">
        <v>566</v>
      </c>
      <c r="CC38" s="1890" t="s">
        <v>1229</v>
      </c>
      <c r="CD38" s="1933" t="s">
        <v>566</v>
      </c>
      <c r="CE38" s="1890" t="s">
        <v>1229</v>
      </c>
      <c r="CF38" s="1933" t="s">
        <v>566</v>
      </c>
      <c r="CG38" s="1890" t="s">
        <v>1229</v>
      </c>
      <c r="CH38" s="1933" t="s">
        <v>566</v>
      </c>
      <c r="CI38" s="1890" t="s">
        <v>1229</v>
      </c>
      <c r="CJ38" s="1933" t="s">
        <v>566</v>
      </c>
      <c r="CK38" s="1890" t="s">
        <v>1229</v>
      </c>
      <c r="CL38" s="1933" t="s">
        <v>566</v>
      </c>
      <c r="CM38" s="1890" t="s">
        <v>1229</v>
      </c>
      <c r="CN38" s="1933" t="s">
        <v>566</v>
      </c>
      <c r="CO38" s="1890" t="s">
        <v>1229</v>
      </c>
      <c r="CP38" s="1933" t="s">
        <v>566</v>
      </c>
      <c r="CQ38" s="1890" t="s">
        <v>1229</v>
      </c>
      <c r="CR38" s="1933" t="s">
        <v>566</v>
      </c>
      <c r="CS38" s="1890" t="s">
        <v>1229</v>
      </c>
      <c r="CT38" s="1933" t="s">
        <v>566</v>
      </c>
      <c r="CU38" s="1890" t="s">
        <v>1229</v>
      </c>
      <c r="CV38" s="1933" t="s">
        <v>566</v>
      </c>
      <c r="CW38" s="1890" t="s">
        <v>1229</v>
      </c>
      <c r="CX38" s="1933" t="s">
        <v>566</v>
      </c>
      <c r="CY38" s="1890" t="s">
        <v>1229</v>
      </c>
      <c r="CZ38" s="1933" t="s">
        <v>566</v>
      </c>
      <c r="DA38" s="1890" t="s">
        <v>1229</v>
      </c>
      <c r="DB38" s="1933" t="s">
        <v>566</v>
      </c>
      <c r="DC38" s="1890" t="s">
        <v>1229</v>
      </c>
      <c r="DD38" s="1933" t="s">
        <v>566</v>
      </c>
      <c r="DE38" s="1890" t="s">
        <v>1229</v>
      </c>
      <c r="DF38" s="1933" t="s">
        <v>566</v>
      </c>
      <c r="DG38" s="1890" t="s">
        <v>1229</v>
      </c>
      <c r="DH38" s="1933" t="s">
        <v>566</v>
      </c>
      <c r="DI38" s="1890" t="s">
        <v>1229</v>
      </c>
      <c r="DJ38" s="1933" t="s">
        <v>566</v>
      </c>
      <c r="DK38" s="1890" t="s">
        <v>1229</v>
      </c>
      <c r="DL38" s="1933" t="s">
        <v>566</v>
      </c>
      <c r="DM38" s="1890" t="s">
        <v>1229</v>
      </c>
      <c r="DN38" s="1933" t="s">
        <v>566</v>
      </c>
      <c r="DO38" s="1890" t="s">
        <v>1229</v>
      </c>
      <c r="DP38" s="1933" t="s">
        <v>566</v>
      </c>
      <c r="DQ38" s="1890" t="s">
        <v>1229</v>
      </c>
      <c r="DR38" s="1933" t="s">
        <v>566</v>
      </c>
      <c r="DS38" s="1890" t="s">
        <v>1229</v>
      </c>
      <c r="DT38" s="1933" t="s">
        <v>566</v>
      </c>
      <c r="DU38" s="1890" t="s">
        <v>1229</v>
      </c>
      <c r="DV38" s="1933" t="s">
        <v>566</v>
      </c>
      <c r="DW38" s="1890" t="s">
        <v>1229</v>
      </c>
      <c r="DX38" s="1933" t="s">
        <v>566</v>
      </c>
      <c r="DY38" s="1890" t="s">
        <v>1229</v>
      </c>
      <c r="DZ38" s="1933" t="s">
        <v>566</v>
      </c>
      <c r="EA38" s="1890" t="s">
        <v>1229</v>
      </c>
      <c r="EB38" s="1933" t="s">
        <v>566</v>
      </c>
      <c r="EC38" s="1890" t="s">
        <v>1229</v>
      </c>
      <c r="ED38" s="1933" t="s">
        <v>566</v>
      </c>
      <c r="EE38" s="1890" t="s">
        <v>1229</v>
      </c>
      <c r="EF38" s="1933" t="s">
        <v>566</v>
      </c>
      <c r="EG38" s="1890" t="s">
        <v>1229</v>
      </c>
      <c r="EH38" s="1933" t="s">
        <v>566</v>
      </c>
      <c r="EI38" s="1890" t="s">
        <v>1229</v>
      </c>
      <c r="EJ38" s="1933" t="s">
        <v>566</v>
      </c>
      <c r="EK38" s="1890" t="s">
        <v>1229</v>
      </c>
      <c r="EL38" s="1933" t="s">
        <v>566</v>
      </c>
      <c r="EM38" s="1890" t="s">
        <v>1229</v>
      </c>
      <c r="EN38" s="1933" t="s">
        <v>566</v>
      </c>
      <c r="EO38" s="1890" t="s">
        <v>1229</v>
      </c>
      <c r="EP38" s="1933" t="s">
        <v>566</v>
      </c>
      <c r="EQ38" s="1890" t="s">
        <v>1229</v>
      </c>
      <c r="ER38" s="1933" t="s">
        <v>566</v>
      </c>
      <c r="ES38" s="1890" t="s">
        <v>1229</v>
      </c>
      <c r="ET38" s="1933" t="s">
        <v>566</v>
      </c>
      <c r="EU38" s="1890" t="s">
        <v>1229</v>
      </c>
      <c r="EV38" s="1933" t="s">
        <v>566</v>
      </c>
      <c r="EW38" s="1890" t="s">
        <v>1229</v>
      </c>
      <c r="EX38" s="1933" t="s">
        <v>566</v>
      </c>
      <c r="EY38" s="1890" t="s">
        <v>1229</v>
      </c>
      <c r="EZ38" s="1933" t="s">
        <v>566</v>
      </c>
      <c r="FA38" s="1890" t="s">
        <v>1229</v>
      </c>
      <c r="FB38" s="1933" t="s">
        <v>566</v>
      </c>
      <c r="FC38" s="1890" t="s">
        <v>1229</v>
      </c>
      <c r="FD38" s="1933" t="s">
        <v>566</v>
      </c>
      <c r="FE38" s="1890" t="s">
        <v>1229</v>
      </c>
      <c r="FF38" s="1933" t="s">
        <v>566</v>
      </c>
      <c r="FG38" s="1890" t="s">
        <v>1229</v>
      </c>
      <c r="FH38" s="1933" t="s">
        <v>566</v>
      </c>
      <c r="FI38" s="1890" t="s">
        <v>1229</v>
      </c>
      <c r="FJ38" s="1933" t="s">
        <v>566</v>
      </c>
      <c r="FK38" s="1890" t="s">
        <v>1229</v>
      </c>
      <c r="FL38" s="1933" t="s">
        <v>566</v>
      </c>
      <c r="FM38" s="1890" t="s">
        <v>1229</v>
      </c>
      <c r="FN38" s="1933" t="s">
        <v>566</v>
      </c>
      <c r="FO38" s="1890" t="s">
        <v>1229</v>
      </c>
      <c r="FP38" s="1933" t="s">
        <v>566</v>
      </c>
      <c r="FQ38" s="1890" t="s">
        <v>1229</v>
      </c>
      <c r="FR38" s="1933" t="s">
        <v>566</v>
      </c>
      <c r="FS38" s="1890" t="s">
        <v>1229</v>
      </c>
      <c r="FT38" s="1933" t="s">
        <v>566</v>
      </c>
      <c r="FU38" s="1890" t="s">
        <v>1229</v>
      </c>
      <c r="FV38" s="1933" t="s">
        <v>566</v>
      </c>
      <c r="FW38" s="1890" t="s">
        <v>1229</v>
      </c>
      <c r="FX38" s="1933" t="s">
        <v>566</v>
      </c>
      <c r="FY38" s="1890" t="s">
        <v>1229</v>
      </c>
      <c r="FZ38" s="1933" t="s">
        <v>566</v>
      </c>
      <c r="GA38" s="1890" t="s">
        <v>1229</v>
      </c>
      <c r="GB38" s="1933" t="s">
        <v>566</v>
      </c>
      <c r="GC38" s="1890" t="s">
        <v>1229</v>
      </c>
      <c r="GD38" s="1933" t="s">
        <v>566</v>
      </c>
      <c r="GE38" s="1890" t="s">
        <v>1229</v>
      </c>
      <c r="GF38" s="1933" t="s">
        <v>566</v>
      </c>
      <c r="GG38" s="1890" t="s">
        <v>1229</v>
      </c>
      <c r="GH38" s="1933" t="s">
        <v>566</v>
      </c>
      <c r="GI38" s="1890" t="s">
        <v>1229</v>
      </c>
      <c r="GJ38" s="1933" t="s">
        <v>566</v>
      </c>
      <c r="GK38" s="1890" t="s">
        <v>1229</v>
      </c>
      <c r="GL38" s="1933" t="s">
        <v>566</v>
      </c>
      <c r="GM38" s="571" t="s">
        <v>1234</v>
      </c>
    </row>
    <row r="39" spans="1:205" ht="11.25" customHeight="1">
      <c r="A39" s="403"/>
      <c r="C39" s="403"/>
      <c r="D39" s="257"/>
      <c r="E39" s="477" t="s">
        <v>1235</v>
      </c>
      <c r="F39" s="469"/>
      <c r="G39" s="469"/>
      <c r="H39" s="587"/>
      <c r="I39" s="469"/>
      <c r="J39" s="587"/>
      <c r="K39" s="3077"/>
      <c r="L39" s="3078"/>
      <c r="M39" s="3079"/>
      <c r="N39" s="3080"/>
      <c r="O39" s="3081"/>
      <c r="P39" s="3082"/>
      <c r="Q39" s="3083"/>
      <c r="R39" s="3084"/>
      <c r="S39" s="3085"/>
      <c r="T39" s="3086"/>
      <c r="U39" s="3087"/>
      <c r="V39" s="3088"/>
      <c r="W39" s="3089"/>
      <c r="X39" s="3090"/>
      <c r="Y39" s="3091"/>
      <c r="Z39" s="3092"/>
      <c r="AA39" s="3093"/>
      <c r="AB39" s="3094"/>
      <c r="AC39" s="3095"/>
      <c r="AD39" s="3096"/>
      <c r="AE39" s="3097"/>
      <c r="AF39" s="3098"/>
      <c r="AG39" s="3099"/>
      <c r="AH39" s="3100"/>
      <c r="AI39" s="3101"/>
      <c r="AJ39" s="3102"/>
      <c r="AK39" s="3103"/>
      <c r="AL39" s="3104"/>
      <c r="AM39" s="3105"/>
      <c r="AN39" s="3106"/>
      <c r="AO39" s="3107"/>
      <c r="AP39" s="3108"/>
      <c r="AQ39" s="3109"/>
      <c r="AR39" s="3110"/>
      <c r="AS39" s="3111"/>
      <c r="AT39" s="3112"/>
      <c r="AU39" s="3113"/>
      <c r="AV39" s="3114"/>
      <c r="AW39" s="3115"/>
      <c r="AX39" s="3116"/>
      <c r="AY39" s="3117"/>
      <c r="AZ39" s="3118"/>
      <c r="BA39" s="3119"/>
      <c r="BB39" s="3120"/>
      <c r="BC39" s="3121"/>
      <c r="BD39" s="3122"/>
      <c r="BE39" s="3123"/>
      <c r="BF39" s="3124"/>
      <c r="BG39" s="3125"/>
      <c r="BH39" s="3126"/>
      <c r="BI39" s="3127"/>
      <c r="BJ39" s="3128"/>
      <c r="BK39" s="3129"/>
      <c r="BL39" s="3130"/>
      <c r="BM39" s="3131"/>
      <c r="BN39" s="3132"/>
      <c r="BO39" s="3133"/>
      <c r="BP39" s="3134"/>
      <c r="BQ39" s="3135"/>
      <c r="BR39" s="3136"/>
      <c r="BS39" s="3137"/>
      <c r="BT39" s="3138"/>
      <c r="BU39" s="3139"/>
      <c r="BV39" s="3140"/>
      <c r="BW39" s="3141"/>
      <c r="BX39" s="3142"/>
      <c r="BY39" s="3143"/>
      <c r="BZ39" s="3144"/>
      <c r="CA39" s="3145"/>
      <c r="CB39" s="3146"/>
      <c r="CC39" s="3147"/>
      <c r="CD39" s="3148"/>
      <c r="CE39" s="3149"/>
      <c r="CF39" s="3150"/>
      <c r="CG39" s="3151"/>
      <c r="CH39" s="3152"/>
      <c r="CI39" s="3153"/>
      <c r="CJ39" s="3154"/>
      <c r="CK39" s="3155"/>
      <c r="CL39" s="3156"/>
      <c r="CM39" s="3157"/>
      <c r="CN39" s="3158"/>
      <c r="CO39" s="3159"/>
      <c r="CP39" s="3160"/>
      <c r="CQ39" s="3161"/>
      <c r="CR39" s="3162"/>
      <c r="CS39" s="3163"/>
      <c r="CT39" s="3164"/>
      <c r="CU39" s="3165"/>
      <c r="CV39" s="3166"/>
      <c r="CW39" s="3167"/>
      <c r="CX39" s="3168"/>
      <c r="CY39" s="3169"/>
      <c r="CZ39" s="3170"/>
      <c r="DA39" s="3171"/>
      <c r="DB39" s="3172"/>
      <c r="DC39" s="3173"/>
      <c r="DD39" s="3174"/>
      <c r="DE39" s="3175"/>
      <c r="DF39" s="3176"/>
      <c r="DG39" s="3177"/>
      <c r="DH39" s="3178"/>
      <c r="DI39" s="3179"/>
      <c r="DJ39" s="3180"/>
      <c r="DK39" s="3181"/>
      <c r="DL39" s="3182"/>
      <c r="DM39" s="3183"/>
      <c r="DN39" s="3184"/>
      <c r="DO39" s="3185"/>
      <c r="DP39" s="3186"/>
      <c r="DQ39" s="3187"/>
      <c r="DR39" s="3188"/>
      <c r="DS39" s="3189"/>
      <c r="DT39" s="3190"/>
      <c r="DU39" s="3191"/>
      <c r="DV39" s="3192"/>
      <c r="DW39" s="3193"/>
      <c r="DX39" s="3194"/>
      <c r="DY39" s="3195"/>
      <c r="DZ39" s="3196"/>
      <c r="EA39" s="3197"/>
      <c r="EB39" s="3198"/>
      <c r="EC39" s="3199"/>
      <c r="ED39" s="3200"/>
      <c r="EE39" s="3201"/>
      <c r="EF39" s="3202"/>
      <c r="EG39" s="3203"/>
      <c r="EH39" s="3204"/>
      <c r="EI39" s="3205"/>
      <c r="EJ39" s="3206"/>
      <c r="EK39" s="3207"/>
      <c r="EL39" s="3208"/>
      <c r="EM39" s="3209"/>
      <c r="EN39" s="3210"/>
      <c r="EO39" s="3211"/>
      <c r="EP39" s="3212"/>
      <c r="EQ39" s="3213"/>
      <c r="ER39" s="3214"/>
      <c r="ES39" s="3215"/>
      <c r="ET39" s="3216"/>
      <c r="EU39" s="3217"/>
      <c r="EV39" s="3218"/>
      <c r="EW39" s="3219"/>
      <c r="EX39" s="3220"/>
      <c r="EY39" s="3221"/>
      <c r="EZ39" s="3222"/>
      <c r="FA39" s="3223"/>
      <c r="FB39" s="3224"/>
      <c r="FC39" s="3225"/>
      <c r="FD39" s="3226"/>
      <c r="FE39" s="3227"/>
      <c r="FF39" s="3228"/>
      <c r="FG39" s="3229"/>
      <c r="FH39" s="3230"/>
      <c r="FI39" s="3231"/>
      <c r="FJ39" s="3232"/>
      <c r="FK39" s="3233"/>
      <c r="FL39" s="3234"/>
      <c r="FM39" s="3235"/>
      <c r="FN39" s="3236"/>
      <c r="FO39" s="3237"/>
      <c r="FP39" s="3238"/>
      <c r="FQ39" s="3239"/>
      <c r="FR39" s="3240"/>
      <c r="FS39" s="3241"/>
      <c r="FT39" s="3242"/>
      <c r="FU39" s="3243"/>
      <c r="FV39" s="3244"/>
      <c r="FW39" s="3245"/>
      <c r="FX39" s="3246"/>
      <c r="FY39" s="3247"/>
      <c r="FZ39" s="3248"/>
      <c r="GA39" s="3249"/>
      <c r="GB39" s="3250"/>
      <c r="GC39" s="3251"/>
      <c r="GD39" s="3252"/>
      <c r="GE39" s="3253"/>
      <c r="GF39" s="3254"/>
      <c r="GG39" s="3255"/>
      <c r="GH39" s="3256"/>
      <c r="GI39" s="3257"/>
      <c r="GJ39" s="3258"/>
      <c r="GK39" s="3259"/>
      <c r="GL39" s="3260"/>
      <c r="GM39" s="470"/>
      <c r="GW39" s="403"/>
    </row>
  </sheetData>
  <sheetProtection formatColumns="0" formatRows="0" insertRows="0" deleteColumns="0" deleteRows="0" sort="0" autoFilter="0"/>
  <mergeCells count="297">
    <mergeCell ref="GK28:GL28"/>
    <mergeCell ref="GK26:GL26"/>
    <mergeCell ref="GK27:GL27"/>
    <mergeCell ref="GE28:GF28"/>
    <mergeCell ref="GE26:GF26"/>
    <mergeCell ref="GE27:GF27"/>
    <mergeCell ref="GG28:GH28"/>
    <mergeCell ref="GG26:GH26"/>
    <mergeCell ref="GG27:GH27"/>
    <mergeCell ref="GI28:GJ28"/>
    <mergeCell ref="GI26:GJ26"/>
    <mergeCell ref="GI27:GJ27"/>
    <mergeCell ref="FY28:FZ28"/>
    <mergeCell ref="FY26:FZ26"/>
    <mergeCell ref="FY27:FZ27"/>
    <mergeCell ref="GA28:GB28"/>
    <mergeCell ref="GA26:GB26"/>
    <mergeCell ref="GA27:GB27"/>
    <mergeCell ref="GC28:GD28"/>
    <mergeCell ref="GC26:GD26"/>
    <mergeCell ref="GC27:GD27"/>
    <mergeCell ref="FS28:FT28"/>
    <mergeCell ref="FS26:FT26"/>
    <mergeCell ref="FS27:FT27"/>
    <mergeCell ref="FU28:FV28"/>
    <mergeCell ref="FU26:FV26"/>
    <mergeCell ref="FU27:FV27"/>
    <mergeCell ref="FW28:FX28"/>
    <mergeCell ref="FW26:FX26"/>
    <mergeCell ref="FW27:FX27"/>
    <mergeCell ref="FM28:FN28"/>
    <mergeCell ref="FM26:FN26"/>
    <mergeCell ref="FM27:FN27"/>
    <mergeCell ref="FO28:FP28"/>
    <mergeCell ref="FO26:FP26"/>
    <mergeCell ref="FO27:FP27"/>
    <mergeCell ref="FQ28:FR28"/>
    <mergeCell ref="FQ26:FR26"/>
    <mergeCell ref="FQ27:FR27"/>
    <mergeCell ref="FG28:FH28"/>
    <mergeCell ref="FG26:FH26"/>
    <mergeCell ref="FG27:FH27"/>
    <mergeCell ref="FI28:FJ28"/>
    <mergeCell ref="FI26:FJ26"/>
    <mergeCell ref="FI27:FJ27"/>
    <mergeCell ref="FK28:FL28"/>
    <mergeCell ref="FK26:FL26"/>
    <mergeCell ref="FK27:FL27"/>
    <mergeCell ref="FA28:FB28"/>
    <mergeCell ref="FA26:FB26"/>
    <mergeCell ref="FA27:FB27"/>
    <mergeCell ref="FC28:FD28"/>
    <mergeCell ref="FC26:FD26"/>
    <mergeCell ref="FC27:FD27"/>
    <mergeCell ref="FE28:FF28"/>
    <mergeCell ref="FE26:FF26"/>
    <mergeCell ref="FE27:FF27"/>
    <mergeCell ref="EU28:EV28"/>
    <mergeCell ref="EU26:EV26"/>
    <mergeCell ref="EU27:EV27"/>
    <mergeCell ref="EW28:EX28"/>
    <mergeCell ref="EW26:EX26"/>
    <mergeCell ref="EW27:EX27"/>
    <mergeCell ref="EY28:EZ28"/>
    <mergeCell ref="EY26:EZ26"/>
    <mergeCell ref="EY27:EZ27"/>
    <mergeCell ref="EO28:EP28"/>
    <mergeCell ref="EO26:EP26"/>
    <mergeCell ref="EO27:EP27"/>
    <mergeCell ref="EQ28:ER28"/>
    <mergeCell ref="EQ26:ER26"/>
    <mergeCell ref="EQ27:ER27"/>
    <mergeCell ref="ES28:ET28"/>
    <mergeCell ref="ES26:ET26"/>
    <mergeCell ref="ES27:ET27"/>
    <mergeCell ref="EI28:EJ28"/>
    <mergeCell ref="EI26:EJ26"/>
    <mergeCell ref="EI27:EJ27"/>
    <mergeCell ref="EK28:EL28"/>
    <mergeCell ref="EK26:EL26"/>
    <mergeCell ref="EK27:EL27"/>
    <mergeCell ref="EM28:EN28"/>
    <mergeCell ref="EM26:EN26"/>
    <mergeCell ref="EM27:EN27"/>
    <mergeCell ref="EC28:ED28"/>
    <mergeCell ref="EC26:ED26"/>
    <mergeCell ref="EC27:ED27"/>
    <mergeCell ref="EE28:EF28"/>
    <mergeCell ref="EE26:EF26"/>
    <mergeCell ref="EE27:EF27"/>
    <mergeCell ref="EG28:EH28"/>
    <mergeCell ref="EG26:EH26"/>
    <mergeCell ref="EG27:EH27"/>
    <mergeCell ref="DW28:DX28"/>
    <mergeCell ref="DW26:DX26"/>
    <mergeCell ref="DW27:DX27"/>
    <mergeCell ref="DY28:DZ28"/>
    <mergeCell ref="DY26:DZ26"/>
    <mergeCell ref="DY27:DZ27"/>
    <mergeCell ref="EA28:EB28"/>
    <mergeCell ref="EA26:EB26"/>
    <mergeCell ref="EA27:EB27"/>
    <mergeCell ref="DQ28:DR28"/>
    <mergeCell ref="DQ26:DR26"/>
    <mergeCell ref="DQ27:DR27"/>
    <mergeCell ref="DS28:DT28"/>
    <mergeCell ref="DS26:DT26"/>
    <mergeCell ref="DS27:DT27"/>
    <mergeCell ref="DU28:DV28"/>
    <mergeCell ref="DU26:DV26"/>
    <mergeCell ref="DU27:DV27"/>
    <mergeCell ref="DK28:DL28"/>
    <mergeCell ref="DK26:DL26"/>
    <mergeCell ref="DK27:DL27"/>
    <mergeCell ref="DM28:DN28"/>
    <mergeCell ref="DM26:DN26"/>
    <mergeCell ref="DM27:DN27"/>
    <mergeCell ref="DO28:DP28"/>
    <mergeCell ref="DO26:DP26"/>
    <mergeCell ref="DO27:DP27"/>
    <mergeCell ref="DE28:DF28"/>
    <mergeCell ref="DE26:DF26"/>
    <mergeCell ref="DE27:DF27"/>
    <mergeCell ref="DG28:DH28"/>
    <mergeCell ref="DG26:DH26"/>
    <mergeCell ref="DG27:DH27"/>
    <mergeCell ref="DI28:DJ28"/>
    <mergeCell ref="DI26:DJ26"/>
    <mergeCell ref="DI27:DJ27"/>
    <mergeCell ref="CY28:CZ28"/>
    <mergeCell ref="CY26:CZ26"/>
    <mergeCell ref="CY27:CZ27"/>
    <mergeCell ref="DA28:DB28"/>
    <mergeCell ref="DA26:DB26"/>
    <mergeCell ref="DA27:DB27"/>
    <mergeCell ref="DC28:DD28"/>
    <mergeCell ref="DC26:DD26"/>
    <mergeCell ref="DC27:DD27"/>
    <mergeCell ref="CS28:CT28"/>
    <mergeCell ref="CS26:CT26"/>
    <mergeCell ref="CS27:CT27"/>
    <mergeCell ref="CU28:CV28"/>
    <mergeCell ref="CU26:CV26"/>
    <mergeCell ref="CU27:CV27"/>
    <mergeCell ref="CW28:CX28"/>
    <mergeCell ref="CW26:CX26"/>
    <mergeCell ref="CW27:CX27"/>
    <mergeCell ref="CM28:CN28"/>
    <mergeCell ref="CM26:CN26"/>
    <mergeCell ref="CM27:CN27"/>
    <mergeCell ref="CO28:CP28"/>
    <mergeCell ref="CO26:CP26"/>
    <mergeCell ref="CO27:CP27"/>
    <mergeCell ref="CQ28:CR28"/>
    <mergeCell ref="CQ26:CR26"/>
    <mergeCell ref="CQ27:CR27"/>
    <mergeCell ref="CG28:CH28"/>
    <mergeCell ref="CG26:CH26"/>
    <mergeCell ref="CG27:CH27"/>
    <mergeCell ref="CI28:CJ28"/>
    <mergeCell ref="CI26:CJ26"/>
    <mergeCell ref="CI27:CJ27"/>
    <mergeCell ref="CK28:CL28"/>
    <mergeCell ref="CK26:CL26"/>
    <mergeCell ref="CK27:CL27"/>
    <mergeCell ref="CA28:CB28"/>
    <mergeCell ref="CA26:CB26"/>
    <mergeCell ref="CA27:CB27"/>
    <mergeCell ref="CC28:CD28"/>
    <mergeCell ref="CC26:CD26"/>
    <mergeCell ref="CC27:CD27"/>
    <mergeCell ref="CE28:CF28"/>
    <mergeCell ref="CE26:CF26"/>
    <mergeCell ref="CE27:CF27"/>
    <mergeCell ref="BU28:BV28"/>
    <mergeCell ref="BU26:BV26"/>
    <mergeCell ref="BU27:BV27"/>
    <mergeCell ref="BW28:BX28"/>
    <mergeCell ref="BW26:BX26"/>
    <mergeCell ref="BW27:BX27"/>
    <mergeCell ref="BY28:BZ28"/>
    <mergeCell ref="BY26:BZ26"/>
    <mergeCell ref="BY27:BZ27"/>
    <mergeCell ref="BO28:BP28"/>
    <mergeCell ref="BO26:BP26"/>
    <mergeCell ref="BO27:BP27"/>
    <mergeCell ref="BQ28:BR28"/>
    <mergeCell ref="BQ26:BR26"/>
    <mergeCell ref="BQ27:BR27"/>
    <mergeCell ref="BS28:BT28"/>
    <mergeCell ref="BS26:BT26"/>
    <mergeCell ref="BS27:BT27"/>
    <mergeCell ref="BI28:BJ28"/>
    <mergeCell ref="BI26:BJ26"/>
    <mergeCell ref="BI27:BJ27"/>
    <mergeCell ref="BK28:BL28"/>
    <mergeCell ref="BK26:BL26"/>
    <mergeCell ref="BK27:BL27"/>
    <mergeCell ref="BM28:BN28"/>
    <mergeCell ref="BM26:BN26"/>
    <mergeCell ref="BM27:BN27"/>
    <mergeCell ref="BC28:BD28"/>
    <mergeCell ref="BC26:BD26"/>
    <mergeCell ref="BC27:BD27"/>
    <mergeCell ref="BE28:BF28"/>
    <mergeCell ref="BE26:BF26"/>
    <mergeCell ref="BE27:BF27"/>
    <mergeCell ref="BG28:BH28"/>
    <mergeCell ref="BG26:BH26"/>
    <mergeCell ref="BG27:BH27"/>
    <mergeCell ref="AW28:AX28"/>
    <mergeCell ref="AW26:AX26"/>
    <mergeCell ref="AW27:AX27"/>
    <mergeCell ref="AY28:AZ28"/>
    <mergeCell ref="AY26:AZ26"/>
    <mergeCell ref="AY27:AZ27"/>
    <mergeCell ref="BA28:BB28"/>
    <mergeCell ref="BA26:BB26"/>
    <mergeCell ref="BA27:BB27"/>
    <mergeCell ref="AQ28:AR28"/>
    <mergeCell ref="AQ26:AR26"/>
    <mergeCell ref="AQ27:AR27"/>
    <mergeCell ref="AS28:AT28"/>
    <mergeCell ref="AS26:AT26"/>
    <mergeCell ref="AS27:AT27"/>
    <mergeCell ref="AU28:AV28"/>
    <mergeCell ref="AU26:AV26"/>
    <mergeCell ref="AU27:AV27"/>
    <mergeCell ref="AK28:AL28"/>
    <mergeCell ref="AK26:AL26"/>
    <mergeCell ref="AK27:AL27"/>
    <mergeCell ref="AM28:AN28"/>
    <mergeCell ref="AM26:AN26"/>
    <mergeCell ref="AM27:AN27"/>
    <mergeCell ref="AO28:AP28"/>
    <mergeCell ref="AO26:AP26"/>
    <mergeCell ref="AO27:AP27"/>
    <mergeCell ref="AE28:AF28"/>
    <mergeCell ref="AE26:AF26"/>
    <mergeCell ref="AE27:AF27"/>
    <mergeCell ref="AG28:AH28"/>
    <mergeCell ref="AG26:AH26"/>
    <mergeCell ref="AG27:AH27"/>
    <mergeCell ref="AI28:AJ28"/>
    <mergeCell ref="AI26:AJ26"/>
    <mergeCell ref="AI27:AJ27"/>
    <mergeCell ref="Y28:Z28"/>
    <mergeCell ref="Y26:Z26"/>
    <mergeCell ref="Y27:Z27"/>
    <mergeCell ref="AA28:AB28"/>
    <mergeCell ref="AA26:AB26"/>
    <mergeCell ref="AA27:AB27"/>
    <mergeCell ref="AC28:AD28"/>
    <mergeCell ref="AC26:AD26"/>
    <mergeCell ref="AC27:AD27"/>
    <mergeCell ref="S28:T28"/>
    <mergeCell ref="S26:T26"/>
    <mergeCell ref="S27:T27"/>
    <mergeCell ref="U28:V28"/>
    <mergeCell ref="U26:V26"/>
    <mergeCell ref="U27:V27"/>
    <mergeCell ref="W28:X28"/>
    <mergeCell ref="W26:X26"/>
    <mergeCell ref="W27:X27"/>
    <mergeCell ref="D23:I23"/>
    <mergeCell ref="I26:J26"/>
    <mergeCell ref="E26:F26"/>
    <mergeCell ref="G28:H28"/>
    <mergeCell ref="GM26:GM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B3:B4"/>
    <mergeCell ref="C3:C4"/>
    <mergeCell ref="B6:B7"/>
    <mergeCell ref="C6:C7"/>
    <mergeCell ref="B9:B11"/>
    <mergeCell ref="C9:C11"/>
    <mergeCell ref="B13:B14"/>
    <mergeCell ref="C13:C14"/>
    <mergeCell ref="D22:I22"/>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36 DA38 DC36 DC38 DE36 DE38 DG36 DG38 DI36 DI38 DK36 DK38 DM36 DM38 DO36 DO38 DQ36 DQ38 DS36 DS38 DU36 DU38 DW36 DW38 DY36 DY38 EA36 EA38 EC36 EC38 EE36 EE38 EG36 EG38 EI36 EI38 EK36 EK38 EM36 EM38 EO36 EO38 EQ36 EQ38 ES36 ES38 EU36 EU38 EW36 EW38 EY36 EY38 FA36 FA38 FC36 FC38 FE36 FE38 FG36 FG38 FI36 FI38 FK36 FK38 FM36 FM38 FO36 FO38 FQ36 FQ38 FS36 FS38 FU36 FU38 FW36 FW38 FY36 FY38 GA36 GA38 GC36 GC38 GE36 GE38 GG36 GG38 GI36 GI38 GK36 GK38" xr:uid="{00000000-0002-0000-25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DB3:DB4 DD3:DD4 DF3:DF4 DH3:DH4 DJ3:DJ4 DL3:DL4 DN3:DN4 DP3:DP4 DR3:DR4 DT3:DT4 DV3:DV4 DX3:DX4 DZ3:DZ4 EB3:EB4 ED3:ED4 EF3:EF4 EH3:EH4 EJ3:EJ4 EL3:EL4 EN3:EN4 EP3:EP4 ER3:ER4 ET3:ET4 EV3:EV4 EX3:EX4 EZ3:EZ4 FB3:FB4 FD3:FD4 FF3:FF4 FH3:FH4 FJ3:FJ4 FL3:FL4 FN3:FN4 FP3:FP4 FR3:FR4 FT3:FT4 FV3:FV4 FX3:FX4 FZ3:FZ4 GB3:GB4 GD3:GD4 GF3:GF4 GH3:GH4 GJ3:GJ4 GL3:GL4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DB6:DB7 DD6:DD7 DF6:DF7 DH6:DH7 DJ6:DJ7 DL6:DL7 DN6:DN7 DP6:DP7 DR6:DR7 DT6:DT7 DV6:DV7 DX6:DX7 DZ6:DZ7 EB6:EB7 ED6:ED7 EF6:EF7 EH6:EH7 EJ6:EJ7 EL6:EL7 EN6:EN7 EP6:EP7 ER6:ER7 ET6:ET7 EV6:EV7 EX6:EX7 EZ6:EZ7 FB6:FB7 FD6:FD7 FF6:FF7 FH6:FH7 FJ6:FJ7 FL6:FL7 FN6:FN7 FP6:FP7 FR6:FR7 FT6:FT7 FV6:FV7 FX6:FX7 FZ6:FZ7 GB6:GB7 GD6:GD7 GF6:GF7 GH6:GH7 GJ6:GJ7 GL6:GL7 H3:H4 H6:H7 H9:H11 H13:H14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DB9:DB11 DD9:DD11 DF9:DF11 DH9:DH11 DJ9:DJ11 DL9:DL11 DN9:DN11 DP9:DP11 DR9:DR11 DT9:DT11 DV9:DV11 DX9:DX11 DZ9:DZ11 EB9:EB11 ED9:ED11 EF9:EF11 EH9:EH11 EJ9:EJ11 EL9:EL11 EN9:EN11 EP9:EP11 ER9:ER11 ET9:ET11 EV9:EV11 EX9:EX11 EZ9:EZ11 FB9:FB11 FD9:FD11 FF9:FF11 FH9:FH11 FJ9:FJ11 FL9:FL11 FN9:FN11 FP9:FP11 FR9:FR11 FT9:FT11 FV9:FV11 FX9:FX11 FZ9:FZ11 GB9:GB11 GD9:GD11 GF9:GF11 GH9:GH11 GJ9:GJ11 GL9:GL11" xr:uid="{00000000-0002-0000-25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4 DA7 DA10 DA11 DA14 DC4 DC7 DC10 DC11 DC14 DE4 DE7 DE10 DE11 DE14 DG4 DG7 DG10 DG11 DG14 DI4 DI7 DI10 DI11 DI14 DK4 DK7 DK10 DK11 DK14 DM4 DM7 DM10 DM11 DM14 DO4 DO7 DO10 DO11 DO14 DQ4 DQ7 DQ10 DQ11 DQ14 DS4 DS7 DS10 DS11 DS14 DU4 DU7 DU10 DU11 DU14 DW4 DW7 DW10 DW11 DW14 DY4 DY7 DY10 DY11 DY14 EA4 EA7 EA10 EA11 EA14 EC4 EC7 EC10 EC11 EC14 EE4 EE7 EE10 EE11 EE14 EG4 EG7 EG10 EG11 EG14 EI4 EI7 EI10 EI11 EI14 EK4 EK7 EK10 EK11 EK14 EM4 EM7 EM10 EM11 EM14 EO4 EO7 EO10 EO11 EO14 EQ4 EQ7 EQ10 EQ11 EQ14 ES4 ES7 ES10 ES11 ES14 EU4 EU7 EU10 EU11 EU14 EW4 EW7 EW10 EW11 EW14 EY4 EY7 EY10 EY11 EY14 FA4 FA7 FA10 FA11 FA14 FC4 FC7 FC10 FC11 FC14 FE4 FE7 FE10 FE11 FE14 FG4 FG7 FG10 FG11 FG14 FI4 FI7 FI10 FI11 FI14 FK4 FK7 FK10 FK11 FK14 FM4 FM7 FM10 FM11 FM14 FO4 FO7 FO10 FO11 FO14 FQ4 FQ7 FQ10 FQ11 FQ14 FS4 FS7 FS10 FS11 FS14 FU4 FU7 FU10 FU11 FU14 FW4 FW7 FW10 FW11 FW14 FY4 FY7 FY10 FY11 FY14 GA4 GA7 GA10 GA11 GA14 GC4 GC7 GC10 GC11 GC14 GE4 GE7 GE10 GE11 GE14 GG4 GG7 GG10 GG11 GG14 GI4 GI7 GI10 GI11 GI14 GK4 GK7 GK10 GK11 GK14" xr:uid="{00000000-0002-0000-2500-00000200000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DA3 DA6 DA9 DA13 DC3 DC6 DC9 DC13 DE3 DE6 DE9 DE13 DG3 DG6 DG9 DG13 DI3 DI6 DI9 DI13 DK3 DK6 DK9 DK13 DM3 DM6 DM9 DM13 DO3 DO6 DO9 DO13 DQ3 DQ6 DQ9 DQ13 DS3 DS6 DS9 DS13 DU3 DU6 DU9 DU13 DW3 DW6 DW9 DW13 DY3 DY6 DY9 DY13 EA3 EA6 EA9 EA13 EC3 EC6 EC9 EC13 EE3 EE6 EE9 EE13 EG3 EG6 EG9 EG13 EI3 EI6 EI9 EI13 EK3 EK6 EK9 EK13 EM3 EM6 EM9 EM13 EO3 EO6 EO9 EO13 EQ3 EQ6 EQ9 EQ13 ES3 ES6 ES9 ES13 EU3 EU6 EU9 EU13 EW3 EW6 EW9 EW13 EY3 EY6 EY9 EY13 FA3 FA6 FA9 FA13 FC3 FC6 FC9 FC13 FE3 FE6 FE9 FE13 FG3 FG6 FG9 FG13 FI3 FI6 FI9 FI13 FK3 FK6 FK9 FK13 FM3 FM6 FM9 FM13 FO3 FO6 FO9 FO13 FQ3 FQ6 FQ9 FQ13 FS3 FS6 FS9 FS13 FU3 FU6 FU9 FU13 FW3 FW6 FW9 FW13 FY3 FY6 FY9 FY13 GA3 GA6 GA9 GA13 GC3 GC6 GC9 GC13 GE3 GE6 GE9 GE13 GG3 GG6 GG9 GG13 GI3 GI6 GI9 GI13 GK3 GK6 GK9 GK13" xr:uid="{00000000-0002-0000-25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5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1813D-C34D-C39D-6E2C-738397F8C9B8}">
  <sheetPr>
    <tabColor theme="9" tint="-0.249977111117893"/>
  </sheetPr>
  <dimension ref="A1:AD15"/>
  <sheetViews>
    <sheetView showGridLines="0" topLeftCell="E4" zoomScale="85" workbookViewId="0"/>
  </sheetViews>
  <sheetFormatPr defaultColWidth="9.140625" defaultRowHeight="10.5" customHeight="1"/>
  <cols>
    <col min="1" max="3" width="6.7109375" style="1891" hidden="1" customWidth="1"/>
    <col min="4" max="4" width="6.7109375" style="1903" hidden="1" customWidth="1"/>
    <col min="5" max="5" width="3.7109375" style="1910" customWidth="1"/>
    <col min="6" max="6" width="6.28515625" style="1910" customWidth="1"/>
    <col min="7" max="7" width="37.7109375" style="1910" customWidth="1"/>
    <col min="8" max="8" width="16.5703125" style="1910" customWidth="1"/>
    <col min="9" max="10" width="19.7109375" style="1910" customWidth="1"/>
    <col min="11" max="11" width="25" style="1910" customWidth="1"/>
    <col min="12" max="13" width="25.7109375" style="1910" customWidth="1"/>
    <col min="14" max="16" width="17.7109375" style="1910" customWidth="1"/>
    <col min="17" max="24" width="19.7109375" style="1910" customWidth="1"/>
    <col min="25" max="25" width="8" style="1910" customWidth="1"/>
    <col min="26" max="26" width="3.28515625" style="1910" customWidth="1"/>
    <col min="27" max="27" width="6.28515625" style="1910" customWidth="1"/>
    <col min="28" max="28" width="34.140625" style="1910" customWidth="1"/>
    <col min="29" max="30" width="9.140625" style="1910"/>
  </cols>
  <sheetData>
    <row r="1" spans="1:30" s="1903" customFormat="1" ht="10.5" hidden="1" customHeight="1">
      <c r="A1" s="771"/>
      <c r="B1" s="771"/>
      <c r="C1" s="771"/>
      <c r="E1" s="434"/>
      <c r="H1" s="1023"/>
    </row>
    <row r="2" spans="1:30" ht="10.5" hidden="1" customHeight="1"/>
    <row r="3" spans="1:30" s="1926" customFormat="1" ht="10.5" hidden="1" customHeight="1">
      <c r="A3" s="771"/>
      <c r="B3" s="771"/>
      <c r="C3" s="771"/>
      <c r="D3" s="324"/>
      <c r="E3" s="271"/>
      <c r="H3" s="1019"/>
    </row>
    <row r="4" spans="1:30" ht="3" customHeight="1"/>
    <row r="5" spans="1:30" ht="25.5" customHeight="1">
      <c r="F5" s="350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509"/>
      <c r="H5" s="3509"/>
      <c r="I5" s="3509"/>
      <c r="J5" s="3509"/>
      <c r="K5" s="3509"/>
      <c r="M5" s="479"/>
      <c r="AB5" s="782"/>
    </row>
    <row r="6" spans="1:30" s="1910" customFormat="1" ht="15.75" customHeight="1">
      <c r="A6" s="1029"/>
      <c r="B6" s="1029"/>
      <c r="C6" s="1029"/>
      <c r="D6" s="1023"/>
      <c r="E6" s="1480"/>
      <c r="F6" s="3480" t="str">
        <f>IF(org=0,"Не определено",org)</f>
        <v>АО "Орелгортеплоэнерго"</v>
      </c>
      <c r="G6" s="3480"/>
      <c r="H6" s="3480"/>
      <c r="I6" s="3480"/>
      <c r="J6" s="3480"/>
      <c r="K6" s="3480"/>
      <c r="M6" s="479"/>
      <c r="AB6" s="1011"/>
    </row>
    <row r="8" spans="1:30" ht="10.5" customHeight="1">
      <c r="A8" s="921"/>
      <c r="B8" s="921"/>
      <c r="C8" s="921"/>
      <c r="F8" s="3383" t="s">
        <v>560</v>
      </c>
      <c r="G8" s="3388"/>
      <c r="H8" s="3388"/>
      <c r="I8" s="3388"/>
      <c r="J8" s="3388"/>
      <c r="K8" s="3388"/>
      <c r="L8" s="3388"/>
      <c r="M8" s="3388"/>
      <c r="N8" s="3388"/>
      <c r="O8" s="3388"/>
      <c r="P8" s="3388"/>
      <c r="Q8" s="3388"/>
      <c r="R8" s="3388"/>
      <c r="S8" s="3388"/>
      <c r="T8" s="3388"/>
      <c r="U8" s="3388"/>
      <c r="V8" s="3388"/>
      <c r="W8" s="3388"/>
      <c r="X8" s="3388"/>
      <c r="Y8" s="3388"/>
      <c r="Z8" s="3388"/>
      <c r="AA8" s="3388"/>
      <c r="AB8" s="3382"/>
    </row>
    <row r="9" spans="1:30" ht="41.25" customHeight="1">
      <c r="A9" s="781"/>
      <c r="B9" s="781"/>
      <c r="C9" s="781"/>
      <c r="F9" s="3401" t="s">
        <v>85</v>
      </c>
      <c r="G9" s="3401" t="s">
        <v>1236</v>
      </c>
      <c r="H9" s="3458" t="s">
        <v>1237</v>
      </c>
      <c r="I9" s="3401" t="s">
        <v>1238</v>
      </c>
      <c r="J9" s="3401" t="s">
        <v>1239</v>
      </c>
      <c r="K9" s="3401" t="s">
        <v>1240</v>
      </c>
      <c r="L9" s="3401" t="s">
        <v>1241</v>
      </c>
      <c r="M9" s="3401" t="s">
        <v>1242</v>
      </c>
      <c r="N9" s="3489" t="s">
        <v>1243</v>
      </c>
      <c r="O9" s="3489"/>
      <c r="P9" s="3489"/>
      <c r="Q9" s="3542" t="s">
        <v>1244</v>
      </c>
      <c r="R9" s="3543"/>
      <c r="S9" s="3543"/>
      <c r="T9" s="3544"/>
      <c r="U9" s="3542" t="s">
        <v>1245</v>
      </c>
      <c r="V9" s="3543"/>
      <c r="W9" s="3543"/>
      <c r="X9" s="3544"/>
      <c r="Y9" s="3383" t="s">
        <v>1246</v>
      </c>
      <c r="Z9" s="3388"/>
      <c r="AA9" s="3388"/>
      <c r="AB9" s="3382"/>
    </row>
    <row r="10" spans="1:30" ht="41.25" customHeight="1">
      <c r="A10" s="781"/>
      <c r="B10" s="781"/>
      <c r="C10" s="781"/>
      <c r="F10" s="3458"/>
      <c r="G10" s="3458"/>
      <c r="H10" s="3514"/>
      <c r="I10" s="3458"/>
      <c r="J10" s="3458"/>
      <c r="K10" s="3458"/>
      <c r="L10" s="3458"/>
      <c r="M10" s="3458"/>
      <c r="N10" s="779" t="s">
        <v>1247</v>
      </c>
      <c r="O10" s="779" t="s">
        <v>1248</v>
      </c>
      <c r="P10" s="780" t="s">
        <v>1249</v>
      </c>
      <c r="Q10" s="791" t="s">
        <v>86</v>
      </c>
      <c r="R10" s="791" t="s">
        <v>1250</v>
      </c>
      <c r="S10" s="791" t="s">
        <v>1251</v>
      </c>
      <c r="T10" s="792" t="s">
        <v>1252</v>
      </c>
      <c r="U10" s="791" t="s">
        <v>86</v>
      </c>
      <c r="V10" s="791" t="s">
        <v>1253</v>
      </c>
      <c r="W10" s="791" t="s">
        <v>1251</v>
      </c>
      <c r="X10" s="792" t="s">
        <v>1252</v>
      </c>
      <c r="Y10" s="212" t="s">
        <v>1254</v>
      </c>
      <c r="Z10" s="3383" t="s">
        <v>85</v>
      </c>
      <c r="AA10" s="3382"/>
      <c r="AB10" s="919" t="s">
        <v>1255</v>
      </c>
    </row>
    <row r="11" spans="1:30" s="1866" customFormat="1" ht="5.25" hidden="1" customHeight="1">
      <c r="A11" s="922"/>
      <c r="B11" s="922"/>
      <c r="C11" s="922"/>
      <c r="E11" s="920"/>
      <c r="F11" s="3635" t="s">
        <v>638</v>
      </c>
      <c r="G11" s="3637"/>
      <c r="H11" s="3633"/>
      <c r="I11" s="3633"/>
      <c r="J11" s="3633"/>
      <c r="K11" s="3636"/>
      <c r="L11" s="3636"/>
      <c r="M11" s="3636"/>
      <c r="N11" s="3633"/>
      <c r="O11" s="3633"/>
      <c r="P11" s="3401"/>
      <c r="Q11" s="3468"/>
      <c r="R11" s="3468"/>
      <c r="S11" s="3468"/>
      <c r="T11" s="3633"/>
      <c r="U11" s="3468"/>
      <c r="V11" s="3468"/>
      <c r="W11" s="3468"/>
      <c r="X11" s="3633"/>
      <c r="Y11" s="3413"/>
      <c r="Z11" s="3413"/>
      <c r="AA11" s="3413"/>
      <c r="AB11" s="3413"/>
      <c r="AD11" s="409" t="s">
        <v>1256</v>
      </c>
    </row>
    <row r="12" spans="1:30" s="1866" customFormat="1" ht="5.25" hidden="1" customHeight="1">
      <c r="A12" s="772"/>
      <c r="B12" s="772"/>
      <c r="C12" s="772"/>
      <c r="E12" s="416"/>
      <c r="F12" s="3635"/>
      <c r="G12" s="3637"/>
      <c r="H12" s="3633"/>
      <c r="I12" s="3633"/>
      <c r="J12" s="3633"/>
      <c r="K12" s="3636"/>
      <c r="L12" s="3636"/>
      <c r="M12" s="3636"/>
      <c r="N12" s="3633"/>
      <c r="O12" s="3633"/>
      <c r="P12" s="3401"/>
      <c r="Q12" s="3468"/>
      <c r="R12" s="3468"/>
      <c r="S12" s="3468"/>
      <c r="T12" s="3633"/>
      <c r="U12" s="3468"/>
      <c r="V12" s="3468"/>
      <c r="W12" s="3468"/>
      <c r="X12" s="3633"/>
      <c r="Y12" s="3634"/>
      <c r="Z12" s="3634"/>
      <c r="AA12" s="3634"/>
      <c r="AB12" s="3634"/>
    </row>
    <row r="13" spans="1:30" ht="10.5" customHeight="1">
      <c r="F13" s="778"/>
      <c r="G13" s="542" t="s">
        <v>1257</v>
      </c>
      <c r="H13" s="1031"/>
      <c r="I13" s="469"/>
      <c r="J13" s="469"/>
      <c r="K13" s="469"/>
      <c r="L13" s="469"/>
      <c r="M13" s="469"/>
      <c r="N13" s="469"/>
      <c r="O13" s="469"/>
      <c r="P13" s="469"/>
      <c r="Q13" s="469"/>
      <c r="R13" s="469"/>
      <c r="S13" s="469"/>
      <c r="T13" s="469"/>
      <c r="U13" s="469"/>
      <c r="V13" s="469"/>
      <c r="W13" s="469"/>
      <c r="X13" s="469"/>
      <c r="Y13" s="469"/>
      <c r="Z13" s="587"/>
      <c r="AA13" s="587"/>
      <c r="AB13" s="793"/>
    </row>
    <row r="15" spans="1:30" s="1866" customFormat="1" ht="10.5" customHeight="1">
      <c r="A15" s="1030"/>
      <c r="B15" s="1030"/>
      <c r="C15" s="1030"/>
      <c r="E15" s="416"/>
      <c r="H15" s="409">
        <f>IFERROR(MATCH("нет",IP_MAIN_DIFFERENTIATION_EVENTS_FLAG,0),0)</f>
        <v>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026FF-C055-F79B-5FA6-DBE8CA3C253F}">
  <sheetPr>
    <tabColor rgb="FFCCCCFF"/>
  </sheetPr>
  <dimension ref="A1:AL108"/>
  <sheetViews>
    <sheetView showGridLines="0" topLeftCell="C87" zoomScale="90" workbookViewId="0">
      <selection activeCell="M13" sqref="M13:M105"/>
    </sheetView>
  </sheetViews>
  <sheetFormatPr defaultColWidth="9.140625" defaultRowHeight="11.25" customHeight="1"/>
  <cols>
    <col min="1" max="1" width="6.42578125" style="1944" hidden="1" customWidth="1"/>
    <col min="2" max="2" width="2" style="1944" hidden="1" customWidth="1"/>
    <col min="3" max="3" width="3.7109375" style="1944" customWidth="1"/>
    <col min="4" max="4" width="4.28515625" style="1944" customWidth="1"/>
    <col min="5" max="5" width="45" style="1944" customWidth="1"/>
    <col min="6" max="6" width="6.42578125" style="1944" customWidth="1"/>
    <col min="7" max="7" width="4.42578125" style="1944" customWidth="1"/>
    <col min="8" max="8" width="5.5703125" style="1944" customWidth="1"/>
    <col min="9" max="9" width="52.85546875" style="1944" customWidth="1"/>
    <col min="10" max="10" width="7" style="1944" customWidth="1"/>
    <col min="11" max="11" width="3.7109375" style="1944" customWidth="1"/>
    <col min="12" max="12" width="6.28515625" style="1944" customWidth="1"/>
    <col min="13" max="13" width="56.28515625" style="1944" customWidth="1"/>
    <col min="14" max="14" width="9.140625" style="1837"/>
    <col min="15" max="20" width="9.140625" style="1904" hidden="1"/>
    <col min="21" max="24" width="9.140625" style="1917" hidden="1"/>
    <col min="25" max="37" width="9.140625" style="1837" hidden="1"/>
    <col min="38" max="38" width="9.140625" style="1837"/>
  </cols>
  <sheetData>
    <row r="1" spans="1:38" ht="11.25" hidden="1" customHeight="1"/>
    <row r="2" spans="1:38" ht="11.25" hidden="1" customHeight="1"/>
    <row r="4" spans="1:38" ht="34.5" customHeight="1">
      <c r="A4" s="481"/>
      <c r="B4" s="481"/>
      <c r="D4" s="3394"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3395"/>
      <c r="F4" s="3395"/>
      <c r="G4" s="3395"/>
      <c r="H4" s="3395"/>
      <c r="I4" s="3396"/>
      <c r="J4" s="480"/>
      <c r="K4" s="480"/>
      <c r="L4" s="480"/>
      <c r="M4" s="480"/>
    </row>
    <row r="5" spans="1:38" s="1821" customFormat="1" ht="15" customHeight="1">
      <c r="A5" s="481"/>
      <c r="B5" s="481"/>
      <c r="C5" s="481"/>
      <c r="D5" s="3397" t="str">
        <f>IF(org=0,"Не определено",org)</f>
        <v>АО "Орелгортеплоэнерго"</v>
      </c>
      <c r="E5" s="3398"/>
      <c r="F5" s="3398"/>
      <c r="G5" s="3398"/>
      <c r="H5" s="3398"/>
      <c r="I5" s="3399"/>
      <c r="J5" s="482"/>
      <c r="K5" s="482"/>
      <c r="L5" s="482"/>
      <c r="M5" s="482"/>
      <c r="N5" s="482"/>
      <c r="O5" s="747"/>
      <c r="P5" s="747"/>
      <c r="Q5" s="747"/>
      <c r="R5" s="747"/>
      <c r="S5" s="747"/>
      <c r="T5" s="747"/>
      <c r="U5" s="1128"/>
      <c r="V5" s="1128"/>
      <c r="W5" s="1128"/>
      <c r="X5" s="1128"/>
      <c r="Y5" s="482"/>
      <c r="Z5" s="482"/>
      <c r="AA5" s="482"/>
      <c r="AB5" s="482"/>
      <c r="AC5" s="482"/>
      <c r="AD5" s="482"/>
      <c r="AE5" s="482"/>
      <c r="AF5" s="482"/>
      <c r="AG5" s="482"/>
      <c r="AH5" s="482"/>
      <c r="AI5" s="482"/>
      <c r="AJ5" s="482"/>
      <c r="AK5" s="482"/>
      <c r="AL5" s="482"/>
    </row>
    <row r="6" spans="1:38" s="1821" customFormat="1" ht="6" customHeight="1">
      <c r="A6" s="3386"/>
      <c r="B6" s="3386"/>
      <c r="C6" s="3386"/>
      <c r="D6" s="3386"/>
      <c r="E6" s="3386"/>
      <c r="F6" s="3386"/>
      <c r="G6" s="483"/>
      <c r="H6" s="483"/>
      <c r="I6" s="483"/>
      <c r="J6" s="483"/>
      <c r="K6" s="483"/>
      <c r="N6" s="485"/>
      <c r="O6" s="1275"/>
      <c r="P6" s="1275"/>
      <c r="Q6" s="1275"/>
      <c r="R6" s="1275"/>
      <c r="S6" s="1275"/>
      <c r="T6" s="1275"/>
      <c r="U6" s="1130"/>
      <c r="V6" s="1130"/>
      <c r="W6" s="1130"/>
      <c r="X6" s="1130"/>
      <c r="Y6" s="485"/>
      <c r="Z6" s="485"/>
      <c r="AA6" s="485"/>
      <c r="AB6" s="485"/>
      <c r="AC6" s="485"/>
      <c r="AD6" s="485"/>
      <c r="AE6" s="485"/>
      <c r="AF6" s="485"/>
      <c r="AG6" s="485"/>
      <c r="AH6" s="485"/>
      <c r="AI6" s="485"/>
      <c r="AJ6" s="485"/>
      <c r="AK6" s="485"/>
      <c r="AL6" s="485"/>
    </row>
    <row r="7" spans="1:38" ht="45.75" hidden="1" customHeight="1">
      <c r="E7" s="340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405"/>
      <c r="G7" s="3405"/>
      <c r="H7" s="3405"/>
      <c r="I7" s="3405"/>
      <c r="J7" s="3405"/>
      <c r="K7" s="3405"/>
      <c r="L7" s="3405"/>
      <c r="M7" s="3405"/>
    </row>
    <row r="8" spans="1:38" s="1821" customFormat="1" ht="6" customHeight="1">
      <c r="A8" s="486"/>
      <c r="B8" s="486"/>
      <c r="C8" s="486"/>
      <c r="D8" s="486"/>
      <c r="E8" s="486"/>
      <c r="F8" s="486"/>
      <c r="G8" s="486"/>
      <c r="H8" s="486"/>
      <c r="I8" s="486"/>
      <c r="J8" s="486"/>
      <c r="K8" s="486"/>
      <c r="L8" s="486"/>
      <c r="M8" s="484"/>
      <c r="N8" s="482"/>
      <c r="O8" s="747"/>
      <c r="P8" s="747"/>
      <c r="Q8" s="747"/>
      <c r="R8" s="747"/>
      <c r="S8" s="747"/>
      <c r="T8" s="747"/>
      <c r="U8" s="1128"/>
      <c r="V8" s="1128"/>
      <c r="W8" s="1128"/>
      <c r="X8" s="1128"/>
      <c r="Y8" s="482"/>
      <c r="Z8" s="482"/>
      <c r="AA8" s="482"/>
      <c r="AB8" s="482"/>
      <c r="AC8" s="482"/>
      <c r="AD8" s="482"/>
      <c r="AE8" s="482"/>
      <c r="AF8" s="482"/>
      <c r="AG8" s="482"/>
      <c r="AH8" s="482"/>
      <c r="AI8" s="482"/>
      <c r="AJ8" s="482"/>
      <c r="AK8" s="482"/>
      <c r="AL8" s="482"/>
    </row>
    <row r="9" spans="1:38" ht="18" customHeight="1">
      <c r="A9" s="3400"/>
      <c r="B9" s="234"/>
      <c r="C9" s="234"/>
      <c r="D9" s="3401" t="s">
        <v>102</v>
      </c>
      <c r="E9" s="3401"/>
      <c r="F9" s="3402" t="s">
        <v>103</v>
      </c>
      <c r="G9" s="3403"/>
      <c r="H9" s="3403"/>
      <c r="I9" s="3403"/>
      <c r="J9" s="3406" t="s">
        <v>104</v>
      </c>
      <c r="K9" s="3406"/>
      <c r="L9" s="3406"/>
      <c r="M9" s="3406"/>
    </row>
    <row r="10" spans="1:38" ht="22.5" customHeight="1">
      <c r="A10" s="3400"/>
      <c r="B10" s="487"/>
      <c r="C10" s="423"/>
      <c r="D10" s="421" t="s">
        <v>85</v>
      </c>
      <c r="E10" s="421" t="s">
        <v>86</v>
      </c>
      <c r="F10" s="421" t="s">
        <v>105</v>
      </c>
      <c r="G10" s="3407" t="s">
        <v>85</v>
      </c>
      <c r="H10" s="3408"/>
      <c r="I10" s="421" t="s">
        <v>86</v>
      </c>
      <c r="J10" s="421" t="s">
        <v>105</v>
      </c>
      <c r="K10" s="3407" t="s">
        <v>85</v>
      </c>
      <c r="L10" s="3408"/>
      <c r="M10" s="421" t="s">
        <v>86</v>
      </c>
      <c r="N10" s="1472"/>
    </row>
    <row r="11" spans="1:38" s="1944" customFormat="1" ht="11.25" hidden="1" customHeight="1">
      <c r="A11" s="488"/>
      <c r="B11" s="488"/>
      <c r="C11" s="488"/>
      <c r="D11" s="489" t="s">
        <v>106</v>
      </c>
      <c r="E11" s="489" t="s">
        <v>107</v>
      </c>
      <c r="F11" s="489" t="s">
        <v>87</v>
      </c>
      <c r="G11" s="3390" t="s">
        <v>88</v>
      </c>
      <c r="H11" s="3391"/>
      <c r="I11" s="489" t="s">
        <v>108</v>
      </c>
      <c r="J11" s="489" t="s">
        <v>89</v>
      </c>
      <c r="K11" s="3392" t="s">
        <v>90</v>
      </c>
      <c r="L11" s="3393"/>
      <c r="M11" s="489" t="s">
        <v>109</v>
      </c>
      <c r="N11" s="1471"/>
      <c r="O11" s="1274"/>
      <c r="P11" s="1276"/>
      <c r="Q11" s="1276"/>
      <c r="R11" s="1276"/>
      <c r="S11" s="1276"/>
      <c r="T11" s="1276"/>
      <c r="U11" s="1131"/>
      <c r="V11" s="1131"/>
      <c r="W11" s="1131"/>
      <c r="X11" s="1131"/>
      <c r="Y11" s="490"/>
      <c r="Z11" s="490"/>
      <c r="AA11" s="490"/>
      <c r="AB11" s="490"/>
      <c r="AC11" s="490"/>
      <c r="AD11" s="490"/>
      <c r="AE11" s="490"/>
      <c r="AF11" s="490"/>
      <c r="AG11" s="490"/>
      <c r="AH11" s="490"/>
      <c r="AI11" s="490"/>
      <c r="AJ11" s="490"/>
      <c r="AK11" s="490"/>
      <c r="AL11" s="490"/>
    </row>
    <row r="12" spans="1:38" ht="0.75" customHeight="1">
      <c r="A12" s="491"/>
      <c r="B12" s="492"/>
      <c r="C12" s="492"/>
      <c r="D12" s="493"/>
      <c r="E12" s="275"/>
      <c r="F12" s="494"/>
      <c r="G12" s="929"/>
      <c r="H12" s="929"/>
      <c r="I12" s="494"/>
      <c r="J12" s="494"/>
      <c r="K12" s="91"/>
      <c r="L12" s="275"/>
      <c r="M12" s="495"/>
      <c r="N12" s="1472"/>
      <c r="O12" s="1274" t="s">
        <v>110</v>
      </c>
      <c r="P12" s="1274" t="s">
        <v>111</v>
      </c>
      <c r="Q12" s="1274" t="s">
        <v>112</v>
      </c>
      <c r="R12" s="1274" t="s">
        <v>113</v>
      </c>
    </row>
    <row r="13" spans="1:38" s="1944" customFormat="1" ht="15" customHeight="1">
      <c r="A13"/>
      <c r="B13"/>
      <c r="C13" s="424"/>
      <c r="D13" s="3413" t="s">
        <v>106</v>
      </c>
      <c r="E13" s="3414" t="str">
        <f>INDEX(VD_NAME_LIST,MATCH("4190064",VD_ID_LIST,0))</f>
        <v>Производство тепловой энергии. Некомбинированная выработка</v>
      </c>
      <c r="F13" s="3417" t="s">
        <v>64</v>
      </c>
      <c r="G13" s="3418"/>
      <c r="H13" s="3419">
        <v>1</v>
      </c>
      <c r="I13" s="3409" t="str">
        <f>IF(U13="","",INDEX(TERRITORY_MR_LIST,MATCH(U13,TERRITORY_LIST_ID,0)))</f>
        <v>Территория 1</v>
      </c>
      <c r="J13" s="3412" t="s">
        <v>64</v>
      </c>
      <c r="K13" s="496"/>
      <c r="L13" s="425" t="s">
        <v>106</v>
      </c>
      <c r="M13" s="1964" t="s">
        <v>114</v>
      </c>
      <c r="N13" s="693"/>
      <c r="O13" s="1277" t="s">
        <v>115</v>
      </c>
      <c r="P13" s="1274" t="str">
        <f t="shared" ref="P13:P44" si="0">$E$13</f>
        <v>Производство тепловой энергии. Некомбинированная выработка</v>
      </c>
      <c r="Q13" s="1274" t="str">
        <f t="shared" ref="Q13:Q44" si="1">IF($F$13="нет","без дифференциации",$I$13)</f>
        <v>Территория 1</v>
      </c>
      <c r="R13" s="1274" t="str">
        <f>IF($J$13="нет","без дифференциации",M13)</f>
        <v>Авиационная, 1</v>
      </c>
      <c r="S13" s="1277"/>
      <c r="T13" s="1277"/>
      <c r="U13" s="1132" t="s">
        <v>95</v>
      </c>
      <c r="V13" s="1132" t="s">
        <v>116</v>
      </c>
      <c r="W13" s="1132"/>
      <c r="X13" s="1132"/>
      <c r="Y13" s="498" t="s">
        <v>117</v>
      </c>
      <c r="Z13" s="498">
        <v>1705000</v>
      </c>
      <c r="AA13" s="498"/>
      <c r="AB13" s="498"/>
      <c r="AC13" s="498"/>
      <c r="AD13" s="498"/>
      <c r="AE13" s="498"/>
      <c r="AF13" s="498"/>
      <c r="AG13" s="498"/>
      <c r="AH13" s="498"/>
      <c r="AI13" s="498"/>
      <c r="AJ13" s="498"/>
      <c r="AK13" s="498"/>
      <c r="AL13" s="498"/>
    </row>
    <row r="14" spans="1:38" ht="15" customHeight="1">
      <c r="A14"/>
      <c r="B14"/>
      <c r="C14" s="93"/>
      <c r="D14" s="3410"/>
      <c r="E14" s="3410"/>
      <c r="F14" s="3410"/>
      <c r="G14" s="3410"/>
      <c r="H14" s="3410"/>
      <c r="I14" s="3410"/>
      <c r="J14" s="3410"/>
      <c r="K14" s="1642" t="s">
        <v>118</v>
      </c>
      <c r="L14" s="1572" t="s">
        <v>107</v>
      </c>
      <c r="M14" s="692" t="s">
        <v>119</v>
      </c>
      <c r="N14" s="693"/>
      <c r="O14" s="498" t="s">
        <v>120</v>
      </c>
      <c r="P14" s="498" t="str">
        <f t="shared" si="0"/>
        <v>Производство тепловой энергии. Некомбинированная выработка</v>
      </c>
      <c r="Q14" s="498" t="str">
        <f t="shared" si="1"/>
        <v>Территория 1</v>
      </c>
      <c r="R14" s="498" t="str">
        <f>IF($J$14="нет","без дифференциации",$M$14)</f>
        <v>Автовокзальная, 77</v>
      </c>
      <c r="S14" s="498"/>
      <c r="T14" s="498"/>
      <c r="U14" s="499"/>
      <c r="V14" s="498"/>
      <c r="W14" s="498"/>
      <c r="X14" s="490"/>
      <c r="Y14" s="490" t="s">
        <v>117</v>
      </c>
      <c r="Z14" s="490">
        <v>1705000</v>
      </c>
      <c r="AA14" s="490"/>
      <c r="AB14" s="490"/>
      <c r="AC14" s="490"/>
      <c r="AD14" s="490"/>
      <c r="AE14" s="490"/>
      <c r="AF14" s="490"/>
      <c r="AG14" s="490"/>
      <c r="AH14" s="490"/>
      <c r="AI14" s="490"/>
      <c r="AJ14" s="490"/>
      <c r="AK14" s="490"/>
      <c r="AL14" s="490"/>
    </row>
    <row r="15" spans="1:38" ht="15" customHeight="1">
      <c r="A15"/>
      <c r="B15"/>
      <c r="C15" s="93"/>
      <c r="D15" s="3410"/>
      <c r="E15" s="3410"/>
      <c r="F15" s="3410"/>
      <c r="G15" s="3410"/>
      <c r="H15" s="3410"/>
      <c r="I15" s="3410"/>
      <c r="J15" s="3410"/>
      <c r="K15" s="1642" t="s">
        <v>118</v>
      </c>
      <c r="L15" s="1572" t="s">
        <v>87</v>
      </c>
      <c r="M15" s="692" t="s">
        <v>121</v>
      </c>
      <c r="N15" s="693"/>
      <c r="O15" s="498" t="s">
        <v>122</v>
      </c>
      <c r="P15" s="498" t="str">
        <f t="shared" si="0"/>
        <v>Производство тепловой энергии. Некомбинированная выработка</v>
      </c>
      <c r="Q15" s="498" t="str">
        <f t="shared" si="1"/>
        <v>Территория 1</v>
      </c>
      <c r="R15" s="498" t="str">
        <f>IF($J$15="нет","без дифференциации",$M$15)</f>
        <v>Бетонный, 4а</v>
      </c>
      <c r="S15" s="498"/>
      <c r="T15" s="498"/>
      <c r="U15" s="499"/>
      <c r="V15" s="498"/>
      <c r="W15" s="498"/>
      <c r="X15" s="490"/>
      <c r="Y15" s="490" t="s">
        <v>117</v>
      </c>
      <c r="Z15" s="490">
        <v>1705000</v>
      </c>
      <c r="AA15" s="490"/>
      <c r="AB15" s="490"/>
      <c r="AC15" s="490"/>
      <c r="AD15" s="490"/>
      <c r="AE15" s="490"/>
      <c r="AF15" s="490"/>
      <c r="AG15" s="490"/>
      <c r="AH15" s="490"/>
      <c r="AI15" s="490"/>
      <c r="AJ15" s="490"/>
      <c r="AK15" s="490"/>
      <c r="AL15" s="490"/>
    </row>
    <row r="16" spans="1:38" ht="15" customHeight="1">
      <c r="A16"/>
      <c r="B16"/>
      <c r="C16" s="93"/>
      <c r="D16" s="3410"/>
      <c r="E16" s="3410"/>
      <c r="F16" s="3410"/>
      <c r="G16" s="3410"/>
      <c r="H16" s="3410"/>
      <c r="I16" s="3410"/>
      <c r="J16" s="3410"/>
      <c r="K16" s="1642" t="s">
        <v>118</v>
      </c>
      <c r="L16" s="1572" t="s">
        <v>88</v>
      </c>
      <c r="M16" s="692" t="s">
        <v>123</v>
      </c>
      <c r="N16" s="693"/>
      <c r="O16" s="498" t="s">
        <v>124</v>
      </c>
      <c r="P16" s="498" t="str">
        <f t="shared" si="0"/>
        <v>Производство тепловой энергии. Некомбинированная выработка</v>
      </c>
      <c r="Q16" s="498" t="str">
        <f t="shared" si="1"/>
        <v>Территория 1</v>
      </c>
      <c r="R16" s="498" t="str">
        <f>IF($J$16="нет","без дифференциации",$M$16)</f>
        <v>Ботанический, 2а</v>
      </c>
      <c r="S16" s="498"/>
      <c r="T16" s="498"/>
      <c r="U16" s="499"/>
      <c r="V16" s="498"/>
      <c r="W16" s="498"/>
      <c r="X16" s="490"/>
      <c r="Y16" s="490" t="s">
        <v>117</v>
      </c>
      <c r="Z16" s="490">
        <v>1705000</v>
      </c>
      <c r="AA16" s="490"/>
      <c r="AB16" s="490"/>
      <c r="AC16" s="490"/>
      <c r="AD16" s="490"/>
      <c r="AE16" s="490"/>
      <c r="AF16" s="490"/>
      <c r="AG16" s="490"/>
      <c r="AH16" s="490"/>
      <c r="AI16" s="490"/>
      <c r="AJ16" s="490"/>
      <c r="AK16" s="490"/>
      <c r="AL16" s="490"/>
    </row>
    <row r="17" spans="1:38" ht="15" customHeight="1">
      <c r="A17"/>
      <c r="B17"/>
      <c r="C17" s="93"/>
      <c r="D17" s="3410"/>
      <c r="E17" s="3410"/>
      <c r="F17" s="3410"/>
      <c r="G17" s="3410"/>
      <c r="H17" s="3410"/>
      <c r="I17" s="3410"/>
      <c r="J17" s="3410"/>
      <c r="K17" s="1642" t="s">
        <v>118</v>
      </c>
      <c r="L17" s="1572" t="s">
        <v>108</v>
      </c>
      <c r="M17" s="692" t="s">
        <v>125</v>
      </c>
      <c r="N17" s="693"/>
      <c r="O17" s="498" t="s">
        <v>126</v>
      </c>
      <c r="P17" s="498" t="str">
        <f t="shared" si="0"/>
        <v>Производство тепловой энергии. Некомбинированная выработка</v>
      </c>
      <c r="Q17" s="498" t="str">
        <f t="shared" si="1"/>
        <v>Территория 1</v>
      </c>
      <c r="R17" s="498" t="str">
        <f>IF($J$17="нет","без дифференциации",$M$17)</f>
        <v>Васильевская, 84б</v>
      </c>
      <c r="S17" s="498"/>
      <c r="T17" s="498"/>
      <c r="U17" s="499"/>
      <c r="V17" s="498"/>
      <c r="W17" s="498"/>
      <c r="X17" s="490"/>
      <c r="Y17" s="490" t="s">
        <v>117</v>
      </c>
      <c r="Z17" s="490">
        <v>1705000</v>
      </c>
      <c r="AA17" s="490"/>
      <c r="AB17" s="490"/>
      <c r="AC17" s="490"/>
      <c r="AD17" s="490"/>
      <c r="AE17" s="490"/>
      <c r="AF17" s="490"/>
      <c r="AG17" s="490"/>
      <c r="AH17" s="490"/>
      <c r="AI17" s="490"/>
      <c r="AJ17" s="490"/>
      <c r="AK17" s="490"/>
      <c r="AL17" s="490"/>
    </row>
    <row r="18" spans="1:38" ht="15" customHeight="1">
      <c r="A18"/>
      <c r="B18"/>
      <c r="C18" s="93"/>
      <c r="D18" s="3410"/>
      <c r="E18" s="3410"/>
      <c r="F18" s="3410"/>
      <c r="G18" s="3410"/>
      <c r="H18" s="3410"/>
      <c r="I18" s="3410"/>
      <c r="J18" s="3410"/>
      <c r="K18" s="1642" t="s">
        <v>118</v>
      </c>
      <c r="L18" s="1572" t="s">
        <v>89</v>
      </c>
      <c r="M18" s="692" t="s">
        <v>127</v>
      </c>
      <c r="N18" s="693"/>
      <c r="O18" s="498" t="s">
        <v>128</v>
      </c>
      <c r="P18" s="498" t="str">
        <f t="shared" si="0"/>
        <v>Производство тепловой энергии. Некомбинированная выработка</v>
      </c>
      <c r="Q18" s="498" t="str">
        <f t="shared" si="1"/>
        <v>Территория 1</v>
      </c>
      <c r="R18" s="498" t="str">
        <f>IF($J$18="нет","без дифференциации",$M$18)</f>
        <v>Васильевская, 138а</v>
      </c>
      <c r="S18" s="498"/>
      <c r="T18" s="498"/>
      <c r="U18" s="499"/>
      <c r="V18" s="498"/>
      <c r="W18" s="498"/>
      <c r="X18" s="490"/>
      <c r="Y18" s="490" t="s">
        <v>117</v>
      </c>
      <c r="Z18" s="490">
        <v>1705000</v>
      </c>
      <c r="AA18" s="490"/>
      <c r="AB18" s="490"/>
      <c r="AC18" s="490"/>
      <c r="AD18" s="490"/>
      <c r="AE18" s="490"/>
      <c r="AF18" s="490"/>
      <c r="AG18" s="490"/>
      <c r="AH18" s="490"/>
      <c r="AI18" s="490"/>
      <c r="AJ18" s="490"/>
      <c r="AK18" s="490"/>
      <c r="AL18" s="490"/>
    </row>
    <row r="19" spans="1:38" ht="15" customHeight="1">
      <c r="A19"/>
      <c r="B19"/>
      <c r="C19" s="93"/>
      <c r="D19" s="3410"/>
      <c r="E19" s="3410"/>
      <c r="F19" s="3410"/>
      <c r="G19" s="3410"/>
      <c r="H19" s="3410"/>
      <c r="I19" s="3410"/>
      <c r="J19" s="3410"/>
      <c r="K19" s="1642" t="s">
        <v>118</v>
      </c>
      <c r="L19" s="1572" t="s">
        <v>90</v>
      </c>
      <c r="M19" s="692" t="s">
        <v>129</v>
      </c>
      <c r="N19" s="693"/>
      <c r="O19" s="498" t="s">
        <v>130</v>
      </c>
      <c r="P19" s="498" t="str">
        <f t="shared" si="0"/>
        <v>Производство тепловой энергии. Некомбинированная выработка</v>
      </c>
      <c r="Q19" s="498" t="str">
        <f t="shared" si="1"/>
        <v>Территория 1</v>
      </c>
      <c r="R19" s="498" t="str">
        <f>IF($J$19="нет","без дифференциации",$M$19)</f>
        <v>Гагарина, 48а</v>
      </c>
      <c r="S19" s="498"/>
      <c r="T19" s="498"/>
      <c r="U19" s="499"/>
      <c r="V19" s="498"/>
      <c r="W19" s="498"/>
      <c r="X19" s="490"/>
      <c r="Y19" s="490" t="s">
        <v>117</v>
      </c>
      <c r="Z19" s="490">
        <v>1705000</v>
      </c>
      <c r="AA19" s="490"/>
      <c r="AB19" s="490"/>
      <c r="AC19" s="490"/>
      <c r="AD19" s="490"/>
      <c r="AE19" s="490"/>
      <c r="AF19" s="490"/>
      <c r="AG19" s="490"/>
      <c r="AH19" s="490"/>
      <c r="AI19" s="490"/>
      <c r="AJ19" s="490"/>
      <c r="AK19" s="490"/>
      <c r="AL19" s="490"/>
    </row>
    <row r="20" spans="1:38" ht="15" customHeight="1">
      <c r="A20"/>
      <c r="B20"/>
      <c r="C20" s="93"/>
      <c r="D20" s="3410"/>
      <c r="E20" s="3410"/>
      <c r="F20" s="3410"/>
      <c r="G20" s="3410"/>
      <c r="H20" s="3410"/>
      <c r="I20" s="3410"/>
      <c r="J20" s="3410"/>
      <c r="K20" s="1642" t="s">
        <v>118</v>
      </c>
      <c r="L20" s="1572" t="s">
        <v>109</v>
      </c>
      <c r="M20" s="692" t="s">
        <v>131</v>
      </c>
      <c r="N20" s="693"/>
      <c r="O20" s="498" t="s">
        <v>132</v>
      </c>
      <c r="P20" s="498" t="str">
        <f t="shared" si="0"/>
        <v>Производство тепловой энергии. Некомбинированная выработка</v>
      </c>
      <c r="Q20" s="498" t="str">
        <f t="shared" si="1"/>
        <v>Территория 1</v>
      </c>
      <c r="R20" s="498" t="str">
        <f>IF($J$20="нет","без дифференциации",$M$20)</f>
        <v>Городская, 98к</v>
      </c>
      <c r="S20" s="498"/>
      <c r="T20" s="498"/>
      <c r="U20" s="499"/>
      <c r="V20" s="498"/>
      <c r="W20" s="498"/>
      <c r="X20" s="490"/>
      <c r="Y20" s="490" t="s">
        <v>117</v>
      </c>
      <c r="Z20" s="490">
        <v>1705000</v>
      </c>
      <c r="AA20" s="490"/>
      <c r="AB20" s="490"/>
      <c r="AC20" s="490"/>
      <c r="AD20" s="490"/>
      <c r="AE20" s="490"/>
      <c r="AF20" s="490"/>
      <c r="AG20" s="490"/>
      <c r="AH20" s="490"/>
      <c r="AI20" s="490"/>
      <c r="AJ20" s="490"/>
      <c r="AK20" s="490"/>
      <c r="AL20" s="490"/>
    </row>
    <row r="21" spans="1:38" ht="15" customHeight="1">
      <c r="A21"/>
      <c r="B21"/>
      <c r="C21" s="93"/>
      <c r="D21" s="3410"/>
      <c r="E21" s="3410"/>
      <c r="F21" s="3410"/>
      <c r="G21" s="3410"/>
      <c r="H21" s="3410"/>
      <c r="I21" s="3410"/>
      <c r="J21" s="3410"/>
      <c r="K21" s="1642" t="s">
        <v>118</v>
      </c>
      <c r="L21" s="1572" t="s">
        <v>133</v>
      </c>
      <c r="M21" s="692" t="s">
        <v>134</v>
      </c>
      <c r="N21" s="693"/>
      <c r="O21" s="498" t="s">
        <v>135</v>
      </c>
      <c r="P21" s="498" t="str">
        <f t="shared" si="0"/>
        <v>Производство тепловой энергии. Некомбинированная выработка</v>
      </c>
      <c r="Q21" s="498" t="str">
        <f t="shared" si="1"/>
        <v>Территория 1</v>
      </c>
      <c r="R21" s="498" t="str">
        <f>IF($J$21="нет","без дифференциации",$M$21)</f>
        <v>Калинина, 6б</v>
      </c>
      <c r="S21" s="498"/>
      <c r="T21" s="498"/>
      <c r="U21" s="499"/>
      <c r="V21" s="498"/>
      <c r="W21" s="498"/>
      <c r="X21" s="490"/>
      <c r="Y21" s="490" t="s">
        <v>117</v>
      </c>
      <c r="Z21" s="490">
        <v>1705000</v>
      </c>
      <c r="AA21" s="490"/>
      <c r="AB21" s="490"/>
      <c r="AC21" s="490"/>
      <c r="AD21" s="490"/>
      <c r="AE21" s="490"/>
      <c r="AF21" s="490"/>
      <c r="AG21" s="490"/>
      <c r="AH21" s="490"/>
      <c r="AI21" s="490"/>
      <c r="AJ21" s="490"/>
      <c r="AK21" s="490"/>
      <c r="AL21" s="490"/>
    </row>
    <row r="22" spans="1:38" ht="15" customHeight="1">
      <c r="A22"/>
      <c r="B22"/>
      <c r="C22" s="93"/>
      <c r="D22" s="3410"/>
      <c r="E22" s="3410"/>
      <c r="F22" s="3410"/>
      <c r="G22" s="3410"/>
      <c r="H22" s="3410"/>
      <c r="I22" s="3410"/>
      <c r="J22" s="3410"/>
      <c r="K22" s="1642" t="s">
        <v>118</v>
      </c>
      <c r="L22" s="1572" t="s">
        <v>136</v>
      </c>
      <c r="M22" s="692" t="s">
        <v>137</v>
      </c>
      <c r="N22" s="693"/>
      <c r="O22" s="498" t="s">
        <v>138</v>
      </c>
      <c r="P22" s="498" t="str">
        <f t="shared" si="0"/>
        <v>Производство тепловой энергии. Некомбинированная выработка</v>
      </c>
      <c r="Q22" s="498" t="str">
        <f t="shared" si="1"/>
        <v>Территория 1</v>
      </c>
      <c r="R22" s="498" t="str">
        <f>IF($J$22="нет","без дифференциации",$M$22)</f>
        <v>Карачевская, 29а</v>
      </c>
      <c r="S22" s="498"/>
      <c r="T22" s="498"/>
      <c r="U22" s="499"/>
      <c r="V22" s="498"/>
      <c r="W22" s="498"/>
      <c r="X22" s="490"/>
      <c r="Y22" s="490" t="s">
        <v>117</v>
      </c>
      <c r="Z22" s="490">
        <v>1705000</v>
      </c>
      <c r="AA22" s="490"/>
      <c r="AB22" s="490"/>
      <c r="AC22" s="490"/>
      <c r="AD22" s="490"/>
      <c r="AE22" s="490"/>
      <c r="AF22" s="490"/>
      <c r="AG22" s="490"/>
      <c r="AH22" s="490"/>
      <c r="AI22" s="490"/>
      <c r="AJ22" s="490"/>
      <c r="AK22" s="490"/>
      <c r="AL22" s="490"/>
    </row>
    <row r="23" spans="1:38" ht="15" customHeight="1">
      <c r="A23"/>
      <c r="B23"/>
      <c r="C23" s="93"/>
      <c r="D23" s="3410"/>
      <c r="E23" s="3410"/>
      <c r="F23" s="3410"/>
      <c r="G23" s="3410"/>
      <c r="H23" s="3410"/>
      <c r="I23" s="3410"/>
      <c r="J23" s="3410"/>
      <c r="K23" s="1642" t="s">
        <v>118</v>
      </c>
      <c r="L23" s="1572" t="s">
        <v>139</v>
      </c>
      <c r="M23" s="692" t="s">
        <v>140</v>
      </c>
      <c r="N23" s="693"/>
      <c r="O23" s="498" t="s">
        <v>141</v>
      </c>
      <c r="P23" s="498" t="str">
        <f t="shared" si="0"/>
        <v>Производство тепловой энергии. Некомбинированная выработка</v>
      </c>
      <c r="Q23" s="498" t="str">
        <f t="shared" si="1"/>
        <v>Территория 1</v>
      </c>
      <c r="R23" s="498" t="str">
        <f>IF($J$23="нет","без дифференциации",$M$23)</f>
        <v>Карачевская, 41б</v>
      </c>
      <c r="S23" s="498"/>
      <c r="T23" s="498"/>
      <c r="U23" s="499"/>
      <c r="V23" s="498"/>
      <c r="W23" s="498"/>
      <c r="X23" s="490"/>
      <c r="Y23" s="490" t="s">
        <v>117</v>
      </c>
      <c r="Z23" s="490">
        <v>1705000</v>
      </c>
      <c r="AA23" s="490"/>
      <c r="AB23" s="490"/>
      <c r="AC23" s="490"/>
      <c r="AD23" s="490"/>
      <c r="AE23" s="490"/>
      <c r="AF23" s="490"/>
      <c r="AG23" s="490"/>
      <c r="AH23" s="490"/>
      <c r="AI23" s="490"/>
      <c r="AJ23" s="490"/>
      <c r="AK23" s="490"/>
      <c r="AL23" s="490"/>
    </row>
    <row r="24" spans="1:38" ht="15" customHeight="1">
      <c r="A24"/>
      <c r="B24"/>
      <c r="C24" s="93"/>
      <c r="D24" s="3410"/>
      <c r="E24" s="3410"/>
      <c r="F24" s="3410"/>
      <c r="G24" s="3410"/>
      <c r="H24" s="3410"/>
      <c r="I24" s="3410"/>
      <c r="J24" s="3410"/>
      <c r="K24" s="1642" t="s">
        <v>118</v>
      </c>
      <c r="L24" s="1572" t="s">
        <v>142</v>
      </c>
      <c r="M24" s="692" t="s">
        <v>143</v>
      </c>
      <c r="N24" s="693"/>
      <c r="O24" s="498" t="s">
        <v>144</v>
      </c>
      <c r="P24" s="498" t="str">
        <f t="shared" si="0"/>
        <v>Производство тепловой энергии. Некомбинированная выработка</v>
      </c>
      <c r="Q24" s="498" t="str">
        <f t="shared" si="1"/>
        <v>Территория 1</v>
      </c>
      <c r="R24" s="498" t="str">
        <f>IF($J$24="нет","без дифференциации",$M$24)</f>
        <v>Карачвский, 23а</v>
      </c>
      <c r="S24" s="498"/>
      <c r="T24" s="498"/>
      <c r="U24" s="499"/>
      <c r="V24" s="498"/>
      <c r="W24" s="498"/>
      <c r="X24" s="490"/>
      <c r="Y24" s="490" t="s">
        <v>117</v>
      </c>
      <c r="Z24" s="490">
        <v>1705000</v>
      </c>
      <c r="AA24" s="490"/>
      <c r="AB24" s="490"/>
      <c r="AC24" s="490"/>
      <c r="AD24" s="490"/>
      <c r="AE24" s="490"/>
      <c r="AF24" s="490"/>
      <c r="AG24" s="490"/>
      <c r="AH24" s="490"/>
      <c r="AI24" s="490"/>
      <c r="AJ24" s="490"/>
      <c r="AK24" s="490"/>
      <c r="AL24" s="490"/>
    </row>
    <row r="25" spans="1:38" ht="15" customHeight="1">
      <c r="A25"/>
      <c r="B25"/>
      <c r="C25" s="93"/>
      <c r="D25" s="3410"/>
      <c r="E25" s="3410"/>
      <c r="F25" s="3410"/>
      <c r="G25" s="3410"/>
      <c r="H25" s="3410"/>
      <c r="I25" s="3410"/>
      <c r="J25" s="3410"/>
      <c r="K25" s="1642" t="s">
        <v>118</v>
      </c>
      <c r="L25" s="1572" t="s">
        <v>145</v>
      </c>
      <c r="M25" s="692" t="s">
        <v>146</v>
      </c>
      <c r="N25" s="693"/>
      <c r="O25" s="498" t="s">
        <v>147</v>
      </c>
      <c r="P25" s="498" t="str">
        <f t="shared" si="0"/>
        <v>Производство тепловой энергии. Некомбинированная выработка</v>
      </c>
      <c r="Q25" s="498" t="str">
        <f t="shared" si="1"/>
        <v>Территория 1</v>
      </c>
      <c r="R25" s="498" t="str">
        <f>IF($J$25="нет","без дифференциации",$M$25)</f>
        <v>Карачевское, 5а</v>
      </c>
      <c r="S25" s="498"/>
      <c r="T25" s="498"/>
      <c r="U25" s="499"/>
      <c r="V25" s="498"/>
      <c r="W25" s="498"/>
      <c r="X25" s="490"/>
      <c r="Y25" s="490" t="s">
        <v>117</v>
      </c>
      <c r="Z25" s="490">
        <v>1705000</v>
      </c>
      <c r="AA25" s="490"/>
      <c r="AB25" s="490"/>
      <c r="AC25" s="490"/>
      <c r="AD25" s="490"/>
      <c r="AE25" s="490"/>
      <c r="AF25" s="490"/>
      <c r="AG25" s="490"/>
      <c r="AH25" s="490"/>
      <c r="AI25" s="490"/>
      <c r="AJ25" s="490"/>
      <c r="AK25" s="490"/>
      <c r="AL25" s="490"/>
    </row>
    <row r="26" spans="1:38" ht="15" customHeight="1">
      <c r="A26"/>
      <c r="B26"/>
      <c r="C26" s="93"/>
      <c r="D26" s="3410"/>
      <c r="E26" s="3410"/>
      <c r="F26" s="3410"/>
      <c r="G26" s="3410"/>
      <c r="H26" s="3410"/>
      <c r="I26" s="3410"/>
      <c r="J26" s="3410"/>
      <c r="K26" s="1642" t="s">
        <v>118</v>
      </c>
      <c r="L26" s="1572" t="s">
        <v>148</v>
      </c>
      <c r="M26" s="692" t="s">
        <v>149</v>
      </c>
      <c r="N26" s="693"/>
      <c r="O26" s="498" t="s">
        <v>150</v>
      </c>
      <c r="P26" s="498" t="str">
        <f t="shared" si="0"/>
        <v>Производство тепловой энергии. Некомбинированная выработка</v>
      </c>
      <c r="Q26" s="498" t="str">
        <f t="shared" si="1"/>
        <v>Территория 1</v>
      </c>
      <c r="R26" s="498" t="str">
        <f>IF($J$26="нет","без дифференциации",$M$26)</f>
        <v>Карачевское, 60а</v>
      </c>
      <c r="S26" s="498"/>
      <c r="T26" s="498"/>
      <c r="U26" s="499"/>
      <c r="V26" s="498"/>
      <c r="W26" s="498"/>
      <c r="X26" s="490"/>
      <c r="Y26" s="490" t="s">
        <v>117</v>
      </c>
      <c r="Z26" s="490">
        <v>1705000</v>
      </c>
      <c r="AA26" s="490"/>
      <c r="AB26" s="490"/>
      <c r="AC26" s="490"/>
      <c r="AD26" s="490"/>
      <c r="AE26" s="490"/>
      <c r="AF26" s="490"/>
      <c r="AG26" s="490"/>
      <c r="AH26" s="490"/>
      <c r="AI26" s="490"/>
      <c r="AJ26" s="490"/>
      <c r="AK26" s="490"/>
      <c r="AL26" s="490"/>
    </row>
    <row r="27" spans="1:38" ht="15" customHeight="1">
      <c r="A27"/>
      <c r="B27"/>
      <c r="C27" s="93"/>
      <c r="D27" s="3410"/>
      <c r="E27" s="3410"/>
      <c r="F27" s="3410"/>
      <c r="G27" s="3410"/>
      <c r="H27" s="3410"/>
      <c r="I27" s="3410"/>
      <c r="J27" s="3410"/>
      <c r="K27" s="1642" t="s">
        <v>118</v>
      </c>
      <c r="L27" s="1572" t="s">
        <v>151</v>
      </c>
      <c r="M27" s="692" t="s">
        <v>152</v>
      </c>
      <c r="N27" s="693"/>
      <c r="O27" s="498" t="s">
        <v>153</v>
      </c>
      <c r="P27" s="498" t="str">
        <f t="shared" si="0"/>
        <v>Производство тепловой энергии. Некомбинированная выработка</v>
      </c>
      <c r="Q27" s="498" t="str">
        <f t="shared" si="1"/>
        <v>Территория 1</v>
      </c>
      <c r="R27" s="498" t="str">
        <f>IF($J$27="нет","без дифференциации",$M$27)</f>
        <v>Комсомольская, 15а</v>
      </c>
      <c r="S27" s="498"/>
      <c r="T27" s="498"/>
      <c r="U27" s="499"/>
      <c r="V27" s="498"/>
      <c r="W27" s="498"/>
      <c r="X27" s="490"/>
      <c r="Y27" s="490" t="s">
        <v>117</v>
      </c>
      <c r="Z27" s="490">
        <v>1705000</v>
      </c>
      <c r="AA27" s="490"/>
      <c r="AB27" s="490"/>
      <c r="AC27" s="490"/>
      <c r="AD27" s="490"/>
      <c r="AE27" s="490"/>
      <c r="AF27" s="490"/>
      <c r="AG27" s="490"/>
      <c r="AH27" s="490"/>
      <c r="AI27" s="490"/>
      <c r="AJ27" s="490"/>
      <c r="AK27" s="490"/>
      <c r="AL27" s="490"/>
    </row>
    <row r="28" spans="1:38" ht="15" customHeight="1">
      <c r="A28"/>
      <c r="B28"/>
      <c r="C28" s="93"/>
      <c r="D28" s="3410"/>
      <c r="E28" s="3410"/>
      <c r="F28" s="3410"/>
      <c r="G28" s="3410"/>
      <c r="H28" s="3410"/>
      <c r="I28" s="3410"/>
      <c r="J28" s="3410"/>
      <c r="K28" s="1642" t="s">
        <v>118</v>
      </c>
      <c r="L28" s="1572" t="s">
        <v>154</v>
      </c>
      <c r="M28" s="692" t="s">
        <v>155</v>
      </c>
      <c r="N28" s="693"/>
      <c r="O28" s="498" t="s">
        <v>156</v>
      </c>
      <c r="P28" s="498" t="str">
        <f t="shared" si="0"/>
        <v>Производство тепловой энергии. Некомбинированная выработка</v>
      </c>
      <c r="Q28" s="498" t="str">
        <f t="shared" si="1"/>
        <v>Территория 1</v>
      </c>
      <c r="R28" s="498" t="str">
        <f>IF($J$28="нет","без дифференциации",$M$28)</f>
        <v>Комсомольская, 119а</v>
      </c>
      <c r="S28" s="498"/>
      <c r="T28" s="498"/>
      <c r="U28" s="499"/>
      <c r="V28" s="498"/>
      <c r="W28" s="498"/>
      <c r="X28" s="490"/>
      <c r="Y28" s="490" t="s">
        <v>117</v>
      </c>
      <c r="Z28" s="490">
        <v>1705000</v>
      </c>
      <c r="AA28" s="490"/>
      <c r="AB28" s="490"/>
      <c r="AC28" s="490"/>
      <c r="AD28" s="490"/>
      <c r="AE28" s="490"/>
      <c r="AF28" s="490"/>
      <c r="AG28" s="490"/>
      <c r="AH28" s="490"/>
      <c r="AI28" s="490"/>
      <c r="AJ28" s="490"/>
      <c r="AK28" s="490"/>
      <c r="AL28" s="490"/>
    </row>
    <row r="29" spans="1:38" ht="15" customHeight="1">
      <c r="A29"/>
      <c r="B29"/>
      <c r="C29" s="93"/>
      <c r="D29" s="3410"/>
      <c r="E29" s="3410"/>
      <c r="F29" s="3410"/>
      <c r="G29" s="3410"/>
      <c r="H29" s="3410"/>
      <c r="I29" s="3410"/>
      <c r="J29" s="3410"/>
      <c r="K29" s="1642" t="s">
        <v>118</v>
      </c>
      <c r="L29" s="1572" t="s">
        <v>157</v>
      </c>
      <c r="M29" s="692" t="s">
        <v>158</v>
      </c>
      <c r="N29" s="693"/>
      <c r="O29" s="498" t="s">
        <v>159</v>
      </c>
      <c r="P29" s="498" t="str">
        <f t="shared" si="0"/>
        <v>Производство тепловой энергии. Некомбинированная выработка</v>
      </c>
      <c r="Q29" s="498" t="str">
        <f t="shared" si="1"/>
        <v>Территория 1</v>
      </c>
      <c r="R29" s="498" t="str">
        <f>IF($J$29="нет","без дифференциации",$M$29)</f>
        <v>Комсомольская, 127а</v>
      </c>
      <c r="S29" s="498"/>
      <c r="T29" s="498"/>
      <c r="U29" s="499"/>
      <c r="V29" s="498"/>
      <c r="W29" s="498"/>
      <c r="X29" s="490"/>
      <c r="Y29" s="490" t="s">
        <v>117</v>
      </c>
      <c r="Z29" s="490">
        <v>1705000</v>
      </c>
      <c r="AA29" s="490"/>
      <c r="AB29" s="490"/>
      <c r="AC29" s="490"/>
      <c r="AD29" s="490"/>
      <c r="AE29" s="490"/>
      <c r="AF29" s="490"/>
      <c r="AG29" s="490"/>
      <c r="AH29" s="490"/>
      <c r="AI29" s="490"/>
      <c r="AJ29" s="490"/>
      <c r="AK29" s="490"/>
      <c r="AL29" s="490"/>
    </row>
    <row r="30" spans="1:38" ht="15" customHeight="1">
      <c r="A30"/>
      <c r="B30"/>
      <c r="C30" s="93"/>
      <c r="D30" s="3410"/>
      <c r="E30" s="3410"/>
      <c r="F30" s="3410"/>
      <c r="G30" s="3410"/>
      <c r="H30" s="3410"/>
      <c r="I30" s="3410"/>
      <c r="J30" s="3410"/>
      <c r="K30" s="1642" t="s">
        <v>118</v>
      </c>
      <c r="L30" s="1572" t="s">
        <v>160</v>
      </c>
      <c r="M30" s="692" t="s">
        <v>161</v>
      </c>
      <c r="N30" s="693"/>
      <c r="O30" s="498" t="s">
        <v>162</v>
      </c>
      <c r="P30" s="498" t="str">
        <f t="shared" si="0"/>
        <v>Производство тепловой энергии. Некомбинированная выработка</v>
      </c>
      <c r="Q30" s="498" t="str">
        <f t="shared" si="1"/>
        <v>Территория 1</v>
      </c>
      <c r="R30" s="498" t="str">
        <f>IF($J$30="нет","без дифференциации",$M$30)</f>
        <v>Комсомольская, 185а</v>
      </c>
      <c r="S30" s="498"/>
      <c r="T30" s="498"/>
      <c r="U30" s="499"/>
      <c r="V30" s="498"/>
      <c r="W30" s="498"/>
      <c r="X30" s="490"/>
      <c r="Y30" s="490" t="s">
        <v>117</v>
      </c>
      <c r="Z30" s="490">
        <v>1705000</v>
      </c>
      <c r="AA30" s="490"/>
      <c r="AB30" s="490"/>
      <c r="AC30" s="490"/>
      <c r="AD30" s="490"/>
      <c r="AE30" s="490"/>
      <c r="AF30" s="490"/>
      <c r="AG30" s="490"/>
      <c r="AH30" s="490"/>
      <c r="AI30" s="490"/>
      <c r="AJ30" s="490"/>
      <c r="AK30" s="490"/>
      <c r="AL30" s="490"/>
    </row>
    <row r="31" spans="1:38" ht="15" customHeight="1">
      <c r="A31"/>
      <c r="B31"/>
      <c r="C31" s="93"/>
      <c r="D31" s="3410"/>
      <c r="E31" s="3410"/>
      <c r="F31" s="3410"/>
      <c r="G31" s="3410"/>
      <c r="H31" s="3410"/>
      <c r="I31" s="3410"/>
      <c r="J31" s="3410"/>
      <c r="K31" s="1642" t="s">
        <v>118</v>
      </c>
      <c r="L31" s="1572" t="s">
        <v>163</v>
      </c>
      <c r="M31" s="692" t="s">
        <v>164</v>
      </c>
      <c r="N31" s="693"/>
      <c r="O31" s="498" t="s">
        <v>165</v>
      </c>
      <c r="P31" s="498" t="str">
        <f t="shared" si="0"/>
        <v>Производство тепловой энергии. Некомбинированная выработка</v>
      </c>
      <c r="Q31" s="498" t="str">
        <f t="shared" si="1"/>
        <v>Территория 1</v>
      </c>
      <c r="R31" s="498" t="str">
        <f>IF($J$31="нет","без дифференциации",$M$31)</f>
        <v>Комсомольская, 206а</v>
      </c>
      <c r="S31" s="498"/>
      <c r="T31" s="498"/>
      <c r="U31" s="499"/>
      <c r="V31" s="498"/>
      <c r="W31" s="498"/>
      <c r="X31" s="490"/>
      <c r="Y31" s="490" t="s">
        <v>117</v>
      </c>
      <c r="Z31" s="490">
        <v>1705000</v>
      </c>
      <c r="AA31" s="490"/>
      <c r="AB31" s="490"/>
      <c r="AC31" s="490"/>
      <c r="AD31" s="490"/>
      <c r="AE31" s="490"/>
      <c r="AF31" s="490"/>
      <c r="AG31" s="490"/>
      <c r="AH31" s="490"/>
      <c r="AI31" s="490"/>
      <c r="AJ31" s="490"/>
      <c r="AK31" s="490"/>
      <c r="AL31" s="490"/>
    </row>
    <row r="32" spans="1:38" ht="15" customHeight="1">
      <c r="A32"/>
      <c r="B32"/>
      <c r="C32" s="93"/>
      <c r="D32" s="3410"/>
      <c r="E32" s="3410"/>
      <c r="F32" s="3410"/>
      <c r="G32" s="3410"/>
      <c r="H32" s="3410"/>
      <c r="I32" s="3410"/>
      <c r="J32" s="3410"/>
      <c r="K32" s="1642" t="s">
        <v>118</v>
      </c>
      <c r="L32" s="1572" t="s">
        <v>166</v>
      </c>
      <c r="M32" s="692" t="s">
        <v>167</v>
      </c>
      <c r="N32" s="693"/>
      <c r="O32" s="498" t="s">
        <v>168</v>
      </c>
      <c r="P32" s="498" t="str">
        <f t="shared" si="0"/>
        <v>Производство тепловой энергии. Некомбинированная выработка</v>
      </c>
      <c r="Q32" s="498" t="str">
        <f t="shared" si="1"/>
        <v>Территория 1</v>
      </c>
      <c r="R32" s="498" t="str">
        <f>IF($J$32="нет","без дифференциации",$M$32)</f>
        <v>Комсомольская, 252а</v>
      </c>
      <c r="S32" s="498"/>
      <c r="T32" s="498"/>
      <c r="U32" s="499"/>
      <c r="V32" s="498"/>
      <c r="W32" s="498"/>
      <c r="X32" s="490"/>
      <c r="Y32" s="490" t="s">
        <v>117</v>
      </c>
      <c r="Z32" s="490">
        <v>1705000</v>
      </c>
      <c r="AA32" s="490"/>
      <c r="AB32" s="490"/>
      <c r="AC32" s="490"/>
      <c r="AD32" s="490"/>
      <c r="AE32" s="490"/>
      <c r="AF32" s="490"/>
      <c r="AG32" s="490"/>
      <c r="AH32" s="490"/>
      <c r="AI32" s="490"/>
      <c r="AJ32" s="490"/>
      <c r="AK32" s="490"/>
      <c r="AL32" s="490"/>
    </row>
    <row r="33" spans="1:38" ht="15" customHeight="1">
      <c r="A33"/>
      <c r="B33"/>
      <c r="C33" s="93"/>
      <c r="D33" s="3410"/>
      <c r="E33" s="3410"/>
      <c r="F33" s="3410"/>
      <c r="G33" s="3410"/>
      <c r="H33" s="3410"/>
      <c r="I33" s="3410"/>
      <c r="J33" s="3410"/>
      <c r="K33" s="1642" t="s">
        <v>118</v>
      </c>
      <c r="L33" s="1572" t="s">
        <v>169</v>
      </c>
      <c r="M33" s="692" t="s">
        <v>170</v>
      </c>
      <c r="N33" s="693"/>
      <c r="O33" s="498" t="s">
        <v>171</v>
      </c>
      <c r="P33" s="498" t="str">
        <f t="shared" si="0"/>
        <v>Производство тепловой энергии. Некомбинированная выработка</v>
      </c>
      <c r="Q33" s="498" t="str">
        <f t="shared" si="1"/>
        <v>Территория 1</v>
      </c>
      <c r="R33" s="498" t="str">
        <f>IF($J$33="нет","без дифференциации",$M$33)</f>
        <v>Комсомольская, 261а</v>
      </c>
      <c r="S33" s="498"/>
      <c r="T33" s="498"/>
      <c r="U33" s="499"/>
      <c r="V33" s="498"/>
      <c r="W33" s="498"/>
      <c r="X33" s="490"/>
      <c r="Y33" s="490" t="s">
        <v>117</v>
      </c>
      <c r="Z33" s="490">
        <v>1705000</v>
      </c>
      <c r="AA33" s="490"/>
      <c r="AB33" s="490"/>
      <c r="AC33" s="490"/>
      <c r="AD33" s="490"/>
      <c r="AE33" s="490"/>
      <c r="AF33" s="490"/>
      <c r="AG33" s="490"/>
      <c r="AH33" s="490"/>
      <c r="AI33" s="490"/>
      <c r="AJ33" s="490"/>
      <c r="AK33" s="490"/>
      <c r="AL33" s="490"/>
    </row>
    <row r="34" spans="1:38" ht="15" customHeight="1">
      <c r="A34"/>
      <c r="B34"/>
      <c r="C34" s="93"/>
      <c r="D34" s="3410"/>
      <c r="E34" s="3410"/>
      <c r="F34" s="3410"/>
      <c r="G34" s="3410"/>
      <c r="H34" s="3410"/>
      <c r="I34" s="3410"/>
      <c r="J34" s="3410"/>
      <c r="K34" s="1642" t="s">
        <v>118</v>
      </c>
      <c r="L34" s="1572" t="s">
        <v>172</v>
      </c>
      <c r="M34" s="692" t="s">
        <v>173</v>
      </c>
      <c r="N34" s="693"/>
      <c r="O34" s="498" t="s">
        <v>174</v>
      </c>
      <c r="P34" s="498" t="str">
        <f t="shared" si="0"/>
        <v>Производство тепловой энергии. Некомбинированная выработка</v>
      </c>
      <c r="Q34" s="498" t="str">
        <f t="shared" si="1"/>
        <v>Территория 1</v>
      </c>
      <c r="R34" s="498" t="str">
        <f>IF($J$34="нет","без дифференциации",$M$34)</f>
        <v>Красина, 6а</v>
      </c>
      <c r="S34" s="498"/>
      <c r="T34" s="498"/>
      <c r="U34" s="499"/>
      <c r="V34" s="498"/>
      <c r="W34" s="498"/>
      <c r="X34" s="490"/>
      <c r="Y34" s="490" t="s">
        <v>117</v>
      </c>
      <c r="Z34" s="490">
        <v>1705000</v>
      </c>
      <c r="AA34" s="490"/>
      <c r="AB34" s="490"/>
      <c r="AC34" s="490"/>
      <c r="AD34" s="490"/>
      <c r="AE34" s="490"/>
      <c r="AF34" s="490"/>
      <c r="AG34" s="490"/>
      <c r="AH34" s="490"/>
      <c r="AI34" s="490"/>
      <c r="AJ34" s="490"/>
      <c r="AK34" s="490"/>
      <c r="AL34" s="490"/>
    </row>
    <row r="35" spans="1:38" ht="15" customHeight="1">
      <c r="A35"/>
      <c r="B35"/>
      <c r="C35" s="93"/>
      <c r="D35" s="3410"/>
      <c r="E35" s="3410"/>
      <c r="F35" s="3410"/>
      <c r="G35" s="3410"/>
      <c r="H35" s="3410"/>
      <c r="I35" s="3410"/>
      <c r="J35" s="3410"/>
      <c r="K35" s="1642" t="s">
        <v>118</v>
      </c>
      <c r="L35" s="1572" t="s">
        <v>175</v>
      </c>
      <c r="M35" s="692" t="s">
        <v>176</v>
      </c>
      <c r="N35" s="693"/>
      <c r="O35" s="498" t="s">
        <v>177</v>
      </c>
      <c r="P35" s="498" t="str">
        <f t="shared" si="0"/>
        <v>Производство тепловой энергии. Некомбинированная выработка</v>
      </c>
      <c r="Q35" s="498" t="str">
        <f t="shared" si="1"/>
        <v>Территория 1</v>
      </c>
      <c r="R35" s="498" t="str">
        <f>IF($J$35="нет","без дифференциации",$M$35)</f>
        <v>Красина, 7а</v>
      </c>
      <c r="S35" s="498"/>
      <c r="T35" s="498"/>
      <c r="U35" s="499"/>
      <c r="V35" s="498"/>
      <c r="W35" s="498"/>
      <c r="X35" s="490"/>
      <c r="Y35" s="490" t="s">
        <v>117</v>
      </c>
      <c r="Z35" s="490">
        <v>1705000</v>
      </c>
      <c r="AA35" s="490"/>
      <c r="AB35" s="490"/>
      <c r="AC35" s="490"/>
      <c r="AD35" s="490"/>
      <c r="AE35" s="490"/>
      <c r="AF35" s="490"/>
      <c r="AG35" s="490"/>
      <c r="AH35" s="490"/>
      <c r="AI35" s="490"/>
      <c r="AJ35" s="490"/>
      <c r="AK35" s="490"/>
      <c r="AL35" s="490"/>
    </row>
    <row r="36" spans="1:38" ht="15" customHeight="1">
      <c r="A36"/>
      <c r="B36"/>
      <c r="C36" s="93"/>
      <c r="D36" s="3410"/>
      <c r="E36" s="3410"/>
      <c r="F36" s="3410"/>
      <c r="G36" s="3410"/>
      <c r="H36" s="3410"/>
      <c r="I36" s="3410"/>
      <c r="J36" s="3410"/>
      <c r="K36" s="1642" t="s">
        <v>118</v>
      </c>
      <c r="L36" s="1572" t="s">
        <v>178</v>
      </c>
      <c r="M36" s="692" t="s">
        <v>179</v>
      </c>
      <c r="N36" s="693"/>
      <c r="O36" s="498" t="s">
        <v>180</v>
      </c>
      <c r="P36" s="498" t="str">
        <f t="shared" si="0"/>
        <v>Производство тепловой энергии. Некомбинированная выработка</v>
      </c>
      <c r="Q36" s="498" t="str">
        <f t="shared" si="1"/>
        <v>Территория 1</v>
      </c>
      <c r="R36" s="498" t="str">
        <f>IF($J$36="нет","без дифференциации",$M$36)</f>
        <v>Красина, 52</v>
      </c>
      <c r="S36" s="498"/>
      <c r="T36" s="498"/>
      <c r="U36" s="499"/>
      <c r="V36" s="498"/>
      <c r="W36" s="498"/>
      <c r="X36" s="490"/>
      <c r="Y36" s="490" t="s">
        <v>117</v>
      </c>
      <c r="Z36" s="490">
        <v>1705000</v>
      </c>
      <c r="AA36" s="490"/>
      <c r="AB36" s="490"/>
      <c r="AC36" s="490"/>
      <c r="AD36" s="490"/>
      <c r="AE36" s="490"/>
      <c r="AF36" s="490"/>
      <c r="AG36" s="490"/>
      <c r="AH36" s="490"/>
      <c r="AI36" s="490"/>
      <c r="AJ36" s="490"/>
      <c r="AK36" s="490"/>
      <c r="AL36" s="490"/>
    </row>
    <row r="37" spans="1:38" ht="15" customHeight="1">
      <c r="A37"/>
      <c r="B37"/>
      <c r="C37" s="93"/>
      <c r="D37" s="3410"/>
      <c r="E37" s="3410"/>
      <c r="F37" s="3410"/>
      <c r="G37" s="3410"/>
      <c r="H37" s="3410"/>
      <c r="I37" s="3410"/>
      <c r="J37" s="3410"/>
      <c r="K37" s="1642" t="s">
        <v>118</v>
      </c>
      <c r="L37" s="1572" t="s">
        <v>181</v>
      </c>
      <c r="M37" s="692" t="s">
        <v>182</v>
      </c>
      <c r="N37" s="693"/>
      <c r="O37" s="498" t="s">
        <v>183</v>
      </c>
      <c r="P37" s="498" t="str">
        <f t="shared" si="0"/>
        <v>Производство тепловой энергии. Некомбинированная выработка</v>
      </c>
      <c r="Q37" s="498" t="str">
        <f t="shared" si="1"/>
        <v>Территория 1</v>
      </c>
      <c r="R37" s="498" t="str">
        <f>IF($J$37="нет","без дифференциации",$M$37)</f>
        <v>Кромская, 7а(908кв)</v>
      </c>
      <c r="S37" s="498"/>
      <c r="T37" s="498"/>
      <c r="U37" s="499"/>
      <c r="V37" s="498"/>
      <c r="W37" s="498"/>
      <c r="X37" s="490"/>
      <c r="Y37" s="490" t="s">
        <v>117</v>
      </c>
      <c r="Z37" s="490">
        <v>1705000</v>
      </c>
      <c r="AA37" s="490"/>
      <c r="AB37" s="490"/>
      <c r="AC37" s="490"/>
      <c r="AD37" s="490"/>
      <c r="AE37" s="490"/>
      <c r="AF37" s="490"/>
      <c r="AG37" s="490"/>
      <c r="AH37" s="490"/>
      <c r="AI37" s="490"/>
      <c r="AJ37" s="490"/>
      <c r="AK37" s="490"/>
      <c r="AL37" s="490"/>
    </row>
    <row r="38" spans="1:38" ht="15" customHeight="1">
      <c r="A38"/>
      <c r="B38"/>
      <c r="C38" s="93"/>
      <c r="D38" s="3410"/>
      <c r="E38" s="3410"/>
      <c r="F38" s="3410"/>
      <c r="G38" s="3410"/>
      <c r="H38" s="3410"/>
      <c r="I38" s="3410"/>
      <c r="J38" s="3410"/>
      <c r="K38" s="1642" t="s">
        <v>118</v>
      </c>
      <c r="L38" s="1572" t="s">
        <v>184</v>
      </c>
      <c r="M38" s="692" t="s">
        <v>185</v>
      </c>
      <c r="N38" s="693"/>
      <c r="O38" s="498" t="s">
        <v>186</v>
      </c>
      <c r="P38" s="498" t="str">
        <f t="shared" si="0"/>
        <v>Производство тепловой энергии. Некомбинированная выработка</v>
      </c>
      <c r="Q38" s="498" t="str">
        <f t="shared" si="1"/>
        <v>Территория 1</v>
      </c>
      <c r="R38" s="498" t="str">
        <f>IF($J$38="нет","без дифференциации",$M$38)</f>
        <v>Кромская, 7а(909кв)</v>
      </c>
      <c r="S38" s="498"/>
      <c r="T38" s="498"/>
      <c r="U38" s="499"/>
      <c r="V38" s="498"/>
      <c r="W38" s="498"/>
      <c r="X38" s="490"/>
      <c r="Y38" s="490" t="s">
        <v>117</v>
      </c>
      <c r="Z38" s="490">
        <v>1705000</v>
      </c>
      <c r="AA38" s="490"/>
      <c r="AB38" s="490"/>
      <c r="AC38" s="490"/>
      <c r="AD38" s="490"/>
      <c r="AE38" s="490"/>
      <c r="AF38" s="490"/>
      <c r="AG38" s="490"/>
      <c r="AH38" s="490"/>
      <c r="AI38" s="490"/>
      <c r="AJ38" s="490"/>
      <c r="AK38" s="490"/>
      <c r="AL38" s="490"/>
    </row>
    <row r="39" spans="1:38" ht="15" customHeight="1">
      <c r="A39"/>
      <c r="B39"/>
      <c r="C39" s="93"/>
      <c r="D39" s="3410"/>
      <c r="E39" s="3410"/>
      <c r="F39" s="3410"/>
      <c r="G39" s="3410"/>
      <c r="H39" s="3410"/>
      <c r="I39" s="3410"/>
      <c r="J39" s="3410"/>
      <c r="K39" s="1642" t="s">
        <v>118</v>
      </c>
      <c r="L39" s="1572" t="s">
        <v>187</v>
      </c>
      <c r="M39" s="692" t="s">
        <v>188</v>
      </c>
      <c r="N39" s="693"/>
      <c r="O39" s="498" t="s">
        <v>189</v>
      </c>
      <c r="P39" s="498" t="str">
        <f t="shared" si="0"/>
        <v>Производство тепловой энергии. Некомбинированная выработка</v>
      </c>
      <c r="Q39" s="498" t="str">
        <f t="shared" si="1"/>
        <v>Территория 1</v>
      </c>
      <c r="R39" s="498" t="str">
        <f>IF($J$39="нет","без дифференциации",$M$39)</f>
        <v>Кромское шоссе, 13а</v>
      </c>
      <c r="S39" s="498"/>
      <c r="T39" s="498"/>
      <c r="U39" s="499"/>
      <c r="V39" s="498"/>
      <c r="W39" s="498"/>
      <c r="X39" s="490"/>
      <c r="Y39" s="490" t="s">
        <v>117</v>
      </c>
      <c r="Z39" s="490">
        <v>1705000</v>
      </c>
      <c r="AA39" s="490"/>
      <c r="AB39" s="490"/>
      <c r="AC39" s="490"/>
      <c r="AD39" s="490"/>
      <c r="AE39" s="490"/>
      <c r="AF39" s="490"/>
      <c r="AG39" s="490"/>
      <c r="AH39" s="490"/>
      <c r="AI39" s="490"/>
      <c r="AJ39" s="490"/>
      <c r="AK39" s="490"/>
      <c r="AL39" s="490"/>
    </row>
    <row r="40" spans="1:38" ht="15" customHeight="1">
      <c r="A40"/>
      <c r="B40"/>
      <c r="C40" s="93"/>
      <c r="D40" s="3410"/>
      <c r="E40" s="3410"/>
      <c r="F40" s="3410"/>
      <c r="G40" s="3410"/>
      <c r="H40" s="3410"/>
      <c r="I40" s="3410"/>
      <c r="J40" s="3410"/>
      <c r="K40" s="1642" t="s">
        <v>118</v>
      </c>
      <c r="L40" s="1572" t="s">
        <v>190</v>
      </c>
      <c r="M40" s="692" t="s">
        <v>191</v>
      </c>
      <c r="N40" s="693"/>
      <c r="O40" s="498" t="s">
        <v>192</v>
      </c>
      <c r="P40" s="498" t="str">
        <f t="shared" si="0"/>
        <v>Производство тепловой энергии. Некомбинированная выработка</v>
      </c>
      <c r="Q40" s="498" t="str">
        <f t="shared" si="1"/>
        <v>Территория 1</v>
      </c>
      <c r="R40" s="498" t="str">
        <f>IF($J$40="нет","без дифференциации",$M$40)</f>
        <v>Латышских стрелков, 37а</v>
      </c>
      <c r="S40" s="498"/>
      <c r="T40" s="498"/>
      <c r="U40" s="499"/>
      <c r="V40" s="498"/>
      <c r="W40" s="498"/>
      <c r="X40" s="490"/>
      <c r="Y40" s="490" t="s">
        <v>117</v>
      </c>
      <c r="Z40" s="490">
        <v>1705000</v>
      </c>
      <c r="AA40" s="490"/>
      <c r="AB40" s="490"/>
      <c r="AC40" s="490"/>
      <c r="AD40" s="490"/>
      <c r="AE40" s="490"/>
      <c r="AF40" s="490"/>
      <c r="AG40" s="490"/>
      <c r="AH40" s="490"/>
      <c r="AI40" s="490"/>
      <c r="AJ40" s="490"/>
      <c r="AK40" s="490"/>
      <c r="AL40" s="490"/>
    </row>
    <row r="41" spans="1:38" ht="15" customHeight="1">
      <c r="A41"/>
      <c r="B41"/>
      <c r="C41" s="93"/>
      <c r="D41" s="3410"/>
      <c r="E41" s="3410"/>
      <c r="F41" s="3410"/>
      <c r="G41" s="3410"/>
      <c r="H41" s="3410"/>
      <c r="I41" s="3410"/>
      <c r="J41" s="3410"/>
      <c r="K41" s="1642" t="s">
        <v>118</v>
      </c>
      <c r="L41" s="1572" t="s">
        <v>193</v>
      </c>
      <c r="M41" s="692" t="s">
        <v>194</v>
      </c>
      <c r="N41" s="693"/>
      <c r="O41" s="498" t="s">
        <v>195</v>
      </c>
      <c r="P41" s="498" t="str">
        <f t="shared" si="0"/>
        <v>Производство тепловой энергии. Некомбинированная выработка</v>
      </c>
      <c r="Q41" s="498" t="str">
        <f t="shared" si="1"/>
        <v>Территория 1</v>
      </c>
      <c r="R41" s="498" t="str">
        <f>IF($J$41="нет","без дифференциации",$M$41)</f>
        <v>Латышских стрелков,98</v>
      </c>
      <c r="S41" s="498"/>
      <c r="T41" s="498"/>
      <c r="U41" s="499"/>
      <c r="V41" s="498"/>
      <c r="W41" s="498"/>
      <c r="X41" s="490"/>
      <c r="Y41" s="490" t="s">
        <v>117</v>
      </c>
      <c r="Z41" s="490">
        <v>1705000</v>
      </c>
      <c r="AA41" s="490"/>
      <c r="AB41" s="490"/>
      <c r="AC41" s="490"/>
      <c r="AD41" s="490"/>
      <c r="AE41" s="490"/>
      <c r="AF41" s="490"/>
      <c r="AG41" s="490"/>
      <c r="AH41" s="490"/>
      <c r="AI41" s="490"/>
      <c r="AJ41" s="490"/>
      <c r="AK41" s="490"/>
      <c r="AL41" s="490"/>
    </row>
    <row r="42" spans="1:38" ht="15" customHeight="1">
      <c r="A42"/>
      <c r="B42"/>
      <c r="C42" s="93"/>
      <c r="D42" s="3410"/>
      <c r="E42" s="3410"/>
      <c r="F42" s="3410"/>
      <c r="G42" s="3410"/>
      <c r="H42" s="3410"/>
      <c r="I42" s="3410"/>
      <c r="J42" s="3410"/>
      <c r="K42" s="1642" t="s">
        <v>118</v>
      </c>
      <c r="L42" s="1572" t="s">
        <v>196</v>
      </c>
      <c r="M42" s="692" t="s">
        <v>197</v>
      </c>
      <c r="N42" s="693"/>
      <c r="O42" s="498" t="s">
        <v>198</v>
      </c>
      <c r="P42" s="498" t="str">
        <f t="shared" si="0"/>
        <v>Производство тепловой энергии. Некомбинированная выработка</v>
      </c>
      <c r="Q42" s="498" t="str">
        <f t="shared" si="1"/>
        <v>Территория 1</v>
      </c>
      <c r="R42" s="498" t="str">
        <f>IF($J$42="нет","без дифференциации",$M$42)</f>
        <v>Латышских стрелков, 109</v>
      </c>
      <c r="S42" s="498"/>
      <c r="T42" s="498"/>
      <c r="U42" s="499"/>
      <c r="V42" s="498"/>
      <c r="W42" s="498"/>
      <c r="X42" s="490"/>
      <c r="Y42" s="490" t="s">
        <v>117</v>
      </c>
      <c r="Z42" s="490">
        <v>1705000</v>
      </c>
      <c r="AA42" s="490"/>
      <c r="AB42" s="490"/>
      <c r="AC42" s="490"/>
      <c r="AD42" s="490"/>
      <c r="AE42" s="490"/>
      <c r="AF42" s="490"/>
      <c r="AG42" s="490"/>
      <c r="AH42" s="490"/>
      <c r="AI42" s="490"/>
      <c r="AJ42" s="490"/>
      <c r="AK42" s="490"/>
      <c r="AL42" s="490"/>
    </row>
    <row r="43" spans="1:38" ht="15" customHeight="1">
      <c r="A43"/>
      <c r="B43"/>
      <c r="C43" s="93"/>
      <c r="D43" s="3410"/>
      <c r="E43" s="3410"/>
      <c r="F43" s="3410"/>
      <c r="G43" s="3410"/>
      <c r="H43" s="3410"/>
      <c r="I43" s="3410"/>
      <c r="J43" s="3410"/>
      <c r="K43" s="1642" t="s">
        <v>118</v>
      </c>
      <c r="L43" s="1572" t="s">
        <v>199</v>
      </c>
      <c r="M43" s="692" t="s">
        <v>200</v>
      </c>
      <c r="N43" s="693"/>
      <c r="O43" s="498" t="s">
        <v>201</v>
      </c>
      <c r="P43" s="498" t="str">
        <f t="shared" si="0"/>
        <v>Производство тепловой энергии. Некомбинированная выработка</v>
      </c>
      <c r="Q43" s="498" t="str">
        <f t="shared" si="1"/>
        <v>Территория 1</v>
      </c>
      <c r="R43" s="498" t="str">
        <f>IF($J$43="нет","без дифференциации",$M$43)</f>
        <v>Левый берег р. Оки,23</v>
      </c>
      <c r="S43" s="498"/>
      <c r="T43" s="498"/>
      <c r="U43" s="499"/>
      <c r="V43" s="498"/>
      <c r="W43" s="498"/>
      <c r="X43" s="490"/>
      <c r="Y43" s="490" t="s">
        <v>117</v>
      </c>
      <c r="Z43" s="490">
        <v>1705000</v>
      </c>
      <c r="AA43" s="490"/>
      <c r="AB43" s="490"/>
      <c r="AC43" s="490"/>
      <c r="AD43" s="490"/>
      <c r="AE43" s="490"/>
      <c r="AF43" s="490"/>
      <c r="AG43" s="490"/>
      <c r="AH43" s="490"/>
      <c r="AI43" s="490"/>
      <c r="AJ43" s="490"/>
      <c r="AK43" s="490"/>
      <c r="AL43" s="490"/>
    </row>
    <row r="44" spans="1:38" ht="15" customHeight="1">
      <c r="A44"/>
      <c r="B44"/>
      <c r="C44" s="93"/>
      <c r="D44" s="3410"/>
      <c r="E44" s="3410"/>
      <c r="F44" s="3410"/>
      <c r="G44" s="3410"/>
      <c r="H44" s="3410"/>
      <c r="I44" s="3410"/>
      <c r="J44" s="3410"/>
      <c r="K44" s="1642" t="s">
        <v>118</v>
      </c>
      <c r="L44" s="1572" t="s">
        <v>202</v>
      </c>
      <c r="M44" s="692" t="s">
        <v>203</v>
      </c>
      <c r="N44" s="693"/>
      <c r="O44" s="498" t="s">
        <v>204</v>
      </c>
      <c r="P44" s="498" t="str">
        <f t="shared" si="0"/>
        <v>Производство тепловой энергии. Некомбинированная выработка</v>
      </c>
      <c r="Q44" s="498" t="str">
        <f t="shared" si="1"/>
        <v>Территория 1</v>
      </c>
      <c r="R44" s="498" t="str">
        <f>IF($J$44="нет","без дифференциации",$M$44)</f>
        <v>ГК "Лесной" с/с Сабуровский</v>
      </c>
      <c r="S44" s="498"/>
      <c r="T44" s="498"/>
      <c r="U44" s="499"/>
      <c r="V44" s="498"/>
      <c r="W44" s="498"/>
      <c r="X44" s="490"/>
      <c r="Y44" s="490" t="s">
        <v>117</v>
      </c>
      <c r="Z44" s="490">
        <v>1705000</v>
      </c>
      <c r="AA44" s="490"/>
      <c r="AB44" s="490"/>
      <c r="AC44" s="490"/>
      <c r="AD44" s="490"/>
      <c r="AE44" s="490"/>
      <c r="AF44" s="490"/>
      <c r="AG44" s="490"/>
      <c r="AH44" s="490"/>
      <c r="AI44" s="490"/>
      <c r="AJ44" s="490"/>
      <c r="AK44" s="490"/>
      <c r="AL44" s="490"/>
    </row>
    <row r="45" spans="1:38" ht="15" customHeight="1">
      <c r="A45"/>
      <c r="B45"/>
      <c r="C45" s="93"/>
      <c r="D45" s="3410"/>
      <c r="E45" s="3410"/>
      <c r="F45" s="3410"/>
      <c r="G45" s="3410"/>
      <c r="H45" s="3410"/>
      <c r="I45" s="3410"/>
      <c r="J45" s="3410"/>
      <c r="K45" s="1642" t="s">
        <v>118</v>
      </c>
      <c r="L45" s="1572" t="s">
        <v>205</v>
      </c>
      <c r="M45" s="692" t="s">
        <v>206</v>
      </c>
      <c r="N45" s="693"/>
      <c r="O45" s="498" t="s">
        <v>207</v>
      </c>
      <c r="P45" s="498" t="str">
        <f t="shared" ref="P45:P76" si="2">$E$13</f>
        <v>Производство тепловой энергии. Некомбинированная выработка</v>
      </c>
      <c r="Q45" s="498" t="str">
        <f t="shared" ref="Q45:Q76" si="3">IF($F$13="нет","без дифференциации",$I$13)</f>
        <v>Территория 1</v>
      </c>
      <c r="R45" s="498" t="str">
        <f>IF($J$45="нет","без дифференциации",$M$45)</f>
        <v>Машиностроительная, 5а</v>
      </c>
      <c r="S45" s="498"/>
      <c r="T45" s="498"/>
      <c r="U45" s="499"/>
      <c r="V45" s="498"/>
      <c r="W45" s="498"/>
      <c r="X45" s="490"/>
      <c r="Y45" s="490" t="s">
        <v>117</v>
      </c>
      <c r="Z45" s="490">
        <v>1705000</v>
      </c>
      <c r="AA45" s="490"/>
      <c r="AB45" s="490"/>
      <c r="AC45" s="490"/>
      <c r="AD45" s="490"/>
      <c r="AE45" s="490"/>
      <c r="AF45" s="490"/>
      <c r="AG45" s="490"/>
      <c r="AH45" s="490"/>
      <c r="AI45" s="490"/>
      <c r="AJ45" s="490"/>
      <c r="AK45" s="490"/>
      <c r="AL45" s="490"/>
    </row>
    <row r="46" spans="1:38" ht="15" customHeight="1">
      <c r="A46"/>
      <c r="B46"/>
      <c r="C46" s="93"/>
      <c r="D46" s="3410"/>
      <c r="E46" s="3410"/>
      <c r="F46" s="3410"/>
      <c r="G46" s="3410"/>
      <c r="H46" s="3410"/>
      <c r="I46" s="3410"/>
      <c r="J46" s="3410"/>
      <c r="K46" s="1642" t="s">
        <v>118</v>
      </c>
      <c r="L46" s="1572" t="s">
        <v>208</v>
      </c>
      <c r="M46" s="692" t="s">
        <v>209</v>
      </c>
      <c r="N46" s="693"/>
      <c r="O46" s="498" t="s">
        <v>210</v>
      </c>
      <c r="P46" s="498" t="str">
        <f t="shared" si="2"/>
        <v>Производство тепловой энергии. Некомбинированная выработка</v>
      </c>
      <c r="Q46" s="498" t="str">
        <f t="shared" si="3"/>
        <v>Территория 1</v>
      </c>
      <c r="R46" s="498" t="str">
        <f>IF($J$46="нет","без дифференциации",$M$46)</f>
        <v>Маяковского, 10а</v>
      </c>
      <c r="S46" s="498"/>
      <c r="T46" s="498"/>
      <c r="U46" s="499"/>
      <c r="V46" s="498"/>
      <c r="W46" s="498"/>
      <c r="X46" s="490"/>
      <c r="Y46" s="490" t="s">
        <v>117</v>
      </c>
      <c r="Z46" s="490">
        <v>1705000</v>
      </c>
      <c r="AA46" s="490"/>
      <c r="AB46" s="490"/>
      <c r="AC46" s="490"/>
      <c r="AD46" s="490"/>
      <c r="AE46" s="490"/>
      <c r="AF46" s="490"/>
      <c r="AG46" s="490"/>
      <c r="AH46" s="490"/>
      <c r="AI46" s="490"/>
      <c r="AJ46" s="490"/>
      <c r="AK46" s="490"/>
      <c r="AL46" s="490"/>
    </row>
    <row r="47" spans="1:38" ht="15" customHeight="1">
      <c r="A47"/>
      <c r="B47"/>
      <c r="C47" s="93"/>
      <c r="D47" s="3410"/>
      <c r="E47" s="3410"/>
      <c r="F47" s="3410"/>
      <c r="G47" s="3410"/>
      <c r="H47" s="3410"/>
      <c r="I47" s="3410"/>
      <c r="J47" s="3410"/>
      <c r="K47" s="1642" t="s">
        <v>118</v>
      </c>
      <c r="L47" s="1572" t="s">
        <v>211</v>
      </c>
      <c r="M47" s="692" t="s">
        <v>212</v>
      </c>
      <c r="N47" s="693"/>
      <c r="O47" s="498" t="s">
        <v>213</v>
      </c>
      <c r="P47" s="498" t="str">
        <f t="shared" si="2"/>
        <v>Производство тепловой энергии. Некомбинированная выработка</v>
      </c>
      <c r="Q47" s="498" t="str">
        <f t="shared" si="3"/>
        <v>Территория 1</v>
      </c>
      <c r="R47" s="498" t="str">
        <f>IF($J$47="нет","без дифференциации",$M$47)</f>
        <v>Маяковского, 55а</v>
      </c>
      <c r="S47" s="498"/>
      <c r="T47" s="498"/>
      <c r="U47" s="499"/>
      <c r="V47" s="498"/>
      <c r="W47" s="498"/>
      <c r="X47" s="490"/>
      <c r="Y47" s="490" t="s">
        <v>117</v>
      </c>
      <c r="Z47" s="490">
        <v>1705000</v>
      </c>
      <c r="AA47" s="490"/>
      <c r="AB47" s="490"/>
      <c r="AC47" s="490"/>
      <c r="AD47" s="490"/>
      <c r="AE47" s="490"/>
      <c r="AF47" s="490"/>
      <c r="AG47" s="490"/>
      <c r="AH47" s="490"/>
      <c r="AI47" s="490"/>
      <c r="AJ47" s="490"/>
      <c r="AK47" s="490"/>
      <c r="AL47" s="490"/>
    </row>
    <row r="48" spans="1:38" ht="15" customHeight="1">
      <c r="A48"/>
      <c r="B48"/>
      <c r="C48" s="93"/>
      <c r="D48" s="3410"/>
      <c r="E48" s="3410"/>
      <c r="F48" s="3410"/>
      <c r="G48" s="3410"/>
      <c r="H48" s="3410"/>
      <c r="I48" s="3410"/>
      <c r="J48" s="3410"/>
      <c r="K48" s="1642" t="s">
        <v>118</v>
      </c>
      <c r="L48" s="1572" t="s">
        <v>214</v>
      </c>
      <c r="M48" s="692" t="s">
        <v>215</v>
      </c>
      <c r="N48" s="693"/>
      <c r="O48" s="498" t="s">
        <v>216</v>
      </c>
      <c r="P48" s="498" t="str">
        <f t="shared" si="2"/>
        <v>Производство тепловой энергии. Некомбинированная выработка</v>
      </c>
      <c r="Q48" s="498" t="str">
        <f t="shared" si="3"/>
        <v>Территория 1</v>
      </c>
      <c r="R48" s="498" t="str">
        <f>IF($J$48="нет","без дифференциации",$M$48)</f>
        <v>Маяковского, 62а</v>
      </c>
      <c r="S48" s="498"/>
      <c r="T48" s="498"/>
      <c r="U48" s="499"/>
      <c r="V48" s="498"/>
      <c r="W48" s="498"/>
      <c r="X48" s="490"/>
      <c r="Y48" s="490" t="s">
        <v>117</v>
      </c>
      <c r="Z48" s="490">
        <v>1705000</v>
      </c>
      <c r="AA48" s="490"/>
      <c r="AB48" s="490"/>
      <c r="AC48" s="490"/>
      <c r="AD48" s="490"/>
      <c r="AE48" s="490"/>
      <c r="AF48" s="490"/>
      <c r="AG48" s="490"/>
      <c r="AH48" s="490"/>
      <c r="AI48" s="490"/>
      <c r="AJ48" s="490"/>
      <c r="AK48" s="490"/>
      <c r="AL48" s="490"/>
    </row>
    <row r="49" spans="1:38" ht="15" customHeight="1">
      <c r="A49"/>
      <c r="B49"/>
      <c r="C49" s="93"/>
      <c r="D49" s="3410"/>
      <c r="E49" s="3410"/>
      <c r="F49" s="3410"/>
      <c r="G49" s="3410"/>
      <c r="H49" s="3410"/>
      <c r="I49" s="3410"/>
      <c r="J49" s="3410"/>
      <c r="K49" s="1642" t="s">
        <v>118</v>
      </c>
      <c r="L49" s="1572" t="s">
        <v>217</v>
      </c>
      <c r="M49" s="692" t="s">
        <v>218</v>
      </c>
      <c r="N49" s="693"/>
      <c r="O49" s="498" t="s">
        <v>219</v>
      </c>
      <c r="P49" s="498" t="str">
        <f t="shared" si="2"/>
        <v>Производство тепловой энергии. Некомбинированная выработка</v>
      </c>
      <c r="Q49" s="498" t="str">
        <f t="shared" si="3"/>
        <v>Территория 1</v>
      </c>
      <c r="R49" s="498" t="str">
        <f>IF($J$49="нет","без дифференциации",$M$49)</f>
        <v>Мопра, 28а</v>
      </c>
      <c r="S49" s="498"/>
      <c r="T49" s="498"/>
      <c r="U49" s="499"/>
      <c r="V49" s="498"/>
      <c r="W49" s="498"/>
      <c r="X49" s="490"/>
      <c r="Y49" s="490" t="s">
        <v>117</v>
      </c>
      <c r="Z49" s="490">
        <v>1705000</v>
      </c>
      <c r="AA49" s="490"/>
      <c r="AB49" s="490"/>
      <c r="AC49" s="490"/>
      <c r="AD49" s="490"/>
      <c r="AE49" s="490"/>
      <c r="AF49" s="490"/>
      <c r="AG49" s="490"/>
      <c r="AH49" s="490"/>
      <c r="AI49" s="490"/>
      <c r="AJ49" s="490"/>
      <c r="AK49" s="490"/>
      <c r="AL49" s="490"/>
    </row>
    <row r="50" spans="1:38" ht="15" customHeight="1">
      <c r="A50"/>
      <c r="B50"/>
      <c r="C50" s="93"/>
      <c r="D50" s="3410"/>
      <c r="E50" s="3410"/>
      <c r="F50" s="3410"/>
      <c r="G50" s="3410"/>
      <c r="H50" s="3410"/>
      <c r="I50" s="3410"/>
      <c r="J50" s="3410"/>
      <c r="K50" s="1642" t="s">
        <v>118</v>
      </c>
      <c r="L50" s="1572" t="s">
        <v>220</v>
      </c>
      <c r="M50" s="692" t="s">
        <v>221</v>
      </c>
      <c r="N50" s="693"/>
      <c r="O50" s="498" t="s">
        <v>222</v>
      </c>
      <c r="P50" s="498" t="str">
        <f t="shared" si="2"/>
        <v>Производство тепловой энергии. Некомбинированная выработка</v>
      </c>
      <c r="Q50" s="498" t="str">
        <f t="shared" si="3"/>
        <v>Территория 1</v>
      </c>
      <c r="R50" s="498" t="str">
        <f>IF($J$50="нет","без дифференциации",$M$50)</f>
        <v>Мопра, 48а</v>
      </c>
      <c r="S50" s="498"/>
      <c r="T50" s="498"/>
      <c r="U50" s="499"/>
      <c r="V50" s="498"/>
      <c r="W50" s="498"/>
      <c r="X50" s="490"/>
      <c r="Y50" s="490" t="s">
        <v>117</v>
      </c>
      <c r="Z50" s="490">
        <v>1705000</v>
      </c>
      <c r="AA50" s="490"/>
      <c r="AB50" s="490"/>
      <c r="AC50" s="490"/>
      <c r="AD50" s="490"/>
      <c r="AE50" s="490"/>
      <c r="AF50" s="490"/>
      <c r="AG50" s="490"/>
      <c r="AH50" s="490"/>
      <c r="AI50" s="490"/>
      <c r="AJ50" s="490"/>
      <c r="AK50" s="490"/>
      <c r="AL50" s="490"/>
    </row>
    <row r="51" spans="1:38" ht="15" customHeight="1">
      <c r="A51"/>
      <c r="B51"/>
      <c r="C51" s="93"/>
      <c r="D51" s="3410"/>
      <c r="E51" s="3410"/>
      <c r="F51" s="3410"/>
      <c r="G51" s="3410"/>
      <c r="H51" s="3410"/>
      <c r="I51" s="3410"/>
      <c r="J51" s="3410"/>
      <c r="K51" s="1642" t="s">
        <v>118</v>
      </c>
      <c r="L51" s="1572" t="s">
        <v>96</v>
      </c>
      <c r="M51" s="692" t="s">
        <v>223</v>
      </c>
      <c r="N51" s="693"/>
      <c r="O51" s="498" t="s">
        <v>224</v>
      </c>
      <c r="P51" s="498" t="str">
        <f t="shared" si="2"/>
        <v>Производство тепловой энергии. Некомбинированная выработка</v>
      </c>
      <c r="Q51" s="498" t="str">
        <f t="shared" si="3"/>
        <v>Территория 1</v>
      </c>
      <c r="R51" s="498" t="str">
        <f>IF($J$51="нет","без дифференциации",$M$51)</f>
        <v>6-й Орловской дивизии,14</v>
      </c>
      <c r="S51" s="498"/>
      <c r="T51" s="498"/>
      <c r="U51" s="499"/>
      <c r="V51" s="498"/>
      <c r="W51" s="498"/>
      <c r="X51" s="490"/>
      <c r="Y51" s="490" t="s">
        <v>117</v>
      </c>
      <c r="Z51" s="490">
        <v>1705000</v>
      </c>
      <c r="AA51" s="490"/>
      <c r="AB51" s="490"/>
      <c r="AC51" s="490"/>
      <c r="AD51" s="490"/>
      <c r="AE51" s="490"/>
      <c r="AF51" s="490"/>
      <c r="AG51" s="490"/>
      <c r="AH51" s="490"/>
      <c r="AI51" s="490"/>
      <c r="AJ51" s="490"/>
      <c r="AK51" s="490"/>
      <c r="AL51" s="490"/>
    </row>
    <row r="52" spans="1:38" ht="15" customHeight="1">
      <c r="A52"/>
      <c r="B52"/>
      <c r="C52" s="93"/>
      <c r="D52" s="3410"/>
      <c r="E52" s="3410"/>
      <c r="F52" s="3410"/>
      <c r="G52" s="3410"/>
      <c r="H52" s="3410"/>
      <c r="I52" s="3410"/>
      <c r="J52" s="3410"/>
      <c r="K52" s="1642" t="s">
        <v>118</v>
      </c>
      <c r="L52" s="1572" t="s">
        <v>225</v>
      </c>
      <c r="M52" s="692" t="s">
        <v>226</v>
      </c>
      <c r="N52" s="693"/>
      <c r="O52" s="498" t="s">
        <v>227</v>
      </c>
      <c r="P52" s="498" t="str">
        <f t="shared" si="2"/>
        <v>Производство тепловой энергии. Некомбинированная выработка</v>
      </c>
      <c r="Q52" s="498" t="str">
        <f t="shared" si="3"/>
        <v>Территория 1</v>
      </c>
      <c r="R52" s="498" t="str">
        <f>IF($J$52="нет","без дифференциации",$M$52)</f>
        <v>Пищевой, 9а</v>
      </c>
      <c r="S52" s="498"/>
      <c r="T52" s="498"/>
      <c r="U52" s="499"/>
      <c r="V52" s="498"/>
      <c r="W52" s="498"/>
      <c r="X52" s="490"/>
      <c r="Y52" s="490" t="s">
        <v>117</v>
      </c>
      <c r="Z52" s="490">
        <v>1705000</v>
      </c>
      <c r="AA52" s="490"/>
      <c r="AB52" s="490"/>
      <c r="AC52" s="490"/>
      <c r="AD52" s="490"/>
      <c r="AE52" s="490"/>
      <c r="AF52" s="490"/>
      <c r="AG52" s="490"/>
      <c r="AH52" s="490"/>
      <c r="AI52" s="490"/>
      <c r="AJ52" s="490"/>
      <c r="AK52" s="490"/>
      <c r="AL52" s="490"/>
    </row>
    <row r="53" spans="1:38" ht="15" customHeight="1">
      <c r="A53"/>
      <c r="B53"/>
      <c r="C53" s="93"/>
      <c r="D53" s="3410"/>
      <c r="E53" s="3410"/>
      <c r="F53" s="3410"/>
      <c r="G53" s="3410"/>
      <c r="H53" s="3410"/>
      <c r="I53" s="3410"/>
      <c r="J53" s="3410"/>
      <c r="K53" s="1642" t="s">
        <v>118</v>
      </c>
      <c r="L53" s="1572" t="s">
        <v>228</v>
      </c>
      <c r="M53" s="692" t="s">
        <v>229</v>
      </c>
      <c r="N53" s="693"/>
      <c r="O53" s="498" t="s">
        <v>230</v>
      </c>
      <c r="P53" s="498" t="str">
        <f t="shared" si="2"/>
        <v>Производство тепловой энергии. Некомбинированная выработка</v>
      </c>
      <c r="Q53" s="498" t="str">
        <f t="shared" si="3"/>
        <v>Территория 1</v>
      </c>
      <c r="R53" s="498" t="str">
        <f>IF($J$53="нет","без дифференциации",$M$53)</f>
        <v>2-а Посадская, 19а</v>
      </c>
      <c r="S53" s="498"/>
      <c r="T53" s="498"/>
      <c r="U53" s="499"/>
      <c r="V53" s="498"/>
      <c r="W53" s="498"/>
      <c r="X53" s="490"/>
      <c r="Y53" s="490" t="s">
        <v>117</v>
      </c>
      <c r="Z53" s="490">
        <v>1705000</v>
      </c>
      <c r="AA53" s="490"/>
      <c r="AB53" s="490"/>
      <c r="AC53" s="490"/>
      <c r="AD53" s="490"/>
      <c r="AE53" s="490"/>
      <c r="AF53" s="490"/>
      <c r="AG53" s="490"/>
      <c r="AH53" s="490"/>
      <c r="AI53" s="490"/>
      <c r="AJ53" s="490"/>
      <c r="AK53" s="490"/>
      <c r="AL53" s="490"/>
    </row>
    <row r="54" spans="1:38" ht="15" customHeight="1">
      <c r="A54"/>
      <c r="B54"/>
      <c r="C54" s="93"/>
      <c r="D54" s="3410"/>
      <c r="E54" s="3410"/>
      <c r="F54" s="3410"/>
      <c r="G54" s="3410"/>
      <c r="H54" s="3410"/>
      <c r="I54" s="3410"/>
      <c r="J54" s="3410"/>
      <c r="K54" s="1642" t="s">
        <v>118</v>
      </c>
      <c r="L54" s="1572" t="s">
        <v>231</v>
      </c>
      <c r="M54" s="692" t="s">
        <v>232</v>
      </c>
      <c r="N54" s="693"/>
      <c r="O54" s="498" t="s">
        <v>233</v>
      </c>
      <c r="P54" s="498" t="str">
        <f t="shared" si="2"/>
        <v>Производство тепловой энергии. Некомбинированная выработка</v>
      </c>
      <c r="Q54" s="498" t="str">
        <f t="shared" si="3"/>
        <v>Территория 1</v>
      </c>
      <c r="R54" s="498" t="str">
        <f>IF($J$54="нет","без дифференциации",$M$54)</f>
        <v>1-я Пушкарная, 20а</v>
      </c>
      <c r="S54" s="498"/>
      <c r="T54" s="498"/>
      <c r="U54" s="499"/>
      <c r="V54" s="498"/>
      <c r="W54" s="498"/>
      <c r="X54" s="490"/>
      <c r="Y54" s="490" t="s">
        <v>117</v>
      </c>
      <c r="Z54" s="490">
        <v>1705000</v>
      </c>
      <c r="AA54" s="490"/>
      <c r="AB54" s="490"/>
      <c r="AC54" s="490"/>
      <c r="AD54" s="490"/>
      <c r="AE54" s="490"/>
      <c r="AF54" s="490"/>
      <c r="AG54" s="490"/>
      <c r="AH54" s="490"/>
      <c r="AI54" s="490"/>
      <c r="AJ54" s="490"/>
      <c r="AK54" s="490"/>
      <c r="AL54" s="490"/>
    </row>
    <row r="55" spans="1:38" ht="15" customHeight="1">
      <c r="A55"/>
      <c r="B55"/>
      <c r="C55" s="93"/>
      <c r="D55" s="3410"/>
      <c r="E55" s="3410"/>
      <c r="F55" s="3410"/>
      <c r="G55" s="3410"/>
      <c r="H55" s="3410"/>
      <c r="I55" s="3410"/>
      <c r="J55" s="3410"/>
      <c r="K55" s="1642" t="s">
        <v>118</v>
      </c>
      <c r="L55" s="1572" t="s">
        <v>234</v>
      </c>
      <c r="M55" s="692" t="s">
        <v>235</v>
      </c>
      <c r="N55" s="693"/>
      <c r="O55" s="498" t="s">
        <v>236</v>
      </c>
      <c r="P55" s="498" t="str">
        <f t="shared" si="2"/>
        <v>Производство тепловой энергии. Некомбинированная выработка</v>
      </c>
      <c r="Q55" s="498" t="str">
        <f t="shared" si="3"/>
        <v>Территория 1</v>
      </c>
      <c r="R55" s="498" t="str">
        <f>IF($J$55="нет","без дифференциации",$M$55)</f>
        <v>1-я Пушкарная, 21а</v>
      </c>
      <c r="S55" s="498"/>
      <c r="T55" s="498"/>
      <c r="U55" s="499"/>
      <c r="V55" s="498"/>
      <c r="W55" s="498"/>
      <c r="X55" s="490"/>
      <c r="Y55" s="490" t="s">
        <v>117</v>
      </c>
      <c r="Z55" s="490">
        <v>1705000</v>
      </c>
      <c r="AA55" s="490"/>
      <c r="AB55" s="490"/>
      <c r="AC55" s="490"/>
      <c r="AD55" s="490"/>
      <c r="AE55" s="490"/>
      <c r="AF55" s="490"/>
      <c r="AG55" s="490"/>
      <c r="AH55" s="490"/>
      <c r="AI55" s="490"/>
      <c r="AJ55" s="490"/>
      <c r="AK55" s="490"/>
      <c r="AL55" s="490"/>
    </row>
    <row r="56" spans="1:38" ht="15" customHeight="1">
      <c r="A56"/>
      <c r="B56"/>
      <c r="C56" s="93"/>
      <c r="D56" s="3410"/>
      <c r="E56" s="3410"/>
      <c r="F56" s="3410"/>
      <c r="G56" s="3410"/>
      <c r="H56" s="3410"/>
      <c r="I56" s="3410"/>
      <c r="J56" s="3410"/>
      <c r="K56" s="1642" t="s">
        <v>118</v>
      </c>
      <c r="L56" s="1572" t="s">
        <v>237</v>
      </c>
      <c r="M56" s="692" t="s">
        <v>238</v>
      </c>
      <c r="N56" s="693"/>
      <c r="O56" s="498" t="s">
        <v>239</v>
      </c>
      <c r="P56" s="498" t="str">
        <f t="shared" si="2"/>
        <v>Производство тепловой энергии. Некомбинированная выработка</v>
      </c>
      <c r="Q56" s="498" t="str">
        <f t="shared" si="3"/>
        <v>Территория 1</v>
      </c>
      <c r="R56" s="498" t="str">
        <f>IF($J$56="нет","без дифференциации",$M$56)</f>
        <v>Связистов, 1а</v>
      </c>
      <c r="S56" s="498"/>
      <c r="T56" s="498"/>
      <c r="U56" s="499"/>
      <c r="V56" s="498"/>
      <c r="W56" s="498"/>
      <c r="X56" s="490"/>
      <c r="Y56" s="490" t="s">
        <v>117</v>
      </c>
      <c r="Z56" s="490">
        <v>1705000</v>
      </c>
      <c r="AA56" s="490"/>
      <c r="AB56" s="490"/>
      <c r="AC56" s="490"/>
      <c r="AD56" s="490"/>
      <c r="AE56" s="490"/>
      <c r="AF56" s="490"/>
      <c r="AG56" s="490"/>
      <c r="AH56" s="490"/>
      <c r="AI56" s="490"/>
      <c r="AJ56" s="490"/>
      <c r="AK56" s="490"/>
      <c r="AL56" s="490"/>
    </row>
    <row r="57" spans="1:38" ht="15" customHeight="1">
      <c r="A57"/>
      <c r="B57"/>
      <c r="C57" s="93"/>
      <c r="D57" s="3410"/>
      <c r="E57" s="3410"/>
      <c r="F57" s="3410"/>
      <c r="G57" s="3410"/>
      <c r="H57" s="3410"/>
      <c r="I57" s="3410"/>
      <c r="J57" s="3410"/>
      <c r="K57" s="1642" t="s">
        <v>118</v>
      </c>
      <c r="L57" s="1572" t="s">
        <v>240</v>
      </c>
      <c r="M57" s="692" t="s">
        <v>241</v>
      </c>
      <c r="N57" s="693"/>
      <c r="O57" s="498" t="s">
        <v>242</v>
      </c>
      <c r="P57" s="498" t="str">
        <f t="shared" si="2"/>
        <v>Производство тепловой энергии. Некомбинированная выработка</v>
      </c>
      <c r="Q57" s="498" t="str">
        <f t="shared" si="3"/>
        <v>Территория 1</v>
      </c>
      <c r="R57" s="498" t="str">
        <f>IF($J$57="нет","без дифференциации",$M$57)</f>
        <v>Спивака, 85</v>
      </c>
      <c r="S57" s="498"/>
      <c r="T57" s="498"/>
      <c r="U57" s="499"/>
      <c r="V57" s="498"/>
      <c r="W57" s="498"/>
      <c r="X57" s="490"/>
      <c r="Y57" s="490" t="s">
        <v>117</v>
      </c>
      <c r="Z57" s="490">
        <v>1705000</v>
      </c>
      <c r="AA57" s="490"/>
      <c r="AB57" s="490"/>
      <c r="AC57" s="490"/>
      <c r="AD57" s="490"/>
      <c r="AE57" s="490"/>
      <c r="AF57" s="490"/>
      <c r="AG57" s="490"/>
      <c r="AH57" s="490"/>
      <c r="AI57" s="490"/>
      <c r="AJ57" s="490"/>
      <c r="AK57" s="490"/>
      <c r="AL57" s="490"/>
    </row>
    <row r="58" spans="1:38" ht="15" customHeight="1">
      <c r="A58"/>
      <c r="B58"/>
      <c r="C58" s="93"/>
      <c r="D58" s="3410"/>
      <c r="E58" s="3410"/>
      <c r="F58" s="3410"/>
      <c r="G58" s="3410"/>
      <c r="H58" s="3410"/>
      <c r="I58" s="3410"/>
      <c r="J58" s="3410"/>
      <c r="K58" s="1642" t="s">
        <v>118</v>
      </c>
      <c r="L58" s="1572" t="s">
        <v>243</v>
      </c>
      <c r="M58" s="692" t="s">
        <v>244</v>
      </c>
      <c r="N58" s="693"/>
      <c r="O58" s="498" t="s">
        <v>245</v>
      </c>
      <c r="P58" s="498" t="str">
        <f t="shared" si="2"/>
        <v>Производство тепловой энергии. Некомбинированная выработка</v>
      </c>
      <c r="Q58" s="498" t="str">
        <f t="shared" si="3"/>
        <v>Территория 1</v>
      </c>
      <c r="R58" s="498" t="str">
        <f>IF($J$58="нет","без дифференциации",$M$58)</f>
        <v>Федотовой, 12</v>
      </c>
      <c r="S58" s="498"/>
      <c r="T58" s="498"/>
      <c r="U58" s="499"/>
      <c r="V58" s="498"/>
      <c r="W58" s="498"/>
      <c r="X58" s="490"/>
      <c r="Y58" s="490" t="s">
        <v>117</v>
      </c>
      <c r="Z58" s="490">
        <v>1705000</v>
      </c>
      <c r="AA58" s="490"/>
      <c r="AB58" s="490"/>
      <c r="AC58" s="490"/>
      <c r="AD58" s="490"/>
      <c r="AE58" s="490"/>
      <c r="AF58" s="490"/>
      <c r="AG58" s="490"/>
      <c r="AH58" s="490"/>
      <c r="AI58" s="490"/>
      <c r="AJ58" s="490"/>
      <c r="AK58" s="490"/>
      <c r="AL58" s="490"/>
    </row>
    <row r="59" spans="1:38" ht="15" customHeight="1">
      <c r="A59"/>
      <c r="B59"/>
      <c r="C59" s="93"/>
      <c r="D59" s="3410"/>
      <c r="E59" s="3410"/>
      <c r="F59" s="3410"/>
      <c r="G59" s="3410"/>
      <c r="H59" s="3410"/>
      <c r="I59" s="3410"/>
      <c r="J59" s="3410"/>
      <c r="K59" s="1642" t="s">
        <v>118</v>
      </c>
      <c r="L59" s="1572" t="s">
        <v>246</v>
      </c>
      <c r="M59" s="692" t="s">
        <v>247</v>
      </c>
      <c r="N59" s="693"/>
      <c r="O59" s="498" t="s">
        <v>248</v>
      </c>
      <c r="P59" s="498" t="str">
        <f t="shared" si="2"/>
        <v>Производство тепловой энергии. Некомбинированная выработка</v>
      </c>
      <c r="Q59" s="498" t="str">
        <f t="shared" si="3"/>
        <v>Территория 1</v>
      </c>
      <c r="R59" s="498" t="str">
        <f>IF($J$59="нет","без дифференциации",$M$59)</f>
        <v>Циолковского,1б</v>
      </c>
      <c r="S59" s="498"/>
      <c r="T59" s="498"/>
      <c r="U59" s="499"/>
      <c r="V59" s="498"/>
      <c r="W59" s="498"/>
      <c r="X59" s="490"/>
      <c r="Y59" s="490" t="s">
        <v>117</v>
      </c>
      <c r="Z59" s="490">
        <v>1705000</v>
      </c>
      <c r="AA59" s="490"/>
      <c r="AB59" s="490"/>
      <c r="AC59" s="490"/>
      <c r="AD59" s="490"/>
      <c r="AE59" s="490"/>
      <c r="AF59" s="490"/>
      <c r="AG59" s="490"/>
      <c r="AH59" s="490"/>
      <c r="AI59" s="490"/>
      <c r="AJ59" s="490"/>
      <c r="AK59" s="490"/>
      <c r="AL59" s="490"/>
    </row>
    <row r="60" spans="1:38" ht="15" customHeight="1">
      <c r="A60"/>
      <c r="B60"/>
      <c r="C60" s="93"/>
      <c r="D60" s="3410"/>
      <c r="E60" s="3410"/>
      <c r="F60" s="3410"/>
      <c r="G60" s="3410"/>
      <c r="H60" s="3410"/>
      <c r="I60" s="3410"/>
      <c r="J60" s="3410"/>
      <c r="K60" s="1642" t="s">
        <v>118</v>
      </c>
      <c r="L60" s="1572" t="s">
        <v>249</v>
      </c>
      <c r="M60" s="692" t="s">
        <v>250</v>
      </c>
      <c r="N60" s="693"/>
      <c r="O60" s="498" t="s">
        <v>251</v>
      </c>
      <c r="P60" s="498" t="str">
        <f t="shared" si="2"/>
        <v>Производство тепловой энергии. Некомбинированная выработка</v>
      </c>
      <c r="Q60" s="498" t="str">
        <f t="shared" si="3"/>
        <v>Территория 1</v>
      </c>
      <c r="R60" s="498" t="str">
        <f>IF($J$60="нет","без дифференциации",$M$60)</f>
        <v>Циолковского,51а</v>
      </c>
      <c r="S60" s="498"/>
      <c r="T60" s="498"/>
      <c r="U60" s="499"/>
      <c r="V60" s="498"/>
      <c r="W60" s="498"/>
      <c r="X60" s="490"/>
      <c r="Y60" s="490" t="s">
        <v>117</v>
      </c>
      <c r="Z60" s="490">
        <v>1705000</v>
      </c>
      <c r="AA60" s="490"/>
      <c r="AB60" s="490"/>
      <c r="AC60" s="490"/>
      <c r="AD60" s="490"/>
      <c r="AE60" s="490"/>
      <c r="AF60" s="490"/>
      <c r="AG60" s="490"/>
      <c r="AH60" s="490"/>
      <c r="AI60" s="490"/>
      <c r="AJ60" s="490"/>
      <c r="AK60" s="490"/>
      <c r="AL60" s="490"/>
    </row>
    <row r="61" spans="1:38" ht="15" customHeight="1">
      <c r="A61"/>
      <c r="B61"/>
      <c r="C61" s="93"/>
      <c r="D61" s="3410"/>
      <c r="E61" s="3410"/>
      <c r="F61" s="3410"/>
      <c r="G61" s="3410"/>
      <c r="H61" s="3410"/>
      <c r="I61" s="3410"/>
      <c r="J61" s="3410"/>
      <c r="K61" s="1642" t="s">
        <v>118</v>
      </c>
      <c r="L61" s="1572" t="s">
        <v>252</v>
      </c>
      <c r="M61" s="692" t="s">
        <v>253</v>
      </c>
      <c r="N61" s="693"/>
      <c r="O61" s="498" t="s">
        <v>254</v>
      </c>
      <c r="P61" s="498" t="str">
        <f t="shared" si="2"/>
        <v>Производство тепловой энергии. Некомбинированная выработка</v>
      </c>
      <c r="Q61" s="498" t="str">
        <f t="shared" si="3"/>
        <v>Территория 1</v>
      </c>
      <c r="R61" s="498" t="str">
        <f>IF($J$61="нет","без дифференциации",$M$61)</f>
        <v>Черепичная, 24б</v>
      </c>
      <c r="S61" s="498"/>
      <c r="T61" s="498"/>
      <c r="U61" s="499"/>
      <c r="V61" s="498"/>
      <c r="W61" s="498"/>
      <c r="X61" s="490"/>
      <c r="Y61" s="490" t="s">
        <v>117</v>
      </c>
      <c r="Z61" s="490">
        <v>1705000</v>
      </c>
      <c r="AA61" s="490"/>
      <c r="AB61" s="490"/>
      <c r="AC61" s="490"/>
      <c r="AD61" s="490"/>
      <c r="AE61" s="490"/>
      <c r="AF61" s="490"/>
      <c r="AG61" s="490"/>
      <c r="AH61" s="490"/>
      <c r="AI61" s="490"/>
      <c r="AJ61" s="490"/>
      <c r="AK61" s="490"/>
      <c r="AL61" s="490"/>
    </row>
    <row r="62" spans="1:38" ht="15" customHeight="1">
      <c r="A62"/>
      <c r="B62"/>
      <c r="C62" s="93"/>
      <c r="D62" s="3410"/>
      <c r="E62" s="3410"/>
      <c r="F62" s="3410"/>
      <c r="G62" s="3410"/>
      <c r="H62" s="3410"/>
      <c r="I62" s="3410"/>
      <c r="J62" s="3410"/>
      <c r="K62" s="1642" t="s">
        <v>118</v>
      </c>
      <c r="L62" s="1572" t="s">
        <v>255</v>
      </c>
      <c r="M62" s="692" t="s">
        <v>256</v>
      </c>
      <c r="N62" s="693"/>
      <c r="O62" s="498" t="s">
        <v>257</v>
      </c>
      <c r="P62" s="498" t="str">
        <f t="shared" si="2"/>
        <v>Производство тепловой энергии. Некомбинированная выработка</v>
      </c>
      <c r="Q62" s="498" t="str">
        <f t="shared" si="3"/>
        <v>Территория 1</v>
      </c>
      <c r="R62" s="498" t="str">
        <f>IF($J$62="нет","без дифференциации",$M$62)</f>
        <v>Шпагатный,92</v>
      </c>
      <c r="S62" s="498"/>
      <c r="T62" s="498"/>
      <c r="U62" s="499"/>
      <c r="V62" s="498"/>
      <c r="W62" s="498"/>
      <c r="X62" s="490"/>
      <c r="Y62" s="490" t="s">
        <v>117</v>
      </c>
      <c r="Z62" s="490">
        <v>1705000</v>
      </c>
      <c r="AA62" s="490"/>
      <c r="AB62" s="490"/>
      <c r="AC62" s="490"/>
      <c r="AD62" s="490"/>
      <c r="AE62" s="490"/>
      <c r="AF62" s="490"/>
      <c r="AG62" s="490"/>
      <c r="AH62" s="490"/>
      <c r="AI62" s="490"/>
      <c r="AJ62" s="490"/>
      <c r="AK62" s="490"/>
      <c r="AL62" s="490"/>
    </row>
    <row r="63" spans="1:38" ht="15" customHeight="1">
      <c r="A63"/>
      <c r="B63"/>
      <c r="C63" s="93"/>
      <c r="D63" s="3410"/>
      <c r="E63" s="3410"/>
      <c r="F63" s="3410"/>
      <c r="G63" s="3410"/>
      <c r="H63" s="3410"/>
      <c r="I63" s="3410"/>
      <c r="J63" s="3410"/>
      <c r="K63" s="1642" t="s">
        <v>118</v>
      </c>
      <c r="L63" s="1572" t="s">
        <v>258</v>
      </c>
      <c r="M63" s="692" t="s">
        <v>259</v>
      </c>
      <c r="N63" s="693"/>
      <c r="O63" s="498" t="s">
        <v>260</v>
      </c>
      <c r="P63" s="498" t="str">
        <f t="shared" si="2"/>
        <v>Производство тепловой энергии. Некомбинированная выработка</v>
      </c>
      <c r="Q63" s="498" t="str">
        <f t="shared" si="3"/>
        <v>Территория 1</v>
      </c>
      <c r="R63" s="498" t="str">
        <f>IF($J$63="нет","без дифференциации",$M$63)</f>
        <v>Шпагатный, 92г</v>
      </c>
      <c r="S63" s="498"/>
      <c r="T63" s="498"/>
      <c r="U63" s="499"/>
      <c r="V63" s="498"/>
      <c r="W63" s="498"/>
      <c r="X63" s="490"/>
      <c r="Y63" s="490" t="s">
        <v>117</v>
      </c>
      <c r="Z63" s="490">
        <v>1705000</v>
      </c>
      <c r="AA63" s="490"/>
      <c r="AB63" s="490"/>
      <c r="AC63" s="490"/>
      <c r="AD63" s="490"/>
      <c r="AE63" s="490"/>
      <c r="AF63" s="490"/>
      <c r="AG63" s="490"/>
      <c r="AH63" s="490"/>
      <c r="AI63" s="490"/>
      <c r="AJ63" s="490"/>
      <c r="AK63" s="490"/>
      <c r="AL63" s="490"/>
    </row>
    <row r="64" spans="1:38" ht="15" customHeight="1">
      <c r="A64"/>
      <c r="B64"/>
      <c r="C64" s="93"/>
      <c r="D64" s="3410"/>
      <c r="E64" s="3410"/>
      <c r="F64" s="3410"/>
      <c r="G64" s="3410"/>
      <c r="H64" s="3410"/>
      <c r="I64" s="3410"/>
      <c r="J64" s="3410"/>
      <c r="K64" s="1642" t="s">
        <v>118</v>
      </c>
      <c r="L64" s="1572" t="s">
        <v>261</v>
      </c>
      <c r="M64" s="692" t="s">
        <v>262</v>
      </c>
      <c r="N64" s="693"/>
      <c r="O64" s="498" t="s">
        <v>263</v>
      </c>
      <c r="P64" s="498" t="str">
        <f t="shared" si="2"/>
        <v>Производство тепловой энергии. Некомбинированная выработка</v>
      </c>
      <c r="Q64" s="498" t="str">
        <f t="shared" si="3"/>
        <v>Территория 1</v>
      </c>
      <c r="R64" s="498" t="str">
        <f>IF($J$64="нет","без дифференциации",$M$64)</f>
        <v>Щепная, 12б</v>
      </c>
      <c r="S64" s="498"/>
      <c r="T64" s="498"/>
      <c r="U64" s="499"/>
      <c r="V64" s="498"/>
      <c r="W64" s="498"/>
      <c r="X64" s="490"/>
      <c r="Y64" s="490" t="s">
        <v>117</v>
      </c>
      <c r="Z64" s="490">
        <v>1705000</v>
      </c>
      <c r="AA64" s="490"/>
      <c r="AB64" s="490"/>
      <c r="AC64" s="490"/>
      <c r="AD64" s="490"/>
      <c r="AE64" s="490"/>
      <c r="AF64" s="490"/>
      <c r="AG64" s="490"/>
      <c r="AH64" s="490"/>
      <c r="AI64" s="490"/>
      <c r="AJ64" s="490"/>
      <c r="AK64" s="490"/>
      <c r="AL64" s="490"/>
    </row>
    <row r="65" spans="1:38" ht="15" customHeight="1">
      <c r="A65"/>
      <c r="B65"/>
      <c r="C65" s="93"/>
      <c r="D65" s="3410"/>
      <c r="E65" s="3410"/>
      <c r="F65" s="3410"/>
      <c r="G65" s="3410"/>
      <c r="H65" s="3410"/>
      <c r="I65" s="3410"/>
      <c r="J65" s="3410"/>
      <c r="K65" s="1642" t="s">
        <v>118</v>
      </c>
      <c r="L65" s="1572" t="s">
        <v>264</v>
      </c>
      <c r="M65" s="692" t="s">
        <v>265</v>
      </c>
      <c r="N65" s="693"/>
      <c r="O65" s="498" t="s">
        <v>266</v>
      </c>
      <c r="P65" s="498" t="str">
        <f t="shared" si="2"/>
        <v>Производство тепловой энергии. Некомбинированная выработка</v>
      </c>
      <c r="Q65" s="498" t="str">
        <f t="shared" si="3"/>
        <v>Территория 1</v>
      </c>
      <c r="R65" s="498" t="str">
        <f>IF($J$65="нет","без дифференциации",$M$65)</f>
        <v>Энгельса,88а</v>
      </c>
      <c r="S65" s="498"/>
      <c r="T65" s="498"/>
      <c r="U65" s="499"/>
      <c r="V65" s="498"/>
      <c r="W65" s="498"/>
      <c r="X65" s="490"/>
      <c r="Y65" s="490" t="s">
        <v>117</v>
      </c>
      <c r="Z65" s="490">
        <v>1705000</v>
      </c>
      <c r="AA65" s="490"/>
      <c r="AB65" s="490"/>
      <c r="AC65" s="490"/>
      <c r="AD65" s="490"/>
      <c r="AE65" s="490"/>
      <c r="AF65" s="490"/>
      <c r="AG65" s="490"/>
      <c r="AH65" s="490"/>
      <c r="AI65" s="490"/>
      <c r="AJ65" s="490"/>
      <c r="AK65" s="490"/>
      <c r="AL65" s="490"/>
    </row>
    <row r="66" spans="1:38" ht="15" customHeight="1">
      <c r="A66"/>
      <c r="B66"/>
      <c r="C66" s="93"/>
      <c r="D66" s="3410"/>
      <c r="E66" s="3410"/>
      <c r="F66" s="3410"/>
      <c r="G66" s="3410"/>
      <c r="H66" s="3410"/>
      <c r="I66" s="3410"/>
      <c r="J66" s="3410"/>
      <c r="K66" s="1642" t="s">
        <v>118</v>
      </c>
      <c r="L66" s="1572" t="s">
        <v>267</v>
      </c>
      <c r="M66" s="692" t="s">
        <v>268</v>
      </c>
      <c r="N66" s="693"/>
      <c r="O66" s="498" t="s">
        <v>269</v>
      </c>
      <c r="P66" s="498" t="str">
        <f t="shared" si="2"/>
        <v>Производство тепловой энергии. Некомбинированная выработка</v>
      </c>
      <c r="Q66" s="498" t="str">
        <f t="shared" si="3"/>
        <v>Территория 1</v>
      </c>
      <c r="R66" s="498" t="str">
        <f>IF($J$66="нет","без дифференциации",$M$66)</f>
        <v>Яблочная, 59а</v>
      </c>
      <c r="S66" s="498"/>
      <c r="T66" s="498"/>
      <c r="U66" s="499"/>
      <c r="V66" s="498"/>
      <c r="W66" s="498"/>
      <c r="X66" s="490"/>
      <c r="Y66" s="490" t="s">
        <v>117</v>
      </c>
      <c r="Z66" s="490">
        <v>1705000</v>
      </c>
      <c r="AA66" s="490"/>
      <c r="AB66" s="490"/>
      <c r="AC66" s="490"/>
      <c r="AD66" s="490"/>
      <c r="AE66" s="490"/>
      <c r="AF66" s="490"/>
      <c r="AG66" s="490"/>
      <c r="AH66" s="490"/>
      <c r="AI66" s="490"/>
      <c r="AJ66" s="490"/>
      <c r="AK66" s="490"/>
      <c r="AL66" s="490"/>
    </row>
    <row r="67" spans="1:38" ht="15" customHeight="1">
      <c r="A67"/>
      <c r="B67"/>
      <c r="C67" s="93"/>
      <c r="D67" s="3410"/>
      <c r="E67" s="3410"/>
      <c r="F67" s="3410"/>
      <c r="G67" s="3410"/>
      <c r="H67" s="3410"/>
      <c r="I67" s="3410"/>
      <c r="J67" s="3410"/>
      <c r="K67" s="1642" t="s">
        <v>118</v>
      </c>
      <c r="L67" s="1572" t="s">
        <v>270</v>
      </c>
      <c r="M67" s="692" t="s">
        <v>271</v>
      </c>
      <c r="N67" s="693"/>
      <c r="O67" s="498" t="s">
        <v>272</v>
      </c>
      <c r="P67" s="498" t="str">
        <f t="shared" si="2"/>
        <v>Производство тепловой энергии. Некомбинированная выработка</v>
      </c>
      <c r="Q67" s="498" t="str">
        <f t="shared" si="3"/>
        <v>Территория 1</v>
      </c>
      <c r="R67" s="498" t="str">
        <f>IF($J$67="нет","без дифференциации",$M$67)</f>
        <v>Комсомольская, 241б</v>
      </c>
      <c r="S67" s="498"/>
      <c r="T67" s="498"/>
      <c r="U67" s="499"/>
      <c r="V67" s="498"/>
      <c r="W67" s="498"/>
      <c r="X67" s="490"/>
      <c r="Y67" s="490" t="s">
        <v>117</v>
      </c>
      <c r="Z67" s="490">
        <v>1705000</v>
      </c>
      <c r="AA67" s="490"/>
      <c r="AB67" s="490"/>
      <c r="AC67" s="490"/>
      <c r="AD67" s="490"/>
      <c r="AE67" s="490"/>
      <c r="AF67" s="490"/>
      <c r="AG67" s="490"/>
      <c r="AH67" s="490"/>
      <c r="AI67" s="490"/>
      <c r="AJ67" s="490"/>
      <c r="AK67" s="490"/>
      <c r="AL67" s="490"/>
    </row>
    <row r="68" spans="1:38" ht="15" customHeight="1">
      <c r="A68"/>
      <c r="B68"/>
      <c r="C68" s="93"/>
      <c r="D68" s="3410"/>
      <c r="E68" s="3410"/>
      <c r="F68" s="3410"/>
      <c r="G68" s="3410"/>
      <c r="H68" s="3410"/>
      <c r="I68" s="3410"/>
      <c r="J68" s="3410"/>
      <c r="K68" s="1642" t="s">
        <v>118</v>
      </c>
      <c r="L68" s="1572" t="s">
        <v>273</v>
      </c>
      <c r="M68" s="692" t="s">
        <v>274</v>
      </c>
      <c r="N68" s="693"/>
      <c r="O68" s="498" t="s">
        <v>275</v>
      </c>
      <c r="P68" s="498" t="str">
        <f t="shared" si="2"/>
        <v>Производство тепловой энергии. Некомбинированная выработка</v>
      </c>
      <c r="Q68" s="498" t="str">
        <f t="shared" si="3"/>
        <v>Территория 1</v>
      </c>
      <c r="R68" s="498" t="str">
        <f>IF($J$68="нет","без дифференциации",$M$68)</f>
        <v>Генерала Жадова, 4а</v>
      </c>
      <c r="S68" s="498"/>
      <c r="T68" s="498"/>
      <c r="U68" s="499"/>
      <c r="V68" s="498"/>
      <c r="W68" s="498"/>
      <c r="X68" s="490"/>
      <c r="Y68" s="490" t="s">
        <v>117</v>
      </c>
      <c r="Z68" s="490">
        <v>1705000</v>
      </c>
      <c r="AA68" s="490"/>
      <c r="AB68" s="490"/>
      <c r="AC68" s="490"/>
      <c r="AD68" s="490"/>
      <c r="AE68" s="490"/>
      <c r="AF68" s="490"/>
      <c r="AG68" s="490"/>
      <c r="AH68" s="490"/>
      <c r="AI68" s="490"/>
      <c r="AJ68" s="490"/>
      <c r="AK68" s="490"/>
      <c r="AL68" s="490"/>
    </row>
    <row r="69" spans="1:38" ht="15" customHeight="1">
      <c r="A69"/>
      <c r="B69"/>
      <c r="C69" s="93"/>
      <c r="D69" s="3410"/>
      <c r="E69" s="3410"/>
      <c r="F69" s="3410"/>
      <c r="G69" s="3410"/>
      <c r="H69" s="3410"/>
      <c r="I69" s="3410"/>
      <c r="J69" s="3410"/>
      <c r="K69" s="1642" t="s">
        <v>118</v>
      </c>
      <c r="L69" s="1572" t="s">
        <v>276</v>
      </c>
      <c r="M69" s="692" t="s">
        <v>277</v>
      </c>
      <c r="N69" s="693"/>
      <c r="O69" s="498" t="s">
        <v>278</v>
      </c>
      <c r="P69" s="498" t="str">
        <f t="shared" si="2"/>
        <v>Производство тепловой энергии. Некомбинированная выработка</v>
      </c>
      <c r="Q69" s="498" t="str">
        <f t="shared" si="3"/>
        <v>Территория 1</v>
      </c>
      <c r="R69" s="498" t="str">
        <f>IF($J$69="нет","без дифференциации",$M$69)</f>
        <v>Генерала Родина, 69а</v>
      </c>
      <c r="S69" s="498"/>
      <c r="T69" s="498"/>
      <c r="U69" s="499"/>
      <c r="V69" s="498"/>
      <c r="W69" s="498"/>
      <c r="X69" s="490"/>
      <c r="Y69" s="490" t="s">
        <v>117</v>
      </c>
      <c r="Z69" s="490">
        <v>1705000</v>
      </c>
      <c r="AA69" s="490"/>
      <c r="AB69" s="490"/>
      <c r="AC69" s="490"/>
      <c r="AD69" s="490"/>
      <c r="AE69" s="490"/>
      <c r="AF69" s="490"/>
      <c r="AG69" s="490"/>
      <c r="AH69" s="490"/>
      <c r="AI69" s="490"/>
      <c r="AJ69" s="490"/>
      <c r="AK69" s="490"/>
      <c r="AL69" s="490"/>
    </row>
    <row r="70" spans="1:38" ht="15" customHeight="1">
      <c r="A70"/>
      <c r="B70"/>
      <c r="C70" s="93"/>
      <c r="D70" s="3410"/>
      <c r="E70" s="3410"/>
      <c r="F70" s="3410"/>
      <c r="G70" s="3410"/>
      <c r="H70" s="3410"/>
      <c r="I70" s="3410"/>
      <c r="J70" s="3410"/>
      <c r="K70" s="1642" t="s">
        <v>118</v>
      </c>
      <c r="L70" s="1572" t="s">
        <v>279</v>
      </c>
      <c r="M70" s="692" t="s">
        <v>280</v>
      </c>
      <c r="N70" s="693"/>
      <c r="O70" s="498" t="s">
        <v>281</v>
      </c>
      <c r="P70" s="498" t="str">
        <f t="shared" si="2"/>
        <v>Производство тепловой энергии. Некомбинированная выработка</v>
      </c>
      <c r="Q70" s="498" t="str">
        <f t="shared" si="3"/>
        <v>Территория 1</v>
      </c>
      <c r="R70" s="498" t="str">
        <f>IF($J$70="нет","без дифференциации",$M$70)</f>
        <v>Ипподромный,2а</v>
      </c>
      <c r="S70" s="498"/>
      <c r="T70" s="498"/>
      <c r="U70" s="499"/>
      <c r="V70" s="498"/>
      <c r="W70" s="498"/>
      <c r="X70" s="490"/>
      <c r="Y70" s="490" t="s">
        <v>117</v>
      </c>
      <c r="Z70" s="490">
        <v>1705000</v>
      </c>
      <c r="AA70" s="490"/>
      <c r="AB70" s="490"/>
      <c r="AC70" s="490"/>
      <c r="AD70" s="490"/>
      <c r="AE70" s="490"/>
      <c r="AF70" s="490"/>
      <c r="AG70" s="490"/>
      <c r="AH70" s="490"/>
      <c r="AI70" s="490"/>
      <c r="AJ70" s="490"/>
      <c r="AK70" s="490"/>
      <c r="AL70" s="490"/>
    </row>
    <row r="71" spans="1:38" ht="15" customHeight="1">
      <c r="A71"/>
      <c r="B71"/>
      <c r="C71" s="93"/>
      <c r="D71" s="3410"/>
      <c r="E71" s="3410"/>
      <c r="F71" s="3410"/>
      <c r="G71" s="3410"/>
      <c r="H71" s="3410"/>
      <c r="I71" s="3410"/>
      <c r="J71" s="3410"/>
      <c r="K71" s="1642" t="s">
        <v>118</v>
      </c>
      <c r="L71" s="1572" t="s">
        <v>282</v>
      </c>
      <c r="M71" s="692" t="s">
        <v>283</v>
      </c>
      <c r="N71" s="693"/>
      <c r="O71" s="498" t="s">
        <v>284</v>
      </c>
      <c r="P71" s="498" t="str">
        <f t="shared" si="2"/>
        <v>Производство тепловой энергии. Некомбинированная выработка</v>
      </c>
      <c r="Q71" s="498" t="str">
        <f t="shared" si="3"/>
        <v>Территория 1</v>
      </c>
      <c r="R71" s="498" t="str">
        <f>IF($J$71="нет","без дифференциации",$M$71)</f>
        <v>Лескова, 31а</v>
      </c>
      <c r="S71" s="498"/>
      <c r="T71" s="498"/>
      <c r="U71" s="499"/>
      <c r="V71" s="498"/>
      <c r="W71" s="498"/>
      <c r="X71" s="490"/>
      <c r="Y71" s="490" t="s">
        <v>117</v>
      </c>
      <c r="Z71" s="490">
        <v>1705000</v>
      </c>
      <c r="AA71" s="490"/>
      <c r="AB71" s="490"/>
      <c r="AC71" s="490"/>
      <c r="AD71" s="490"/>
      <c r="AE71" s="490"/>
      <c r="AF71" s="490"/>
      <c r="AG71" s="490"/>
      <c r="AH71" s="490"/>
      <c r="AI71" s="490"/>
      <c r="AJ71" s="490"/>
      <c r="AK71" s="490"/>
      <c r="AL71" s="490"/>
    </row>
    <row r="72" spans="1:38" ht="15" customHeight="1">
      <c r="A72"/>
      <c r="B72"/>
      <c r="C72" s="93"/>
      <c r="D72" s="3410"/>
      <c r="E72" s="3410"/>
      <c r="F72" s="3410"/>
      <c r="G72" s="3410"/>
      <c r="H72" s="3410"/>
      <c r="I72" s="3410"/>
      <c r="J72" s="3410"/>
      <c r="K72" s="1642" t="s">
        <v>118</v>
      </c>
      <c r="L72" s="1572" t="s">
        <v>285</v>
      </c>
      <c r="M72" s="692" t="s">
        <v>286</v>
      </c>
      <c r="N72" s="693"/>
      <c r="O72" s="498" t="s">
        <v>287</v>
      </c>
      <c r="P72" s="498" t="str">
        <f t="shared" si="2"/>
        <v>Производство тепловой энергии. Некомбинированная выработка</v>
      </c>
      <c r="Q72" s="498" t="str">
        <f t="shared" si="3"/>
        <v>Территория 1</v>
      </c>
      <c r="R72" s="498" t="str">
        <f>IF($J$72="нет","без дифференциации",$M$72)</f>
        <v>Матвеева, 9а</v>
      </c>
      <c r="S72" s="498"/>
      <c r="T72" s="498"/>
      <c r="U72" s="499"/>
      <c r="V72" s="498"/>
      <c r="W72" s="498"/>
      <c r="X72" s="490"/>
      <c r="Y72" s="490" t="s">
        <v>117</v>
      </c>
      <c r="Z72" s="490">
        <v>1705000</v>
      </c>
      <c r="AA72" s="490"/>
      <c r="AB72" s="490"/>
      <c r="AC72" s="490"/>
      <c r="AD72" s="490"/>
      <c r="AE72" s="490"/>
      <c r="AF72" s="490"/>
      <c r="AG72" s="490"/>
      <c r="AH72" s="490"/>
      <c r="AI72" s="490"/>
      <c r="AJ72" s="490"/>
      <c r="AK72" s="490"/>
      <c r="AL72" s="490"/>
    </row>
    <row r="73" spans="1:38" ht="15" customHeight="1">
      <c r="A73"/>
      <c r="B73"/>
      <c r="C73" s="93"/>
      <c r="D73" s="3410"/>
      <c r="E73" s="3410"/>
      <c r="F73" s="3410"/>
      <c r="G73" s="3410"/>
      <c r="H73" s="3410"/>
      <c r="I73" s="3410"/>
      <c r="J73" s="3410"/>
      <c r="K73" s="1642" t="s">
        <v>118</v>
      </c>
      <c r="L73" s="1572" t="s">
        <v>288</v>
      </c>
      <c r="M73" s="692" t="s">
        <v>289</v>
      </c>
      <c r="N73" s="693"/>
      <c r="O73" s="498" t="s">
        <v>290</v>
      </c>
      <c r="P73" s="498" t="str">
        <f t="shared" si="2"/>
        <v>Производство тепловой энергии. Некомбинированная выработка</v>
      </c>
      <c r="Q73" s="498" t="str">
        <f t="shared" si="3"/>
        <v>Территория 1</v>
      </c>
      <c r="R73" s="498" t="str">
        <f>IF($J$73="нет","без дифференциации",$M$73)</f>
        <v>Матросова, 46б</v>
      </c>
      <c r="S73" s="498"/>
      <c r="T73" s="498"/>
      <c r="U73" s="499"/>
      <c r="V73" s="498"/>
      <c r="W73" s="498"/>
      <c r="X73" s="490"/>
      <c r="Y73" s="490" t="s">
        <v>117</v>
      </c>
      <c r="Z73" s="490">
        <v>1705000</v>
      </c>
      <c r="AA73" s="490"/>
      <c r="AB73" s="490"/>
      <c r="AC73" s="490"/>
      <c r="AD73" s="490"/>
      <c r="AE73" s="490"/>
      <c r="AF73" s="490"/>
      <c r="AG73" s="490"/>
      <c r="AH73" s="490"/>
      <c r="AI73" s="490"/>
      <c r="AJ73" s="490"/>
      <c r="AK73" s="490"/>
      <c r="AL73" s="490"/>
    </row>
    <row r="74" spans="1:38" ht="15" customHeight="1">
      <c r="A74"/>
      <c r="B74"/>
      <c r="C74" s="93"/>
      <c r="D74" s="3410"/>
      <c r="E74" s="3410"/>
      <c r="F74" s="3410"/>
      <c r="G74" s="3410"/>
      <c r="H74" s="3410"/>
      <c r="I74" s="3410"/>
      <c r="J74" s="3410"/>
      <c r="K74" s="1642" t="s">
        <v>118</v>
      </c>
      <c r="L74" s="1572" t="s">
        <v>291</v>
      </c>
      <c r="M74" s="692" t="s">
        <v>292</v>
      </c>
      <c r="N74" s="693"/>
      <c r="O74" s="498" t="s">
        <v>293</v>
      </c>
      <c r="P74" s="498" t="str">
        <f t="shared" si="2"/>
        <v>Производство тепловой энергии. Некомбинированная выработка</v>
      </c>
      <c r="Q74" s="498" t="str">
        <f t="shared" si="3"/>
        <v>Территория 1</v>
      </c>
      <c r="R74" s="498" t="str">
        <f>IF($J$74="нет","без дифференциации",$M$74)</f>
        <v>Наугорское, 13б</v>
      </c>
      <c r="S74" s="498"/>
      <c r="T74" s="498"/>
      <c r="U74" s="499"/>
      <c r="V74" s="498"/>
      <c r="W74" s="498"/>
      <c r="X74" s="490"/>
      <c r="Y74" s="490" t="s">
        <v>117</v>
      </c>
      <c r="Z74" s="490">
        <v>1705000</v>
      </c>
      <c r="AA74" s="490"/>
      <c r="AB74" s="490"/>
      <c r="AC74" s="490"/>
      <c r="AD74" s="490"/>
      <c r="AE74" s="490"/>
      <c r="AF74" s="490"/>
      <c r="AG74" s="490"/>
      <c r="AH74" s="490"/>
      <c r="AI74" s="490"/>
      <c r="AJ74" s="490"/>
      <c r="AK74" s="490"/>
      <c r="AL74" s="490"/>
    </row>
    <row r="75" spans="1:38" ht="15" customHeight="1">
      <c r="A75"/>
      <c r="B75"/>
      <c r="C75" s="93"/>
      <c r="D75" s="3410"/>
      <c r="E75" s="3410"/>
      <c r="F75" s="3410"/>
      <c r="G75" s="3410"/>
      <c r="H75" s="3410"/>
      <c r="I75" s="3410"/>
      <c r="J75" s="3410"/>
      <c r="K75" s="1642" t="s">
        <v>118</v>
      </c>
      <c r="L75" s="1572" t="s">
        <v>294</v>
      </c>
      <c r="M75" s="692" t="s">
        <v>295</v>
      </c>
      <c r="N75" s="693"/>
      <c r="O75" s="498" t="s">
        <v>296</v>
      </c>
      <c r="P75" s="498" t="str">
        <f t="shared" si="2"/>
        <v>Производство тепловой энергии. Некомбинированная выработка</v>
      </c>
      <c r="Q75" s="498" t="str">
        <f t="shared" si="3"/>
        <v>Территория 1</v>
      </c>
      <c r="R75" s="498" t="str">
        <f>IF($J$75="нет","без дифференциации",$M$75)</f>
        <v>Наугорское, 27</v>
      </c>
      <c r="S75" s="498"/>
      <c r="T75" s="498"/>
      <c r="U75" s="499"/>
      <c r="V75" s="498"/>
      <c r="W75" s="498"/>
      <c r="X75" s="490"/>
      <c r="Y75" s="490" t="s">
        <v>117</v>
      </c>
      <c r="Z75" s="490">
        <v>1705000</v>
      </c>
      <c r="AA75" s="490"/>
      <c r="AB75" s="490"/>
      <c r="AC75" s="490"/>
      <c r="AD75" s="490"/>
      <c r="AE75" s="490"/>
      <c r="AF75" s="490"/>
      <c r="AG75" s="490"/>
      <c r="AH75" s="490"/>
      <c r="AI75" s="490"/>
      <c r="AJ75" s="490"/>
      <c r="AK75" s="490"/>
      <c r="AL75" s="490"/>
    </row>
    <row r="76" spans="1:38" ht="15" customHeight="1">
      <c r="A76"/>
      <c r="B76"/>
      <c r="C76" s="93"/>
      <c r="D76" s="3410"/>
      <c r="E76" s="3410"/>
      <c r="F76" s="3410"/>
      <c r="G76" s="3410"/>
      <c r="H76" s="3410"/>
      <c r="I76" s="3410"/>
      <c r="J76" s="3410"/>
      <c r="K76" s="1642" t="s">
        <v>118</v>
      </c>
      <c r="L76" s="1572" t="s">
        <v>297</v>
      </c>
      <c r="M76" s="692" t="s">
        <v>298</v>
      </c>
      <c r="N76" s="693"/>
      <c r="O76" s="498" t="s">
        <v>299</v>
      </c>
      <c r="P76" s="498" t="str">
        <f t="shared" si="2"/>
        <v>Производство тепловой энергии. Некомбинированная выработка</v>
      </c>
      <c r="Q76" s="498" t="str">
        <f t="shared" si="3"/>
        <v>Территория 1</v>
      </c>
      <c r="R76" s="498" t="str">
        <f>IF($J$76="нет","без дифференциации",$M$76)</f>
        <v>Наугорское, 29б</v>
      </c>
      <c r="S76" s="498"/>
      <c r="T76" s="498"/>
      <c r="U76" s="499"/>
      <c r="V76" s="498"/>
      <c r="W76" s="498"/>
      <c r="X76" s="490"/>
      <c r="Y76" s="490" t="s">
        <v>117</v>
      </c>
      <c r="Z76" s="490">
        <v>1705000</v>
      </c>
      <c r="AA76" s="490"/>
      <c r="AB76" s="490"/>
      <c r="AC76" s="490"/>
      <c r="AD76" s="490"/>
      <c r="AE76" s="490"/>
      <c r="AF76" s="490"/>
      <c r="AG76" s="490"/>
      <c r="AH76" s="490"/>
      <c r="AI76" s="490"/>
      <c r="AJ76" s="490"/>
      <c r="AK76" s="490"/>
      <c r="AL76" s="490"/>
    </row>
    <row r="77" spans="1:38" ht="15" customHeight="1">
      <c r="A77"/>
      <c r="B77"/>
      <c r="C77" s="93"/>
      <c r="D77" s="3410"/>
      <c r="E77" s="3410"/>
      <c r="F77" s="3410"/>
      <c r="G77" s="3410"/>
      <c r="H77" s="3410"/>
      <c r="I77" s="3410"/>
      <c r="J77" s="3410"/>
      <c r="K77" s="1642" t="s">
        <v>118</v>
      </c>
      <c r="L77" s="1572" t="s">
        <v>300</v>
      </c>
      <c r="M77" s="692" t="s">
        <v>301</v>
      </c>
      <c r="N77" s="693"/>
      <c r="O77" s="498" t="s">
        <v>302</v>
      </c>
      <c r="P77" s="498" t="str">
        <f t="shared" ref="P77:P105" si="4">$E$13</f>
        <v>Производство тепловой энергии. Некомбинированная выработка</v>
      </c>
      <c r="Q77" s="498" t="str">
        <f t="shared" ref="Q77:Q105" si="5">IF($F$13="нет","без дифференциации",$I$13)</f>
        <v>Территория 1</v>
      </c>
      <c r="R77" s="498" t="str">
        <f>IF($J$77="нет","без дифференциации",$M$77)</f>
        <v>Октябрьская, 4а</v>
      </c>
      <c r="S77" s="498"/>
      <c r="T77" s="498"/>
      <c r="U77" s="499"/>
      <c r="V77" s="498"/>
      <c r="W77" s="498"/>
      <c r="X77" s="490"/>
      <c r="Y77" s="490" t="s">
        <v>117</v>
      </c>
      <c r="Z77" s="490">
        <v>1705000</v>
      </c>
      <c r="AA77" s="490"/>
      <c r="AB77" s="490"/>
      <c r="AC77" s="490"/>
      <c r="AD77" s="490"/>
      <c r="AE77" s="490"/>
      <c r="AF77" s="490"/>
      <c r="AG77" s="490"/>
      <c r="AH77" s="490"/>
      <c r="AI77" s="490"/>
      <c r="AJ77" s="490"/>
      <c r="AK77" s="490"/>
      <c r="AL77" s="490"/>
    </row>
    <row r="78" spans="1:38" ht="15" customHeight="1">
      <c r="A78"/>
      <c r="B78"/>
      <c r="C78" s="93"/>
      <c r="D78" s="3410"/>
      <c r="E78" s="3410"/>
      <c r="F78" s="3410"/>
      <c r="G78" s="3410"/>
      <c r="H78" s="3410"/>
      <c r="I78" s="3410"/>
      <c r="J78" s="3410"/>
      <c r="K78" s="1642" t="s">
        <v>118</v>
      </c>
      <c r="L78" s="1572" t="s">
        <v>303</v>
      </c>
      <c r="M78" s="692" t="s">
        <v>304</v>
      </c>
      <c r="N78" s="693"/>
      <c r="O78" s="498" t="s">
        <v>305</v>
      </c>
      <c r="P78" s="498" t="str">
        <f t="shared" si="4"/>
        <v>Производство тепловой энергии. Некомбинированная выработка</v>
      </c>
      <c r="Q78" s="498" t="str">
        <f t="shared" si="5"/>
        <v>Территория 1</v>
      </c>
      <c r="R78" s="498" t="str">
        <f>IF($J$78="нет","без дифференциации",$M$78)</f>
        <v>Октябрьская, 54а</v>
      </c>
      <c r="S78" s="498"/>
      <c r="T78" s="498"/>
      <c r="U78" s="499"/>
      <c r="V78" s="498"/>
      <c r="W78" s="498"/>
      <c r="X78" s="490"/>
      <c r="Y78" s="490" t="s">
        <v>117</v>
      </c>
      <c r="Z78" s="490">
        <v>1705000</v>
      </c>
      <c r="AA78" s="490"/>
      <c r="AB78" s="490"/>
      <c r="AC78" s="490"/>
      <c r="AD78" s="490"/>
      <c r="AE78" s="490"/>
      <c r="AF78" s="490"/>
      <c r="AG78" s="490"/>
      <c r="AH78" s="490"/>
      <c r="AI78" s="490"/>
      <c r="AJ78" s="490"/>
      <c r="AK78" s="490"/>
      <c r="AL78" s="490"/>
    </row>
    <row r="79" spans="1:38" ht="15" customHeight="1">
      <c r="A79"/>
      <c r="B79"/>
      <c r="C79" s="93"/>
      <c r="D79" s="3410"/>
      <c r="E79" s="3410"/>
      <c r="F79" s="3410"/>
      <c r="G79" s="3410"/>
      <c r="H79" s="3410"/>
      <c r="I79" s="3410"/>
      <c r="J79" s="3410"/>
      <c r="K79" s="1642" t="s">
        <v>118</v>
      </c>
      <c r="L79" s="1572" t="s">
        <v>306</v>
      </c>
      <c r="M79" s="692" t="s">
        <v>307</v>
      </c>
      <c r="N79" s="693"/>
      <c r="O79" s="498" t="s">
        <v>308</v>
      </c>
      <c r="P79" s="498" t="str">
        <f t="shared" si="4"/>
        <v>Производство тепловой энергии. Некомбинированная выработка</v>
      </c>
      <c r="Q79" s="498" t="str">
        <f t="shared" si="5"/>
        <v>Территория 1</v>
      </c>
      <c r="R79" s="498" t="str">
        <f>IF($J$79="нет","без дифференциации",$M$79)</f>
        <v>Трудовые резервы, 32а</v>
      </c>
      <c r="S79" s="498"/>
      <c r="T79" s="498"/>
      <c r="U79" s="499"/>
      <c r="V79" s="498"/>
      <c r="W79" s="498"/>
      <c r="X79" s="490"/>
      <c r="Y79" s="490" t="s">
        <v>117</v>
      </c>
      <c r="Z79" s="490">
        <v>1705000</v>
      </c>
      <c r="AA79" s="490"/>
      <c r="AB79" s="490"/>
      <c r="AC79" s="490"/>
      <c r="AD79" s="490"/>
      <c r="AE79" s="490"/>
      <c r="AF79" s="490"/>
      <c r="AG79" s="490"/>
      <c r="AH79" s="490"/>
      <c r="AI79" s="490"/>
      <c r="AJ79" s="490"/>
      <c r="AK79" s="490"/>
      <c r="AL79" s="490"/>
    </row>
    <row r="80" spans="1:38" ht="15" customHeight="1">
      <c r="A80"/>
      <c r="B80"/>
      <c r="C80" s="93"/>
      <c r="D80" s="3410"/>
      <c r="E80" s="3410"/>
      <c r="F80" s="3410"/>
      <c r="G80" s="3410"/>
      <c r="H80" s="3410"/>
      <c r="I80" s="3410"/>
      <c r="J80" s="3410"/>
      <c r="K80" s="1642" t="s">
        <v>118</v>
      </c>
      <c r="L80" s="1572" t="s">
        <v>309</v>
      </c>
      <c r="M80" s="692" t="s">
        <v>310</v>
      </c>
      <c r="N80" s="693"/>
      <c r="O80" s="498" t="s">
        <v>311</v>
      </c>
      <c r="P80" s="498" t="str">
        <f t="shared" si="4"/>
        <v>Производство тепловой энергии. Некомбинированная выработка</v>
      </c>
      <c r="Q80" s="498" t="str">
        <f t="shared" si="5"/>
        <v>Территория 1</v>
      </c>
      <c r="R80" s="498" t="str">
        <f>IF($J$80="нет","без дифференциации",$M$80)</f>
        <v>Цветаева, 15б</v>
      </c>
      <c r="S80" s="498"/>
      <c r="T80" s="498"/>
      <c r="U80" s="499"/>
      <c r="V80" s="498"/>
      <c r="W80" s="498"/>
      <c r="X80" s="490"/>
      <c r="Y80" s="490" t="s">
        <v>117</v>
      </c>
      <c r="Z80" s="490">
        <v>1705000</v>
      </c>
      <c r="AA80" s="490"/>
      <c r="AB80" s="490"/>
      <c r="AC80" s="490"/>
      <c r="AD80" s="490"/>
      <c r="AE80" s="490"/>
      <c r="AF80" s="490"/>
      <c r="AG80" s="490"/>
      <c r="AH80" s="490"/>
      <c r="AI80" s="490"/>
      <c r="AJ80" s="490"/>
      <c r="AK80" s="490"/>
      <c r="AL80" s="490"/>
    </row>
    <row r="81" spans="1:38" ht="15" customHeight="1">
      <c r="A81"/>
      <c r="B81"/>
      <c r="C81" s="93"/>
      <c r="D81" s="3410"/>
      <c r="E81" s="3410"/>
      <c r="F81" s="3410"/>
      <c r="G81" s="3410"/>
      <c r="H81" s="3410"/>
      <c r="I81" s="3410"/>
      <c r="J81" s="3410"/>
      <c r="K81" s="1642" t="s">
        <v>118</v>
      </c>
      <c r="L81" s="1572" t="s">
        <v>312</v>
      </c>
      <c r="M81" s="692" t="s">
        <v>313</v>
      </c>
      <c r="N81" s="693"/>
      <c r="O81" s="498" t="s">
        <v>314</v>
      </c>
      <c r="P81" s="498" t="str">
        <f t="shared" si="4"/>
        <v>Производство тепловой энергии. Некомбинированная выработка</v>
      </c>
      <c r="Q81" s="498" t="str">
        <f t="shared" si="5"/>
        <v>Территория 1</v>
      </c>
      <c r="R81" s="498" t="str">
        <f>IF($J$81="нет","без дифференциации",$M$81)</f>
        <v>Бресткая,6</v>
      </c>
      <c r="S81" s="498"/>
      <c r="T81" s="498"/>
      <c r="U81" s="499"/>
      <c r="V81" s="498"/>
      <c r="W81" s="498"/>
      <c r="X81" s="490"/>
      <c r="Y81" s="490" t="s">
        <v>117</v>
      </c>
      <c r="Z81" s="490">
        <v>1705000</v>
      </c>
      <c r="AA81" s="490"/>
      <c r="AB81" s="490"/>
      <c r="AC81" s="490"/>
      <c r="AD81" s="490"/>
      <c r="AE81" s="490"/>
      <c r="AF81" s="490"/>
      <c r="AG81" s="490"/>
      <c r="AH81" s="490"/>
      <c r="AI81" s="490"/>
      <c r="AJ81" s="490"/>
      <c r="AK81" s="490"/>
      <c r="AL81" s="490"/>
    </row>
    <row r="82" spans="1:38" ht="15" customHeight="1">
      <c r="A82"/>
      <c r="B82"/>
      <c r="C82" s="93"/>
      <c r="D82" s="3410"/>
      <c r="E82" s="3410"/>
      <c r="F82" s="3410"/>
      <c r="G82" s="3410"/>
      <c r="H82" s="3410"/>
      <c r="I82" s="3410"/>
      <c r="J82" s="3410"/>
      <c r="K82" s="1642" t="s">
        <v>118</v>
      </c>
      <c r="L82" s="1572" t="s">
        <v>315</v>
      </c>
      <c r="M82" s="692" t="s">
        <v>316</v>
      </c>
      <c r="N82" s="693"/>
      <c r="O82" s="498" t="s">
        <v>317</v>
      </c>
      <c r="P82" s="498" t="str">
        <f t="shared" si="4"/>
        <v>Производство тепловой энергии. Некомбинированная выработка</v>
      </c>
      <c r="Q82" s="498" t="str">
        <f t="shared" si="5"/>
        <v>Территория 1</v>
      </c>
      <c r="R82" s="498" t="str">
        <f>IF($J$82="нет","без дифференциации",$M$82)</f>
        <v>Веселая,2</v>
      </c>
      <c r="S82" s="498"/>
      <c r="T82" s="498"/>
      <c r="U82" s="499"/>
      <c r="V82" s="498"/>
      <c r="W82" s="498"/>
      <c r="X82" s="490"/>
      <c r="Y82" s="490" t="s">
        <v>117</v>
      </c>
      <c r="Z82" s="490">
        <v>1705000</v>
      </c>
      <c r="AA82" s="490"/>
      <c r="AB82" s="490"/>
      <c r="AC82" s="490"/>
      <c r="AD82" s="490"/>
      <c r="AE82" s="490"/>
      <c r="AF82" s="490"/>
      <c r="AG82" s="490"/>
      <c r="AH82" s="490"/>
      <c r="AI82" s="490"/>
      <c r="AJ82" s="490"/>
      <c r="AK82" s="490"/>
      <c r="AL82" s="490"/>
    </row>
    <row r="83" spans="1:38" ht="15" customHeight="1">
      <c r="A83"/>
      <c r="B83"/>
      <c r="C83" s="93"/>
      <c r="D83" s="3410"/>
      <c r="E83" s="3410"/>
      <c r="F83" s="3410"/>
      <c r="G83" s="3410"/>
      <c r="H83" s="3410"/>
      <c r="I83" s="3410"/>
      <c r="J83" s="3410"/>
      <c r="K83" s="1642" t="s">
        <v>118</v>
      </c>
      <c r="L83" s="1572" t="s">
        <v>318</v>
      </c>
      <c r="M83" s="692" t="s">
        <v>319</v>
      </c>
      <c r="N83" s="693"/>
      <c r="O83" s="498" t="s">
        <v>320</v>
      </c>
      <c r="P83" s="498" t="str">
        <f t="shared" si="4"/>
        <v>Производство тепловой энергии. Некомбинированная выработка</v>
      </c>
      <c r="Q83" s="498" t="str">
        <f t="shared" si="5"/>
        <v>Территория 1</v>
      </c>
      <c r="R83" s="498" t="str">
        <f>IF($J$83="нет","без дифференциации",$M$83)</f>
        <v>Огородный,7а</v>
      </c>
      <c r="S83" s="498"/>
      <c r="T83" s="498"/>
      <c r="U83" s="499"/>
      <c r="V83" s="498"/>
      <c r="W83" s="498"/>
      <c r="X83" s="490"/>
      <c r="Y83" s="490" t="s">
        <v>117</v>
      </c>
      <c r="Z83" s="490">
        <v>1705000</v>
      </c>
      <c r="AA83" s="490"/>
      <c r="AB83" s="490"/>
      <c r="AC83" s="490"/>
      <c r="AD83" s="490"/>
      <c r="AE83" s="490"/>
      <c r="AF83" s="490"/>
      <c r="AG83" s="490"/>
      <c r="AH83" s="490"/>
      <c r="AI83" s="490"/>
      <c r="AJ83" s="490"/>
      <c r="AK83" s="490"/>
      <c r="AL83" s="490"/>
    </row>
    <row r="84" spans="1:38" ht="15" customHeight="1">
      <c r="A84"/>
      <c r="B84"/>
      <c r="C84" s="93"/>
      <c r="D84" s="3410"/>
      <c r="E84" s="3410"/>
      <c r="F84" s="3410"/>
      <c r="G84" s="3410"/>
      <c r="H84" s="3410"/>
      <c r="I84" s="3410"/>
      <c r="J84" s="3410"/>
      <c r="K84" s="1642" t="s">
        <v>118</v>
      </c>
      <c r="L84" s="1572" t="s">
        <v>321</v>
      </c>
      <c r="M84" s="692" t="s">
        <v>322</v>
      </c>
      <c r="N84" s="693"/>
      <c r="O84" s="498" t="s">
        <v>323</v>
      </c>
      <c r="P84" s="498" t="str">
        <f t="shared" si="4"/>
        <v>Производство тепловой энергии. Некомбинированная выработка</v>
      </c>
      <c r="Q84" s="498" t="str">
        <f t="shared" si="5"/>
        <v>Территория 1</v>
      </c>
      <c r="R84" s="498" t="str">
        <f>IF($J$84="нет","без дифференциации",$M$84)</f>
        <v>Пролетарская гора, 1</v>
      </c>
      <c r="S84" s="498"/>
      <c r="T84" s="498"/>
      <c r="U84" s="499"/>
      <c r="V84" s="498"/>
      <c r="W84" s="498"/>
      <c r="X84" s="490"/>
      <c r="Y84" s="490" t="s">
        <v>117</v>
      </c>
      <c r="Z84" s="490">
        <v>1705000</v>
      </c>
      <c r="AA84" s="490"/>
      <c r="AB84" s="490"/>
      <c r="AC84" s="490"/>
      <c r="AD84" s="490"/>
      <c r="AE84" s="490"/>
      <c r="AF84" s="490"/>
      <c r="AG84" s="490"/>
      <c r="AH84" s="490"/>
      <c r="AI84" s="490"/>
      <c r="AJ84" s="490"/>
      <c r="AK84" s="490"/>
      <c r="AL84" s="490"/>
    </row>
    <row r="85" spans="1:38" ht="15" customHeight="1">
      <c r="A85"/>
      <c r="B85"/>
      <c r="C85" s="93"/>
      <c r="D85" s="3410"/>
      <c r="E85" s="3410"/>
      <c r="F85" s="3410"/>
      <c r="G85" s="3410"/>
      <c r="H85" s="3410"/>
      <c r="I85" s="3410"/>
      <c r="J85" s="3410"/>
      <c r="K85" s="1642" t="s">
        <v>118</v>
      </c>
      <c r="L85" s="1572" t="s">
        <v>324</v>
      </c>
      <c r="M85" s="692" t="s">
        <v>325</v>
      </c>
      <c r="N85" s="693"/>
      <c r="O85" s="498" t="s">
        <v>326</v>
      </c>
      <c r="P85" s="498" t="str">
        <f t="shared" si="4"/>
        <v>Производство тепловой энергии. Некомбинированная выработка</v>
      </c>
      <c r="Q85" s="498" t="str">
        <f t="shared" si="5"/>
        <v>Территория 1</v>
      </c>
      <c r="R85" s="498" t="str">
        <f>IF($J$85="нет","без дифференциации",$M$85)</f>
        <v>Тургенева, 50а</v>
      </c>
      <c r="S85" s="498"/>
      <c r="T85" s="498"/>
      <c r="U85" s="499"/>
      <c r="V85" s="498"/>
      <c r="W85" s="498"/>
      <c r="X85" s="490"/>
      <c r="Y85" s="490" t="s">
        <v>117</v>
      </c>
      <c r="Z85" s="490">
        <v>1705000</v>
      </c>
      <c r="AA85" s="490"/>
      <c r="AB85" s="490"/>
      <c r="AC85" s="490"/>
      <c r="AD85" s="490"/>
      <c r="AE85" s="490"/>
      <c r="AF85" s="490"/>
      <c r="AG85" s="490"/>
      <c r="AH85" s="490"/>
      <c r="AI85" s="490"/>
      <c r="AJ85" s="490"/>
      <c r="AK85" s="490"/>
      <c r="AL85" s="490"/>
    </row>
    <row r="86" spans="1:38" ht="15" customHeight="1">
      <c r="A86"/>
      <c r="B86"/>
      <c r="C86" s="93"/>
      <c r="D86" s="3410"/>
      <c r="E86" s="3410"/>
      <c r="F86" s="3410"/>
      <c r="G86" s="3410"/>
      <c r="H86" s="3410"/>
      <c r="I86" s="3410"/>
      <c r="J86" s="3410"/>
      <c r="K86" s="1642" t="s">
        <v>118</v>
      </c>
      <c r="L86" s="1572" t="s">
        <v>327</v>
      </c>
      <c r="M86" s="692" t="s">
        <v>328</v>
      </c>
      <c r="N86" s="693"/>
      <c r="O86" s="498" t="s">
        <v>329</v>
      </c>
      <c r="P86" s="498" t="str">
        <f t="shared" si="4"/>
        <v>Производство тепловой энергии. Некомбинированная выработка</v>
      </c>
      <c r="Q86" s="498" t="str">
        <f t="shared" si="5"/>
        <v>Территория 1</v>
      </c>
      <c r="R86" s="498" t="str">
        <f>IF($J$86="нет","без дифференциации",$M$86)</f>
        <v>Абрамова-Соколова, 76б</v>
      </c>
      <c r="S86" s="498"/>
      <c r="T86" s="498"/>
      <c r="U86" s="499"/>
      <c r="V86" s="498"/>
      <c r="W86" s="498"/>
      <c r="X86" s="490"/>
      <c r="Y86" s="490" t="s">
        <v>117</v>
      </c>
      <c r="Z86" s="490">
        <v>1705000</v>
      </c>
      <c r="AA86" s="490"/>
      <c r="AB86" s="490"/>
      <c r="AC86" s="490"/>
      <c r="AD86" s="490"/>
      <c r="AE86" s="490"/>
      <c r="AF86" s="490"/>
      <c r="AG86" s="490"/>
      <c r="AH86" s="490"/>
      <c r="AI86" s="490"/>
      <c r="AJ86" s="490"/>
      <c r="AK86" s="490"/>
      <c r="AL86" s="490"/>
    </row>
    <row r="87" spans="1:38" ht="15" customHeight="1">
      <c r="A87"/>
      <c r="B87"/>
      <c r="C87" s="93"/>
      <c r="D87" s="3410"/>
      <c r="E87" s="3410"/>
      <c r="F87" s="3410"/>
      <c r="G87" s="3410"/>
      <c r="H87" s="3410"/>
      <c r="I87" s="3410"/>
      <c r="J87" s="3410"/>
      <c r="K87" s="1642" t="s">
        <v>118</v>
      </c>
      <c r="L87" s="1572" t="s">
        <v>330</v>
      </c>
      <c r="M87" s="692" t="s">
        <v>331</v>
      </c>
      <c r="N87" s="693"/>
      <c r="O87" s="498" t="s">
        <v>332</v>
      </c>
      <c r="P87" s="498" t="str">
        <f t="shared" si="4"/>
        <v>Производство тепловой энергии. Некомбинированная выработка</v>
      </c>
      <c r="Q87" s="498" t="str">
        <f t="shared" si="5"/>
        <v>Территория 1</v>
      </c>
      <c r="R87" s="498" t="str">
        <f>IF($J$87="нет","без дифференциации",$M$87)</f>
        <v>5 августа,66а</v>
      </c>
      <c r="S87" s="498"/>
      <c r="T87" s="498"/>
      <c r="U87" s="499"/>
      <c r="V87" s="498"/>
      <c r="W87" s="498"/>
      <c r="X87" s="490"/>
      <c r="Y87" s="490" t="s">
        <v>117</v>
      </c>
      <c r="Z87" s="490">
        <v>1705000</v>
      </c>
      <c r="AA87" s="490"/>
      <c r="AB87" s="490"/>
      <c r="AC87" s="490"/>
      <c r="AD87" s="490"/>
      <c r="AE87" s="490"/>
      <c r="AF87" s="490"/>
      <c r="AG87" s="490"/>
      <c r="AH87" s="490"/>
      <c r="AI87" s="490"/>
      <c r="AJ87" s="490"/>
      <c r="AK87" s="490"/>
      <c r="AL87" s="490"/>
    </row>
    <row r="88" spans="1:38" ht="15" customHeight="1">
      <c r="A88"/>
      <c r="B88"/>
      <c r="C88" s="93"/>
      <c r="D88" s="3410"/>
      <c r="E88" s="3410"/>
      <c r="F88" s="3410"/>
      <c r="G88" s="3410"/>
      <c r="H88" s="3410"/>
      <c r="I88" s="3410"/>
      <c r="J88" s="3410"/>
      <c r="K88" s="1642" t="s">
        <v>118</v>
      </c>
      <c r="L88" s="1572" t="s">
        <v>333</v>
      </c>
      <c r="M88" s="692" t="s">
        <v>334</v>
      </c>
      <c r="N88" s="693"/>
      <c r="O88" s="498" t="s">
        <v>335</v>
      </c>
      <c r="P88" s="498" t="str">
        <f t="shared" si="4"/>
        <v>Производство тепловой энергии. Некомбинированная выработка</v>
      </c>
      <c r="Q88" s="498" t="str">
        <f t="shared" si="5"/>
        <v>Территория 1</v>
      </c>
      <c r="R88" s="498" t="str">
        <f>IF($J$88="нет","без дифференциации",$M$88)</f>
        <v>Грузовая, 119г</v>
      </c>
      <c r="S88" s="498"/>
      <c r="T88" s="498"/>
      <c r="U88" s="499"/>
      <c r="V88" s="498"/>
      <c r="W88" s="498"/>
      <c r="X88" s="490"/>
      <c r="Y88" s="490" t="s">
        <v>117</v>
      </c>
      <c r="Z88" s="490">
        <v>1705000</v>
      </c>
      <c r="AA88" s="490"/>
      <c r="AB88" s="490"/>
      <c r="AC88" s="490"/>
      <c r="AD88" s="490"/>
      <c r="AE88" s="490"/>
      <c r="AF88" s="490"/>
      <c r="AG88" s="490"/>
      <c r="AH88" s="490"/>
      <c r="AI88" s="490"/>
      <c r="AJ88" s="490"/>
      <c r="AK88" s="490"/>
      <c r="AL88" s="490"/>
    </row>
    <row r="89" spans="1:38" ht="15" customHeight="1">
      <c r="A89"/>
      <c r="B89"/>
      <c r="C89" s="93"/>
      <c r="D89" s="3410"/>
      <c r="E89" s="3410"/>
      <c r="F89" s="3410"/>
      <c r="G89" s="3410"/>
      <c r="H89" s="3410"/>
      <c r="I89" s="3410"/>
      <c r="J89" s="3410"/>
      <c r="K89" s="1642" t="s">
        <v>118</v>
      </c>
      <c r="L89" s="1572" t="s">
        <v>336</v>
      </c>
      <c r="M89" s="692" t="s">
        <v>337</v>
      </c>
      <c r="N89" s="693"/>
      <c r="O89" s="498" t="s">
        <v>338</v>
      </c>
      <c r="P89" s="498" t="str">
        <f t="shared" si="4"/>
        <v>Производство тепловой энергии. Некомбинированная выработка</v>
      </c>
      <c r="Q89" s="498" t="str">
        <f t="shared" si="5"/>
        <v>Территория 1</v>
      </c>
      <c r="R89" s="498" t="str">
        <f>IF($J$89="нет","без дифференциации",$M$89)</f>
        <v>Деповская, 6а</v>
      </c>
      <c r="S89" s="498"/>
      <c r="T89" s="498"/>
      <c r="U89" s="499"/>
      <c r="V89" s="498"/>
      <c r="W89" s="498"/>
      <c r="X89" s="490"/>
      <c r="Y89" s="490" t="s">
        <v>117</v>
      </c>
      <c r="Z89" s="490">
        <v>1705000</v>
      </c>
      <c r="AA89" s="490"/>
      <c r="AB89" s="490"/>
      <c r="AC89" s="490"/>
      <c r="AD89" s="490"/>
      <c r="AE89" s="490"/>
      <c r="AF89" s="490"/>
      <c r="AG89" s="490"/>
      <c r="AH89" s="490"/>
      <c r="AI89" s="490"/>
      <c r="AJ89" s="490"/>
      <c r="AK89" s="490"/>
      <c r="AL89" s="490"/>
    </row>
    <row r="90" spans="1:38" ht="15" customHeight="1">
      <c r="A90"/>
      <c r="B90"/>
      <c r="C90" s="93"/>
      <c r="D90" s="3410"/>
      <c r="E90" s="3410"/>
      <c r="F90" s="3410"/>
      <c r="G90" s="3410"/>
      <c r="H90" s="3410"/>
      <c r="I90" s="3410"/>
      <c r="J90" s="3410"/>
      <c r="K90" s="1642" t="s">
        <v>118</v>
      </c>
      <c r="L90" s="1572" t="s">
        <v>339</v>
      </c>
      <c r="M90" s="692" t="s">
        <v>340</v>
      </c>
      <c r="N90" s="693"/>
      <c r="O90" s="498" t="s">
        <v>341</v>
      </c>
      <c r="P90" s="498" t="str">
        <f t="shared" si="4"/>
        <v>Производство тепловой энергии. Некомбинированная выработка</v>
      </c>
      <c r="Q90" s="498" t="str">
        <f t="shared" si="5"/>
        <v>Территория 1</v>
      </c>
      <c r="R90" s="498" t="str">
        <f>IF($J$90="нет","без дифференциации",$M$90)</f>
        <v>3-я Курская, 3а</v>
      </c>
      <c r="S90" s="498"/>
      <c r="T90" s="498"/>
      <c r="U90" s="499"/>
      <c r="V90" s="498"/>
      <c r="W90" s="498"/>
      <c r="X90" s="490"/>
      <c r="Y90" s="490" t="s">
        <v>117</v>
      </c>
      <c r="Z90" s="490">
        <v>1705000</v>
      </c>
      <c r="AA90" s="490"/>
      <c r="AB90" s="490"/>
      <c r="AC90" s="490"/>
      <c r="AD90" s="490"/>
      <c r="AE90" s="490"/>
      <c r="AF90" s="490"/>
      <c r="AG90" s="490"/>
      <c r="AH90" s="490"/>
      <c r="AI90" s="490"/>
      <c r="AJ90" s="490"/>
      <c r="AK90" s="490"/>
      <c r="AL90" s="490"/>
    </row>
    <row r="91" spans="1:38" ht="15" customHeight="1">
      <c r="A91"/>
      <c r="B91"/>
      <c r="C91" s="93"/>
      <c r="D91" s="3410"/>
      <c r="E91" s="3410"/>
      <c r="F91" s="3410"/>
      <c r="G91" s="3410"/>
      <c r="H91" s="3410"/>
      <c r="I91" s="3410"/>
      <c r="J91" s="3410"/>
      <c r="K91" s="1642" t="s">
        <v>118</v>
      </c>
      <c r="L91" s="1572" t="s">
        <v>342</v>
      </c>
      <c r="M91" s="692" t="s">
        <v>343</v>
      </c>
      <c r="N91" s="693"/>
      <c r="O91" s="498" t="s">
        <v>344</v>
      </c>
      <c r="P91" s="498" t="str">
        <f t="shared" si="4"/>
        <v>Производство тепловой энергии. Некомбинированная выработка</v>
      </c>
      <c r="Q91" s="498" t="str">
        <f t="shared" si="5"/>
        <v>Территория 1</v>
      </c>
      <c r="R91" s="498" t="str">
        <f>IF($J$91="нет","без дифференциации",$M$91)</f>
        <v>Ливенская, 48г</v>
      </c>
      <c r="S91" s="498"/>
      <c r="T91" s="498"/>
      <c r="U91" s="499"/>
      <c r="V91" s="498"/>
      <c r="W91" s="498"/>
      <c r="X91" s="490"/>
      <c r="Y91" s="490" t="s">
        <v>117</v>
      </c>
      <c r="Z91" s="490">
        <v>1705000</v>
      </c>
      <c r="AA91" s="490"/>
      <c r="AB91" s="490"/>
      <c r="AC91" s="490"/>
      <c r="AD91" s="490"/>
      <c r="AE91" s="490"/>
      <c r="AF91" s="490"/>
      <c r="AG91" s="490"/>
      <c r="AH91" s="490"/>
      <c r="AI91" s="490"/>
      <c r="AJ91" s="490"/>
      <c r="AK91" s="490"/>
      <c r="AL91" s="490"/>
    </row>
    <row r="92" spans="1:38" ht="15" customHeight="1">
      <c r="A92"/>
      <c r="B92"/>
      <c r="C92" s="93"/>
      <c r="D92" s="3410"/>
      <c r="E92" s="3410"/>
      <c r="F92" s="3410"/>
      <c r="G92" s="3410"/>
      <c r="H92" s="3410"/>
      <c r="I92" s="3410"/>
      <c r="J92" s="3410"/>
      <c r="K92" s="1642" t="s">
        <v>118</v>
      </c>
      <c r="L92" s="1572" t="s">
        <v>345</v>
      </c>
      <c r="M92" s="692" t="s">
        <v>346</v>
      </c>
      <c r="N92" s="693"/>
      <c r="O92" s="498" t="s">
        <v>347</v>
      </c>
      <c r="P92" s="498" t="str">
        <f t="shared" si="4"/>
        <v>Производство тепловой энергии. Некомбинированная выработка</v>
      </c>
      <c r="Q92" s="498" t="str">
        <f t="shared" si="5"/>
        <v>Территория 1</v>
      </c>
      <c r="R92" s="498" t="str">
        <f>IF($J$92="нет","без дифференциации",$M$92)</f>
        <v>Лесная, 9а</v>
      </c>
      <c r="S92" s="498"/>
      <c r="T92" s="498"/>
      <c r="U92" s="499"/>
      <c r="V92" s="498"/>
      <c r="W92" s="498"/>
      <c r="X92" s="490"/>
      <c r="Y92" s="490" t="s">
        <v>117</v>
      </c>
      <c r="Z92" s="490">
        <v>1705000</v>
      </c>
      <c r="AA92" s="490"/>
      <c r="AB92" s="490"/>
      <c r="AC92" s="490"/>
      <c r="AD92" s="490"/>
      <c r="AE92" s="490"/>
      <c r="AF92" s="490"/>
      <c r="AG92" s="490"/>
      <c r="AH92" s="490"/>
      <c r="AI92" s="490"/>
      <c r="AJ92" s="490"/>
      <c r="AK92" s="490"/>
      <c r="AL92" s="490"/>
    </row>
    <row r="93" spans="1:38" ht="15" customHeight="1">
      <c r="A93"/>
      <c r="B93"/>
      <c r="C93" s="93"/>
      <c r="D93" s="3410"/>
      <c r="E93" s="3410"/>
      <c r="F93" s="3410"/>
      <c r="G93" s="3410"/>
      <c r="H93" s="3410"/>
      <c r="I93" s="3410"/>
      <c r="J93" s="3410"/>
      <c r="K93" s="1642" t="s">
        <v>118</v>
      </c>
      <c r="L93" s="1572" t="s">
        <v>348</v>
      </c>
      <c r="M93" s="692" t="s">
        <v>349</v>
      </c>
      <c r="N93" s="693"/>
      <c r="O93" s="498" t="s">
        <v>350</v>
      </c>
      <c r="P93" s="498" t="str">
        <f t="shared" si="4"/>
        <v>Производство тепловой энергии. Некомбинированная выработка</v>
      </c>
      <c r="Q93" s="498" t="str">
        <f t="shared" si="5"/>
        <v>Территория 1</v>
      </c>
      <c r="R93" s="498" t="str">
        <f>IF($J$93="нет","без дифференциации",$M$93)</f>
        <v>Московская, 27а</v>
      </c>
      <c r="S93" s="498"/>
      <c r="T93" s="498"/>
      <c r="U93" s="499"/>
      <c r="V93" s="498"/>
      <c r="W93" s="498"/>
      <c r="X93" s="490"/>
      <c r="Y93" s="490" t="s">
        <v>117</v>
      </c>
      <c r="Z93" s="490">
        <v>1705000</v>
      </c>
      <c r="AA93" s="490"/>
      <c r="AB93" s="490"/>
      <c r="AC93" s="490"/>
      <c r="AD93" s="490"/>
      <c r="AE93" s="490"/>
      <c r="AF93" s="490"/>
      <c r="AG93" s="490"/>
      <c r="AH93" s="490"/>
      <c r="AI93" s="490"/>
      <c r="AJ93" s="490"/>
      <c r="AK93" s="490"/>
      <c r="AL93" s="490"/>
    </row>
    <row r="94" spans="1:38" ht="15" customHeight="1">
      <c r="A94"/>
      <c r="B94"/>
      <c r="C94" s="93"/>
      <c r="D94" s="3410"/>
      <c r="E94" s="3410"/>
      <c r="F94" s="3410"/>
      <c r="G94" s="3410"/>
      <c r="H94" s="3410"/>
      <c r="I94" s="3410"/>
      <c r="J94" s="3410"/>
      <c r="K94" s="1642" t="s">
        <v>118</v>
      </c>
      <c r="L94" s="1572" t="s">
        <v>351</v>
      </c>
      <c r="M94" s="692" t="s">
        <v>352</v>
      </c>
      <c r="N94" s="693"/>
      <c r="O94" s="498" t="s">
        <v>353</v>
      </c>
      <c r="P94" s="498" t="str">
        <f t="shared" si="4"/>
        <v>Производство тепловой энергии. Некомбинированная выработка</v>
      </c>
      <c r="Q94" s="498" t="str">
        <f t="shared" si="5"/>
        <v>Территория 1</v>
      </c>
      <c r="R94" s="498" t="str">
        <f>IF($J$94="нет","без дифференциации",$M$94)</f>
        <v>Новосильская, 7а пом.1</v>
      </c>
      <c r="S94" s="498"/>
      <c r="T94" s="498"/>
      <c r="U94" s="499"/>
      <c r="V94" s="498"/>
      <c r="W94" s="498"/>
      <c r="X94" s="490"/>
      <c r="Y94" s="490" t="s">
        <v>117</v>
      </c>
      <c r="Z94" s="490">
        <v>1705000</v>
      </c>
      <c r="AA94" s="490"/>
      <c r="AB94" s="490"/>
      <c r="AC94" s="490"/>
      <c r="AD94" s="490"/>
      <c r="AE94" s="490"/>
      <c r="AF94" s="490"/>
      <c r="AG94" s="490"/>
      <c r="AH94" s="490"/>
      <c r="AI94" s="490"/>
      <c r="AJ94" s="490"/>
      <c r="AK94" s="490"/>
      <c r="AL94" s="490"/>
    </row>
    <row r="95" spans="1:38" ht="15" customHeight="1">
      <c r="A95"/>
      <c r="B95"/>
      <c r="C95" s="93"/>
      <c r="D95" s="3410"/>
      <c r="E95" s="3410"/>
      <c r="F95" s="3410"/>
      <c r="G95" s="3410"/>
      <c r="H95" s="3410"/>
      <c r="I95" s="3410"/>
      <c r="J95" s="3410"/>
      <c r="K95" s="1642" t="s">
        <v>118</v>
      </c>
      <c r="L95" s="1572" t="s">
        <v>354</v>
      </c>
      <c r="M95" s="692" t="s">
        <v>355</v>
      </c>
      <c r="N95" s="693"/>
      <c r="O95" s="498" t="s">
        <v>356</v>
      </c>
      <c r="P95" s="498" t="str">
        <f t="shared" si="4"/>
        <v>Производство тепловой энергии. Некомбинированная выработка</v>
      </c>
      <c r="Q95" s="498" t="str">
        <f t="shared" si="5"/>
        <v>Территория 1</v>
      </c>
      <c r="R95" s="498" t="str">
        <f>IF($J$95="нет","без дифференциации",$M$95)</f>
        <v>Новосильская, 7а пом.2</v>
      </c>
      <c r="S95" s="498"/>
      <c r="T95" s="498"/>
      <c r="U95" s="499"/>
      <c r="V95" s="498"/>
      <c r="W95" s="498"/>
      <c r="X95" s="490"/>
      <c r="Y95" s="490" t="s">
        <v>117</v>
      </c>
      <c r="Z95" s="490">
        <v>1705000</v>
      </c>
      <c r="AA95" s="490"/>
      <c r="AB95" s="490"/>
      <c r="AC95" s="490"/>
      <c r="AD95" s="490"/>
      <c r="AE95" s="490"/>
      <c r="AF95" s="490"/>
      <c r="AG95" s="490"/>
      <c r="AH95" s="490"/>
      <c r="AI95" s="490"/>
      <c r="AJ95" s="490"/>
      <c r="AK95" s="490"/>
      <c r="AL95" s="490"/>
    </row>
    <row r="96" spans="1:38" ht="15" customHeight="1">
      <c r="A96"/>
      <c r="B96"/>
      <c r="C96" s="93"/>
      <c r="D96" s="3410"/>
      <c r="E96" s="3410"/>
      <c r="F96" s="3410"/>
      <c r="G96" s="3410"/>
      <c r="H96" s="3410"/>
      <c r="I96" s="3410"/>
      <c r="J96" s="3410"/>
      <c r="K96" s="1642" t="s">
        <v>118</v>
      </c>
      <c r="L96" s="1572" t="s">
        <v>357</v>
      </c>
      <c r="M96" s="692" t="s">
        <v>358</v>
      </c>
      <c r="N96" s="693"/>
      <c r="O96" s="498" t="s">
        <v>359</v>
      </c>
      <c r="P96" s="498" t="str">
        <f t="shared" si="4"/>
        <v>Производство тепловой энергии. Некомбинированная выработка</v>
      </c>
      <c r="Q96" s="498" t="str">
        <f t="shared" si="5"/>
        <v>Территория 1</v>
      </c>
      <c r="R96" s="498" t="str">
        <f>IF($J$96="нет","без дифференциации",$M$96)</f>
        <v>Паровозная,64б</v>
      </c>
      <c r="S96" s="498"/>
      <c r="T96" s="498"/>
      <c r="U96" s="499"/>
      <c r="V96" s="498"/>
      <c r="W96" s="498"/>
      <c r="X96" s="490"/>
      <c r="Y96" s="490" t="s">
        <v>117</v>
      </c>
      <c r="Z96" s="490">
        <v>1705000</v>
      </c>
      <c r="AA96" s="490"/>
      <c r="AB96" s="490"/>
      <c r="AC96" s="490"/>
      <c r="AD96" s="490"/>
      <c r="AE96" s="490"/>
      <c r="AF96" s="490"/>
      <c r="AG96" s="490"/>
      <c r="AH96" s="490"/>
      <c r="AI96" s="490"/>
      <c r="AJ96" s="490"/>
      <c r="AK96" s="490"/>
      <c r="AL96" s="490"/>
    </row>
    <row r="97" spans="1:38" ht="15" customHeight="1">
      <c r="A97"/>
      <c r="B97"/>
      <c r="C97" s="93"/>
      <c r="D97" s="3410"/>
      <c r="E97" s="3410"/>
      <c r="F97" s="3410"/>
      <c r="G97" s="3410"/>
      <c r="H97" s="3410"/>
      <c r="I97" s="3410"/>
      <c r="J97" s="3410"/>
      <c r="K97" s="1642" t="s">
        <v>118</v>
      </c>
      <c r="L97" s="1572" t="s">
        <v>360</v>
      </c>
      <c r="M97" s="692" t="s">
        <v>361</v>
      </c>
      <c r="N97" s="693"/>
      <c r="O97" s="498" t="s">
        <v>362</v>
      </c>
      <c r="P97" s="498" t="str">
        <f t="shared" si="4"/>
        <v>Производство тепловой энергии. Некомбинированная выработка</v>
      </c>
      <c r="Q97" s="498" t="str">
        <f t="shared" si="5"/>
        <v>Территория 1</v>
      </c>
      <c r="R97" s="498" t="str">
        <f>IF($J$97="нет","без дифференциации",$M$97)</f>
        <v>Пушкина, 68а</v>
      </c>
      <c r="S97" s="498"/>
      <c r="T97" s="498"/>
      <c r="U97" s="499"/>
      <c r="V97" s="498"/>
      <c r="W97" s="498"/>
      <c r="X97" s="490"/>
      <c r="Y97" s="490" t="s">
        <v>117</v>
      </c>
      <c r="Z97" s="490">
        <v>1705000</v>
      </c>
      <c r="AA97" s="490"/>
      <c r="AB97" s="490"/>
      <c r="AC97" s="490"/>
      <c r="AD97" s="490"/>
      <c r="AE97" s="490"/>
      <c r="AF97" s="490"/>
      <c r="AG97" s="490"/>
      <c r="AH97" s="490"/>
      <c r="AI97" s="490"/>
      <c r="AJ97" s="490"/>
      <c r="AK97" s="490"/>
      <c r="AL97" s="490"/>
    </row>
    <row r="98" spans="1:38" ht="15" customHeight="1">
      <c r="A98"/>
      <c r="B98"/>
      <c r="C98" s="93"/>
      <c r="D98" s="3410"/>
      <c r="E98" s="3410"/>
      <c r="F98" s="3410"/>
      <c r="G98" s="3410"/>
      <c r="H98" s="3410"/>
      <c r="I98" s="3410"/>
      <c r="J98" s="3410"/>
      <c r="K98" s="1642" t="s">
        <v>118</v>
      </c>
      <c r="L98" s="1572" t="s">
        <v>363</v>
      </c>
      <c r="M98" s="692" t="s">
        <v>364</v>
      </c>
      <c r="N98" s="693"/>
      <c r="O98" s="498" t="s">
        <v>365</v>
      </c>
      <c r="P98" s="498" t="str">
        <f t="shared" si="4"/>
        <v>Производство тепловой энергии. Некомбинированная выработка</v>
      </c>
      <c r="Q98" s="498" t="str">
        <f t="shared" si="5"/>
        <v>Территория 1</v>
      </c>
      <c r="R98" s="498" t="str">
        <f>IF($J$98="нет","без дифференциации",$M$98)</f>
        <v>Ст. Разина, 11б</v>
      </c>
      <c r="S98" s="498"/>
      <c r="T98" s="498"/>
      <c r="U98" s="499"/>
      <c r="V98" s="498"/>
      <c r="W98" s="498"/>
      <c r="X98" s="490"/>
      <c r="Y98" s="490" t="s">
        <v>117</v>
      </c>
      <c r="Z98" s="490">
        <v>1705000</v>
      </c>
      <c r="AA98" s="490"/>
      <c r="AB98" s="490"/>
      <c r="AC98" s="490"/>
      <c r="AD98" s="490"/>
      <c r="AE98" s="490"/>
      <c r="AF98" s="490"/>
      <c r="AG98" s="490"/>
      <c r="AH98" s="490"/>
      <c r="AI98" s="490"/>
      <c r="AJ98" s="490"/>
      <c r="AK98" s="490"/>
      <c r="AL98" s="490"/>
    </row>
    <row r="99" spans="1:38" ht="15" customHeight="1">
      <c r="A99"/>
      <c r="B99"/>
      <c r="C99" s="93"/>
      <c r="D99" s="3410"/>
      <c r="E99" s="3410"/>
      <c r="F99" s="3410"/>
      <c r="G99" s="3410"/>
      <c r="H99" s="3410"/>
      <c r="I99" s="3410"/>
      <c r="J99" s="3410"/>
      <c r="K99" s="1642" t="s">
        <v>118</v>
      </c>
      <c r="L99" s="1572" t="s">
        <v>366</v>
      </c>
      <c r="M99" s="692" t="s">
        <v>367</v>
      </c>
      <c r="N99" s="693"/>
      <c r="O99" s="498" t="s">
        <v>368</v>
      </c>
      <c r="P99" s="498" t="str">
        <f t="shared" si="4"/>
        <v>Производство тепловой энергии. Некомбинированная выработка</v>
      </c>
      <c r="Q99" s="498" t="str">
        <f t="shared" si="5"/>
        <v>Территория 1</v>
      </c>
      <c r="R99" s="498" t="str">
        <f>IF($J$99="нет","без дифференциации",$M$99)</f>
        <v>Рельсовая, 7а</v>
      </c>
      <c r="S99" s="498"/>
      <c r="T99" s="498"/>
      <c r="U99" s="499"/>
      <c r="V99" s="498"/>
      <c r="W99" s="498"/>
      <c r="X99" s="490"/>
      <c r="Y99" s="490" t="s">
        <v>117</v>
      </c>
      <c r="Z99" s="490">
        <v>1705000</v>
      </c>
      <c r="AA99" s="490"/>
      <c r="AB99" s="490"/>
      <c r="AC99" s="490"/>
      <c r="AD99" s="490"/>
      <c r="AE99" s="490"/>
      <c r="AF99" s="490"/>
      <c r="AG99" s="490"/>
      <c r="AH99" s="490"/>
      <c r="AI99" s="490"/>
      <c r="AJ99" s="490"/>
      <c r="AK99" s="490"/>
      <c r="AL99" s="490"/>
    </row>
    <row r="100" spans="1:38" ht="15" customHeight="1">
      <c r="A100"/>
      <c r="B100"/>
      <c r="C100" s="93"/>
      <c r="D100" s="3410"/>
      <c r="E100" s="3410"/>
      <c r="F100" s="3410"/>
      <c r="G100" s="3410"/>
      <c r="H100" s="3410"/>
      <c r="I100" s="3410"/>
      <c r="J100" s="3410"/>
      <c r="K100" s="1642" t="s">
        <v>118</v>
      </c>
      <c r="L100" s="1572" t="s">
        <v>369</v>
      </c>
      <c r="M100" s="692" t="s">
        <v>370</v>
      </c>
      <c r="N100" s="693"/>
      <c r="O100" s="498" t="s">
        <v>371</v>
      </c>
      <c r="P100" s="498" t="str">
        <f t="shared" si="4"/>
        <v>Производство тепловой энергии. Некомбинированная выработка</v>
      </c>
      <c r="Q100" s="498" t="str">
        <f t="shared" si="5"/>
        <v>Территория 1</v>
      </c>
      <c r="R100" s="498" t="str">
        <f>IF($J$100="нет","без дифференциации",$M$100)</f>
        <v>Студенческая, 2а</v>
      </c>
      <c r="S100" s="498"/>
      <c r="T100" s="498"/>
      <c r="U100" s="499"/>
      <c r="V100" s="498"/>
      <c r="W100" s="498"/>
      <c r="X100" s="490"/>
      <c r="Y100" s="490" t="s">
        <v>117</v>
      </c>
      <c r="Z100" s="490">
        <v>1705000</v>
      </c>
      <c r="AA100" s="490"/>
      <c r="AB100" s="490"/>
      <c r="AC100" s="490"/>
      <c r="AD100" s="490"/>
      <c r="AE100" s="490"/>
      <c r="AF100" s="490"/>
      <c r="AG100" s="490"/>
      <c r="AH100" s="490"/>
      <c r="AI100" s="490"/>
      <c r="AJ100" s="490"/>
      <c r="AK100" s="490"/>
      <c r="AL100" s="490"/>
    </row>
    <row r="101" spans="1:38" ht="15" customHeight="1">
      <c r="A101"/>
      <c r="B101"/>
      <c r="C101" s="93"/>
      <c r="D101" s="3410"/>
      <c r="E101" s="3410"/>
      <c r="F101" s="3410"/>
      <c r="G101" s="3410"/>
      <c r="H101" s="3410"/>
      <c r="I101" s="3410"/>
      <c r="J101" s="3410"/>
      <c r="K101" s="1642" t="s">
        <v>118</v>
      </c>
      <c r="L101" s="1572" t="s">
        <v>372</v>
      </c>
      <c r="M101" s="692" t="s">
        <v>373</v>
      </c>
      <c r="N101" s="693"/>
      <c r="O101" s="498" t="s">
        <v>374</v>
      </c>
      <c r="P101" s="498" t="str">
        <f t="shared" si="4"/>
        <v>Производство тепловой энергии. Некомбинированная выработка</v>
      </c>
      <c r="Q101" s="498" t="str">
        <f t="shared" si="5"/>
        <v>Территория 1</v>
      </c>
      <c r="R101" s="498" t="str">
        <f>IF($J$101="нет","без дифференциации",$M$101)</f>
        <v>Тульская, 24а</v>
      </c>
      <c r="S101" s="498"/>
      <c r="T101" s="498"/>
      <c r="U101" s="499"/>
      <c r="V101" s="498"/>
      <c r="W101" s="498"/>
      <c r="X101" s="490"/>
      <c r="Y101" s="490" t="s">
        <v>117</v>
      </c>
      <c r="Z101" s="490">
        <v>1705000</v>
      </c>
      <c r="AA101" s="490"/>
      <c r="AB101" s="490"/>
      <c r="AC101" s="490"/>
      <c r="AD101" s="490"/>
      <c r="AE101" s="490"/>
      <c r="AF101" s="490"/>
      <c r="AG101" s="490"/>
      <c r="AH101" s="490"/>
      <c r="AI101" s="490"/>
      <c r="AJ101" s="490"/>
      <c r="AK101" s="490"/>
      <c r="AL101" s="490"/>
    </row>
    <row r="102" spans="1:38" ht="15" customHeight="1">
      <c r="A102"/>
      <c r="B102"/>
      <c r="C102" s="93"/>
      <c r="D102" s="3410"/>
      <c r="E102" s="3410"/>
      <c r="F102" s="3410"/>
      <c r="G102" s="3410"/>
      <c r="H102" s="3410"/>
      <c r="I102" s="3410"/>
      <c r="J102" s="3410"/>
      <c r="K102" s="1642" t="s">
        <v>118</v>
      </c>
      <c r="L102" s="1572" t="s">
        <v>375</v>
      </c>
      <c r="M102" s="692" t="s">
        <v>376</v>
      </c>
      <c r="N102" s="693"/>
      <c r="O102" s="498" t="s">
        <v>377</v>
      </c>
      <c r="P102" s="498" t="str">
        <f t="shared" si="4"/>
        <v>Производство тепловой энергии. Некомбинированная выработка</v>
      </c>
      <c r="Q102" s="498" t="str">
        <f t="shared" si="5"/>
        <v>Территория 1</v>
      </c>
      <c r="R102" s="498" t="str">
        <f>IF($J$102="нет","без дифференциации",$M$102)</f>
        <v>Тульская, 63б</v>
      </c>
      <c r="S102" s="498"/>
      <c r="T102" s="498"/>
      <c r="U102" s="499"/>
      <c r="V102" s="498"/>
      <c r="W102" s="498"/>
      <c r="X102" s="490"/>
      <c r="Y102" s="490" t="s">
        <v>117</v>
      </c>
      <c r="Z102" s="490">
        <v>1705000</v>
      </c>
      <c r="AA102" s="490"/>
      <c r="AB102" s="490"/>
      <c r="AC102" s="490"/>
      <c r="AD102" s="490"/>
      <c r="AE102" s="490"/>
      <c r="AF102" s="490"/>
      <c r="AG102" s="490"/>
      <c r="AH102" s="490"/>
      <c r="AI102" s="490"/>
      <c r="AJ102" s="490"/>
      <c r="AK102" s="490"/>
      <c r="AL102" s="490"/>
    </row>
    <row r="103" spans="1:38" ht="15" customHeight="1">
      <c r="A103"/>
      <c r="B103"/>
      <c r="C103" s="93"/>
      <c r="D103" s="3410"/>
      <c r="E103" s="3410"/>
      <c r="F103" s="3410"/>
      <c r="G103" s="3410"/>
      <c r="H103" s="3410"/>
      <c r="I103" s="3410"/>
      <c r="J103" s="3410"/>
      <c r="K103" s="1642" t="s">
        <v>118</v>
      </c>
      <c r="L103" s="1572" t="s">
        <v>378</v>
      </c>
      <c r="M103" s="692" t="s">
        <v>379</v>
      </c>
      <c r="N103" s="693"/>
      <c r="O103" s="498" t="s">
        <v>380</v>
      </c>
      <c r="P103" s="498" t="str">
        <f t="shared" si="4"/>
        <v>Производство тепловой энергии. Некомбинированная выработка</v>
      </c>
      <c r="Q103" s="498" t="str">
        <f t="shared" si="5"/>
        <v>Территория 1</v>
      </c>
      <c r="R103" s="498" t="str">
        <f>IF($J$103="нет","без дифференциации",$M$103)</f>
        <v>Южный, 26б</v>
      </c>
      <c r="S103" s="498"/>
      <c r="T103" s="498"/>
      <c r="U103" s="499"/>
      <c r="V103" s="498"/>
      <c r="W103" s="498"/>
      <c r="X103" s="490"/>
      <c r="Y103" s="490" t="s">
        <v>117</v>
      </c>
      <c r="Z103" s="490">
        <v>1705000</v>
      </c>
      <c r="AA103" s="490"/>
      <c r="AB103" s="490"/>
      <c r="AC103" s="490"/>
      <c r="AD103" s="490"/>
      <c r="AE103" s="490"/>
      <c r="AF103" s="490"/>
      <c r="AG103" s="490"/>
      <c r="AH103" s="490"/>
      <c r="AI103" s="490"/>
      <c r="AJ103" s="490"/>
      <c r="AK103" s="490"/>
      <c r="AL103" s="490"/>
    </row>
    <row r="104" spans="1:38" ht="15" customHeight="1">
      <c r="A104"/>
      <c r="B104"/>
      <c r="C104" s="93"/>
      <c r="D104" s="3410"/>
      <c r="E104" s="3410"/>
      <c r="F104" s="3410"/>
      <c r="G104" s="3410"/>
      <c r="H104" s="3410"/>
      <c r="I104" s="3410"/>
      <c r="J104" s="3410"/>
      <c r="K104" s="1642" t="s">
        <v>118</v>
      </c>
      <c r="L104" s="1572" t="s">
        <v>381</v>
      </c>
      <c r="M104" s="692" t="s">
        <v>382</v>
      </c>
      <c r="N104" s="693"/>
      <c r="O104" s="498" t="s">
        <v>383</v>
      </c>
      <c r="P104" s="498" t="str">
        <f t="shared" si="4"/>
        <v>Производство тепловой энергии. Некомбинированная выработка</v>
      </c>
      <c r="Q104" s="498" t="str">
        <f t="shared" si="5"/>
        <v>Территория 1</v>
      </c>
      <c r="R104" s="498" t="str">
        <f>IF($J$104="нет","без дифференциации",$M$104)</f>
        <v>Металлургов,80б</v>
      </c>
      <c r="S104" s="498"/>
      <c r="T104" s="498"/>
      <c r="U104" s="499"/>
      <c r="V104" s="498"/>
      <c r="W104" s="498"/>
      <c r="X104" s="490"/>
      <c r="Y104" s="490" t="s">
        <v>117</v>
      </c>
      <c r="Z104" s="490">
        <v>1705000</v>
      </c>
      <c r="AA104" s="490"/>
      <c r="AB104" s="490"/>
      <c r="AC104" s="490"/>
      <c r="AD104" s="490"/>
      <c r="AE104" s="490"/>
      <c r="AF104" s="490"/>
      <c r="AG104" s="490"/>
      <c r="AH104" s="490"/>
      <c r="AI104" s="490"/>
      <c r="AJ104" s="490"/>
      <c r="AK104" s="490"/>
      <c r="AL104" s="490"/>
    </row>
    <row r="105" spans="1:38" ht="15" customHeight="1">
      <c r="A105"/>
      <c r="B105"/>
      <c r="C105" s="93"/>
      <c r="D105" s="3410"/>
      <c r="E105" s="3410"/>
      <c r="F105" s="3410"/>
      <c r="G105" s="3410"/>
      <c r="H105" s="3410"/>
      <c r="I105" s="3410"/>
      <c r="J105" s="3410"/>
      <c r="K105" s="1642" t="s">
        <v>118</v>
      </c>
      <c r="L105" s="1572" t="s">
        <v>384</v>
      </c>
      <c r="M105" s="692" t="s">
        <v>385</v>
      </c>
      <c r="N105" s="693"/>
      <c r="O105" s="498" t="s">
        <v>386</v>
      </c>
      <c r="P105" s="498" t="str">
        <f t="shared" si="4"/>
        <v>Производство тепловой энергии. Некомбинированная выработка</v>
      </c>
      <c r="Q105" s="498" t="str">
        <f t="shared" si="5"/>
        <v>Территория 1</v>
      </c>
      <c r="R105" s="498" t="str">
        <f>IF($J$105="нет","без дифференциации",$M$105)</f>
        <v>Силикатная,28а</v>
      </c>
      <c r="S105" s="498"/>
      <c r="T105" s="498"/>
      <c r="U105" s="499"/>
      <c r="V105" s="498"/>
      <c r="W105" s="498"/>
      <c r="X105" s="490"/>
      <c r="Y105" s="490" t="s">
        <v>117</v>
      </c>
      <c r="Z105" s="490">
        <v>1705000</v>
      </c>
      <c r="AA105" s="490"/>
      <c r="AB105" s="490"/>
      <c r="AC105" s="490"/>
      <c r="AD105" s="490"/>
      <c r="AE105" s="490"/>
      <c r="AF105" s="490"/>
      <c r="AG105" s="490"/>
      <c r="AH105" s="490"/>
      <c r="AI105" s="490"/>
      <c r="AJ105" s="490"/>
      <c r="AK105" s="490"/>
      <c r="AL105" s="490"/>
    </row>
    <row r="106" spans="1:38" s="1944" customFormat="1" ht="15" customHeight="1">
      <c r="A106"/>
      <c r="B106"/>
      <c r="C106" s="93"/>
      <c r="D106" s="3413"/>
      <c r="E106" s="3415"/>
      <c r="F106" s="3412"/>
      <c r="G106" s="3418"/>
      <c r="H106" s="3419"/>
      <c r="I106" s="3411"/>
      <c r="J106" s="3412"/>
      <c r="K106" s="327"/>
      <c r="L106" s="94"/>
      <c r="M106" s="500" t="s">
        <v>387</v>
      </c>
      <c r="N106" s="693"/>
      <c r="O106" s="1277"/>
      <c r="P106" s="1274"/>
      <c r="Q106" s="1274"/>
      <c r="R106" s="1274"/>
      <c r="S106" s="1277"/>
      <c r="T106" s="1277"/>
      <c r="U106" s="1132"/>
      <c r="V106" s="1132"/>
      <c r="W106" s="1132"/>
      <c r="X106" s="1132"/>
      <c r="Y106" s="498"/>
      <c r="Z106" s="498"/>
      <c r="AA106" s="498"/>
      <c r="AB106" s="498"/>
      <c r="AC106" s="498"/>
      <c r="AD106" s="498"/>
      <c r="AE106" s="498"/>
      <c r="AF106" s="498"/>
      <c r="AG106" s="498"/>
      <c r="AH106" s="498"/>
      <c r="AI106" s="498"/>
      <c r="AJ106" s="498"/>
      <c r="AK106" s="498"/>
      <c r="AL106" s="498"/>
    </row>
    <row r="107" spans="1:38" s="1944" customFormat="1" ht="15" customHeight="1">
      <c r="A107"/>
      <c r="B107"/>
      <c r="C107" s="93"/>
      <c r="D107" s="3413"/>
      <c r="E107" s="3416"/>
      <c r="F107" s="3412"/>
      <c r="G107" s="930"/>
      <c r="H107" s="931"/>
      <c r="I107" s="477" t="s">
        <v>388</v>
      </c>
      <c r="J107" s="94"/>
      <c r="K107" s="94"/>
      <c r="L107" s="94"/>
      <c r="M107" s="501"/>
      <c r="N107" s="693"/>
      <c r="O107" s="1277"/>
      <c r="P107" s="1274"/>
      <c r="Q107" s="1274"/>
      <c r="R107" s="1274"/>
      <c r="S107" s="1277"/>
      <c r="T107" s="1277"/>
      <c r="U107" s="1132"/>
      <c r="V107" s="1132"/>
      <c r="W107" s="1132"/>
      <c r="X107" s="1132"/>
      <c r="Y107" s="498"/>
      <c r="Z107" s="498"/>
      <c r="AA107" s="498"/>
      <c r="AB107" s="498"/>
      <c r="AC107" s="498"/>
      <c r="AD107" s="498"/>
      <c r="AE107" s="498"/>
      <c r="AF107" s="498"/>
      <c r="AG107" s="498"/>
      <c r="AH107" s="498"/>
      <c r="AI107" s="498"/>
      <c r="AJ107" s="498"/>
      <c r="AK107" s="498"/>
      <c r="AL107" s="498"/>
    </row>
    <row r="108" spans="1:38" ht="15" customHeight="1">
      <c r="A108" s="502"/>
      <c r="B108" s="57"/>
      <c r="C108" s="687"/>
      <c r="D108" s="327"/>
      <c r="E108" s="468" t="s">
        <v>389</v>
      </c>
      <c r="F108" s="94"/>
      <c r="G108" s="94"/>
      <c r="H108" s="94"/>
      <c r="I108" s="94"/>
      <c r="J108" s="94"/>
      <c r="K108" s="94" t="s">
        <v>18</v>
      </c>
      <c r="L108" s="94"/>
      <c r="M108" s="501"/>
      <c r="N108" s="1472"/>
    </row>
  </sheetData>
  <sheetProtection formatColumns="0" formatRows="0" insertRows="0" deleteColumns="0" deleteRows="0" sort="0" autoFilter="0"/>
  <mergeCells count="19">
    <mergeCell ref="I13:I106"/>
    <mergeCell ref="J13:J106"/>
    <mergeCell ref="D13:D107"/>
    <mergeCell ref="E13:E107"/>
    <mergeCell ref="F13:F107"/>
    <mergeCell ref="G13:G106"/>
    <mergeCell ref="H13:H106"/>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 allowBlank="1" showInputMessage="1" showErrorMessage="1" error="Допускается ввод не более 900 символов!" sqref="M13" xr:uid="{00000000-0002-0000-0300-000000000000}">
      <formula1>900</formula1>
    </dataValidation>
    <dataValidation type="list" allowBlank="1" showInputMessage="1" showErrorMessage="1" sqref="I14:I105" xr:uid="{00000000-0002-0000-0300-000001000000}">
      <formula1>DESCRIPTION_TERRITORY</formula1>
    </dataValidation>
    <dataValidation type="textLength" operator="lessThanOrEqual" allowBlank="1" showInputMessage="1" showErrorMessage="1" errorTitle="Ошибка" error="Допускается ввод не более 900 символов!" sqref="M14:M105" xr:uid="{00000000-0002-0000-03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179EA-70F7-35A2-7292-85CC894E7EC2}">
  <sheetPr>
    <tabColor theme="9" tint="-0.249977111117893"/>
  </sheetPr>
  <dimension ref="A1:BF19"/>
  <sheetViews>
    <sheetView showGridLines="0" topLeftCell="E4" zoomScale="90" workbookViewId="0"/>
  </sheetViews>
  <sheetFormatPr defaultColWidth="9.140625" defaultRowHeight="10.5" customHeight="1"/>
  <cols>
    <col min="1" max="3" width="4.140625" style="1891" hidden="1" customWidth="1"/>
    <col min="4" max="4" width="4.140625" style="1903" hidden="1" customWidth="1"/>
    <col min="5" max="5" width="3.7109375" style="1910" customWidth="1"/>
    <col min="6" max="6" width="14.42578125" style="1910" customWidth="1"/>
    <col min="7" max="7" width="3.7109375" style="1910" customWidth="1"/>
    <col min="8" max="8" width="7.7109375" style="1910" customWidth="1"/>
    <col min="9" max="10" width="16.7109375" style="1910" customWidth="1"/>
    <col min="11" max="11" width="25.7109375" style="1910" customWidth="1"/>
    <col min="12" max="12" width="8" style="1910" customWidth="1"/>
    <col min="13" max="13" width="15.5703125" style="1910" customWidth="1"/>
    <col min="14" max="14" width="3.28515625" style="1910" customWidth="1"/>
    <col min="15" max="15" width="4.7109375" style="1910" customWidth="1"/>
    <col min="16" max="16" width="9" style="1910" customWidth="1"/>
    <col min="17" max="17" width="21.7109375" style="1910" customWidth="1"/>
    <col min="18" max="18" width="14.7109375" style="1910" customWidth="1"/>
    <col min="19" max="20" width="17.7109375" style="1910" customWidth="1"/>
    <col min="21" max="21" width="9.7109375" style="1910" customWidth="1"/>
    <col min="22" max="22" width="12.7109375" style="1910" customWidth="1"/>
    <col min="23" max="23" width="9.7109375" style="1910" customWidth="1"/>
    <col min="24" max="24" width="21.7109375" style="1910" customWidth="1"/>
    <col min="25" max="25" width="12.7109375" style="1910" customWidth="1"/>
    <col min="26" max="26" width="3.28515625" style="1910" customWidth="1"/>
    <col min="27" max="27" width="7.140625" style="1910" customWidth="1"/>
    <col min="28" max="28" width="38.42578125" style="1910" customWidth="1"/>
    <col min="29" max="29" width="15.7109375" style="1910" customWidth="1"/>
    <col min="30" max="30" width="37.5703125" style="1910" customWidth="1"/>
    <col min="31" max="31" width="15.7109375" style="1910" customWidth="1"/>
    <col min="32" max="37" width="16.7109375" style="1910" customWidth="1"/>
    <col min="38" max="58" width="9.140625" style="1910"/>
  </cols>
  <sheetData>
    <row r="1" spans="1:58" s="1903" customFormat="1" ht="10.5" hidden="1" customHeight="1">
      <c r="A1" s="771"/>
      <c r="B1" s="771"/>
      <c r="C1" s="771"/>
      <c r="E1" s="434"/>
      <c r="H1" s="1023"/>
      <c r="L1" s="993"/>
      <c r="M1" s="993"/>
      <c r="AD1" s="993"/>
      <c r="AH1" s="1010"/>
      <c r="AI1" s="1004"/>
    </row>
    <row r="2" spans="1:58" ht="10.5" hidden="1" customHeight="1"/>
    <row r="3" spans="1:58" s="1926" customFormat="1" ht="10.5" hidden="1" customHeight="1">
      <c r="A3" s="771"/>
      <c r="B3" s="771"/>
      <c r="C3" s="771"/>
      <c r="D3" s="324"/>
      <c r="E3" s="271"/>
      <c r="H3" s="1019"/>
      <c r="L3" s="991"/>
      <c r="M3" s="991"/>
      <c r="AD3" s="991"/>
      <c r="AH3" s="1008"/>
      <c r="AI3" s="1002"/>
    </row>
    <row r="4" spans="1:58" ht="3" customHeight="1"/>
    <row r="5" spans="1:58" ht="25.5" customHeight="1">
      <c r="F5" s="350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509"/>
      <c r="H5" s="3509"/>
      <c r="I5" s="3509"/>
      <c r="J5" s="3509"/>
      <c r="K5" s="3509"/>
      <c r="L5" s="1000"/>
      <c r="M5" s="1000"/>
      <c r="AG5" s="782"/>
      <c r="AH5" s="1011"/>
    </row>
    <row r="6" spans="1:58" ht="10.5" customHeight="1">
      <c r="F6" s="3480" t="str">
        <f>IF(org=0,"Не определено",org)</f>
        <v>АО "Орелгортеплоэнерго"</v>
      </c>
      <c r="G6" s="3480"/>
      <c r="H6" s="3480"/>
      <c r="I6" s="3480"/>
      <c r="J6" s="3480"/>
      <c r="K6" s="3480"/>
      <c r="L6" s="1001"/>
      <c r="M6" s="1001"/>
    </row>
    <row r="7" spans="1:58" ht="11.25" customHeight="1">
      <c r="E7" s="784"/>
      <c r="F7" s="795"/>
      <c r="G7" s="795"/>
      <c r="H7" s="1049"/>
      <c r="I7" s="795"/>
      <c r="J7" s="795"/>
      <c r="K7" s="797"/>
      <c r="L7" s="998"/>
      <c r="M7" s="998"/>
      <c r="N7" s="795"/>
      <c r="O7" s="795"/>
      <c r="P7" s="795"/>
      <c r="Q7" s="797"/>
      <c r="R7" s="795"/>
      <c r="S7" s="795"/>
      <c r="T7" s="795"/>
      <c r="U7" s="795"/>
      <c r="V7" s="795"/>
      <c r="W7" s="795"/>
      <c r="X7" s="795"/>
      <c r="Y7" s="795"/>
      <c r="Z7" s="795"/>
      <c r="AA7" s="795"/>
      <c r="AB7" s="795"/>
      <c r="AC7" s="796"/>
      <c r="AD7" s="997"/>
      <c r="AE7" s="796"/>
      <c r="AF7" s="795"/>
      <c r="AG7" s="795"/>
      <c r="AH7" s="1013"/>
      <c r="AI7" s="1007"/>
      <c r="AJ7" s="795"/>
      <c r="AK7" s="795"/>
      <c r="AL7" s="786"/>
      <c r="AM7" s="786"/>
      <c r="AN7" s="786"/>
      <c r="AO7" s="783"/>
      <c r="AP7" s="783"/>
      <c r="AQ7" s="783"/>
      <c r="AR7" s="783"/>
      <c r="AS7" s="783"/>
      <c r="AT7" s="783"/>
      <c r="AU7" s="783"/>
      <c r="AV7" s="783"/>
      <c r="AW7" s="783"/>
      <c r="AX7" s="783"/>
      <c r="AY7" s="783"/>
      <c r="AZ7" s="783"/>
      <c r="BA7" s="783"/>
      <c r="BB7" s="783"/>
      <c r="BC7" s="783"/>
      <c r="BD7" s="783"/>
      <c r="BE7" s="783"/>
      <c r="BF7" s="783"/>
    </row>
    <row r="8" spans="1:58" ht="10.5" customHeight="1">
      <c r="E8" s="784"/>
      <c r="F8" s="3641" t="s">
        <v>560</v>
      </c>
      <c r="G8" s="3642"/>
      <c r="H8" s="3642"/>
      <c r="I8" s="3642"/>
      <c r="J8" s="3642"/>
      <c r="K8" s="3642"/>
      <c r="L8" s="3642"/>
      <c r="M8" s="3642"/>
      <c r="N8" s="3642"/>
      <c r="O8" s="3642"/>
      <c r="P8" s="3642"/>
      <c r="Q8" s="3642"/>
      <c r="R8" s="3642"/>
      <c r="S8" s="3642"/>
      <c r="T8" s="3642"/>
      <c r="U8" s="3642"/>
      <c r="V8" s="3642"/>
      <c r="W8" s="3642"/>
      <c r="X8" s="3642"/>
      <c r="Y8" s="3642"/>
      <c r="Z8" s="3642"/>
      <c r="AA8" s="3642"/>
      <c r="AB8" s="3642"/>
      <c r="AC8" s="3642"/>
      <c r="AD8" s="3642"/>
      <c r="AE8" s="3642"/>
      <c r="AF8" s="3642"/>
      <c r="AG8" s="3642"/>
      <c r="AH8" s="3642"/>
      <c r="AI8" s="3642"/>
      <c r="AJ8" s="3642"/>
      <c r="AK8" s="3643"/>
      <c r="AL8" s="785"/>
      <c r="AM8" s="783"/>
      <c r="AN8" s="783"/>
      <c r="AO8" s="783"/>
      <c r="AP8" s="783"/>
      <c r="AQ8" s="783"/>
      <c r="AR8" s="783"/>
      <c r="AS8" s="783"/>
      <c r="AT8" s="783"/>
      <c r="AU8" s="783"/>
      <c r="AV8" s="783"/>
      <c r="AW8" s="783"/>
      <c r="AX8" s="783"/>
      <c r="AY8" s="783"/>
      <c r="AZ8" s="783"/>
      <c r="BA8" s="783"/>
      <c r="BB8" s="783"/>
      <c r="BC8" s="783"/>
      <c r="BD8" s="783"/>
      <c r="BE8" s="783"/>
      <c r="BF8" s="783"/>
    </row>
    <row r="9" spans="1:58" ht="23.25" customHeight="1">
      <c r="A9" s="781"/>
      <c r="B9" s="781"/>
      <c r="C9" s="781"/>
      <c r="E9" s="784"/>
      <c r="F9" s="3489" t="s">
        <v>1258</v>
      </c>
      <c r="G9" s="3583" t="s">
        <v>1259</v>
      </c>
      <c r="H9" s="3639"/>
      <c r="I9" s="3401" t="s">
        <v>1260</v>
      </c>
      <c r="J9" s="3401"/>
      <c r="K9" s="3401" t="s">
        <v>1261</v>
      </c>
      <c r="L9" s="3401"/>
      <c r="M9" s="3401"/>
      <c r="N9" s="3401"/>
      <c r="O9" s="3401"/>
      <c r="P9" s="3401"/>
      <c r="Q9" s="3401"/>
      <c r="R9" s="3401"/>
      <c r="S9" s="3401"/>
      <c r="T9" s="3401"/>
      <c r="U9" s="3401"/>
      <c r="V9" s="3401"/>
      <c r="W9" s="3401"/>
      <c r="X9" s="3401"/>
      <c r="Y9" s="3401"/>
      <c r="Z9" s="3459" t="s">
        <v>1262</v>
      </c>
      <c r="AA9" s="3460"/>
      <c r="AB9" s="3401" t="s">
        <v>1263</v>
      </c>
      <c r="AC9" s="3401"/>
      <c r="AD9" s="3401"/>
      <c r="AE9" s="3401"/>
      <c r="AF9" s="3458" t="s">
        <v>1264</v>
      </c>
      <c r="AG9" s="3401" t="s">
        <v>1265</v>
      </c>
      <c r="AH9" s="3401"/>
      <c r="AI9" s="3458" t="s">
        <v>1266</v>
      </c>
      <c r="AJ9" s="3401" t="s">
        <v>1267</v>
      </c>
      <c r="AK9" s="3401"/>
      <c r="AL9" s="1006"/>
      <c r="AM9" s="783"/>
      <c r="AN9" s="783"/>
      <c r="AO9" s="783"/>
      <c r="AP9" s="783"/>
      <c r="AQ9" s="783"/>
      <c r="AR9" s="783"/>
      <c r="AS9" s="783"/>
      <c r="AT9" s="783"/>
      <c r="AU9" s="783"/>
      <c r="AV9" s="783"/>
      <c r="AW9" s="783"/>
      <c r="AX9" s="783"/>
      <c r="AY9" s="783"/>
      <c r="AZ9" s="783"/>
      <c r="BA9" s="783"/>
      <c r="BB9" s="783"/>
      <c r="BC9" s="783"/>
      <c r="BD9" s="783"/>
      <c r="BE9" s="783"/>
      <c r="BF9" s="783"/>
    </row>
    <row r="10" spans="1:58" ht="23.25" customHeight="1">
      <c r="A10" s="781"/>
      <c r="B10" s="781"/>
      <c r="C10" s="781"/>
      <c r="E10" s="788"/>
      <c r="F10" s="3489"/>
      <c r="G10" s="3584"/>
      <c r="H10" s="3490"/>
      <c r="I10" s="3401"/>
      <c r="J10" s="3401"/>
      <c r="K10" s="3401" t="s">
        <v>1268</v>
      </c>
      <c r="L10" s="3383" t="s">
        <v>1269</v>
      </c>
      <c r="M10" s="3382"/>
      <c r="N10" s="3401" t="s">
        <v>1270</v>
      </c>
      <c r="O10" s="3401"/>
      <c r="P10" s="3401"/>
      <c r="Q10" s="3401"/>
      <c r="R10" s="3401"/>
      <c r="S10" s="3401"/>
      <c r="T10" s="3401"/>
      <c r="U10" s="3401"/>
      <c r="V10" s="3401"/>
      <c r="W10" s="3401"/>
      <c r="X10" s="3401"/>
      <c r="Y10" s="3401"/>
      <c r="Z10" s="3461"/>
      <c r="AA10" s="3462"/>
      <c r="AB10" s="3401"/>
      <c r="AC10" s="3401"/>
      <c r="AD10" s="3401"/>
      <c r="AE10" s="3401"/>
      <c r="AF10" s="3463"/>
      <c r="AG10" s="3401"/>
      <c r="AH10" s="3401"/>
      <c r="AI10" s="3463"/>
      <c r="AJ10" s="3401"/>
      <c r="AK10" s="3401"/>
      <c r="AL10" s="1006"/>
      <c r="AM10" s="789"/>
      <c r="AN10" s="789"/>
      <c r="AO10" s="789"/>
      <c r="AP10" s="789"/>
      <c r="AQ10" s="789"/>
      <c r="AR10" s="789"/>
      <c r="AS10" s="789"/>
      <c r="AT10" s="789"/>
      <c r="AU10" s="789"/>
      <c r="AV10" s="789"/>
      <c r="AW10" s="789"/>
      <c r="AX10" s="789"/>
      <c r="AY10" s="789"/>
      <c r="AZ10" s="789"/>
      <c r="BA10" s="789"/>
      <c r="BB10" s="789"/>
      <c r="BC10" s="789"/>
      <c r="BD10" s="789"/>
      <c r="BE10" s="789"/>
      <c r="BF10" s="789"/>
    </row>
    <row r="11" spans="1:58" s="1910" customFormat="1" ht="23.25" customHeight="1">
      <c r="A11" s="994"/>
      <c r="B11" s="994"/>
      <c r="C11" s="994"/>
      <c r="D11" s="993"/>
      <c r="E11" s="995"/>
      <c r="F11" s="3489"/>
      <c r="G11" s="3584"/>
      <c r="H11" s="3490"/>
      <c r="I11" s="3401"/>
      <c r="J11" s="3401"/>
      <c r="K11" s="3401"/>
      <c r="L11" s="3458" t="s">
        <v>1271</v>
      </c>
      <c r="M11" s="3458" t="s">
        <v>1272</v>
      </c>
      <c r="N11" s="3401" t="s">
        <v>1273</v>
      </c>
      <c r="O11" s="3401"/>
      <c r="P11" s="3456" t="s">
        <v>1254</v>
      </c>
      <c r="Q11" s="3456" t="s">
        <v>1274</v>
      </c>
      <c r="R11" s="3456" t="s">
        <v>1275</v>
      </c>
      <c r="S11" s="3456" t="s">
        <v>1276</v>
      </c>
      <c r="T11" s="3456"/>
      <c r="U11" s="3456"/>
      <c r="V11" s="3456"/>
      <c r="W11" s="3456"/>
      <c r="X11" s="3456"/>
      <c r="Y11" s="3456"/>
      <c r="Z11" s="3461"/>
      <c r="AA11" s="3462"/>
      <c r="AB11" s="3401" t="s">
        <v>1277</v>
      </c>
      <c r="AC11" s="3401"/>
      <c r="AD11" s="3383" t="s">
        <v>1278</v>
      </c>
      <c r="AE11" s="3382"/>
      <c r="AF11" s="3463"/>
      <c r="AG11" s="3401"/>
      <c r="AH11" s="3401"/>
      <c r="AI11" s="3463"/>
      <c r="AJ11" s="3401"/>
      <c r="AK11" s="3401"/>
      <c r="AL11" s="1006"/>
      <c r="AM11" s="992"/>
      <c r="AN11" s="992"/>
      <c r="AO11" s="992"/>
      <c r="AP11" s="992"/>
      <c r="AQ11" s="992"/>
      <c r="AR11" s="992"/>
      <c r="AS11" s="992"/>
      <c r="AT11" s="992"/>
      <c r="AU11" s="992"/>
      <c r="AV11" s="992"/>
      <c r="AW11" s="992"/>
      <c r="AX11" s="992"/>
      <c r="AY11" s="992"/>
      <c r="AZ11" s="992"/>
      <c r="BA11" s="992"/>
      <c r="BB11" s="992"/>
      <c r="BC11" s="992"/>
      <c r="BD11" s="992"/>
      <c r="BE11" s="992"/>
      <c r="BF11" s="992"/>
    </row>
    <row r="12" spans="1:58" ht="33.75" customHeight="1">
      <c r="A12" s="781"/>
      <c r="B12" s="781"/>
      <c r="C12" s="781"/>
      <c r="E12" s="784"/>
      <c r="F12" s="3489"/>
      <c r="G12" s="3585"/>
      <c r="H12" s="3640"/>
      <c r="I12" s="1016" t="s">
        <v>86</v>
      </c>
      <c r="J12" s="1016" t="s">
        <v>1279</v>
      </c>
      <c r="K12" s="3401"/>
      <c r="L12" s="3514"/>
      <c r="M12" s="3514"/>
      <c r="N12" s="3401"/>
      <c r="O12" s="3401"/>
      <c r="P12" s="3456"/>
      <c r="Q12" s="3456"/>
      <c r="R12" s="3456"/>
      <c r="S12" s="999" t="s">
        <v>83</v>
      </c>
      <c r="T12" s="999" t="s">
        <v>84</v>
      </c>
      <c r="U12" s="999" t="s">
        <v>82</v>
      </c>
      <c r="V12" s="999" t="s">
        <v>1280</v>
      </c>
      <c r="W12" s="999" t="s">
        <v>82</v>
      </c>
      <c r="X12" s="999" t="s">
        <v>1281</v>
      </c>
      <c r="Y12" s="999" t="s">
        <v>1282</v>
      </c>
      <c r="Z12" s="3464"/>
      <c r="AA12" s="3465"/>
      <c r="AB12" s="1005" t="s">
        <v>1283</v>
      </c>
      <c r="AC12" s="1005" t="s">
        <v>1284</v>
      </c>
      <c r="AD12" s="1005" t="s">
        <v>1283</v>
      </c>
      <c r="AE12" s="1005" t="s">
        <v>1284</v>
      </c>
      <c r="AF12" s="3514"/>
      <c r="AG12" s="1017" t="s">
        <v>1285</v>
      </c>
      <c r="AH12" s="1017" t="s">
        <v>1286</v>
      </c>
      <c r="AI12" s="3514"/>
      <c r="AJ12" s="1017" t="s">
        <v>1285</v>
      </c>
      <c r="AK12" s="1017" t="s">
        <v>1286</v>
      </c>
      <c r="AL12" s="1006"/>
      <c r="AM12" s="783"/>
      <c r="AN12" s="783"/>
      <c r="AO12" s="783"/>
      <c r="AP12" s="783"/>
      <c r="AQ12" s="783"/>
      <c r="AR12" s="783"/>
      <c r="AS12" s="783"/>
      <c r="AT12" s="783"/>
      <c r="AU12" s="783"/>
      <c r="AV12" s="783"/>
      <c r="AW12" s="783"/>
      <c r="AX12" s="783"/>
      <c r="AY12" s="783"/>
      <c r="AZ12" s="783"/>
      <c r="BA12" s="783"/>
      <c r="BB12" s="783"/>
      <c r="BC12" s="783"/>
      <c r="BD12" s="783"/>
      <c r="BE12" s="783"/>
      <c r="BF12" s="783"/>
    </row>
    <row r="13" spans="1:58" ht="0.75" customHeight="1">
      <c r="E13" s="784"/>
      <c r="F13" s="990">
        <v>0</v>
      </c>
      <c r="G13" s="990"/>
      <c r="H13" s="990"/>
      <c r="I13" s="990"/>
      <c r="J13" s="990"/>
      <c r="K13" s="996"/>
      <c r="L13" s="996"/>
      <c r="M13" s="996"/>
      <c r="N13" s="996"/>
      <c r="O13" s="996"/>
      <c r="P13" s="996"/>
      <c r="Q13" s="996"/>
      <c r="R13" s="996"/>
      <c r="S13" s="996"/>
      <c r="T13" s="996"/>
      <c r="U13" s="996"/>
      <c r="V13" s="996"/>
      <c r="W13" s="996"/>
      <c r="X13" s="996"/>
      <c r="Y13" s="996"/>
      <c r="Z13" s="996"/>
      <c r="AA13" s="996"/>
      <c r="AB13" s="996"/>
      <c r="AC13" s="996"/>
      <c r="AD13" s="996"/>
      <c r="AE13" s="996"/>
      <c r="AF13" s="996"/>
      <c r="AG13" s="996"/>
      <c r="AH13" s="1012"/>
      <c r="AI13" s="1006"/>
      <c r="AJ13" s="996"/>
      <c r="AK13" s="996"/>
      <c r="AL13" s="785"/>
      <c r="AM13" s="783"/>
      <c r="AN13" s="783"/>
      <c r="AO13" s="783"/>
      <c r="AP13" s="783"/>
      <c r="AQ13" s="783"/>
      <c r="AR13" s="783"/>
      <c r="AS13" s="783"/>
      <c r="AT13" s="783"/>
      <c r="AU13" s="783"/>
      <c r="AV13" s="783"/>
      <c r="AW13" s="783"/>
      <c r="AX13" s="783"/>
      <c r="AY13" s="783"/>
      <c r="AZ13" s="783"/>
      <c r="BA13" s="783"/>
      <c r="BB13" s="783"/>
      <c r="BC13" s="783"/>
      <c r="BD13" s="783"/>
      <c r="BE13" s="783"/>
      <c r="BF13" s="783"/>
    </row>
    <row r="14" spans="1:58" ht="10.5" customHeight="1">
      <c r="E14" s="783"/>
      <c r="F14" s="794"/>
      <c r="G14" s="794"/>
      <c r="H14" s="1036"/>
      <c r="I14" s="794"/>
      <c r="J14" s="794"/>
      <c r="K14" s="794"/>
      <c r="L14" s="996"/>
      <c r="M14" s="996"/>
      <c r="N14" s="794"/>
      <c r="O14" s="794"/>
      <c r="P14" s="794"/>
      <c r="Q14" s="794"/>
      <c r="R14" s="794"/>
      <c r="S14" s="794"/>
      <c r="T14" s="794"/>
      <c r="U14" s="794"/>
      <c r="V14" s="794"/>
      <c r="W14" s="794"/>
      <c r="X14" s="794"/>
      <c r="Y14" s="794"/>
      <c r="Z14" s="794"/>
      <c r="AA14" s="794"/>
      <c r="AB14" s="794"/>
      <c r="AC14" s="794"/>
      <c r="AD14" s="996"/>
      <c r="AE14" s="794"/>
      <c r="AF14" s="794"/>
      <c r="AG14" s="794"/>
      <c r="AH14" s="1012"/>
      <c r="AI14" s="1006"/>
      <c r="AJ14" s="794"/>
      <c r="AK14" s="794"/>
      <c r="AL14" s="783"/>
      <c r="AM14" s="783"/>
      <c r="AN14" s="783"/>
      <c r="AO14" s="783"/>
      <c r="AP14" s="783"/>
      <c r="AQ14" s="783"/>
      <c r="AR14" s="783"/>
      <c r="AS14" s="783"/>
      <c r="AT14" s="783"/>
      <c r="AU14" s="783"/>
      <c r="AV14" s="783"/>
      <c r="AW14" s="783"/>
      <c r="AX14" s="783"/>
      <c r="AY14" s="783"/>
      <c r="AZ14" s="783"/>
      <c r="BA14" s="783"/>
      <c r="BB14" s="783"/>
      <c r="BC14" s="783"/>
      <c r="BD14" s="783"/>
      <c r="BE14" s="783"/>
      <c r="BF14" s="783"/>
    </row>
    <row r="15" spans="1:58" ht="12.75" customHeight="1">
      <c r="E15" s="783"/>
      <c r="F15" s="790" t="s">
        <v>1287</v>
      </c>
      <c r="G15" s="790"/>
      <c r="H15" s="1035"/>
      <c r="I15" s="790"/>
      <c r="J15" s="790"/>
      <c r="K15" s="787"/>
      <c r="L15" s="992"/>
      <c r="M15" s="992"/>
      <c r="N15" s="789"/>
      <c r="O15" s="789"/>
      <c r="P15" s="789"/>
      <c r="Q15" s="789"/>
      <c r="R15" s="789"/>
      <c r="S15" s="789"/>
      <c r="T15" s="789"/>
      <c r="U15" s="789"/>
      <c r="V15" s="789"/>
      <c r="W15" s="789"/>
      <c r="X15" s="789"/>
      <c r="Y15" s="789"/>
      <c r="Z15" s="787"/>
      <c r="AA15" s="787"/>
      <c r="AB15" s="787"/>
      <c r="AC15" s="787"/>
      <c r="AD15" s="992"/>
      <c r="AE15" s="787"/>
      <c r="AF15" s="787"/>
      <c r="AG15" s="787"/>
      <c r="AH15" s="1009"/>
      <c r="AI15" s="1003"/>
      <c r="AJ15" s="787"/>
      <c r="AK15" s="787"/>
      <c r="AL15" s="783"/>
      <c r="AM15" s="783"/>
      <c r="AN15" s="783"/>
      <c r="AO15" s="783"/>
      <c r="AP15" s="783"/>
      <c r="AQ15" s="783"/>
      <c r="AR15" s="783"/>
      <c r="AS15" s="783"/>
      <c r="AT15" s="783"/>
      <c r="AU15" s="783"/>
      <c r="AV15" s="783"/>
      <c r="AW15" s="783"/>
      <c r="AX15" s="783"/>
      <c r="AY15" s="783"/>
      <c r="AZ15" s="783"/>
      <c r="BA15" s="783"/>
      <c r="BB15" s="783"/>
      <c r="BC15" s="783"/>
      <c r="BD15" s="783"/>
      <c r="BE15" s="783"/>
      <c r="BF15" s="783"/>
    </row>
    <row r="17" spans="5:58" ht="10.5" customHeight="1">
      <c r="E17" s="783"/>
      <c r="F17" s="3638"/>
      <c r="G17" s="3638"/>
      <c r="H17" s="3638"/>
      <c r="I17" s="3638"/>
      <c r="J17" s="3638"/>
      <c r="K17" s="787"/>
      <c r="L17" s="992"/>
      <c r="M17" s="992"/>
      <c r="N17" s="789"/>
      <c r="O17" s="789"/>
      <c r="P17" s="789"/>
      <c r="Q17" s="789"/>
      <c r="R17" s="789"/>
      <c r="S17" s="789"/>
      <c r="T17" s="789"/>
      <c r="U17" s="789"/>
      <c r="V17" s="789"/>
      <c r="W17" s="789"/>
      <c r="X17" s="789"/>
      <c r="Y17" s="789"/>
      <c r="Z17" s="787"/>
      <c r="AA17" s="787"/>
      <c r="AB17" s="787"/>
      <c r="AC17" s="787"/>
      <c r="AD17" s="992"/>
      <c r="AE17" s="787"/>
      <c r="AF17" s="787"/>
      <c r="AG17" s="787"/>
      <c r="AH17" s="1009"/>
      <c r="AI17" s="1003"/>
      <c r="AJ17" s="787"/>
      <c r="AK17" s="787"/>
      <c r="AL17" s="783"/>
      <c r="AM17" s="783"/>
      <c r="AN17" s="783"/>
      <c r="AO17" s="783"/>
      <c r="AP17" s="783"/>
      <c r="AQ17" s="783"/>
      <c r="AR17" s="783"/>
      <c r="AS17" s="783"/>
      <c r="AT17" s="783"/>
      <c r="AU17" s="783"/>
      <c r="AV17" s="783"/>
      <c r="AW17" s="783"/>
      <c r="AX17" s="783"/>
      <c r="AY17" s="783"/>
      <c r="AZ17" s="783"/>
      <c r="BA17" s="783"/>
      <c r="BB17" s="783"/>
      <c r="BC17" s="783"/>
      <c r="BD17" s="783"/>
      <c r="BE17" s="783"/>
      <c r="BF17" s="783"/>
    </row>
    <row r="18" spans="5:58" ht="10.5" customHeight="1">
      <c r="E18" s="783"/>
      <c r="F18" s="3638"/>
      <c r="G18" s="3638"/>
      <c r="H18" s="3638"/>
      <c r="I18" s="3638"/>
      <c r="J18" s="3638"/>
      <c r="K18" s="787"/>
      <c r="L18" s="992"/>
      <c r="M18" s="992"/>
      <c r="N18" s="789"/>
      <c r="O18" s="789"/>
      <c r="P18" s="789"/>
      <c r="Q18" s="789"/>
      <c r="R18" s="789"/>
      <c r="S18" s="789"/>
      <c r="T18" s="789"/>
      <c r="U18" s="789"/>
      <c r="V18" s="789"/>
      <c r="W18" s="789"/>
      <c r="X18" s="789"/>
      <c r="Y18" s="789"/>
      <c r="Z18" s="787"/>
      <c r="AA18" s="787"/>
      <c r="AB18" s="787"/>
      <c r="AC18" s="787"/>
      <c r="AD18" s="992"/>
      <c r="AE18" s="787"/>
      <c r="AF18" s="787"/>
      <c r="AG18" s="787"/>
      <c r="AH18" s="1009"/>
      <c r="AI18" s="1003"/>
      <c r="AJ18" s="787"/>
      <c r="AK18" s="787"/>
      <c r="AL18" s="783"/>
      <c r="AM18" s="783"/>
      <c r="AN18" s="783"/>
      <c r="AO18" s="783"/>
      <c r="AP18" s="783"/>
      <c r="AQ18" s="783"/>
      <c r="AR18" s="783"/>
      <c r="AS18" s="783"/>
      <c r="AT18" s="783"/>
      <c r="AU18" s="783"/>
      <c r="AV18" s="783"/>
      <c r="AW18" s="783"/>
      <c r="AX18" s="783"/>
      <c r="AY18" s="783"/>
      <c r="AZ18" s="783"/>
      <c r="BA18" s="783"/>
      <c r="BB18" s="783"/>
      <c r="BC18" s="783"/>
      <c r="BD18" s="783"/>
      <c r="BE18" s="783"/>
      <c r="BF18" s="783"/>
    </row>
    <row r="19" spans="5:58" ht="10.5" customHeight="1">
      <c r="E19" s="783"/>
      <c r="F19" s="3638"/>
      <c r="G19" s="3638"/>
      <c r="H19" s="3638"/>
      <c r="I19" s="3638"/>
      <c r="J19" s="3638"/>
      <c r="K19" s="787"/>
      <c r="L19" s="992"/>
      <c r="M19" s="992"/>
      <c r="N19" s="789"/>
      <c r="O19" s="789"/>
      <c r="P19" s="789"/>
      <c r="Q19" s="789"/>
      <c r="R19" s="789"/>
      <c r="S19" s="789"/>
      <c r="T19" s="789"/>
      <c r="U19" s="789"/>
      <c r="V19" s="789"/>
      <c r="W19" s="789"/>
      <c r="X19" s="789"/>
      <c r="Y19" s="789"/>
      <c r="Z19" s="787"/>
      <c r="AA19" s="787"/>
      <c r="AB19" s="787"/>
      <c r="AC19" s="787"/>
      <c r="AD19" s="992"/>
      <c r="AE19" s="787"/>
      <c r="AF19" s="787"/>
      <c r="AG19" s="787"/>
      <c r="AH19" s="1009"/>
      <c r="AI19" s="1003"/>
      <c r="AJ19" s="787"/>
      <c r="AK19" s="787"/>
      <c r="AL19" s="783"/>
      <c r="AM19" s="783"/>
      <c r="AN19" s="783"/>
      <c r="AO19" s="783"/>
      <c r="AP19" s="783"/>
      <c r="AQ19" s="783"/>
      <c r="AR19" s="783"/>
      <c r="AS19" s="783"/>
      <c r="AT19" s="783"/>
      <c r="AU19" s="783"/>
      <c r="AV19" s="783"/>
      <c r="AW19" s="783"/>
      <c r="AX19" s="783"/>
      <c r="AY19" s="783"/>
      <c r="AZ19" s="783"/>
      <c r="BA19" s="783"/>
      <c r="BB19" s="783"/>
      <c r="BC19" s="783"/>
      <c r="BD19" s="783"/>
      <c r="BE19" s="783"/>
      <c r="BF19" s="783"/>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7A474-B476-91D2-74B7-31184F5DFDC1}">
  <sheetPr>
    <tabColor theme="9" tint="-0.249977111117893"/>
  </sheetPr>
  <dimension ref="A1:V58"/>
  <sheetViews>
    <sheetView showGridLines="0" topLeftCell="E4" zoomScale="85" workbookViewId="0"/>
  </sheetViews>
  <sheetFormatPr defaultColWidth="9.140625" defaultRowHeight="10.5" customHeight="1"/>
  <cols>
    <col min="1" max="3" width="4.140625" style="1891" hidden="1" customWidth="1"/>
    <col min="4" max="4" width="4.140625" style="1903" hidden="1" customWidth="1"/>
    <col min="5" max="5" width="3.7109375" style="1910" customWidth="1"/>
    <col min="6" max="6" width="6.28515625" style="1910" customWidth="1"/>
    <col min="7" max="7" width="60.140625" style="1910" customWidth="1"/>
    <col min="8" max="9" width="21.7109375" style="1910" hidden="1" customWidth="1"/>
    <col min="10" max="10" width="0.140625" style="1910" customWidth="1"/>
    <col min="11" max="11" width="1.7109375" style="1910" customWidth="1"/>
    <col min="12" max="22" width="9.140625" style="1910"/>
  </cols>
  <sheetData>
    <row r="1" spans="1:22" s="1903" customFormat="1" ht="10.5" hidden="1" customHeight="1">
      <c r="A1" s="1029"/>
      <c r="B1" s="1029"/>
      <c r="C1" s="1029"/>
      <c r="E1" s="434"/>
    </row>
    <row r="2" spans="1:22" ht="10.5" hidden="1" customHeight="1"/>
    <row r="3" spans="1:22" s="1926" customFormat="1" ht="10.5" hidden="1" customHeight="1">
      <c r="A3" s="1029"/>
      <c r="B3" s="1029"/>
      <c r="C3" s="1029"/>
      <c r="D3" s="1023"/>
      <c r="E3" s="271"/>
    </row>
    <row r="4" spans="1:22" ht="3" customHeight="1"/>
    <row r="5" spans="1:22" ht="25.5" customHeight="1">
      <c r="F5" s="350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3509"/>
      <c r="H5" s="3509"/>
      <c r="I5" s="3509"/>
      <c r="J5" s="3509"/>
    </row>
    <row r="6" spans="1:22" ht="10.5" customHeight="1">
      <c r="F6" s="3480" t="str">
        <f>IF(org=0,"Не определено",org)</f>
        <v>АО "Орелгортеплоэнерго"</v>
      </c>
      <c r="G6" s="3480"/>
      <c r="H6" s="3480"/>
      <c r="I6" s="3480"/>
      <c r="J6" s="3480"/>
    </row>
    <row r="7" spans="1:22" ht="11.25" customHeight="1">
      <c r="E7" s="1033"/>
      <c r="F7" s="1093"/>
      <c r="G7" s="1093"/>
      <c r="H7" s="1093"/>
      <c r="I7" s="1093"/>
      <c r="J7" s="1093"/>
      <c r="K7" s="1020"/>
      <c r="L7" s="1020"/>
      <c r="M7" s="1020"/>
      <c r="N7" s="1020"/>
      <c r="O7" s="1020"/>
      <c r="P7" s="1020"/>
      <c r="Q7" s="1020"/>
      <c r="R7" s="1020"/>
      <c r="S7" s="1020"/>
      <c r="T7" s="1020"/>
      <c r="U7" s="1020"/>
      <c r="V7" s="1020"/>
    </row>
    <row r="8" spans="1:22" s="1866" customFormat="1" ht="5.25" customHeight="1">
      <c r="A8" s="1030"/>
      <c r="B8" s="1030"/>
      <c r="C8" s="1030"/>
      <c r="E8" s="1094"/>
      <c r="F8" s="1095"/>
      <c r="G8" s="1095"/>
      <c r="H8" s="1095"/>
      <c r="I8" s="1095"/>
      <c r="J8" s="1095"/>
      <c r="K8" s="1094"/>
      <c r="L8" s="1094"/>
      <c r="M8" s="1094"/>
      <c r="N8" s="1094"/>
      <c r="O8" s="1094"/>
      <c r="P8" s="1094"/>
      <c r="Q8" s="1094"/>
      <c r="R8" s="1094"/>
      <c r="S8" s="1094"/>
      <c r="T8" s="1094"/>
      <c r="U8" s="1094"/>
      <c r="V8" s="1094"/>
    </row>
    <row r="9" spans="1:22" ht="10.5" customHeight="1">
      <c r="E9" s="1033"/>
      <c r="F9" s="3644" t="s">
        <v>560</v>
      </c>
      <c r="G9" s="3645"/>
      <c r="H9" s="3645"/>
      <c r="I9" s="3645"/>
      <c r="J9" s="3645"/>
      <c r="K9" s="1106"/>
      <c r="L9" s="1020"/>
      <c r="M9" s="1020"/>
      <c r="N9" s="1020"/>
      <c r="O9" s="1020"/>
      <c r="P9" s="1020"/>
      <c r="Q9" s="1020"/>
      <c r="R9" s="1020"/>
      <c r="S9" s="1020"/>
      <c r="T9" s="1020"/>
      <c r="U9" s="1020"/>
      <c r="V9" s="1020"/>
    </row>
    <row r="10" spans="1:22" ht="24" customHeight="1">
      <c r="E10" s="1020"/>
      <c r="F10" s="3648" t="s">
        <v>85</v>
      </c>
      <c r="G10" s="3652" t="s">
        <v>1288</v>
      </c>
      <c r="H10" s="3633" t="s">
        <v>1289</v>
      </c>
      <c r="I10" s="3633"/>
      <c r="J10" s="3633"/>
      <c r="K10" s="1099"/>
      <c r="L10" s="1020"/>
      <c r="M10" s="1020"/>
      <c r="N10" s="1020"/>
      <c r="O10" s="1020"/>
      <c r="P10" s="1020"/>
      <c r="Q10" s="1020"/>
      <c r="R10" s="1020"/>
      <c r="S10" s="1020"/>
      <c r="T10" s="1020"/>
      <c r="U10" s="1020"/>
      <c r="V10" s="1020"/>
    </row>
    <row r="11" spans="1:22" ht="24" customHeight="1">
      <c r="E11" s="1020"/>
      <c r="F11" s="3649"/>
      <c r="G11" s="3652"/>
      <c r="H11" s="3651" t="e">
        <f>INDEX(IP_MAIN_LIST_NAME_IP,MATCH(H8,IP_MAIN_LIST_IP_ID,0))&amp;" ("&amp;INDEX(IP_MAIN_START_DATE,MATCH(H8,IP_MAIN_LIST_IP_ID,0))&amp;"-"&amp;INDEX(IP_MAIN_END_DATE,MATCH(H8,IP_MAIN_LIST_IP_ID,0))&amp;")"</f>
        <v>#N/A</v>
      </c>
      <c r="I11" s="3651"/>
      <c r="J11" s="3651"/>
      <c r="K11" s="1099"/>
      <c r="L11" s="1020"/>
      <c r="M11" s="1020"/>
      <c r="N11" s="1020"/>
      <c r="O11" s="1020"/>
      <c r="P11" s="1020"/>
      <c r="Q11" s="1020"/>
      <c r="R11" s="1020"/>
      <c r="S11" s="1020"/>
      <c r="T11" s="1020"/>
      <c r="U11" s="1020"/>
      <c r="V11" s="1020"/>
    </row>
    <row r="12" spans="1:22" ht="10.5" customHeight="1">
      <c r="F12" s="3650"/>
      <c r="G12" s="3652"/>
      <c r="H12" s="1092" t="s">
        <v>1290</v>
      </c>
      <c r="I12" s="1098"/>
      <c r="J12" s="1092"/>
      <c r="K12" s="1100"/>
    </row>
    <row r="13" spans="1:22" ht="10.5" hidden="1" customHeight="1">
      <c r="F13" s="1092">
        <v>1</v>
      </c>
      <c r="G13" s="1092">
        <v>2</v>
      </c>
      <c r="H13" s="1092">
        <v>3</v>
      </c>
      <c r="I13" s="1092">
        <v>4</v>
      </c>
      <c r="J13" s="1092">
        <v>5</v>
      </c>
      <c r="K13" s="1100"/>
    </row>
    <row r="14" spans="1:22" ht="11.25" customHeight="1">
      <c r="F14" s="1091" t="s">
        <v>1291</v>
      </c>
      <c r="G14" s="3646" t="s">
        <v>1292</v>
      </c>
      <c r="H14" s="3646"/>
      <c r="I14" s="3646"/>
      <c r="J14" s="3646"/>
      <c r="K14" s="1100"/>
    </row>
    <row r="15" spans="1:22" ht="11.25" customHeight="1">
      <c r="F15" s="1096">
        <v>1</v>
      </c>
      <c r="G15" s="581" t="s">
        <v>1293</v>
      </c>
      <c r="H15" s="1102">
        <f t="shared" ref="H15:H36" si="0">SUM(I15:J15)</f>
        <v>0</v>
      </c>
      <c r="I15" s="1102">
        <f>SUM(I16:I27)</f>
        <v>0</v>
      </c>
      <c r="J15" s="1091"/>
      <c r="K15" s="1100"/>
    </row>
    <row r="16" spans="1:22" ht="22.5" customHeight="1">
      <c r="F16" s="1096" t="s">
        <v>1294</v>
      </c>
      <c r="G16" s="1103" t="s">
        <v>1295</v>
      </c>
      <c r="H16" s="1102">
        <f t="shared" si="0"/>
        <v>0</v>
      </c>
      <c r="I16" s="1101"/>
      <c r="J16" s="1091"/>
      <c r="K16" s="1100"/>
    </row>
    <row r="17" spans="6:11" ht="22.5" customHeight="1">
      <c r="F17" s="1096" t="s">
        <v>1296</v>
      </c>
      <c r="G17" s="1103" t="s">
        <v>1297</v>
      </c>
      <c r="H17" s="1102">
        <f t="shared" si="0"/>
        <v>0</v>
      </c>
      <c r="I17" s="1101"/>
      <c r="J17" s="1091"/>
      <c r="K17" s="1100"/>
    </row>
    <row r="18" spans="6:11" ht="33.75" customHeight="1">
      <c r="F18" s="1096" t="s">
        <v>1298</v>
      </c>
      <c r="G18" s="1103" t="s">
        <v>1299</v>
      </c>
      <c r="H18" s="1102">
        <f t="shared" si="0"/>
        <v>0</v>
      </c>
      <c r="I18" s="1101"/>
      <c r="J18" s="1091"/>
      <c r="K18" s="1100"/>
    </row>
    <row r="19" spans="6:11" ht="33.75" customHeight="1">
      <c r="F19" s="1096" t="s">
        <v>1300</v>
      </c>
      <c r="G19" s="1103" t="s">
        <v>1301</v>
      </c>
      <c r="H19" s="1102">
        <f t="shared" si="0"/>
        <v>0</v>
      </c>
      <c r="I19" s="1101"/>
      <c r="J19" s="1091"/>
      <c r="K19" s="1100"/>
    </row>
    <row r="20" spans="6:11" ht="45" customHeight="1">
      <c r="F20" s="1096" t="s">
        <v>1302</v>
      </c>
      <c r="G20" s="1103" t="s">
        <v>1303</v>
      </c>
      <c r="H20" s="1102">
        <f t="shared" si="0"/>
        <v>0</v>
      </c>
      <c r="I20" s="1101"/>
      <c r="J20" s="1091"/>
      <c r="K20" s="1100"/>
    </row>
    <row r="21" spans="6:11" ht="33.75" customHeight="1">
      <c r="F21" s="1096" t="s">
        <v>1304</v>
      </c>
      <c r="G21" s="1103" t="s">
        <v>1305</v>
      </c>
      <c r="H21" s="1102">
        <f t="shared" si="0"/>
        <v>0</v>
      </c>
      <c r="I21" s="1101"/>
      <c r="J21" s="1091"/>
      <c r="K21" s="1100"/>
    </row>
    <row r="22" spans="6:11" ht="33.75" customHeight="1">
      <c r="F22" s="1096" t="s">
        <v>1306</v>
      </c>
      <c r="G22" s="1103" t="s">
        <v>1307</v>
      </c>
      <c r="H22" s="1102">
        <f t="shared" si="0"/>
        <v>0</v>
      </c>
      <c r="I22" s="1101"/>
      <c r="J22" s="1091"/>
      <c r="K22" s="1100"/>
    </row>
    <row r="23" spans="6:11" ht="22.5" customHeight="1">
      <c r="F23" s="1096" t="s">
        <v>1308</v>
      </c>
      <c r="G23" s="1103" t="s">
        <v>1309</v>
      </c>
      <c r="H23" s="1102">
        <f t="shared" si="0"/>
        <v>0</v>
      </c>
      <c r="I23" s="1101"/>
      <c r="J23" s="1091"/>
      <c r="K23" s="1100"/>
    </row>
    <row r="24" spans="6:11" ht="22.5" customHeight="1">
      <c r="F24" s="1096" t="s">
        <v>1310</v>
      </c>
      <c r="G24" s="1103" t="s">
        <v>1311</v>
      </c>
      <c r="H24" s="1102">
        <f t="shared" si="0"/>
        <v>0</v>
      </c>
      <c r="I24" s="1101"/>
      <c r="J24" s="1091"/>
      <c r="K24" s="1100"/>
    </row>
    <row r="25" spans="6:11" ht="33.75" customHeight="1">
      <c r="F25" s="1096" t="s">
        <v>1312</v>
      </c>
      <c r="G25" s="1103" t="s">
        <v>1313</v>
      </c>
      <c r="H25" s="1102">
        <f t="shared" si="0"/>
        <v>0</v>
      </c>
      <c r="I25" s="1101"/>
      <c r="J25" s="1091"/>
      <c r="K25" s="1100"/>
    </row>
    <row r="26" spans="6:11" ht="33.75" customHeight="1">
      <c r="F26" s="1096" t="s">
        <v>1314</v>
      </c>
      <c r="G26" s="1103" t="s">
        <v>1315</v>
      </c>
      <c r="H26" s="1102">
        <f t="shared" si="0"/>
        <v>0</v>
      </c>
      <c r="I26" s="1101"/>
      <c r="J26" s="1091"/>
      <c r="K26" s="1100"/>
    </row>
    <row r="27" spans="6:11" ht="11.25" customHeight="1">
      <c r="F27" s="1096" t="s">
        <v>1316</v>
      </c>
      <c r="G27" s="1103" t="s">
        <v>1317</v>
      </c>
      <c r="H27" s="1102">
        <f t="shared" si="0"/>
        <v>0</v>
      </c>
      <c r="I27" s="1101"/>
      <c r="J27" s="1091"/>
      <c r="K27" s="1100"/>
    </row>
    <row r="28" spans="6:11" ht="11.25" customHeight="1">
      <c r="F28" s="1096">
        <v>2</v>
      </c>
      <c r="G28" s="581" t="s">
        <v>1318</v>
      </c>
      <c r="H28" s="1102">
        <f t="shared" si="0"/>
        <v>0</v>
      </c>
      <c r="I28" s="1102">
        <f>SUM(I29:I31)</f>
        <v>0</v>
      </c>
      <c r="J28" s="1091"/>
      <c r="K28" s="1100"/>
    </row>
    <row r="29" spans="6:11" ht="11.25" customHeight="1">
      <c r="F29" s="1096" t="s">
        <v>979</v>
      </c>
      <c r="G29" s="1103" t="s">
        <v>1319</v>
      </c>
      <c r="H29" s="1102">
        <f t="shared" si="0"/>
        <v>0</v>
      </c>
      <c r="I29" s="1101"/>
      <c r="J29" s="1091"/>
      <c r="K29" s="1100"/>
    </row>
    <row r="30" spans="6:11" ht="11.25" customHeight="1">
      <c r="F30" s="1096" t="s">
        <v>567</v>
      </c>
      <c r="G30" s="1103" t="s">
        <v>1320</v>
      </c>
      <c r="H30" s="1102">
        <f t="shared" si="0"/>
        <v>0</v>
      </c>
      <c r="I30" s="1101"/>
      <c r="J30" s="1091"/>
      <c r="K30" s="1100"/>
    </row>
    <row r="31" spans="6:11" ht="11.25" customHeight="1">
      <c r="F31" s="1096" t="s">
        <v>570</v>
      </c>
      <c r="G31" s="1103" t="s">
        <v>1321</v>
      </c>
      <c r="H31" s="1102">
        <f t="shared" si="0"/>
        <v>0</v>
      </c>
      <c r="I31" s="1101"/>
      <c r="J31" s="1091"/>
      <c r="K31" s="1100"/>
    </row>
    <row r="32" spans="6:11" ht="11.25" customHeight="1">
      <c r="F32" s="1096">
        <v>3</v>
      </c>
      <c r="G32" s="581" t="s">
        <v>1322</v>
      </c>
      <c r="H32" s="1102">
        <f t="shared" si="0"/>
        <v>0</v>
      </c>
      <c r="I32" s="1102">
        <f>SUM(I33:I34)</f>
        <v>0</v>
      </c>
      <c r="J32" s="1091"/>
      <c r="K32" s="1100"/>
    </row>
    <row r="33" spans="6:11" ht="33.75" customHeight="1">
      <c r="F33" s="1096" t="s">
        <v>586</v>
      </c>
      <c r="G33" s="1103" t="s">
        <v>1323</v>
      </c>
      <c r="H33" s="1102">
        <f t="shared" si="0"/>
        <v>0</v>
      </c>
      <c r="I33" s="1101"/>
      <c r="J33" s="1091"/>
      <c r="K33" s="1100"/>
    </row>
    <row r="34" spans="6:11" ht="11.25" customHeight="1">
      <c r="F34" s="1096" t="s">
        <v>594</v>
      </c>
      <c r="G34" s="1103" t="s">
        <v>1324</v>
      </c>
      <c r="H34" s="1102">
        <f t="shared" si="0"/>
        <v>0</v>
      </c>
      <c r="I34" s="1101"/>
      <c r="J34" s="1091"/>
      <c r="K34" s="1100"/>
    </row>
    <row r="35" spans="6:11" ht="11.25" customHeight="1">
      <c r="F35" s="1096">
        <v>4</v>
      </c>
      <c r="G35" s="581" t="s">
        <v>1325</v>
      </c>
      <c r="H35" s="1102">
        <f t="shared" si="0"/>
        <v>0</v>
      </c>
      <c r="I35" s="1101"/>
      <c r="J35" s="1091"/>
      <c r="K35" s="1100"/>
    </row>
    <row r="36" spans="6:11" ht="11.25" customHeight="1">
      <c r="F36" s="1096"/>
      <c r="G36" s="584" t="s">
        <v>1326</v>
      </c>
      <c r="H36" s="1102">
        <f t="shared" si="0"/>
        <v>0</v>
      </c>
      <c r="I36" s="1102">
        <f>SUM(I15,I28,I32,I35)</f>
        <v>0</v>
      </c>
      <c r="J36" s="1091"/>
      <c r="K36" s="1100"/>
    </row>
    <row r="37" spans="6:11" ht="27.75" customHeight="1">
      <c r="F37" s="1097" t="s">
        <v>1327</v>
      </c>
      <c r="G37" s="3647" t="s">
        <v>1328</v>
      </c>
      <c r="H37" s="3647"/>
      <c r="I37" s="3647"/>
      <c r="J37" s="3647"/>
      <c r="K37" s="1100"/>
    </row>
    <row r="38" spans="6:11" ht="22.5" customHeight="1">
      <c r="F38" s="1096" t="s">
        <v>106</v>
      </c>
      <c r="G38" s="581" t="s">
        <v>1329</v>
      </c>
      <c r="H38" s="1102">
        <f t="shared" ref="H38:H58" si="1">SUM(I38:J38)</f>
        <v>0</v>
      </c>
      <c r="I38" s="1102">
        <f>SUM(I39,I44,I47)</f>
        <v>0</v>
      </c>
      <c r="J38" s="1091"/>
      <c r="K38" s="1100"/>
    </row>
    <row r="39" spans="6:11" ht="11.25" customHeight="1">
      <c r="F39" s="1096" t="s">
        <v>1294</v>
      </c>
      <c r="G39" s="1103" t="s">
        <v>1293</v>
      </c>
      <c r="H39" s="1102">
        <f t="shared" si="1"/>
        <v>0</v>
      </c>
      <c r="I39" s="1102">
        <f>SUM(I40:I43)</f>
        <v>0</v>
      </c>
      <c r="J39" s="1091"/>
      <c r="K39" s="1100"/>
    </row>
    <row r="40" spans="6:11" ht="22.5" customHeight="1">
      <c r="F40" s="1096" t="s">
        <v>1330</v>
      </c>
      <c r="G40" s="1104" t="s">
        <v>1331</v>
      </c>
      <c r="H40" s="1102">
        <f t="shared" si="1"/>
        <v>0</v>
      </c>
      <c r="I40" s="1101"/>
      <c r="J40" s="1091"/>
      <c r="K40" s="1100"/>
    </row>
    <row r="41" spans="6:11" ht="11.25" customHeight="1">
      <c r="F41" s="1096" t="s">
        <v>1332</v>
      </c>
      <c r="G41" s="1104" t="s">
        <v>1333</v>
      </c>
      <c r="H41" s="1102">
        <f t="shared" si="1"/>
        <v>0</v>
      </c>
      <c r="I41" s="1101"/>
      <c r="J41" s="1091"/>
      <c r="K41" s="1100"/>
    </row>
    <row r="42" spans="6:11" ht="11.25" customHeight="1">
      <c r="F42" s="1096" t="s">
        <v>1334</v>
      </c>
      <c r="G42" s="1104" t="s">
        <v>1335</v>
      </c>
      <c r="H42" s="1102">
        <f t="shared" si="1"/>
        <v>0</v>
      </c>
      <c r="I42" s="1101"/>
      <c r="J42" s="1091"/>
      <c r="K42" s="1100"/>
    </row>
    <row r="43" spans="6:11" ht="33.75" customHeight="1">
      <c r="F43" s="1096" t="s">
        <v>1336</v>
      </c>
      <c r="G43" s="1104" t="s">
        <v>1337</v>
      </c>
      <c r="H43" s="1102">
        <f t="shared" si="1"/>
        <v>0</v>
      </c>
      <c r="I43" s="1101"/>
      <c r="J43" s="1091"/>
      <c r="K43" s="1100"/>
    </row>
    <row r="44" spans="6:11" ht="11.25" customHeight="1">
      <c r="F44" s="1096" t="s">
        <v>1296</v>
      </c>
      <c r="G44" s="1103" t="s">
        <v>1322</v>
      </c>
      <c r="H44" s="1102">
        <f t="shared" si="1"/>
        <v>0</v>
      </c>
      <c r="I44" s="1102">
        <f>SUM(I45:I46)</f>
        <v>0</v>
      </c>
      <c r="J44" s="1091"/>
      <c r="K44" s="1100"/>
    </row>
    <row r="45" spans="6:11" ht="45" customHeight="1">
      <c r="F45" s="1096" t="s">
        <v>1338</v>
      </c>
      <c r="G45" s="1104" t="s">
        <v>1323</v>
      </c>
      <c r="H45" s="1102">
        <f t="shared" si="1"/>
        <v>0</v>
      </c>
      <c r="I45" s="1101"/>
      <c r="J45" s="1091"/>
      <c r="K45" s="1100"/>
    </row>
    <row r="46" spans="6:11" ht="11.25" customHeight="1">
      <c r="F46" s="1096" t="s">
        <v>1339</v>
      </c>
      <c r="G46" s="1104" t="s">
        <v>1324</v>
      </c>
      <c r="H46" s="1102">
        <f t="shared" si="1"/>
        <v>0</v>
      </c>
      <c r="I46" s="1101"/>
      <c r="J46" s="1091"/>
      <c r="K46" s="1100"/>
    </row>
    <row r="47" spans="6:11" ht="11.25" customHeight="1">
      <c r="F47" s="1096" t="s">
        <v>1298</v>
      </c>
      <c r="G47" s="1103" t="s">
        <v>1340</v>
      </c>
      <c r="H47" s="1102">
        <f t="shared" si="1"/>
        <v>0</v>
      </c>
      <c r="I47" s="1101"/>
      <c r="J47" s="1091"/>
      <c r="K47" s="1100"/>
    </row>
    <row r="48" spans="6:11" ht="22.5" customHeight="1">
      <c r="F48" s="1096" t="s">
        <v>107</v>
      </c>
      <c r="G48" s="581" t="s">
        <v>1341</v>
      </c>
      <c r="H48" s="1102">
        <f t="shared" si="1"/>
        <v>0</v>
      </c>
      <c r="I48" s="1102">
        <f>SUM(I49,I54,I57)</f>
        <v>0</v>
      </c>
      <c r="J48" s="1091"/>
      <c r="K48" s="1100"/>
    </row>
    <row r="49" spans="6:11" ht="11.25" customHeight="1">
      <c r="F49" s="1096" t="s">
        <v>979</v>
      </c>
      <c r="G49" s="1103" t="s">
        <v>1293</v>
      </c>
      <c r="H49" s="1102">
        <f t="shared" si="1"/>
        <v>0</v>
      </c>
      <c r="I49" s="1102">
        <f>SUM(I50:I53)</f>
        <v>0</v>
      </c>
      <c r="J49" s="1091"/>
      <c r="K49" s="1100"/>
    </row>
    <row r="50" spans="6:11" ht="22.5" customHeight="1">
      <c r="F50" s="1096" t="s">
        <v>982</v>
      </c>
      <c r="G50" s="1104" t="s">
        <v>1331</v>
      </c>
      <c r="H50" s="1102">
        <f t="shared" si="1"/>
        <v>0</v>
      </c>
      <c r="I50" s="1101"/>
      <c r="J50" s="1091"/>
      <c r="K50" s="1100"/>
    </row>
    <row r="51" spans="6:11" ht="11.25" customHeight="1">
      <c r="F51" s="1096" t="s">
        <v>985</v>
      </c>
      <c r="G51" s="1104" t="s">
        <v>1333</v>
      </c>
      <c r="H51" s="1102">
        <f t="shared" si="1"/>
        <v>0</v>
      </c>
      <c r="I51" s="1101"/>
      <c r="J51" s="1091"/>
      <c r="K51" s="1100"/>
    </row>
    <row r="52" spans="6:11" ht="11.25" customHeight="1">
      <c r="F52" s="1096" t="s">
        <v>1342</v>
      </c>
      <c r="G52" s="1104" t="s">
        <v>1335</v>
      </c>
      <c r="H52" s="1102">
        <f t="shared" si="1"/>
        <v>0</v>
      </c>
      <c r="I52" s="1101"/>
      <c r="J52" s="1091"/>
      <c r="K52" s="1100"/>
    </row>
    <row r="53" spans="6:11" ht="33.75" customHeight="1">
      <c r="F53" s="1096" t="s">
        <v>1343</v>
      </c>
      <c r="G53" s="1104" t="s">
        <v>1337</v>
      </c>
      <c r="H53" s="1102">
        <f t="shared" si="1"/>
        <v>0</v>
      </c>
      <c r="I53" s="1101"/>
      <c r="J53" s="1091"/>
      <c r="K53" s="1100"/>
    </row>
    <row r="54" spans="6:11" ht="11.25" customHeight="1">
      <c r="F54" s="1096" t="s">
        <v>567</v>
      </c>
      <c r="G54" s="1103" t="s">
        <v>1322</v>
      </c>
      <c r="H54" s="1102">
        <f t="shared" si="1"/>
        <v>0</v>
      </c>
      <c r="I54" s="1102">
        <f>SUM(I55:I56)</f>
        <v>0</v>
      </c>
      <c r="J54" s="1091"/>
      <c r="K54" s="1100"/>
    </row>
    <row r="55" spans="6:11" ht="45" customHeight="1">
      <c r="F55" s="1096" t="s">
        <v>989</v>
      </c>
      <c r="G55" s="1104" t="s">
        <v>1323</v>
      </c>
      <c r="H55" s="1102">
        <f t="shared" si="1"/>
        <v>0</v>
      </c>
      <c r="I55" s="1101"/>
      <c r="J55" s="1091"/>
      <c r="K55" s="1100"/>
    </row>
    <row r="56" spans="6:11" ht="11.25" customHeight="1">
      <c r="F56" s="1096" t="s">
        <v>991</v>
      </c>
      <c r="G56" s="1104" t="s">
        <v>1324</v>
      </c>
      <c r="H56" s="1102">
        <f t="shared" si="1"/>
        <v>0</v>
      </c>
      <c r="I56" s="1101"/>
      <c r="J56" s="1091"/>
      <c r="K56" s="1100"/>
    </row>
    <row r="57" spans="6:11" ht="11.25" customHeight="1">
      <c r="F57" s="1096" t="s">
        <v>570</v>
      </c>
      <c r="G57" s="1103" t="s">
        <v>1340</v>
      </c>
      <c r="H57" s="1102">
        <f t="shared" si="1"/>
        <v>0</v>
      </c>
      <c r="I57" s="1101"/>
      <c r="J57" s="1091"/>
      <c r="K57" s="1100"/>
    </row>
    <row r="58" spans="6:11" ht="11.25" customHeight="1">
      <c r="F58" s="1096"/>
      <c r="G58" s="1105" t="s">
        <v>1326</v>
      </c>
      <c r="H58" s="1102">
        <f t="shared" si="1"/>
        <v>0</v>
      </c>
      <c r="I58" s="1102">
        <f>SUM(I38,I48)</f>
        <v>0</v>
      </c>
      <c r="J58" s="1091"/>
      <c r="K58" s="1100"/>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8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28024-EC9C-6207-149F-C3C8C1C01D54}">
  <sheetPr>
    <tabColor theme="9" tint="-0.249977111117893"/>
  </sheetPr>
  <dimension ref="A1:GB24"/>
  <sheetViews>
    <sheetView showGridLines="0" topLeftCell="E4" zoomScale="90" workbookViewId="0"/>
  </sheetViews>
  <sheetFormatPr defaultColWidth="9.140625" defaultRowHeight="12" customHeight="1"/>
  <cols>
    <col min="1" max="1" width="4.7109375" style="1898" hidden="1" customWidth="1"/>
    <col min="2" max="2" width="4.7109375" style="1899" hidden="1" customWidth="1"/>
    <col min="3" max="4" width="4.7109375" style="1898" hidden="1" customWidth="1"/>
    <col min="5" max="5" width="3.5703125" style="1898" customWidth="1"/>
    <col min="6" max="6" width="6.7109375" style="1898" customWidth="1"/>
    <col min="7" max="7" width="18.7109375" style="1898" customWidth="1"/>
    <col min="8" max="8" width="27.28515625" style="1898" customWidth="1"/>
    <col min="9" max="9" width="18.7109375" style="1898" customWidth="1"/>
    <col min="10" max="14" width="0.85546875" style="1898" hidden="1" customWidth="1"/>
    <col min="15" max="28" width="21.7109375" style="1898" customWidth="1"/>
    <col min="29" max="71" width="0.85546875" style="1898" customWidth="1"/>
    <col min="72" max="79" width="21.7109375" style="1898" hidden="1" customWidth="1"/>
    <col min="80" max="81" width="29.140625" style="1898" hidden="1" customWidth="1"/>
    <col min="82" max="89" width="21.7109375" style="1898" hidden="1" customWidth="1"/>
    <col min="90" max="102" width="0.7109375" style="1898" hidden="1" customWidth="1"/>
    <col min="103" max="114" width="21.7109375" style="1898" hidden="1" customWidth="1"/>
    <col min="115" max="178" width="0.7109375" style="1898" hidden="1" customWidth="1"/>
    <col min="179" max="179" width="0.140625" style="1898" customWidth="1"/>
    <col min="180" max="184" width="9.140625" style="1898"/>
  </cols>
  <sheetData>
    <row r="1" spans="2:180" s="1893" customFormat="1" ht="12" hidden="1" customHeight="1">
      <c r="B1" s="798"/>
      <c r="C1" s="799"/>
      <c r="D1" s="799"/>
    </row>
    <row r="2" spans="2:180" s="1893" customFormat="1" ht="12" hidden="1" customHeight="1">
      <c r="B2" s="798"/>
      <c r="C2" s="799"/>
      <c r="D2" s="799"/>
      <c r="E2" s="799"/>
      <c r="F2" s="799"/>
      <c r="G2" s="799"/>
      <c r="H2" s="799"/>
      <c r="I2" s="799"/>
      <c r="J2" s="799"/>
      <c r="K2" s="799"/>
      <c r="L2" s="799"/>
      <c r="M2" s="799"/>
      <c r="N2" s="799"/>
      <c r="O2" s="799"/>
      <c r="P2" s="799"/>
      <c r="Q2" s="799"/>
      <c r="R2" s="799"/>
      <c r="S2" s="799"/>
      <c r="T2" s="799"/>
      <c r="U2" s="799"/>
      <c r="V2" s="799"/>
      <c r="W2" s="799"/>
      <c r="X2" s="799"/>
      <c r="Y2" s="799"/>
      <c r="Z2" s="799"/>
      <c r="AA2" s="799"/>
      <c r="AB2" s="800"/>
      <c r="AC2" s="799"/>
      <c r="AD2" s="799"/>
      <c r="AE2" s="799"/>
      <c r="AF2" s="799"/>
      <c r="AG2" s="799"/>
      <c r="AH2" s="799"/>
      <c r="AI2" s="799"/>
      <c r="AJ2" s="799"/>
      <c r="AK2" s="799"/>
      <c r="AL2" s="799"/>
      <c r="AM2" s="799"/>
      <c r="AN2" s="799"/>
      <c r="AO2" s="799"/>
      <c r="AP2" s="799"/>
      <c r="AQ2" s="799"/>
      <c r="AR2" s="799"/>
      <c r="AS2" s="799"/>
      <c r="AT2" s="799"/>
      <c r="AU2" s="799"/>
      <c r="AV2" s="799"/>
      <c r="AW2" s="799"/>
      <c r="AX2" s="799"/>
      <c r="AY2" s="799"/>
      <c r="AZ2" s="799"/>
      <c r="BA2" s="799"/>
      <c r="BB2" s="799"/>
      <c r="BC2" s="799"/>
      <c r="BD2" s="799"/>
      <c r="BE2" s="799"/>
      <c r="BF2" s="799"/>
      <c r="BG2" s="799"/>
      <c r="BH2" s="799"/>
      <c r="BI2" s="799"/>
      <c r="BJ2" s="799"/>
      <c r="BK2" s="799"/>
      <c r="BL2" s="799"/>
      <c r="BM2" s="799"/>
      <c r="BN2" s="799"/>
      <c r="BO2" s="799"/>
      <c r="BP2" s="799"/>
      <c r="BQ2" s="799"/>
      <c r="BR2" s="799"/>
      <c r="BS2" s="799"/>
      <c r="BT2" s="799"/>
      <c r="BU2" s="799"/>
      <c r="BV2" s="799"/>
      <c r="BW2" s="799"/>
      <c r="BX2" s="799"/>
      <c r="BY2" s="799"/>
      <c r="BZ2" s="799"/>
      <c r="CA2" s="799"/>
      <c r="CB2" s="799"/>
      <c r="CC2" s="799"/>
      <c r="CD2" s="799"/>
      <c r="CE2" s="799"/>
      <c r="CF2" s="799"/>
      <c r="CG2" s="799"/>
      <c r="CH2" s="799"/>
      <c r="CI2" s="799"/>
      <c r="CJ2" s="799"/>
      <c r="CK2" s="799"/>
      <c r="CL2" s="799"/>
      <c r="CM2" s="799"/>
      <c r="CN2" s="799"/>
      <c r="CO2" s="799"/>
      <c r="CP2" s="799"/>
      <c r="CQ2" s="799"/>
      <c r="CR2" s="799"/>
      <c r="CS2" s="799"/>
      <c r="CT2" s="799"/>
      <c r="CU2" s="799"/>
      <c r="CV2" s="799"/>
      <c r="CW2" s="799"/>
      <c r="CX2" s="799"/>
      <c r="CY2" s="799"/>
      <c r="CZ2" s="799"/>
      <c r="DA2" s="799"/>
      <c r="DB2" s="799"/>
      <c r="DC2" s="799"/>
      <c r="DD2" s="799"/>
      <c r="DE2" s="799"/>
      <c r="DF2" s="799"/>
      <c r="DG2" s="799"/>
      <c r="DH2" s="799"/>
      <c r="DI2" s="799"/>
      <c r="DJ2" s="799"/>
      <c r="DK2" s="799"/>
      <c r="DL2" s="799"/>
      <c r="DM2" s="799"/>
      <c r="DN2" s="799"/>
      <c r="DO2" s="799"/>
      <c r="DP2" s="799"/>
      <c r="DQ2" s="799"/>
      <c r="DR2" s="799"/>
      <c r="DS2" s="799"/>
      <c r="DT2" s="799"/>
      <c r="DU2" s="799"/>
      <c r="DV2" s="799"/>
      <c r="DW2" s="799"/>
      <c r="DX2" s="799"/>
      <c r="DY2" s="799"/>
      <c r="DZ2" s="799"/>
      <c r="EA2" s="799"/>
      <c r="EB2" s="799"/>
      <c r="EC2" s="799"/>
      <c r="ED2" s="799"/>
      <c r="EE2" s="799"/>
      <c r="EF2" s="799"/>
      <c r="EG2" s="799"/>
      <c r="EH2" s="799"/>
      <c r="EI2" s="799"/>
      <c r="EJ2" s="799"/>
      <c r="EK2" s="799"/>
      <c r="EL2" s="799"/>
      <c r="EM2" s="799"/>
      <c r="EN2" s="799"/>
      <c r="EO2" s="799"/>
      <c r="EP2" s="799"/>
      <c r="EQ2" s="799"/>
      <c r="ER2" s="799"/>
      <c r="ES2" s="799"/>
      <c r="ET2" s="799"/>
      <c r="EU2" s="799"/>
      <c r="EV2" s="799"/>
      <c r="EW2" s="799"/>
      <c r="EX2" s="799"/>
      <c r="EY2" s="799"/>
      <c r="EZ2" s="799"/>
      <c r="FA2" s="799"/>
      <c r="FB2" s="799"/>
      <c r="FC2" s="799"/>
      <c r="FD2" s="799"/>
      <c r="FE2" s="799"/>
      <c r="FF2" s="799"/>
      <c r="FG2" s="799"/>
      <c r="FH2" s="799"/>
      <c r="FI2" s="799"/>
      <c r="FJ2" s="799"/>
      <c r="FK2" s="799"/>
      <c r="FL2" s="799"/>
      <c r="FM2" s="799"/>
      <c r="FN2" s="799"/>
      <c r="FO2" s="799"/>
      <c r="FP2" s="799"/>
      <c r="FQ2" s="799"/>
      <c r="FR2" s="799"/>
      <c r="FS2" s="799"/>
      <c r="FT2" s="799"/>
      <c r="FU2" s="799"/>
      <c r="FV2" s="799"/>
      <c r="FW2" s="799"/>
    </row>
    <row r="3" spans="2:180" s="1893" customFormat="1" ht="12" hidden="1" customHeight="1">
      <c r="B3" s="798"/>
      <c r="C3" s="799"/>
      <c r="D3" s="799"/>
      <c r="E3" s="799"/>
      <c r="F3" s="799"/>
      <c r="G3" s="799"/>
      <c r="H3" s="799"/>
      <c r="I3" s="799"/>
      <c r="J3" s="799"/>
      <c r="K3" s="799"/>
      <c r="L3" s="799"/>
      <c r="M3" s="799"/>
      <c r="N3" s="799"/>
      <c r="O3" s="799"/>
      <c r="P3" s="799"/>
      <c r="Q3" s="799"/>
      <c r="R3" s="799"/>
      <c r="S3" s="799"/>
      <c r="T3" s="799"/>
      <c r="U3" s="799"/>
      <c r="V3" s="799"/>
      <c r="W3" s="799"/>
      <c r="X3" s="799"/>
      <c r="Y3" s="799"/>
      <c r="Z3" s="799"/>
      <c r="AA3" s="799"/>
      <c r="AB3" s="800"/>
      <c r="AC3" s="799"/>
      <c r="AD3" s="799"/>
      <c r="AE3" s="799"/>
      <c r="AF3" s="799"/>
      <c r="AG3" s="799"/>
      <c r="AH3" s="799"/>
      <c r="AI3" s="799"/>
      <c r="AJ3" s="799"/>
      <c r="AK3" s="799"/>
      <c r="AL3" s="799"/>
      <c r="AM3" s="799"/>
      <c r="AN3" s="799"/>
      <c r="AO3" s="799"/>
      <c r="AP3" s="799"/>
      <c r="AQ3" s="799"/>
      <c r="AR3" s="799"/>
      <c r="AS3" s="799"/>
      <c r="AT3" s="799"/>
      <c r="AU3" s="799"/>
      <c r="AV3" s="799"/>
      <c r="AW3" s="799"/>
      <c r="AX3" s="799"/>
      <c r="AY3" s="799"/>
      <c r="AZ3" s="799"/>
      <c r="BA3" s="799"/>
      <c r="BB3" s="799"/>
      <c r="BC3" s="799"/>
      <c r="BD3" s="799"/>
      <c r="BE3" s="799"/>
      <c r="BF3" s="799"/>
      <c r="BG3" s="799"/>
      <c r="BH3" s="799"/>
      <c r="BI3" s="799"/>
      <c r="BJ3" s="799"/>
      <c r="BK3" s="799"/>
      <c r="BL3" s="799"/>
      <c r="BM3" s="799"/>
      <c r="BN3" s="799"/>
      <c r="BO3" s="799"/>
      <c r="BP3" s="799"/>
      <c r="BQ3" s="799"/>
      <c r="BR3" s="799"/>
      <c r="BS3" s="799"/>
      <c r="BT3" s="799"/>
      <c r="BU3" s="799"/>
      <c r="BV3" s="799"/>
      <c r="BW3" s="799"/>
      <c r="BX3" s="799"/>
      <c r="BY3" s="799"/>
      <c r="BZ3" s="799"/>
      <c r="CA3" s="799"/>
      <c r="CB3" s="799"/>
      <c r="CC3" s="799"/>
      <c r="CD3" s="799"/>
      <c r="CE3" s="799"/>
      <c r="CF3" s="799"/>
      <c r="CG3" s="799"/>
      <c r="CH3" s="799"/>
      <c r="CI3" s="799"/>
      <c r="CJ3" s="799"/>
      <c r="CK3" s="799"/>
      <c r="CL3" s="799"/>
      <c r="CM3" s="799"/>
      <c r="CN3" s="799"/>
      <c r="CO3" s="799"/>
      <c r="CP3" s="799"/>
      <c r="CQ3" s="799"/>
      <c r="CR3" s="799"/>
      <c r="CS3" s="799"/>
      <c r="CT3" s="799"/>
      <c r="CU3" s="799"/>
      <c r="CV3" s="799"/>
      <c r="CW3" s="799"/>
      <c r="CX3" s="799"/>
      <c r="CY3" s="799"/>
      <c r="CZ3" s="799"/>
      <c r="DA3" s="799"/>
      <c r="DB3" s="799"/>
      <c r="DC3" s="799"/>
      <c r="DD3" s="799"/>
      <c r="DE3" s="799"/>
      <c r="DF3" s="799"/>
      <c r="DG3" s="799"/>
      <c r="DH3" s="799"/>
      <c r="DI3" s="799"/>
      <c r="DJ3" s="799"/>
      <c r="DK3" s="799"/>
      <c r="DL3" s="799"/>
      <c r="DM3" s="799"/>
      <c r="DN3" s="799"/>
      <c r="DO3" s="799"/>
      <c r="DP3" s="799"/>
      <c r="DQ3" s="799"/>
      <c r="DR3" s="799"/>
      <c r="DS3" s="799"/>
      <c r="DT3" s="799"/>
      <c r="DU3" s="799"/>
      <c r="DV3" s="799"/>
      <c r="DW3" s="799"/>
      <c r="DX3" s="799"/>
      <c r="DY3" s="799"/>
      <c r="DZ3" s="799"/>
      <c r="EA3" s="799"/>
      <c r="EB3" s="799"/>
      <c r="EC3" s="799"/>
      <c r="ED3" s="799"/>
      <c r="EE3" s="799"/>
      <c r="EF3" s="799"/>
      <c r="EG3" s="799"/>
      <c r="EH3" s="799"/>
      <c r="EI3" s="799"/>
      <c r="EJ3" s="799"/>
      <c r="EK3" s="799"/>
      <c r="EL3" s="799"/>
      <c r="EM3" s="799"/>
      <c r="EN3" s="799"/>
      <c r="EO3" s="799"/>
      <c r="EP3" s="799"/>
      <c r="EQ3" s="799"/>
      <c r="ER3" s="799"/>
      <c r="ES3" s="799"/>
      <c r="ET3" s="799"/>
      <c r="EU3" s="799"/>
      <c r="EV3" s="799"/>
      <c r="EW3" s="799"/>
      <c r="EX3" s="799"/>
      <c r="EY3" s="799"/>
      <c r="EZ3" s="799"/>
      <c r="FA3" s="799"/>
      <c r="FB3" s="799"/>
      <c r="FC3" s="799"/>
      <c r="FD3" s="799"/>
      <c r="FE3" s="799"/>
      <c r="FF3" s="799"/>
      <c r="FG3" s="799"/>
      <c r="FH3" s="799"/>
      <c r="FI3" s="799"/>
      <c r="FJ3" s="799"/>
      <c r="FK3" s="799"/>
      <c r="FL3" s="799"/>
      <c r="FM3" s="799"/>
      <c r="FN3" s="799"/>
      <c r="FO3" s="799"/>
      <c r="FP3" s="799"/>
      <c r="FQ3" s="799"/>
      <c r="FR3" s="799"/>
      <c r="FS3" s="799"/>
      <c r="FT3" s="799"/>
      <c r="FU3" s="799"/>
      <c r="FV3" s="799"/>
      <c r="FW3" s="799"/>
    </row>
    <row r="4" spans="2:180" ht="10.5" customHeight="1">
      <c r="B4" s="801"/>
      <c r="C4" s="802"/>
      <c r="D4" s="802"/>
      <c r="E4" s="802"/>
      <c r="F4" s="802"/>
      <c r="G4" s="802"/>
      <c r="H4" s="803"/>
      <c r="I4" s="803"/>
      <c r="J4" s="803"/>
      <c r="K4" s="803"/>
      <c r="L4" s="803"/>
      <c r="M4" s="804"/>
      <c r="N4" s="804"/>
      <c r="O4" s="804"/>
      <c r="P4" s="804"/>
      <c r="Q4" s="804"/>
      <c r="R4" s="804"/>
      <c r="S4" s="804"/>
      <c r="T4" s="804"/>
      <c r="U4" s="804"/>
      <c r="V4" s="804"/>
      <c r="W4" s="804"/>
      <c r="X4" s="804"/>
      <c r="Y4" s="804"/>
      <c r="Z4" s="804"/>
      <c r="AA4" s="804"/>
      <c r="AB4" s="804"/>
      <c r="AC4" s="804"/>
      <c r="AD4" s="804"/>
      <c r="AE4" s="804"/>
      <c r="AF4" s="804"/>
      <c r="AG4" s="804"/>
      <c r="AH4" s="804"/>
      <c r="AI4" s="804"/>
      <c r="AJ4" s="804"/>
      <c r="AK4" s="804"/>
      <c r="AL4" s="804"/>
      <c r="AM4" s="804"/>
      <c r="AN4" s="804"/>
      <c r="AO4" s="804"/>
      <c r="AP4" s="804"/>
      <c r="AQ4" s="804"/>
      <c r="AR4" s="804"/>
      <c r="AS4" s="804"/>
      <c r="AT4" s="804"/>
      <c r="AU4" s="804"/>
      <c r="AV4" s="804"/>
      <c r="AW4" s="804"/>
      <c r="AX4" s="804"/>
      <c r="AY4" s="804"/>
      <c r="AZ4" s="804"/>
      <c r="BA4" s="804"/>
      <c r="BB4" s="804"/>
      <c r="BC4" s="804"/>
      <c r="BD4" s="804"/>
      <c r="BE4" s="804"/>
      <c r="BF4" s="804"/>
      <c r="BG4" s="804"/>
      <c r="BH4" s="804"/>
      <c r="BI4" s="804"/>
      <c r="BJ4" s="804"/>
      <c r="BK4" s="804"/>
      <c r="BL4" s="804"/>
      <c r="BM4" s="804"/>
      <c r="BN4" s="804"/>
      <c r="BO4" s="804"/>
      <c r="BP4" s="804"/>
      <c r="BQ4" s="804"/>
      <c r="BR4" s="804"/>
      <c r="BS4" s="804"/>
      <c r="BT4" s="804"/>
      <c r="BU4" s="804"/>
      <c r="BV4" s="804"/>
      <c r="BW4" s="804"/>
      <c r="BX4" s="804"/>
      <c r="BY4" s="804"/>
      <c r="BZ4" s="804"/>
      <c r="CA4" s="804"/>
      <c r="CB4" s="804"/>
      <c r="CC4" s="804"/>
      <c r="CD4" s="804"/>
      <c r="CE4" s="804"/>
      <c r="CF4" s="804"/>
      <c r="CG4" s="804"/>
      <c r="CH4" s="804"/>
      <c r="CI4" s="804"/>
      <c r="CJ4" s="804"/>
      <c r="CK4" s="804"/>
      <c r="CL4" s="804"/>
      <c r="CM4" s="804"/>
      <c r="CN4" s="804"/>
      <c r="CO4" s="804"/>
      <c r="CP4" s="804"/>
      <c r="CQ4" s="804"/>
      <c r="CR4" s="804"/>
      <c r="CS4" s="804"/>
      <c r="CT4" s="804"/>
      <c r="CU4" s="804"/>
      <c r="CV4" s="804"/>
      <c r="CW4" s="804"/>
      <c r="CX4" s="804"/>
      <c r="CY4" s="804"/>
      <c r="CZ4" s="804"/>
      <c r="DA4" s="804"/>
      <c r="DB4" s="804"/>
      <c r="DC4" s="804"/>
      <c r="DD4" s="804"/>
      <c r="DE4" s="804"/>
      <c r="DF4" s="804"/>
      <c r="DG4" s="804"/>
      <c r="DH4" s="804"/>
      <c r="DI4" s="804"/>
      <c r="DJ4" s="804"/>
      <c r="DK4" s="804"/>
      <c r="DL4" s="804"/>
      <c r="DM4" s="804"/>
      <c r="DN4" s="804"/>
      <c r="DO4" s="804"/>
      <c r="DP4" s="804"/>
      <c r="DQ4" s="804"/>
      <c r="DR4" s="804"/>
      <c r="DS4" s="804"/>
      <c r="DT4" s="804"/>
      <c r="DU4" s="804"/>
      <c r="DV4" s="804"/>
      <c r="DW4" s="804"/>
      <c r="DX4" s="804"/>
      <c r="DY4" s="804"/>
      <c r="DZ4" s="804"/>
      <c r="EA4" s="804"/>
      <c r="EB4" s="804"/>
      <c r="EC4" s="804"/>
      <c r="ED4" s="804"/>
      <c r="EE4" s="804"/>
      <c r="EF4" s="804"/>
      <c r="EG4" s="804"/>
      <c r="EH4" s="804"/>
      <c r="EI4" s="804"/>
      <c r="EJ4" s="804"/>
      <c r="EK4" s="804"/>
      <c r="EL4" s="804"/>
      <c r="EM4" s="804"/>
      <c r="EN4" s="804"/>
      <c r="EO4" s="804"/>
      <c r="EP4" s="804"/>
      <c r="EQ4" s="804"/>
      <c r="ER4" s="804"/>
      <c r="ES4" s="804"/>
      <c r="ET4" s="804"/>
      <c r="EU4" s="804"/>
      <c r="EV4" s="804"/>
      <c r="EW4" s="804"/>
      <c r="EX4" s="804"/>
      <c r="EY4" s="804"/>
      <c r="EZ4" s="804"/>
      <c r="FA4" s="804"/>
      <c r="FB4" s="804"/>
      <c r="FC4" s="804"/>
      <c r="FD4" s="804"/>
      <c r="FE4" s="804"/>
      <c r="FF4" s="804"/>
      <c r="FG4" s="804"/>
      <c r="FH4" s="804"/>
      <c r="FI4" s="804"/>
      <c r="FJ4" s="804"/>
      <c r="FK4" s="804"/>
      <c r="FL4" s="804"/>
      <c r="FM4" s="804"/>
      <c r="FN4" s="804"/>
      <c r="FO4" s="804"/>
      <c r="FP4" s="804"/>
      <c r="FQ4" s="804"/>
      <c r="FR4" s="804"/>
      <c r="FS4" s="804"/>
      <c r="FT4" s="804"/>
      <c r="FU4" s="804"/>
      <c r="FV4" s="804"/>
      <c r="FW4" s="804"/>
    </row>
    <row r="5" spans="2:180" s="1894" customFormat="1" ht="25.5" customHeight="1">
      <c r="B5" s="1712"/>
      <c r="E5" s="1713"/>
      <c r="F5" s="3676"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2023 год</v>
      </c>
      <c r="G5" s="3445"/>
      <c r="H5" s="3445"/>
      <c r="I5" s="3445"/>
      <c r="J5" s="3445"/>
      <c r="K5" s="3445"/>
      <c r="L5" s="3445"/>
      <c r="M5" s="3445"/>
      <c r="N5" s="3445"/>
      <c r="O5" s="3445"/>
      <c r="P5" s="3445"/>
      <c r="Q5" s="3445"/>
      <c r="R5" s="3445"/>
      <c r="S5" s="3445"/>
      <c r="T5" s="3445"/>
      <c r="U5" s="3445"/>
      <c r="V5" s="3445"/>
      <c r="W5" s="3445"/>
      <c r="X5" s="3445"/>
      <c r="Y5" s="3445"/>
      <c r="Z5" s="3445"/>
      <c r="AA5" s="3445"/>
      <c r="AB5" s="3445"/>
      <c r="AC5" s="3445"/>
      <c r="AD5" s="3445"/>
      <c r="AE5" s="3445"/>
      <c r="AF5" s="3445"/>
      <c r="AG5" s="3445"/>
      <c r="AH5" s="3445"/>
      <c r="AI5" s="3445"/>
      <c r="AJ5" s="3445"/>
      <c r="AK5" s="3445"/>
      <c r="AL5" s="3445"/>
      <c r="AM5" s="3445"/>
      <c r="AN5" s="3445"/>
      <c r="AO5" s="3445"/>
      <c r="AP5" s="3445"/>
      <c r="AQ5" s="3445"/>
      <c r="AR5" s="3445"/>
      <c r="AS5" s="3445"/>
      <c r="AT5" s="3445"/>
      <c r="AU5" s="3445"/>
      <c r="AV5" s="3445"/>
      <c r="AW5" s="3445"/>
      <c r="AX5" s="3445"/>
      <c r="AY5" s="3445"/>
      <c r="AZ5" s="3445"/>
      <c r="BA5" s="3445"/>
      <c r="BB5" s="3445"/>
      <c r="BC5" s="3445"/>
      <c r="BD5" s="3445"/>
      <c r="BE5" s="3445"/>
      <c r="BF5" s="3445"/>
      <c r="BG5" s="3445"/>
      <c r="BH5" s="3445"/>
      <c r="BI5" s="3445"/>
      <c r="BJ5" s="3445"/>
      <c r="BK5" s="3445"/>
      <c r="BL5" s="3445"/>
      <c r="BM5" s="3445"/>
      <c r="BN5" s="3445"/>
      <c r="BO5" s="3445"/>
      <c r="BP5" s="3445"/>
      <c r="BQ5" s="3445"/>
      <c r="BR5" s="3445"/>
      <c r="BS5" s="3445"/>
    </row>
    <row r="6" spans="2:180" s="1943" customFormat="1" ht="18" customHeight="1">
      <c r="B6" s="816"/>
      <c r="E6" s="817"/>
      <c r="F6" s="3503" t="str">
        <f>IF(org=0,"Не определено",org)</f>
        <v>АО "Орелгортеплоэнерго"</v>
      </c>
      <c r="G6" s="3504"/>
      <c r="H6" s="3504"/>
      <c r="I6" s="3504"/>
      <c r="J6" s="3504"/>
      <c r="K6" s="3504"/>
      <c r="L6" s="3504"/>
      <c r="M6" s="3504"/>
      <c r="N6" s="3504"/>
      <c r="O6" s="3504"/>
      <c r="P6" s="3504"/>
      <c r="Q6" s="3504"/>
      <c r="R6" s="3504"/>
      <c r="S6" s="3504"/>
      <c r="T6" s="3504"/>
      <c r="U6" s="3504"/>
      <c r="V6" s="3504"/>
      <c r="W6" s="3504"/>
      <c r="X6" s="3504"/>
      <c r="Y6" s="3504"/>
      <c r="Z6" s="3504"/>
      <c r="AA6" s="3504"/>
      <c r="AB6" s="3504"/>
      <c r="AC6" s="3504"/>
      <c r="AD6" s="3504"/>
      <c r="AE6" s="3504"/>
      <c r="AF6" s="3504"/>
      <c r="AG6" s="3504"/>
      <c r="AH6" s="3504"/>
      <c r="AI6" s="3504"/>
      <c r="AJ6" s="3504"/>
      <c r="AK6" s="3504"/>
      <c r="AL6" s="3504"/>
      <c r="AM6" s="3504"/>
      <c r="AN6" s="3504"/>
      <c r="AO6" s="3504"/>
      <c r="AP6" s="3504"/>
      <c r="AQ6" s="3504"/>
      <c r="AR6" s="3504"/>
      <c r="AS6" s="3504"/>
      <c r="AT6" s="3504"/>
      <c r="AU6" s="3504"/>
      <c r="AV6" s="3504"/>
      <c r="AW6" s="3504"/>
      <c r="AX6" s="3504"/>
      <c r="AY6" s="3504"/>
      <c r="AZ6" s="3504"/>
      <c r="BA6" s="3504"/>
      <c r="BB6" s="3504"/>
      <c r="BC6" s="3504"/>
      <c r="BD6" s="3504"/>
      <c r="BE6" s="3504"/>
      <c r="BF6" s="3504"/>
      <c r="BG6" s="3504"/>
      <c r="BH6" s="3504"/>
      <c r="BI6" s="3504"/>
      <c r="BJ6" s="3504"/>
      <c r="BK6" s="3504"/>
      <c r="BL6" s="3504"/>
      <c r="BM6" s="3504"/>
      <c r="BN6" s="3504"/>
      <c r="BO6" s="3504"/>
      <c r="BP6" s="3504"/>
      <c r="BQ6" s="3504"/>
      <c r="BR6" s="3504"/>
      <c r="BS6" s="3504"/>
    </row>
    <row r="7" spans="2:180" s="1896" customFormat="1" ht="10.5" customHeight="1">
      <c r="B7" s="805"/>
      <c r="E7" s="806"/>
      <c r="F7" s="806"/>
      <c r="G7" s="808"/>
      <c r="H7" s="803"/>
      <c r="I7" s="803"/>
      <c r="J7" s="803"/>
      <c r="K7" s="803"/>
      <c r="L7" s="803"/>
      <c r="M7" s="806"/>
      <c r="N7" s="806"/>
      <c r="O7" s="806"/>
      <c r="P7" s="806"/>
      <c r="Q7" s="806"/>
      <c r="R7" s="806"/>
      <c r="S7" s="806"/>
      <c r="T7" s="806"/>
      <c r="U7" s="806"/>
      <c r="V7" s="806"/>
      <c r="W7" s="806"/>
      <c r="X7" s="806"/>
      <c r="Y7" s="806"/>
      <c r="Z7" s="806"/>
      <c r="AA7" s="806"/>
      <c r="AB7" s="806"/>
      <c r="AC7" s="806"/>
      <c r="AD7" s="806"/>
      <c r="AE7" s="806"/>
      <c r="AF7" s="806"/>
      <c r="AG7" s="806"/>
      <c r="AH7" s="806"/>
      <c r="AI7" s="806"/>
      <c r="AJ7" s="806"/>
      <c r="AK7" s="806"/>
      <c r="AL7" s="806"/>
      <c r="AM7" s="806"/>
      <c r="AN7" s="806"/>
      <c r="AO7" s="806"/>
      <c r="AP7" s="806"/>
      <c r="AQ7" s="806"/>
      <c r="AR7" s="806"/>
      <c r="AS7" s="806"/>
      <c r="AT7" s="806"/>
      <c r="AU7" s="806"/>
      <c r="AV7" s="806"/>
      <c r="AW7" s="806"/>
      <c r="AX7" s="806"/>
      <c r="AY7" s="806"/>
      <c r="AZ7" s="806"/>
      <c r="BA7" s="806"/>
      <c r="BB7" s="806"/>
      <c r="BC7" s="806"/>
      <c r="BD7" s="806"/>
      <c r="BE7" s="806"/>
      <c r="BF7" s="806"/>
      <c r="BG7" s="806"/>
      <c r="BH7" s="806"/>
      <c r="BI7" s="806"/>
      <c r="BJ7" s="806"/>
      <c r="BK7" s="806"/>
      <c r="BL7" s="806"/>
      <c r="BM7" s="806"/>
      <c r="BN7" s="806"/>
      <c r="BO7" s="806"/>
      <c r="BP7" s="806"/>
      <c r="BQ7" s="806"/>
      <c r="BR7" s="806"/>
      <c r="BS7" s="806"/>
      <c r="BT7" s="806"/>
      <c r="BU7" s="806"/>
      <c r="BV7" s="806"/>
      <c r="BW7" s="806"/>
      <c r="BX7" s="806"/>
      <c r="BY7" s="806"/>
      <c r="BZ7" s="806"/>
      <c r="CA7" s="806"/>
      <c r="CB7" s="806"/>
      <c r="CC7" s="806"/>
      <c r="CD7" s="806"/>
      <c r="CE7" s="806"/>
      <c r="CF7" s="806"/>
      <c r="CG7" s="806"/>
      <c r="CH7" s="806"/>
      <c r="CI7" s="806"/>
      <c r="CJ7" s="806"/>
      <c r="CK7" s="806"/>
      <c r="CL7" s="806"/>
      <c r="CM7" s="806"/>
      <c r="CN7" s="806"/>
      <c r="CO7" s="806"/>
      <c r="CP7" s="806"/>
      <c r="CQ7" s="806"/>
      <c r="CR7" s="806"/>
      <c r="CS7" s="806"/>
      <c r="CT7" s="806"/>
      <c r="CU7" s="806"/>
      <c r="CV7" s="806"/>
      <c r="CW7" s="806"/>
      <c r="CX7" s="806"/>
      <c r="CY7" s="806"/>
      <c r="CZ7" s="806"/>
      <c r="DA7" s="806"/>
      <c r="DB7" s="806"/>
      <c r="DC7" s="806"/>
      <c r="DD7" s="806"/>
      <c r="DE7" s="806"/>
      <c r="DF7" s="806"/>
      <c r="DG7" s="806"/>
      <c r="DH7" s="806"/>
      <c r="DI7" s="806"/>
      <c r="DJ7" s="806"/>
      <c r="DK7" s="806"/>
      <c r="DL7" s="806"/>
      <c r="DM7" s="806"/>
      <c r="DN7" s="806"/>
      <c r="DO7" s="806"/>
      <c r="DP7" s="806"/>
      <c r="DQ7" s="806"/>
      <c r="DR7" s="806"/>
      <c r="DS7" s="806"/>
      <c r="DT7" s="806"/>
      <c r="DU7" s="806"/>
      <c r="DV7" s="806"/>
      <c r="DW7" s="806"/>
      <c r="DX7" s="806"/>
      <c r="DY7" s="806"/>
      <c r="DZ7" s="806"/>
      <c r="EA7" s="806"/>
      <c r="EB7" s="806"/>
      <c r="EC7" s="806"/>
      <c r="ED7" s="806"/>
      <c r="EE7" s="806"/>
      <c r="EF7" s="806"/>
      <c r="EG7" s="806"/>
      <c r="EH7" s="806"/>
      <c r="EI7" s="806"/>
      <c r="EJ7" s="806"/>
      <c r="EK7" s="806"/>
      <c r="EL7" s="806"/>
      <c r="EM7" s="806"/>
      <c r="EN7" s="806"/>
      <c r="EO7" s="806"/>
      <c r="EP7" s="806"/>
      <c r="EQ7" s="806"/>
      <c r="ER7" s="806"/>
      <c r="ES7" s="806"/>
      <c r="ET7" s="806"/>
      <c r="EU7" s="806"/>
      <c r="EV7" s="806"/>
      <c r="EW7" s="806"/>
      <c r="EX7" s="806"/>
      <c r="EY7" s="806"/>
      <c r="EZ7" s="806"/>
      <c r="FA7" s="806"/>
      <c r="FB7" s="806"/>
      <c r="FC7" s="806"/>
      <c r="FD7" s="806"/>
      <c r="FE7" s="806"/>
      <c r="FF7" s="806"/>
      <c r="FG7" s="806"/>
      <c r="FH7" s="806"/>
      <c r="FI7" s="806"/>
      <c r="FJ7" s="806"/>
      <c r="FK7" s="806"/>
      <c r="FL7" s="806"/>
      <c r="FM7" s="806"/>
      <c r="FN7" s="806"/>
      <c r="FO7" s="806"/>
      <c r="FP7" s="806"/>
      <c r="FQ7" s="806"/>
      <c r="FR7" s="806"/>
      <c r="FS7" s="806"/>
      <c r="FT7" s="806"/>
      <c r="FU7" s="806"/>
      <c r="FV7" s="806"/>
      <c r="FW7" s="806"/>
    </row>
    <row r="8" spans="2:180" s="1896" customFormat="1" ht="11.25" hidden="1" customHeight="1">
      <c r="B8" s="807"/>
      <c r="F8" s="926"/>
      <c r="G8" s="649"/>
      <c r="H8" s="269"/>
      <c r="I8" s="269"/>
      <c r="J8" s="269"/>
      <c r="K8" s="269"/>
      <c r="L8" s="269"/>
      <c r="M8" s="926"/>
      <c r="N8" s="926"/>
      <c r="O8" s="3664" t="s">
        <v>1344</v>
      </c>
      <c r="P8" s="3665"/>
      <c r="Q8" s="3665"/>
      <c r="R8" s="3665"/>
      <c r="S8" s="3665"/>
      <c r="T8" s="3665"/>
      <c r="U8" s="3665"/>
      <c r="V8" s="3665"/>
      <c r="W8" s="3665"/>
      <c r="X8" s="3665"/>
      <c r="Y8" s="3665"/>
      <c r="Z8" s="3665"/>
      <c r="AA8" s="3665"/>
      <c r="AB8" s="3665"/>
      <c r="AC8" s="3665"/>
      <c r="AD8" s="3665"/>
      <c r="AE8" s="3665"/>
      <c r="AF8" s="3665"/>
      <c r="AG8" s="3665"/>
      <c r="AH8" s="3665"/>
      <c r="AI8" s="3665"/>
      <c r="AJ8" s="3665"/>
      <c r="AK8" s="3665"/>
      <c r="AL8" s="3665"/>
      <c r="AM8" s="3665"/>
      <c r="AN8" s="3665"/>
      <c r="AO8" s="3665"/>
      <c r="AP8" s="3665"/>
      <c r="AQ8" s="3665"/>
      <c r="AR8" s="3665"/>
      <c r="AS8" s="3665"/>
      <c r="AT8" s="3665"/>
      <c r="AU8" s="3665"/>
      <c r="AV8" s="3665"/>
      <c r="AW8" s="3665"/>
      <c r="AX8" s="3665"/>
      <c r="AY8" s="3665"/>
      <c r="AZ8" s="3665"/>
      <c r="BA8" s="3665"/>
      <c r="BB8" s="3665"/>
      <c r="BC8" s="3665"/>
      <c r="BD8" s="3665"/>
      <c r="BE8" s="3665"/>
      <c r="BF8" s="3665"/>
      <c r="BG8" s="3665"/>
      <c r="BH8" s="3665"/>
      <c r="BI8" s="3665"/>
      <c r="BJ8" s="3665"/>
      <c r="BK8" s="3665"/>
      <c r="BL8" s="3665"/>
      <c r="BM8" s="3665"/>
      <c r="BN8" s="3665"/>
      <c r="BO8" s="3665"/>
      <c r="BP8" s="3665"/>
      <c r="BQ8" s="3665"/>
      <c r="BR8" s="3665"/>
      <c r="BS8" s="3666"/>
      <c r="BT8" s="3667"/>
      <c r="BU8" s="3668"/>
      <c r="BV8" s="3668"/>
      <c r="BW8" s="3668"/>
      <c r="BX8" s="3668"/>
      <c r="BY8" s="3668"/>
      <c r="BZ8" s="3668"/>
      <c r="CA8" s="3668"/>
      <c r="CB8" s="3668"/>
      <c r="CC8" s="3668"/>
      <c r="CD8" s="3668"/>
      <c r="CE8" s="3668"/>
      <c r="CF8" s="3668"/>
      <c r="CG8" s="3668"/>
      <c r="CH8" s="3668"/>
      <c r="CI8" s="3668"/>
      <c r="CJ8" s="3668"/>
      <c r="CK8" s="3668"/>
      <c r="CL8" s="3668"/>
      <c r="CM8" s="3668"/>
      <c r="CN8" s="3668"/>
      <c r="CO8" s="3668"/>
      <c r="CP8" s="3668"/>
      <c r="CQ8" s="3668"/>
      <c r="CR8" s="3668"/>
      <c r="CS8" s="3668"/>
      <c r="CT8" s="3668"/>
      <c r="CU8" s="3668"/>
      <c r="CV8" s="3668"/>
      <c r="CW8" s="3668"/>
      <c r="CX8" s="3669"/>
      <c r="CY8" s="3670"/>
      <c r="CZ8" s="3671"/>
      <c r="DA8" s="3671"/>
      <c r="DB8" s="3671"/>
      <c r="DC8" s="3671"/>
      <c r="DD8" s="3671"/>
      <c r="DE8" s="3671"/>
      <c r="DF8" s="3671"/>
      <c r="DG8" s="3671"/>
      <c r="DH8" s="3671"/>
      <c r="DI8" s="3671"/>
      <c r="DJ8" s="3671"/>
      <c r="DK8" s="3671"/>
      <c r="DL8" s="3671"/>
      <c r="DM8" s="3671"/>
      <c r="DN8" s="3671"/>
      <c r="DO8" s="3671"/>
      <c r="DP8" s="3671"/>
      <c r="DQ8" s="3671"/>
      <c r="DR8" s="3671"/>
      <c r="DS8" s="3671"/>
      <c r="DT8" s="3671"/>
      <c r="DU8" s="3671"/>
      <c r="DV8" s="3671"/>
      <c r="DW8" s="3671"/>
      <c r="DX8" s="3672"/>
      <c r="DY8" s="3658" t="s">
        <v>1345</v>
      </c>
      <c r="DZ8" s="3659"/>
      <c r="EA8" s="3659"/>
      <c r="EB8" s="3659"/>
      <c r="EC8" s="3659"/>
      <c r="ED8" s="3659"/>
      <c r="EE8" s="3659"/>
      <c r="EF8" s="3659"/>
      <c r="EG8" s="3659"/>
      <c r="EH8" s="3659"/>
      <c r="EI8" s="3659"/>
      <c r="EJ8" s="3659"/>
      <c r="EK8" s="3659"/>
      <c r="EL8" s="3659"/>
      <c r="EM8" s="3659"/>
      <c r="EN8" s="3659"/>
      <c r="EO8" s="3659"/>
      <c r="EP8" s="3659"/>
      <c r="EQ8" s="3659"/>
      <c r="ER8" s="3659"/>
      <c r="ES8" s="3659"/>
      <c r="ET8" s="3659"/>
      <c r="EU8" s="3659"/>
      <c r="EV8" s="3659"/>
      <c r="EW8" s="3659"/>
      <c r="EX8" s="3659"/>
      <c r="EY8" s="3659"/>
      <c r="EZ8" s="3659"/>
      <c r="FA8" s="3659"/>
      <c r="FB8" s="3659"/>
      <c r="FC8" s="3659"/>
      <c r="FD8" s="3659"/>
      <c r="FE8" s="3659"/>
      <c r="FF8" s="3659"/>
      <c r="FG8" s="3659"/>
      <c r="FH8" s="3659"/>
      <c r="FI8" s="3659"/>
      <c r="FJ8" s="3659"/>
      <c r="FK8" s="3659"/>
      <c r="FL8" s="3659"/>
      <c r="FM8" s="3659"/>
      <c r="FN8" s="3659"/>
      <c r="FO8" s="3659"/>
      <c r="FP8" s="3659"/>
      <c r="FQ8" s="3659"/>
      <c r="FR8" s="3659"/>
      <c r="FS8" s="3659"/>
      <c r="FT8" s="3659"/>
      <c r="FU8" s="3659"/>
      <c r="FV8" s="3659"/>
      <c r="FW8" s="3660"/>
      <c r="FX8" s="926"/>
    </row>
    <row r="9" spans="2:180" s="1896" customFormat="1" ht="11.25" hidden="1" customHeight="1">
      <c r="B9" s="807"/>
      <c r="F9" s="926"/>
      <c r="G9" s="649"/>
      <c r="H9" s="269"/>
      <c r="I9" s="269"/>
      <c r="J9" s="269"/>
      <c r="K9" s="269"/>
      <c r="L9" s="269"/>
      <c r="M9" s="926"/>
      <c r="N9" s="926"/>
      <c r="O9" s="926"/>
      <c r="P9" s="926"/>
      <c r="Q9" s="926"/>
      <c r="R9" s="926"/>
      <c r="S9" s="926"/>
      <c r="T9" s="926"/>
      <c r="U9" s="926"/>
      <c r="V9" s="926"/>
      <c r="W9" s="926"/>
      <c r="X9" s="926"/>
      <c r="Y9" s="926"/>
      <c r="Z9" s="926"/>
      <c r="AA9" s="926"/>
      <c r="AB9" s="926"/>
      <c r="AC9" s="926"/>
      <c r="AD9" s="926"/>
      <c r="AE9" s="926"/>
      <c r="AF9" s="926"/>
      <c r="AG9" s="926"/>
      <c r="AH9" s="926"/>
      <c r="AI9" s="926"/>
      <c r="AJ9" s="926"/>
      <c r="AK9" s="926"/>
      <c r="AL9" s="926"/>
      <c r="AM9" s="926"/>
      <c r="AN9" s="926"/>
      <c r="AO9" s="926"/>
      <c r="AP9" s="926"/>
      <c r="AQ9" s="926"/>
      <c r="AR9" s="926"/>
      <c r="AS9" s="926"/>
      <c r="AT9" s="926"/>
      <c r="AU9" s="926"/>
      <c r="AV9" s="926"/>
      <c r="AW9" s="926"/>
      <c r="AX9" s="926"/>
      <c r="AY9" s="926"/>
      <c r="AZ9" s="926"/>
      <c r="BA9" s="926"/>
      <c r="BB9" s="926"/>
      <c r="BC9" s="926"/>
      <c r="BD9" s="926"/>
      <c r="BE9" s="926"/>
      <c r="BF9" s="926"/>
      <c r="BG9" s="926"/>
      <c r="BH9" s="926"/>
      <c r="BI9" s="926"/>
      <c r="BJ9" s="926"/>
      <c r="BK9" s="926"/>
      <c r="BL9" s="926"/>
      <c r="BM9" s="926"/>
      <c r="BN9" s="926"/>
      <c r="BO9" s="926"/>
      <c r="BP9" s="926"/>
      <c r="BQ9" s="926"/>
      <c r="BR9" s="926"/>
      <c r="BS9" s="926"/>
      <c r="BT9" s="926"/>
      <c r="BU9" s="926"/>
      <c r="BV9" s="926"/>
      <c r="BW9" s="926"/>
      <c r="BX9" s="926"/>
      <c r="BY9" s="926"/>
      <c r="BZ9" s="926"/>
      <c r="CA9" s="926"/>
      <c r="CB9" s="926"/>
      <c r="CC9" s="926"/>
      <c r="CD9" s="926"/>
      <c r="CE9" s="926"/>
      <c r="CF9" s="926"/>
      <c r="CG9" s="926"/>
      <c r="CH9" s="926"/>
      <c r="CI9" s="926"/>
      <c r="CJ9" s="926"/>
      <c r="CK9" s="926"/>
      <c r="CL9" s="926"/>
      <c r="CM9" s="926"/>
      <c r="CN9" s="926"/>
      <c r="CO9" s="926"/>
      <c r="CP9" s="926"/>
      <c r="CQ9" s="926"/>
      <c r="CR9" s="926"/>
      <c r="CS9" s="926"/>
      <c r="CT9" s="926"/>
      <c r="CU9" s="926"/>
      <c r="CV9" s="926"/>
      <c r="CW9" s="926"/>
      <c r="CX9" s="926"/>
      <c r="CY9" s="926"/>
      <c r="CZ9" s="926"/>
      <c r="DA9" s="926"/>
      <c r="DB9" s="926"/>
      <c r="DC9" s="926"/>
      <c r="DD9" s="926"/>
      <c r="DE9" s="926"/>
      <c r="DF9" s="926"/>
      <c r="DG9" s="926"/>
      <c r="DH9" s="926"/>
      <c r="DI9" s="926"/>
      <c r="DJ9" s="926"/>
      <c r="DK9" s="926"/>
      <c r="DL9" s="926"/>
      <c r="DM9" s="926"/>
      <c r="DN9" s="926"/>
      <c r="DO9" s="926"/>
      <c r="DP9" s="926"/>
      <c r="DQ9" s="926"/>
      <c r="DR9" s="926"/>
      <c r="DS9" s="926"/>
      <c r="DT9" s="926"/>
      <c r="DU9" s="926"/>
      <c r="DV9" s="926"/>
      <c r="DW9" s="926"/>
      <c r="DX9" s="926"/>
      <c r="DY9" s="926"/>
      <c r="DZ9" s="926"/>
      <c r="EA9" s="926"/>
      <c r="EB9" s="926"/>
      <c r="EC9" s="926"/>
      <c r="ED9" s="926"/>
      <c r="EE9" s="926"/>
      <c r="EF9" s="926"/>
      <c r="EG9" s="926"/>
      <c r="EH9" s="926"/>
      <c r="EI9" s="926"/>
      <c r="EJ9" s="926"/>
      <c r="EK9" s="926"/>
      <c r="EL9" s="926"/>
      <c r="EM9" s="926"/>
      <c r="EN9" s="926"/>
      <c r="EO9" s="926"/>
      <c r="EP9" s="926"/>
      <c r="EQ9" s="926"/>
      <c r="ER9" s="926"/>
      <c r="ES9" s="926"/>
      <c r="ET9" s="926"/>
      <c r="EU9" s="926"/>
      <c r="EV9" s="926"/>
      <c r="EW9" s="926"/>
      <c r="EX9" s="926"/>
      <c r="EY9" s="926"/>
      <c r="EZ9" s="926"/>
      <c r="FA9" s="926"/>
      <c r="FB9" s="926"/>
      <c r="FC9" s="926"/>
      <c r="FD9" s="926"/>
      <c r="FE9" s="926"/>
      <c r="FF9" s="926"/>
      <c r="FG9" s="926"/>
      <c r="FH9" s="926"/>
      <c r="FI9" s="926"/>
      <c r="FJ9" s="926"/>
      <c r="FK9" s="926"/>
      <c r="FL9" s="926"/>
      <c r="FM9" s="926"/>
      <c r="FN9" s="926"/>
      <c r="FO9" s="926"/>
      <c r="FP9" s="926"/>
      <c r="FQ9" s="926"/>
      <c r="FR9" s="926"/>
      <c r="FS9" s="926"/>
      <c r="FT9" s="926"/>
      <c r="FU9" s="926"/>
      <c r="FV9" s="926"/>
      <c r="FW9" s="3661"/>
      <c r="FX9" s="926"/>
    </row>
    <row r="10" spans="2:180" s="1896" customFormat="1" ht="11.25" customHeight="1">
      <c r="B10" s="807"/>
      <c r="F10" s="3634" t="s">
        <v>560</v>
      </c>
      <c r="G10" s="3674"/>
      <c r="H10" s="3674"/>
      <c r="I10" s="3674"/>
      <c r="J10" s="3674"/>
      <c r="K10" s="3674"/>
      <c r="L10" s="3674"/>
      <c r="M10" s="3674"/>
      <c r="N10" s="3674"/>
      <c r="O10" s="3674"/>
      <c r="P10" s="3674"/>
      <c r="Q10" s="3674"/>
      <c r="R10" s="3674"/>
      <c r="S10" s="3674"/>
      <c r="T10" s="3674"/>
      <c r="U10" s="3674"/>
      <c r="V10" s="3674"/>
      <c r="W10" s="3674"/>
      <c r="X10" s="3674"/>
      <c r="Y10" s="3674"/>
      <c r="Z10" s="3674"/>
      <c r="AA10" s="3674"/>
      <c r="AB10" s="3674"/>
      <c r="AC10" s="3674"/>
      <c r="AD10" s="3674"/>
      <c r="AE10" s="3674"/>
      <c r="AF10" s="3674"/>
      <c r="AG10" s="3674"/>
      <c r="AH10" s="3674"/>
      <c r="AI10" s="3674"/>
      <c r="AJ10" s="3674"/>
      <c r="AK10" s="3674"/>
      <c r="AL10" s="3674"/>
      <c r="AM10" s="3674"/>
      <c r="AN10" s="3674"/>
      <c r="AO10" s="3674"/>
      <c r="AP10" s="3674"/>
      <c r="AQ10" s="3674"/>
      <c r="AR10" s="3674"/>
      <c r="AS10" s="3674"/>
      <c r="AT10" s="3674"/>
      <c r="AU10" s="3674"/>
      <c r="AV10" s="3674"/>
      <c r="AW10" s="3674"/>
      <c r="AX10" s="3674"/>
      <c r="AY10" s="3674"/>
      <c r="AZ10" s="3674"/>
      <c r="BA10" s="3674"/>
      <c r="BB10" s="3674"/>
      <c r="BC10" s="3674"/>
      <c r="BD10" s="3674"/>
      <c r="BE10" s="3674"/>
      <c r="BF10" s="3674"/>
      <c r="BG10" s="3674"/>
      <c r="BH10" s="3674"/>
      <c r="BI10" s="3674"/>
      <c r="BJ10" s="3674"/>
      <c r="BK10" s="3674"/>
      <c r="BL10" s="3674"/>
      <c r="BM10" s="3674"/>
      <c r="BN10" s="3674"/>
      <c r="BO10" s="3674"/>
      <c r="BP10" s="3674"/>
      <c r="BQ10" s="3674"/>
      <c r="BR10" s="3674"/>
      <c r="BS10" s="3674"/>
      <c r="BT10" s="3674"/>
      <c r="BU10" s="3674"/>
      <c r="BV10" s="3674"/>
      <c r="BW10" s="3674"/>
      <c r="BX10" s="3674"/>
      <c r="BY10" s="3674"/>
      <c r="BZ10" s="3674"/>
      <c r="CA10" s="3674"/>
      <c r="CB10" s="3674"/>
      <c r="CC10" s="3674"/>
      <c r="CD10" s="3674"/>
      <c r="CE10" s="3674"/>
      <c r="CF10" s="3674"/>
      <c r="CG10" s="3674"/>
      <c r="CH10" s="3674"/>
      <c r="CI10" s="3674"/>
      <c r="CJ10" s="3674"/>
      <c r="CK10" s="3674"/>
      <c r="CL10" s="3674"/>
      <c r="CM10" s="3674"/>
      <c r="CN10" s="3674"/>
      <c r="CO10" s="3674"/>
      <c r="CP10" s="3674"/>
      <c r="CQ10" s="3674"/>
      <c r="CR10" s="3674"/>
      <c r="CS10" s="3674"/>
      <c r="CT10" s="3674"/>
      <c r="CU10" s="3674"/>
      <c r="CV10" s="3674"/>
      <c r="CW10" s="3674"/>
      <c r="CX10" s="3674"/>
      <c r="CY10" s="3674"/>
      <c r="CZ10" s="3674"/>
      <c r="DA10" s="3674"/>
      <c r="DB10" s="3674"/>
      <c r="DC10" s="3674"/>
      <c r="DD10" s="3674"/>
      <c r="DE10" s="3674"/>
      <c r="DF10" s="3674"/>
      <c r="DG10" s="3674"/>
      <c r="DH10" s="3674"/>
      <c r="DI10" s="3674"/>
      <c r="DJ10" s="3674"/>
      <c r="DK10" s="3674"/>
      <c r="DL10" s="3674"/>
      <c r="DM10" s="3674"/>
      <c r="DN10" s="3674"/>
      <c r="DO10" s="3674"/>
      <c r="DP10" s="3674"/>
      <c r="DQ10" s="3674"/>
      <c r="DR10" s="3674"/>
      <c r="DS10" s="3674"/>
      <c r="DT10" s="3674"/>
      <c r="DU10" s="3674"/>
      <c r="DV10" s="3674"/>
      <c r="DW10" s="3674"/>
      <c r="DX10" s="3674"/>
      <c r="DY10" s="3674"/>
      <c r="DZ10" s="3674"/>
      <c r="EA10" s="3674"/>
      <c r="EB10" s="3674"/>
      <c r="EC10" s="3674"/>
      <c r="ED10" s="3674"/>
      <c r="EE10" s="3674"/>
      <c r="EF10" s="3674"/>
      <c r="EG10" s="3674"/>
      <c r="EH10" s="3674"/>
      <c r="EI10" s="3674"/>
      <c r="EJ10" s="3674"/>
      <c r="EK10" s="3674"/>
      <c r="EL10" s="3674"/>
      <c r="EM10" s="3674"/>
      <c r="EN10" s="3674"/>
      <c r="EO10" s="3674"/>
      <c r="EP10" s="3674"/>
      <c r="EQ10" s="3674"/>
      <c r="ER10" s="3674"/>
      <c r="ES10" s="3674"/>
      <c r="ET10" s="3674"/>
      <c r="EU10" s="3674"/>
      <c r="EV10" s="3674"/>
      <c r="EW10" s="3674"/>
      <c r="EX10" s="3674"/>
      <c r="EY10" s="3674"/>
      <c r="EZ10" s="3674"/>
      <c r="FA10" s="3674"/>
      <c r="FB10" s="3674"/>
      <c r="FC10" s="3674"/>
      <c r="FD10" s="3674"/>
      <c r="FE10" s="3674"/>
      <c r="FF10" s="3674"/>
      <c r="FG10" s="3674"/>
      <c r="FH10" s="3674"/>
      <c r="FI10" s="3674"/>
      <c r="FJ10" s="3674"/>
      <c r="FK10" s="3674"/>
      <c r="FL10" s="3674"/>
      <c r="FM10" s="3674"/>
      <c r="FN10" s="3674"/>
      <c r="FO10" s="3674"/>
      <c r="FP10" s="3674"/>
      <c r="FQ10" s="3674"/>
      <c r="FR10" s="3674"/>
      <c r="FS10" s="3674"/>
      <c r="FT10" s="3674"/>
      <c r="FU10" s="3674"/>
      <c r="FV10" s="3675"/>
      <c r="FW10" s="3661"/>
      <c r="FX10" s="926"/>
    </row>
    <row r="11" spans="2:180" ht="12" customHeight="1">
      <c r="E11" s="809"/>
      <c r="F11" s="3484" t="s">
        <v>85</v>
      </c>
      <c r="G11" s="3484" t="s">
        <v>1346</v>
      </c>
      <c r="H11" s="3484" t="s">
        <v>1347</v>
      </c>
      <c r="I11" s="3484" t="s">
        <v>1348</v>
      </c>
      <c r="J11" s="3673"/>
      <c r="K11" s="3673"/>
      <c r="L11" s="3673"/>
      <c r="M11" s="3673"/>
      <c r="N11" s="3673"/>
      <c r="O11" s="3489" t="s">
        <v>1349</v>
      </c>
      <c r="P11" s="3489"/>
      <c r="Q11" s="3489"/>
      <c r="R11" s="3489"/>
      <c r="S11" s="3489"/>
      <c r="T11" s="3489"/>
      <c r="U11" s="3489"/>
      <c r="V11" s="3489"/>
      <c r="W11" s="3489"/>
      <c r="X11" s="3489"/>
      <c r="Y11" s="3489"/>
      <c r="Z11" s="3489"/>
      <c r="AA11" s="3489"/>
      <c r="AB11" s="3489"/>
      <c r="AC11" s="3655"/>
      <c r="AD11" s="3655"/>
      <c r="AE11" s="3655"/>
      <c r="AF11" s="3655"/>
      <c r="AG11" s="3655"/>
      <c r="AH11" s="3655"/>
      <c r="AI11" s="3655"/>
      <c r="AJ11" s="3655"/>
      <c r="AK11" s="3655"/>
      <c r="AL11" s="3655"/>
      <c r="AM11" s="3655"/>
      <c r="AN11" s="3655"/>
      <c r="AO11" s="3655"/>
      <c r="AP11" s="3655"/>
      <c r="AQ11" s="3655"/>
      <c r="AR11" s="3655"/>
      <c r="AS11" s="3655"/>
      <c r="AT11" s="3655"/>
      <c r="AU11" s="3655"/>
      <c r="AV11" s="3655"/>
      <c r="AW11" s="3655"/>
      <c r="AX11" s="3655"/>
      <c r="AY11" s="3655"/>
      <c r="AZ11" s="3655"/>
      <c r="BA11" s="3655"/>
      <c r="BB11" s="3655"/>
      <c r="BC11" s="3655"/>
      <c r="BD11" s="3655"/>
      <c r="BE11" s="3655"/>
      <c r="BF11" s="3655"/>
      <c r="BG11" s="3655"/>
      <c r="BH11" s="3655"/>
      <c r="BI11" s="3655"/>
      <c r="BJ11" s="3655"/>
      <c r="BK11" s="3655"/>
      <c r="BL11" s="3655"/>
      <c r="BM11" s="3655"/>
      <c r="BN11" s="3655"/>
      <c r="BO11" s="3655"/>
      <c r="BP11" s="3655"/>
      <c r="BQ11" s="3655"/>
      <c r="BR11" s="3655"/>
      <c r="BS11" s="3656"/>
      <c r="BT11" s="3653" t="s">
        <v>1349</v>
      </c>
      <c r="BU11" s="3657"/>
      <c r="BV11" s="3657"/>
      <c r="BW11" s="3657"/>
      <c r="BX11" s="3657"/>
      <c r="BY11" s="3657"/>
      <c r="BZ11" s="3657"/>
      <c r="CA11" s="3657"/>
      <c r="CB11" s="3657"/>
      <c r="CC11" s="3657"/>
      <c r="CD11" s="3657"/>
      <c r="CE11" s="3657"/>
      <c r="CF11" s="3657"/>
      <c r="CG11" s="3657"/>
      <c r="CH11" s="3657"/>
      <c r="CI11" s="3657"/>
      <c r="CJ11" s="3657"/>
      <c r="CK11" s="3654"/>
      <c r="CL11" s="3663"/>
      <c r="CM11" s="3655"/>
      <c r="CN11" s="3655"/>
      <c r="CO11" s="3655"/>
      <c r="CP11" s="3655"/>
      <c r="CQ11" s="3655"/>
      <c r="CR11" s="3655"/>
      <c r="CS11" s="3655"/>
      <c r="CT11" s="3655"/>
      <c r="CU11" s="3655"/>
      <c r="CV11" s="3655"/>
      <c r="CW11" s="3655"/>
      <c r="CX11" s="3656"/>
      <c r="CY11" s="3653" t="s">
        <v>1349</v>
      </c>
      <c r="CZ11" s="3657"/>
      <c r="DA11" s="3657"/>
      <c r="DB11" s="3657"/>
      <c r="DC11" s="3657"/>
      <c r="DD11" s="3657"/>
      <c r="DE11" s="3657"/>
      <c r="DF11" s="3657"/>
      <c r="DG11" s="3657"/>
      <c r="DH11" s="3657"/>
      <c r="DI11" s="3657"/>
      <c r="DJ11" s="3654"/>
      <c r="DK11" s="3663"/>
      <c r="DL11" s="3655"/>
      <c r="DM11" s="3655"/>
      <c r="DN11" s="3655"/>
      <c r="DO11" s="3655"/>
      <c r="DP11" s="3655"/>
      <c r="DQ11" s="3655"/>
      <c r="DR11" s="3655"/>
      <c r="DS11" s="3655"/>
      <c r="DT11" s="3655"/>
      <c r="DU11" s="3655"/>
      <c r="DV11" s="3655"/>
      <c r="DW11" s="3655"/>
      <c r="DX11" s="3655"/>
      <c r="DY11" s="3655"/>
      <c r="DZ11" s="3655"/>
      <c r="EA11" s="3655"/>
      <c r="EB11" s="3655"/>
      <c r="EC11" s="3655"/>
      <c r="ED11" s="3655"/>
      <c r="EE11" s="3655"/>
      <c r="EF11" s="3655"/>
      <c r="EG11" s="3655"/>
      <c r="EH11" s="3655"/>
      <c r="EI11" s="3655"/>
      <c r="EJ11" s="3655"/>
      <c r="EK11" s="3655"/>
      <c r="EL11" s="3655"/>
      <c r="EM11" s="3655"/>
      <c r="EN11" s="3655"/>
      <c r="EO11" s="3655"/>
      <c r="EP11" s="3655"/>
      <c r="EQ11" s="3655"/>
      <c r="ER11" s="3655"/>
      <c r="ES11" s="3655"/>
      <c r="ET11" s="3655"/>
      <c r="EU11" s="3655"/>
      <c r="EV11" s="3655"/>
      <c r="EW11" s="3655"/>
      <c r="EX11" s="3655"/>
      <c r="EY11" s="3655"/>
      <c r="EZ11" s="3655"/>
      <c r="FA11" s="3655"/>
      <c r="FB11" s="3655"/>
      <c r="FC11" s="3655"/>
      <c r="FD11" s="3655"/>
      <c r="FE11" s="3655"/>
      <c r="FF11" s="3655"/>
      <c r="FG11" s="3655"/>
      <c r="FH11" s="3655"/>
      <c r="FI11" s="3655"/>
      <c r="FJ11" s="3655"/>
      <c r="FK11" s="3655"/>
      <c r="FL11" s="3655"/>
      <c r="FM11" s="3655"/>
      <c r="FN11" s="3655"/>
      <c r="FO11" s="3655"/>
      <c r="FP11" s="3655"/>
      <c r="FQ11" s="3655"/>
      <c r="FR11" s="3655"/>
      <c r="FS11" s="3655"/>
      <c r="FT11" s="3655"/>
      <c r="FU11" s="3655"/>
      <c r="FV11" s="3655"/>
      <c r="FW11" s="3661"/>
      <c r="FX11" s="648"/>
    </row>
    <row r="12" spans="2:180" ht="12" customHeight="1">
      <c r="D12" s="810"/>
      <c r="E12" s="809"/>
      <c r="F12" s="3484"/>
      <c r="G12" s="3484"/>
      <c r="H12" s="3484"/>
      <c r="I12" s="3484"/>
      <c r="J12" s="3673"/>
      <c r="K12" s="3673"/>
      <c r="L12" s="3673"/>
      <c r="M12" s="3673"/>
      <c r="N12" s="3673"/>
      <c r="O12" s="3489" t="s">
        <v>1350</v>
      </c>
      <c r="P12" s="3489"/>
      <c r="Q12" s="3489"/>
      <c r="R12" s="3489"/>
      <c r="S12" s="3489" t="s">
        <v>1351</v>
      </c>
      <c r="T12" s="3489"/>
      <c r="U12" s="3489"/>
      <c r="V12" s="3489"/>
      <c r="W12" s="3489"/>
      <c r="X12" s="3489"/>
      <c r="Y12" s="3489"/>
      <c r="Z12" s="3489"/>
      <c r="AA12" s="3489"/>
      <c r="AB12" s="3489"/>
      <c r="AC12" s="3655"/>
      <c r="AD12" s="3655"/>
      <c r="AE12" s="3655"/>
      <c r="AF12" s="3655"/>
      <c r="AG12" s="3655"/>
      <c r="AH12" s="3655"/>
      <c r="AI12" s="3655"/>
      <c r="AJ12" s="3655"/>
      <c r="AK12" s="3655"/>
      <c r="AL12" s="3655"/>
      <c r="AM12" s="3655"/>
      <c r="AN12" s="3655"/>
      <c r="AO12" s="3655"/>
      <c r="AP12" s="3655"/>
      <c r="AQ12" s="3655"/>
      <c r="AR12" s="3655"/>
      <c r="AS12" s="3655"/>
      <c r="AT12" s="3655"/>
      <c r="AU12" s="3655"/>
      <c r="AV12" s="3655"/>
      <c r="AW12" s="3655"/>
      <c r="AX12" s="3655"/>
      <c r="AY12" s="3655"/>
      <c r="AZ12" s="3655"/>
      <c r="BA12" s="3655"/>
      <c r="BB12" s="3655"/>
      <c r="BC12" s="3655"/>
      <c r="BD12" s="3655"/>
      <c r="BE12" s="3655"/>
      <c r="BF12" s="3655"/>
      <c r="BG12" s="3655"/>
      <c r="BH12" s="3655"/>
      <c r="BI12" s="3655"/>
      <c r="BJ12" s="3655"/>
      <c r="BK12" s="3655"/>
      <c r="BL12" s="3655"/>
      <c r="BM12" s="3655"/>
      <c r="BN12" s="3655"/>
      <c r="BO12" s="3655"/>
      <c r="BP12" s="3655"/>
      <c r="BQ12" s="3655"/>
      <c r="BR12" s="3655"/>
      <c r="BS12" s="3656"/>
      <c r="BT12" s="3653" t="s">
        <v>1352</v>
      </c>
      <c r="BU12" s="3657"/>
      <c r="BV12" s="3657"/>
      <c r="BW12" s="3654"/>
      <c r="BX12" s="3653" t="s">
        <v>1353</v>
      </c>
      <c r="BY12" s="3657"/>
      <c r="BZ12" s="3657"/>
      <c r="CA12" s="3654"/>
      <c r="CB12" s="3653" t="s">
        <v>1354</v>
      </c>
      <c r="CC12" s="3654"/>
      <c r="CD12" s="3653" t="s">
        <v>1355</v>
      </c>
      <c r="CE12" s="3657"/>
      <c r="CF12" s="3657"/>
      <c r="CG12" s="3657"/>
      <c r="CH12" s="3657"/>
      <c r="CI12" s="3657"/>
      <c r="CJ12" s="3657"/>
      <c r="CK12" s="3654"/>
      <c r="CL12" s="3663"/>
      <c r="CM12" s="3655"/>
      <c r="CN12" s="3655"/>
      <c r="CO12" s="3655"/>
      <c r="CP12" s="3655"/>
      <c r="CQ12" s="3655"/>
      <c r="CR12" s="3655"/>
      <c r="CS12" s="3655"/>
      <c r="CT12" s="3655"/>
      <c r="CU12" s="3655"/>
      <c r="CV12" s="3655"/>
      <c r="CW12" s="3655"/>
      <c r="CX12" s="3656"/>
      <c r="CY12" s="3653" t="s">
        <v>1356</v>
      </c>
      <c r="CZ12" s="3657"/>
      <c r="DA12" s="3657"/>
      <c r="DB12" s="3657"/>
      <c r="DC12" s="3657"/>
      <c r="DD12" s="3654"/>
      <c r="DE12" s="3653" t="s">
        <v>1357</v>
      </c>
      <c r="DF12" s="3654"/>
      <c r="DG12" s="3653" t="s">
        <v>1355</v>
      </c>
      <c r="DH12" s="3657"/>
      <c r="DI12" s="3657"/>
      <c r="DJ12" s="3654"/>
      <c r="DK12" s="3663"/>
      <c r="DL12" s="3655"/>
      <c r="DM12" s="3655"/>
      <c r="DN12" s="3655"/>
      <c r="DO12" s="3655"/>
      <c r="DP12" s="3655"/>
      <c r="DQ12" s="3655"/>
      <c r="DR12" s="3655"/>
      <c r="DS12" s="3655"/>
      <c r="DT12" s="3655"/>
      <c r="DU12" s="3655"/>
      <c r="DV12" s="3655"/>
      <c r="DW12" s="3655"/>
      <c r="DX12" s="3655"/>
      <c r="DY12" s="3655"/>
      <c r="DZ12" s="3655"/>
      <c r="EA12" s="3655"/>
      <c r="EB12" s="3655"/>
      <c r="EC12" s="3655"/>
      <c r="ED12" s="3655"/>
      <c r="EE12" s="3655"/>
      <c r="EF12" s="3655"/>
      <c r="EG12" s="3655"/>
      <c r="EH12" s="3655"/>
      <c r="EI12" s="3655"/>
      <c r="EJ12" s="3655"/>
      <c r="EK12" s="3655"/>
      <c r="EL12" s="3655"/>
      <c r="EM12" s="3655"/>
      <c r="EN12" s="3655"/>
      <c r="EO12" s="3655"/>
      <c r="EP12" s="3655"/>
      <c r="EQ12" s="3655"/>
      <c r="ER12" s="3655"/>
      <c r="ES12" s="3655"/>
      <c r="ET12" s="3655"/>
      <c r="EU12" s="3655"/>
      <c r="EV12" s="3655"/>
      <c r="EW12" s="3655"/>
      <c r="EX12" s="3655"/>
      <c r="EY12" s="3655"/>
      <c r="EZ12" s="3655"/>
      <c r="FA12" s="3655"/>
      <c r="FB12" s="3655"/>
      <c r="FC12" s="3655"/>
      <c r="FD12" s="3655"/>
      <c r="FE12" s="3655"/>
      <c r="FF12" s="3655"/>
      <c r="FG12" s="3655"/>
      <c r="FH12" s="3655"/>
      <c r="FI12" s="3655"/>
      <c r="FJ12" s="3655"/>
      <c r="FK12" s="3655"/>
      <c r="FL12" s="3655"/>
      <c r="FM12" s="3655"/>
      <c r="FN12" s="3655"/>
      <c r="FO12" s="3655"/>
      <c r="FP12" s="3655"/>
      <c r="FQ12" s="3655"/>
      <c r="FR12" s="3655"/>
      <c r="FS12" s="3655"/>
      <c r="FT12" s="3655"/>
      <c r="FU12" s="3655"/>
      <c r="FV12" s="3655"/>
      <c r="FW12" s="3661"/>
      <c r="FX12" s="648"/>
    </row>
    <row r="13" spans="2:180" ht="36" customHeight="1">
      <c r="D13" s="810"/>
      <c r="E13" s="809"/>
      <c r="F13" s="3484"/>
      <c r="G13" s="3484"/>
      <c r="H13" s="3484"/>
      <c r="I13" s="3484"/>
      <c r="J13" s="3673"/>
      <c r="K13" s="3673"/>
      <c r="L13" s="3673"/>
      <c r="M13" s="3673"/>
      <c r="N13" s="3673"/>
      <c r="O13" s="3489" t="s">
        <v>1358</v>
      </c>
      <c r="P13" s="3489"/>
      <c r="Q13" s="3489"/>
      <c r="R13" s="3489"/>
      <c r="S13" s="3583" t="s">
        <v>1359</v>
      </c>
      <c r="T13" s="3639"/>
      <c r="U13" s="3401" t="s">
        <v>1360</v>
      </c>
      <c r="V13" s="3401"/>
      <c r="W13" s="3401"/>
      <c r="X13" s="3401"/>
      <c r="Y13" s="3401" t="s">
        <v>1361</v>
      </c>
      <c r="Z13" s="3401"/>
      <c r="AA13" s="3401"/>
      <c r="AB13" s="3401"/>
      <c r="AC13" s="3655"/>
      <c r="AD13" s="3655"/>
      <c r="AE13" s="3655"/>
      <c r="AF13" s="3655"/>
      <c r="AG13" s="3655"/>
      <c r="AH13" s="3655"/>
      <c r="AI13" s="3655"/>
      <c r="AJ13" s="3655"/>
      <c r="AK13" s="3655"/>
      <c r="AL13" s="3655"/>
      <c r="AM13" s="3655"/>
      <c r="AN13" s="3655"/>
      <c r="AO13" s="3655"/>
      <c r="AP13" s="3655"/>
      <c r="AQ13" s="3655"/>
      <c r="AR13" s="3655"/>
      <c r="AS13" s="3655"/>
      <c r="AT13" s="3655"/>
      <c r="AU13" s="3655"/>
      <c r="AV13" s="3655"/>
      <c r="AW13" s="3655"/>
      <c r="AX13" s="3655"/>
      <c r="AY13" s="3655"/>
      <c r="AZ13" s="3655"/>
      <c r="BA13" s="3655"/>
      <c r="BB13" s="3655"/>
      <c r="BC13" s="3655"/>
      <c r="BD13" s="3655"/>
      <c r="BE13" s="3655"/>
      <c r="BF13" s="3655"/>
      <c r="BG13" s="3655"/>
      <c r="BH13" s="3655"/>
      <c r="BI13" s="3655"/>
      <c r="BJ13" s="3655"/>
      <c r="BK13" s="3655"/>
      <c r="BL13" s="3655"/>
      <c r="BM13" s="3655"/>
      <c r="BN13" s="3655"/>
      <c r="BO13" s="3655"/>
      <c r="BP13" s="3655"/>
      <c r="BQ13" s="3655"/>
      <c r="BR13" s="3655"/>
      <c r="BS13" s="3656"/>
      <c r="BT13" s="3583" t="s">
        <v>1362</v>
      </c>
      <c r="BU13" s="3639"/>
      <c r="BV13" s="3583" t="s">
        <v>1363</v>
      </c>
      <c r="BW13" s="3639"/>
      <c r="BX13" s="3583" t="s">
        <v>1364</v>
      </c>
      <c r="BY13" s="3639"/>
      <c r="BZ13" s="3583" t="s">
        <v>1365</v>
      </c>
      <c r="CA13" s="3639"/>
      <c r="CB13" s="3583" t="s">
        <v>1366</v>
      </c>
      <c r="CC13" s="3639"/>
      <c r="CD13" s="3583" t="s">
        <v>1367</v>
      </c>
      <c r="CE13" s="3639"/>
      <c r="CF13" s="3583" t="s">
        <v>1368</v>
      </c>
      <c r="CG13" s="3639"/>
      <c r="CH13" s="3653" t="s">
        <v>1369</v>
      </c>
      <c r="CI13" s="3657"/>
      <c r="CJ13" s="3657"/>
      <c r="CK13" s="3654"/>
      <c r="CL13" s="3663"/>
      <c r="CM13" s="3655"/>
      <c r="CN13" s="3655"/>
      <c r="CO13" s="3655"/>
      <c r="CP13" s="3655"/>
      <c r="CQ13" s="3655"/>
      <c r="CR13" s="3655"/>
      <c r="CS13" s="3655"/>
      <c r="CT13" s="3655"/>
      <c r="CU13" s="3655"/>
      <c r="CV13" s="3655"/>
      <c r="CW13" s="3655"/>
      <c r="CX13" s="3656"/>
      <c r="CY13" s="3583" t="s">
        <v>1370</v>
      </c>
      <c r="CZ13" s="3639"/>
      <c r="DA13" s="3583" t="s">
        <v>1371</v>
      </c>
      <c r="DB13" s="3639"/>
      <c r="DC13" s="3583" t="s">
        <v>1372</v>
      </c>
      <c r="DD13" s="3639"/>
      <c r="DE13" s="3583" t="s">
        <v>1373</v>
      </c>
      <c r="DF13" s="3639"/>
      <c r="DG13" s="3653" t="s">
        <v>1374</v>
      </c>
      <c r="DH13" s="3657"/>
      <c r="DI13" s="3657"/>
      <c r="DJ13" s="3654"/>
      <c r="DK13" s="3663"/>
      <c r="DL13" s="3655"/>
      <c r="DM13" s="3655"/>
      <c r="DN13" s="3655"/>
      <c r="DO13" s="3655"/>
      <c r="DP13" s="3655"/>
      <c r="DQ13" s="3655"/>
      <c r="DR13" s="3655"/>
      <c r="DS13" s="3655"/>
      <c r="DT13" s="3655"/>
      <c r="DU13" s="3655"/>
      <c r="DV13" s="3655"/>
      <c r="DW13" s="3655"/>
      <c r="DX13" s="3655"/>
      <c r="DY13" s="3655"/>
      <c r="DZ13" s="3655"/>
      <c r="EA13" s="3655"/>
      <c r="EB13" s="3655"/>
      <c r="EC13" s="3655"/>
      <c r="ED13" s="3655"/>
      <c r="EE13" s="3655"/>
      <c r="EF13" s="3655"/>
      <c r="EG13" s="3655"/>
      <c r="EH13" s="3655"/>
      <c r="EI13" s="3655"/>
      <c r="EJ13" s="3655"/>
      <c r="EK13" s="3655"/>
      <c r="EL13" s="3655"/>
      <c r="EM13" s="3655"/>
      <c r="EN13" s="3655"/>
      <c r="EO13" s="3655"/>
      <c r="EP13" s="3655"/>
      <c r="EQ13" s="3655"/>
      <c r="ER13" s="3655"/>
      <c r="ES13" s="3655"/>
      <c r="ET13" s="3655"/>
      <c r="EU13" s="3655"/>
      <c r="EV13" s="3655"/>
      <c r="EW13" s="3655"/>
      <c r="EX13" s="3655"/>
      <c r="EY13" s="3655"/>
      <c r="EZ13" s="3655"/>
      <c r="FA13" s="3655"/>
      <c r="FB13" s="3655"/>
      <c r="FC13" s="3655"/>
      <c r="FD13" s="3655"/>
      <c r="FE13" s="3655"/>
      <c r="FF13" s="3655"/>
      <c r="FG13" s="3655"/>
      <c r="FH13" s="3655"/>
      <c r="FI13" s="3655"/>
      <c r="FJ13" s="3655"/>
      <c r="FK13" s="3655"/>
      <c r="FL13" s="3655"/>
      <c r="FM13" s="3655"/>
      <c r="FN13" s="3655"/>
      <c r="FO13" s="3655"/>
      <c r="FP13" s="3655"/>
      <c r="FQ13" s="3655"/>
      <c r="FR13" s="3655"/>
      <c r="FS13" s="3655"/>
      <c r="FT13" s="3655"/>
      <c r="FU13" s="3655"/>
      <c r="FV13" s="3655"/>
      <c r="FW13" s="3661"/>
      <c r="FX13" s="648"/>
    </row>
    <row r="14" spans="2:180" ht="36" customHeight="1">
      <c r="D14" s="810"/>
      <c r="E14" s="809"/>
      <c r="F14" s="3484"/>
      <c r="G14" s="3484"/>
      <c r="H14" s="3484"/>
      <c r="I14" s="3484"/>
      <c r="J14" s="3673"/>
      <c r="K14" s="3673"/>
      <c r="L14" s="3673"/>
      <c r="M14" s="3673"/>
      <c r="N14" s="3673"/>
      <c r="O14" s="3583" t="s">
        <v>1375</v>
      </c>
      <c r="P14" s="3639"/>
      <c r="Q14" s="3583" t="s">
        <v>1376</v>
      </c>
      <c r="R14" s="3639"/>
      <c r="S14" s="3584"/>
      <c r="T14" s="3490"/>
      <c r="U14" s="3583" t="s">
        <v>1107</v>
      </c>
      <c r="V14" s="3639"/>
      <c r="W14" s="3583" t="s">
        <v>1110</v>
      </c>
      <c r="X14" s="3639"/>
      <c r="Y14" s="3583" t="s">
        <v>1107</v>
      </c>
      <c r="Z14" s="3639"/>
      <c r="AA14" s="3583" t="s">
        <v>1117</v>
      </c>
      <c r="AB14" s="3639"/>
      <c r="AC14" s="3655"/>
      <c r="AD14" s="3655"/>
      <c r="AE14" s="3655"/>
      <c r="AF14" s="3655"/>
      <c r="AG14" s="3655"/>
      <c r="AH14" s="3655"/>
      <c r="AI14" s="3655"/>
      <c r="AJ14" s="3655"/>
      <c r="AK14" s="3655"/>
      <c r="AL14" s="3655"/>
      <c r="AM14" s="3655"/>
      <c r="AN14" s="3655"/>
      <c r="AO14" s="3655"/>
      <c r="AP14" s="3655"/>
      <c r="AQ14" s="3655"/>
      <c r="AR14" s="3655"/>
      <c r="AS14" s="3655"/>
      <c r="AT14" s="3655"/>
      <c r="AU14" s="3655"/>
      <c r="AV14" s="3655"/>
      <c r="AW14" s="3655"/>
      <c r="AX14" s="3655"/>
      <c r="AY14" s="3655"/>
      <c r="AZ14" s="3655"/>
      <c r="BA14" s="3655"/>
      <c r="BB14" s="3655"/>
      <c r="BC14" s="3655"/>
      <c r="BD14" s="3655"/>
      <c r="BE14" s="3655"/>
      <c r="BF14" s="3655"/>
      <c r="BG14" s="3655"/>
      <c r="BH14" s="3655"/>
      <c r="BI14" s="3655"/>
      <c r="BJ14" s="3655"/>
      <c r="BK14" s="3655"/>
      <c r="BL14" s="3655"/>
      <c r="BM14" s="3655"/>
      <c r="BN14" s="3655"/>
      <c r="BO14" s="3655"/>
      <c r="BP14" s="3655"/>
      <c r="BQ14" s="3655"/>
      <c r="BR14" s="3655"/>
      <c r="BS14" s="3656"/>
      <c r="BT14" s="3584"/>
      <c r="BU14" s="3490"/>
      <c r="BV14" s="3584"/>
      <c r="BW14" s="3490"/>
      <c r="BX14" s="3584"/>
      <c r="BY14" s="3490"/>
      <c r="BZ14" s="3584"/>
      <c r="CA14" s="3490"/>
      <c r="CB14" s="3584"/>
      <c r="CC14" s="3490"/>
      <c r="CD14" s="3584"/>
      <c r="CE14" s="3490"/>
      <c r="CF14" s="3584"/>
      <c r="CG14" s="3490"/>
      <c r="CH14" s="3583" t="s">
        <v>1377</v>
      </c>
      <c r="CI14" s="3639"/>
      <c r="CJ14" s="3583" t="s">
        <v>1378</v>
      </c>
      <c r="CK14" s="3639"/>
      <c r="CL14" s="3663"/>
      <c r="CM14" s="3655"/>
      <c r="CN14" s="3655"/>
      <c r="CO14" s="3655"/>
      <c r="CP14" s="3655"/>
      <c r="CQ14" s="3655"/>
      <c r="CR14" s="3655"/>
      <c r="CS14" s="3655"/>
      <c r="CT14" s="3655"/>
      <c r="CU14" s="3655"/>
      <c r="CV14" s="3655"/>
      <c r="CW14" s="3655"/>
      <c r="CX14" s="3656"/>
      <c r="CY14" s="3584"/>
      <c r="CZ14" s="3490"/>
      <c r="DA14" s="3584"/>
      <c r="DB14" s="3490"/>
      <c r="DC14" s="3584"/>
      <c r="DD14" s="3490"/>
      <c r="DE14" s="3584"/>
      <c r="DF14" s="3490"/>
      <c r="DG14" s="3583" t="s">
        <v>1379</v>
      </c>
      <c r="DH14" s="3639"/>
      <c r="DI14" s="3583" t="s">
        <v>1380</v>
      </c>
      <c r="DJ14" s="3639"/>
      <c r="DK14" s="3663"/>
      <c r="DL14" s="3655"/>
      <c r="DM14" s="3655"/>
      <c r="DN14" s="3655"/>
      <c r="DO14" s="3655"/>
      <c r="DP14" s="3655"/>
      <c r="DQ14" s="3655"/>
      <c r="DR14" s="3655"/>
      <c r="DS14" s="3655"/>
      <c r="DT14" s="3655"/>
      <c r="DU14" s="3655"/>
      <c r="DV14" s="3655"/>
      <c r="DW14" s="3655"/>
      <c r="DX14" s="3655"/>
      <c r="DY14" s="3655"/>
      <c r="DZ14" s="3655"/>
      <c r="EA14" s="3655"/>
      <c r="EB14" s="3655"/>
      <c r="EC14" s="3655"/>
      <c r="ED14" s="3655"/>
      <c r="EE14" s="3655"/>
      <c r="EF14" s="3655"/>
      <c r="EG14" s="3655"/>
      <c r="EH14" s="3655"/>
      <c r="EI14" s="3655"/>
      <c r="EJ14" s="3655"/>
      <c r="EK14" s="3655"/>
      <c r="EL14" s="3655"/>
      <c r="EM14" s="3655"/>
      <c r="EN14" s="3655"/>
      <c r="EO14" s="3655"/>
      <c r="EP14" s="3655"/>
      <c r="EQ14" s="3655"/>
      <c r="ER14" s="3655"/>
      <c r="ES14" s="3655"/>
      <c r="ET14" s="3655"/>
      <c r="EU14" s="3655"/>
      <c r="EV14" s="3655"/>
      <c r="EW14" s="3655"/>
      <c r="EX14" s="3655"/>
      <c r="EY14" s="3655"/>
      <c r="EZ14" s="3655"/>
      <c r="FA14" s="3655"/>
      <c r="FB14" s="3655"/>
      <c r="FC14" s="3655"/>
      <c r="FD14" s="3655"/>
      <c r="FE14" s="3655"/>
      <c r="FF14" s="3655"/>
      <c r="FG14" s="3655"/>
      <c r="FH14" s="3655"/>
      <c r="FI14" s="3655"/>
      <c r="FJ14" s="3655"/>
      <c r="FK14" s="3655"/>
      <c r="FL14" s="3655"/>
      <c r="FM14" s="3655"/>
      <c r="FN14" s="3655"/>
      <c r="FO14" s="3655"/>
      <c r="FP14" s="3655"/>
      <c r="FQ14" s="3655"/>
      <c r="FR14" s="3655"/>
      <c r="FS14" s="3655"/>
      <c r="FT14" s="3655"/>
      <c r="FU14" s="3655"/>
      <c r="FV14" s="3655"/>
      <c r="FW14" s="3661"/>
      <c r="FX14" s="648"/>
    </row>
    <row r="15" spans="2:180" ht="36" customHeight="1">
      <c r="D15" s="810"/>
      <c r="E15" s="809"/>
      <c r="F15" s="3484"/>
      <c r="G15" s="3484"/>
      <c r="H15" s="3484"/>
      <c r="I15" s="3484"/>
      <c r="J15" s="3673"/>
      <c r="K15" s="3673"/>
      <c r="L15" s="3673"/>
      <c r="M15" s="3673"/>
      <c r="N15" s="3673"/>
      <c r="O15" s="3585"/>
      <c r="P15" s="3640"/>
      <c r="Q15" s="3585"/>
      <c r="R15" s="3640"/>
      <c r="S15" s="3585"/>
      <c r="T15" s="3640"/>
      <c r="U15" s="3585"/>
      <c r="V15" s="3640"/>
      <c r="W15" s="3585"/>
      <c r="X15" s="3640"/>
      <c r="Y15" s="3585"/>
      <c r="Z15" s="3640"/>
      <c r="AA15" s="3585"/>
      <c r="AB15" s="3640"/>
      <c r="AC15" s="3655"/>
      <c r="AD15" s="3655"/>
      <c r="AE15" s="3655"/>
      <c r="AF15" s="3655"/>
      <c r="AG15" s="3655"/>
      <c r="AH15" s="3655"/>
      <c r="AI15" s="3655"/>
      <c r="AJ15" s="3655"/>
      <c r="AK15" s="3655"/>
      <c r="AL15" s="3655"/>
      <c r="AM15" s="3655"/>
      <c r="AN15" s="3655"/>
      <c r="AO15" s="3655"/>
      <c r="AP15" s="3655"/>
      <c r="AQ15" s="3655"/>
      <c r="AR15" s="3655"/>
      <c r="AS15" s="3655"/>
      <c r="AT15" s="3655"/>
      <c r="AU15" s="3655"/>
      <c r="AV15" s="3655"/>
      <c r="AW15" s="3655"/>
      <c r="AX15" s="3655"/>
      <c r="AY15" s="3655"/>
      <c r="AZ15" s="3655"/>
      <c r="BA15" s="3655"/>
      <c r="BB15" s="3655"/>
      <c r="BC15" s="3655"/>
      <c r="BD15" s="3655"/>
      <c r="BE15" s="3655"/>
      <c r="BF15" s="3655"/>
      <c r="BG15" s="3655"/>
      <c r="BH15" s="3655"/>
      <c r="BI15" s="3655"/>
      <c r="BJ15" s="3655"/>
      <c r="BK15" s="3655"/>
      <c r="BL15" s="3655"/>
      <c r="BM15" s="3655"/>
      <c r="BN15" s="3655"/>
      <c r="BO15" s="3655"/>
      <c r="BP15" s="3655"/>
      <c r="BQ15" s="3655"/>
      <c r="BR15" s="3655"/>
      <c r="BS15" s="3656"/>
      <c r="BT15" s="3585"/>
      <c r="BU15" s="3640"/>
      <c r="BV15" s="3585"/>
      <c r="BW15" s="3640"/>
      <c r="BX15" s="3585"/>
      <c r="BY15" s="3640"/>
      <c r="BZ15" s="3585"/>
      <c r="CA15" s="3640"/>
      <c r="CB15" s="3585"/>
      <c r="CC15" s="3640"/>
      <c r="CD15" s="3585"/>
      <c r="CE15" s="3640"/>
      <c r="CF15" s="3585"/>
      <c r="CG15" s="3640"/>
      <c r="CH15" s="3585"/>
      <c r="CI15" s="3640"/>
      <c r="CJ15" s="3585"/>
      <c r="CK15" s="3640"/>
      <c r="CL15" s="3663"/>
      <c r="CM15" s="3655"/>
      <c r="CN15" s="3655"/>
      <c r="CO15" s="3655"/>
      <c r="CP15" s="3655"/>
      <c r="CQ15" s="3655"/>
      <c r="CR15" s="3655"/>
      <c r="CS15" s="3655"/>
      <c r="CT15" s="3655"/>
      <c r="CU15" s="3655"/>
      <c r="CV15" s="3655"/>
      <c r="CW15" s="3655"/>
      <c r="CX15" s="3656"/>
      <c r="CY15" s="3585"/>
      <c r="CZ15" s="3640"/>
      <c r="DA15" s="3585"/>
      <c r="DB15" s="3640"/>
      <c r="DC15" s="3585"/>
      <c r="DD15" s="3640"/>
      <c r="DE15" s="3585"/>
      <c r="DF15" s="3640"/>
      <c r="DG15" s="3585"/>
      <c r="DH15" s="3640"/>
      <c r="DI15" s="3585"/>
      <c r="DJ15" s="3640"/>
      <c r="DK15" s="3663"/>
      <c r="DL15" s="3655"/>
      <c r="DM15" s="3655"/>
      <c r="DN15" s="3655"/>
      <c r="DO15" s="3655"/>
      <c r="DP15" s="3655"/>
      <c r="DQ15" s="3655"/>
      <c r="DR15" s="3655"/>
      <c r="DS15" s="3655"/>
      <c r="DT15" s="3655"/>
      <c r="DU15" s="3655"/>
      <c r="DV15" s="3655"/>
      <c r="DW15" s="3655"/>
      <c r="DX15" s="3655"/>
      <c r="DY15" s="3655"/>
      <c r="DZ15" s="3655"/>
      <c r="EA15" s="3655"/>
      <c r="EB15" s="3655"/>
      <c r="EC15" s="3655"/>
      <c r="ED15" s="3655"/>
      <c r="EE15" s="3655"/>
      <c r="EF15" s="3655"/>
      <c r="EG15" s="3655"/>
      <c r="EH15" s="3655"/>
      <c r="EI15" s="3655"/>
      <c r="EJ15" s="3655"/>
      <c r="EK15" s="3655"/>
      <c r="EL15" s="3655"/>
      <c r="EM15" s="3655"/>
      <c r="EN15" s="3655"/>
      <c r="EO15" s="3655"/>
      <c r="EP15" s="3655"/>
      <c r="EQ15" s="3655"/>
      <c r="ER15" s="3655"/>
      <c r="ES15" s="3655"/>
      <c r="ET15" s="3655"/>
      <c r="EU15" s="3655"/>
      <c r="EV15" s="3655"/>
      <c r="EW15" s="3655"/>
      <c r="EX15" s="3655"/>
      <c r="EY15" s="3655"/>
      <c r="EZ15" s="3655"/>
      <c r="FA15" s="3655"/>
      <c r="FB15" s="3655"/>
      <c r="FC15" s="3655"/>
      <c r="FD15" s="3655"/>
      <c r="FE15" s="3655"/>
      <c r="FF15" s="3655"/>
      <c r="FG15" s="3655"/>
      <c r="FH15" s="3655"/>
      <c r="FI15" s="3655"/>
      <c r="FJ15" s="3655"/>
      <c r="FK15" s="3655"/>
      <c r="FL15" s="3655"/>
      <c r="FM15" s="3655"/>
      <c r="FN15" s="3655"/>
      <c r="FO15" s="3655"/>
      <c r="FP15" s="3655"/>
      <c r="FQ15" s="3655"/>
      <c r="FR15" s="3655"/>
      <c r="FS15" s="3655"/>
      <c r="FT15" s="3655"/>
      <c r="FU15" s="3655"/>
      <c r="FV15" s="3655"/>
      <c r="FW15" s="3661"/>
      <c r="FX15" s="648"/>
    </row>
    <row r="16" spans="2:180" ht="12" customHeight="1">
      <c r="D16" s="810"/>
      <c r="E16" s="809"/>
      <c r="F16" s="3484"/>
      <c r="G16" s="3484"/>
      <c r="H16" s="3484"/>
      <c r="I16" s="3484"/>
      <c r="J16" s="3673"/>
      <c r="K16" s="3673"/>
      <c r="L16" s="3673"/>
      <c r="M16" s="3673"/>
      <c r="N16" s="3673"/>
      <c r="O16" s="3653" t="s">
        <v>1097</v>
      </c>
      <c r="P16" s="3654"/>
      <c r="Q16" s="3653" t="s">
        <v>1099</v>
      </c>
      <c r="R16" s="3654"/>
      <c r="S16" s="3653" t="s">
        <v>1103</v>
      </c>
      <c r="T16" s="3654"/>
      <c r="U16" s="3653" t="s">
        <v>1108</v>
      </c>
      <c r="V16" s="3654"/>
      <c r="W16" s="3653" t="s">
        <v>1111</v>
      </c>
      <c r="X16" s="3654"/>
      <c r="Y16" s="3653" t="s">
        <v>1115</v>
      </c>
      <c r="Z16" s="3654"/>
      <c r="AA16" s="3653" t="s">
        <v>1118</v>
      </c>
      <c r="AB16" s="3654"/>
      <c r="AC16" s="3655"/>
      <c r="AD16" s="3655"/>
      <c r="AE16" s="3655"/>
      <c r="AF16" s="3655"/>
      <c r="AG16" s="3655"/>
      <c r="AH16" s="3655"/>
      <c r="AI16" s="3655"/>
      <c r="AJ16" s="3655"/>
      <c r="AK16" s="3655"/>
      <c r="AL16" s="3655"/>
      <c r="AM16" s="3655"/>
      <c r="AN16" s="3655"/>
      <c r="AO16" s="3655"/>
      <c r="AP16" s="3655"/>
      <c r="AQ16" s="3655"/>
      <c r="AR16" s="3655"/>
      <c r="AS16" s="3655"/>
      <c r="AT16" s="3655"/>
      <c r="AU16" s="3655"/>
      <c r="AV16" s="3655"/>
      <c r="AW16" s="3655"/>
      <c r="AX16" s="3655"/>
      <c r="AY16" s="3655"/>
      <c r="AZ16" s="3655"/>
      <c r="BA16" s="3655"/>
      <c r="BB16" s="3655"/>
      <c r="BC16" s="3655"/>
      <c r="BD16" s="3655"/>
      <c r="BE16" s="3655"/>
      <c r="BF16" s="3655"/>
      <c r="BG16" s="3655"/>
      <c r="BH16" s="3655"/>
      <c r="BI16" s="3655"/>
      <c r="BJ16" s="3655"/>
      <c r="BK16" s="3655"/>
      <c r="BL16" s="3655"/>
      <c r="BM16" s="3655"/>
      <c r="BN16" s="3655"/>
      <c r="BO16" s="3655"/>
      <c r="BP16" s="3655"/>
      <c r="BQ16" s="3655"/>
      <c r="BR16" s="3655"/>
      <c r="BS16" s="3656"/>
      <c r="BT16" s="3653" t="s">
        <v>823</v>
      </c>
      <c r="BU16" s="3654"/>
      <c r="BV16" s="3653" t="s">
        <v>823</v>
      </c>
      <c r="BW16" s="3654"/>
      <c r="BX16" s="3653" t="s">
        <v>823</v>
      </c>
      <c r="BY16" s="3654"/>
      <c r="BZ16" s="3653" t="s">
        <v>823</v>
      </c>
      <c r="CA16" s="3654"/>
      <c r="CB16" s="3653" t="s">
        <v>1381</v>
      </c>
      <c r="CC16" s="3654"/>
      <c r="CD16" s="3653" t="s">
        <v>823</v>
      </c>
      <c r="CE16" s="3654"/>
      <c r="CF16" s="3653" t="s">
        <v>1382</v>
      </c>
      <c r="CG16" s="3654"/>
      <c r="CH16" s="3653" t="s">
        <v>1383</v>
      </c>
      <c r="CI16" s="3654"/>
      <c r="CJ16" s="3653" t="s">
        <v>1383</v>
      </c>
      <c r="CK16" s="3654"/>
      <c r="CL16" s="3663"/>
      <c r="CM16" s="3655"/>
      <c r="CN16" s="3655"/>
      <c r="CO16" s="3655"/>
      <c r="CP16" s="3655"/>
      <c r="CQ16" s="3655"/>
      <c r="CR16" s="3655"/>
      <c r="CS16" s="3655"/>
      <c r="CT16" s="3655"/>
      <c r="CU16" s="3655"/>
      <c r="CV16" s="3655"/>
      <c r="CW16" s="3655"/>
      <c r="CX16" s="3656"/>
      <c r="CY16" s="3583" t="s">
        <v>823</v>
      </c>
      <c r="CZ16" s="3639"/>
      <c r="DA16" s="3583" t="s">
        <v>823</v>
      </c>
      <c r="DB16" s="3639"/>
      <c r="DC16" s="3583" t="s">
        <v>823</v>
      </c>
      <c r="DD16" s="3639"/>
      <c r="DE16" s="3653" t="s">
        <v>1381</v>
      </c>
      <c r="DF16" s="3654"/>
      <c r="DG16" s="3653" t="s">
        <v>1384</v>
      </c>
      <c r="DH16" s="3654"/>
      <c r="DI16" s="3653" t="s">
        <v>1384</v>
      </c>
      <c r="DJ16" s="3654"/>
      <c r="DK16" s="3663"/>
      <c r="DL16" s="3655"/>
      <c r="DM16" s="3655"/>
      <c r="DN16" s="3655"/>
      <c r="DO16" s="3655"/>
      <c r="DP16" s="3655"/>
      <c r="DQ16" s="3655"/>
      <c r="DR16" s="3655"/>
      <c r="DS16" s="3655"/>
      <c r="DT16" s="3655"/>
      <c r="DU16" s="3655"/>
      <c r="DV16" s="3655"/>
      <c r="DW16" s="3655"/>
      <c r="DX16" s="3655"/>
      <c r="DY16" s="3655"/>
      <c r="DZ16" s="3655"/>
      <c r="EA16" s="3655"/>
      <c r="EB16" s="3655"/>
      <c r="EC16" s="3655"/>
      <c r="ED16" s="3655"/>
      <c r="EE16" s="3655"/>
      <c r="EF16" s="3655"/>
      <c r="EG16" s="3655"/>
      <c r="EH16" s="3655"/>
      <c r="EI16" s="3655"/>
      <c r="EJ16" s="3655"/>
      <c r="EK16" s="3655"/>
      <c r="EL16" s="3655"/>
      <c r="EM16" s="3655"/>
      <c r="EN16" s="3655"/>
      <c r="EO16" s="3655"/>
      <c r="EP16" s="3655"/>
      <c r="EQ16" s="3655"/>
      <c r="ER16" s="3655"/>
      <c r="ES16" s="3655"/>
      <c r="ET16" s="3655"/>
      <c r="EU16" s="3655"/>
      <c r="EV16" s="3655"/>
      <c r="EW16" s="3655"/>
      <c r="EX16" s="3655"/>
      <c r="EY16" s="3655"/>
      <c r="EZ16" s="3655"/>
      <c r="FA16" s="3655"/>
      <c r="FB16" s="3655"/>
      <c r="FC16" s="3655"/>
      <c r="FD16" s="3655"/>
      <c r="FE16" s="3655"/>
      <c r="FF16" s="3655"/>
      <c r="FG16" s="3655"/>
      <c r="FH16" s="3655"/>
      <c r="FI16" s="3655"/>
      <c r="FJ16" s="3655"/>
      <c r="FK16" s="3655"/>
      <c r="FL16" s="3655"/>
      <c r="FM16" s="3655"/>
      <c r="FN16" s="3655"/>
      <c r="FO16" s="3655"/>
      <c r="FP16" s="3655"/>
      <c r="FQ16" s="3655"/>
      <c r="FR16" s="3655"/>
      <c r="FS16" s="3655"/>
      <c r="FT16" s="3655"/>
      <c r="FU16" s="3655"/>
      <c r="FV16" s="3655"/>
      <c r="FW16" s="3661"/>
      <c r="FX16" s="648"/>
    </row>
    <row r="17" spans="1:184" ht="15" customHeight="1">
      <c r="E17" s="809"/>
      <c r="F17" s="3484"/>
      <c r="G17" s="3484"/>
      <c r="H17" s="3484"/>
      <c r="I17" s="3484"/>
      <c r="J17" s="3673"/>
      <c r="K17" s="3673"/>
      <c r="L17" s="3673"/>
      <c r="M17" s="3673"/>
      <c r="N17" s="3673"/>
      <c r="O17" s="1056" t="s">
        <v>1385</v>
      </c>
      <c r="P17" s="1056" t="s">
        <v>1386</v>
      </c>
      <c r="Q17" s="1056" t="s">
        <v>1385</v>
      </c>
      <c r="R17" s="1056" t="s">
        <v>1386</v>
      </c>
      <c r="S17" s="1056" t="s">
        <v>1385</v>
      </c>
      <c r="T17" s="1056" t="s">
        <v>1386</v>
      </c>
      <c r="U17" s="1056" t="s">
        <v>1385</v>
      </c>
      <c r="V17" s="1056" t="s">
        <v>1386</v>
      </c>
      <c r="W17" s="1056" t="s">
        <v>1385</v>
      </c>
      <c r="X17" s="1056" t="s">
        <v>1386</v>
      </c>
      <c r="Y17" s="1056" t="s">
        <v>1385</v>
      </c>
      <c r="Z17" s="1056" t="s">
        <v>1386</v>
      </c>
      <c r="AA17" s="1056" t="s">
        <v>1385</v>
      </c>
      <c r="AB17" s="1056" t="s">
        <v>1386</v>
      </c>
      <c r="AC17" s="3655"/>
      <c r="AD17" s="3655"/>
      <c r="AE17" s="3655"/>
      <c r="AF17" s="3655"/>
      <c r="AG17" s="3655"/>
      <c r="AH17" s="3655"/>
      <c r="AI17" s="3655"/>
      <c r="AJ17" s="3655"/>
      <c r="AK17" s="3655"/>
      <c r="AL17" s="3655"/>
      <c r="AM17" s="3655"/>
      <c r="AN17" s="3655"/>
      <c r="AO17" s="3655"/>
      <c r="AP17" s="3655"/>
      <c r="AQ17" s="3655"/>
      <c r="AR17" s="3655"/>
      <c r="AS17" s="3655"/>
      <c r="AT17" s="3655"/>
      <c r="AU17" s="3655"/>
      <c r="AV17" s="3655"/>
      <c r="AW17" s="3655"/>
      <c r="AX17" s="3655"/>
      <c r="AY17" s="3655"/>
      <c r="AZ17" s="3655"/>
      <c r="BA17" s="3655"/>
      <c r="BB17" s="3655"/>
      <c r="BC17" s="3655"/>
      <c r="BD17" s="3655"/>
      <c r="BE17" s="3655"/>
      <c r="BF17" s="3655"/>
      <c r="BG17" s="3655"/>
      <c r="BH17" s="3655"/>
      <c r="BI17" s="3655"/>
      <c r="BJ17" s="3655"/>
      <c r="BK17" s="3655"/>
      <c r="BL17" s="3655"/>
      <c r="BM17" s="3655"/>
      <c r="BN17" s="3655"/>
      <c r="BO17" s="3655"/>
      <c r="BP17" s="3655"/>
      <c r="BQ17" s="3655"/>
      <c r="BR17" s="3655"/>
      <c r="BS17" s="3656"/>
      <c r="BT17" s="1056" t="s">
        <v>1385</v>
      </c>
      <c r="BU17" s="1056" t="s">
        <v>1386</v>
      </c>
      <c r="BV17" s="1056" t="s">
        <v>1385</v>
      </c>
      <c r="BW17" s="1056" t="s">
        <v>1386</v>
      </c>
      <c r="BX17" s="1056" t="s">
        <v>1385</v>
      </c>
      <c r="BY17" s="1056" t="s">
        <v>1386</v>
      </c>
      <c r="BZ17" s="1056" t="s">
        <v>1385</v>
      </c>
      <c r="CA17" s="1056" t="s">
        <v>1386</v>
      </c>
      <c r="CB17" s="1056" t="s">
        <v>1385</v>
      </c>
      <c r="CC17" s="1056" t="s">
        <v>1386</v>
      </c>
      <c r="CD17" s="1056" t="s">
        <v>1385</v>
      </c>
      <c r="CE17" s="1056" t="s">
        <v>1386</v>
      </c>
      <c r="CF17" s="1056" t="s">
        <v>1385</v>
      </c>
      <c r="CG17" s="1056" t="s">
        <v>1386</v>
      </c>
      <c r="CH17" s="1056" t="s">
        <v>1385</v>
      </c>
      <c r="CI17" s="1056" t="s">
        <v>1386</v>
      </c>
      <c r="CJ17" s="1056" t="s">
        <v>1385</v>
      </c>
      <c r="CK17" s="1056" t="s">
        <v>1386</v>
      </c>
      <c r="CL17" s="3663"/>
      <c r="CM17" s="3655"/>
      <c r="CN17" s="3655"/>
      <c r="CO17" s="3655"/>
      <c r="CP17" s="3655"/>
      <c r="CQ17" s="3655"/>
      <c r="CR17" s="3655"/>
      <c r="CS17" s="3655"/>
      <c r="CT17" s="3655"/>
      <c r="CU17" s="3655"/>
      <c r="CV17" s="3655"/>
      <c r="CW17" s="3655"/>
      <c r="CX17" s="3656"/>
      <c r="CY17" s="1056" t="s">
        <v>1385</v>
      </c>
      <c r="CZ17" s="1056" t="s">
        <v>1386</v>
      </c>
      <c r="DA17" s="1056" t="s">
        <v>1385</v>
      </c>
      <c r="DB17" s="1056" t="s">
        <v>1386</v>
      </c>
      <c r="DC17" s="1056" t="s">
        <v>1385</v>
      </c>
      <c r="DD17" s="1056" t="s">
        <v>1386</v>
      </c>
      <c r="DE17" s="1056" t="s">
        <v>1385</v>
      </c>
      <c r="DF17" s="1056" t="s">
        <v>1386</v>
      </c>
      <c r="DG17" s="1056" t="s">
        <v>1385</v>
      </c>
      <c r="DH17" s="1056" t="s">
        <v>1386</v>
      </c>
      <c r="DI17" s="1056" t="s">
        <v>1385</v>
      </c>
      <c r="DJ17" s="1056" t="s">
        <v>1386</v>
      </c>
      <c r="DK17" s="3663"/>
      <c r="DL17" s="3655"/>
      <c r="DM17" s="3655"/>
      <c r="DN17" s="3655"/>
      <c r="DO17" s="3655"/>
      <c r="DP17" s="3655"/>
      <c r="DQ17" s="3655"/>
      <c r="DR17" s="3655"/>
      <c r="DS17" s="3655"/>
      <c r="DT17" s="3655"/>
      <c r="DU17" s="3655"/>
      <c r="DV17" s="3655"/>
      <c r="DW17" s="3655"/>
      <c r="DX17" s="3655"/>
      <c r="DY17" s="3655"/>
      <c r="DZ17" s="3655"/>
      <c r="EA17" s="3655"/>
      <c r="EB17" s="3655"/>
      <c r="EC17" s="3655"/>
      <c r="ED17" s="3655"/>
      <c r="EE17" s="3655"/>
      <c r="EF17" s="3655"/>
      <c r="EG17" s="3655"/>
      <c r="EH17" s="3655"/>
      <c r="EI17" s="3655"/>
      <c r="EJ17" s="3655"/>
      <c r="EK17" s="3655"/>
      <c r="EL17" s="3655"/>
      <c r="EM17" s="3655"/>
      <c r="EN17" s="3655"/>
      <c r="EO17" s="3655"/>
      <c r="EP17" s="3655"/>
      <c r="EQ17" s="3655"/>
      <c r="ER17" s="3655"/>
      <c r="ES17" s="3655"/>
      <c r="ET17" s="3655"/>
      <c r="EU17" s="3655"/>
      <c r="EV17" s="3655"/>
      <c r="EW17" s="3655"/>
      <c r="EX17" s="3655"/>
      <c r="EY17" s="3655"/>
      <c r="EZ17" s="3655"/>
      <c r="FA17" s="3655"/>
      <c r="FB17" s="3655"/>
      <c r="FC17" s="3655"/>
      <c r="FD17" s="3655"/>
      <c r="FE17" s="3655"/>
      <c r="FF17" s="3655"/>
      <c r="FG17" s="3655"/>
      <c r="FH17" s="3655"/>
      <c r="FI17" s="3655"/>
      <c r="FJ17" s="3655"/>
      <c r="FK17" s="3655"/>
      <c r="FL17" s="3655"/>
      <c r="FM17" s="3655"/>
      <c r="FN17" s="3655"/>
      <c r="FO17" s="3655"/>
      <c r="FP17" s="3655"/>
      <c r="FQ17" s="3655"/>
      <c r="FR17" s="3655"/>
      <c r="FS17" s="3655"/>
      <c r="FT17" s="3655"/>
      <c r="FU17" s="3655"/>
      <c r="FV17" s="3655"/>
      <c r="FW17" s="3662"/>
      <c r="FX17" s="648"/>
    </row>
    <row r="18" spans="1:184" s="1893" customFormat="1" ht="12" hidden="1" customHeight="1">
      <c r="B18" s="798"/>
      <c r="E18" s="811"/>
      <c r="F18" s="1057"/>
      <c r="G18" s="1057"/>
      <c r="H18" s="1057"/>
      <c r="I18" s="1057"/>
      <c r="J18" s="1058"/>
      <c r="K18" s="1058"/>
      <c r="L18" s="1058"/>
      <c r="M18" s="1058"/>
      <c r="N18" s="1058"/>
      <c r="O18" s="1057"/>
      <c r="P18" s="1057"/>
      <c r="Q18" s="1057"/>
      <c r="R18" s="1057"/>
      <c r="S18" s="1057"/>
      <c r="T18" s="1057"/>
      <c r="U18" s="1059"/>
      <c r="V18" s="1059"/>
      <c r="W18" s="1059"/>
      <c r="X18" s="1059"/>
      <c r="Y18" s="1059"/>
      <c r="Z18" s="1059"/>
      <c r="AA18" s="1059"/>
      <c r="AB18" s="1057"/>
      <c r="AC18" s="1058"/>
      <c r="AD18" s="1058"/>
      <c r="AE18" s="1058"/>
      <c r="AF18" s="1058"/>
      <c r="AG18" s="1058"/>
      <c r="AH18" s="1058"/>
      <c r="AI18" s="1058"/>
      <c r="AJ18" s="1058"/>
      <c r="AK18" s="1058"/>
      <c r="AL18" s="1058"/>
      <c r="AM18" s="1058"/>
      <c r="AN18" s="1058"/>
      <c r="AO18" s="1058"/>
      <c r="AP18" s="1058"/>
      <c r="AQ18" s="1058"/>
      <c r="AR18" s="1058"/>
      <c r="AS18" s="1058"/>
      <c r="AT18" s="1058"/>
      <c r="AU18" s="1058"/>
      <c r="AV18" s="1058"/>
      <c r="AW18" s="1058"/>
      <c r="AX18" s="1058"/>
      <c r="AY18" s="1058"/>
      <c r="AZ18" s="1058"/>
      <c r="BA18" s="1058"/>
      <c r="BB18" s="1058"/>
      <c r="BC18" s="1058"/>
      <c r="BD18" s="1058"/>
      <c r="BE18" s="1058"/>
      <c r="BF18" s="1058"/>
      <c r="BG18" s="1058"/>
      <c r="BH18" s="1058"/>
      <c r="BI18" s="1058"/>
      <c r="BJ18" s="1058"/>
      <c r="BK18" s="1058"/>
      <c r="BL18" s="1058"/>
      <c r="BM18" s="1058"/>
      <c r="BN18" s="1058"/>
      <c r="BO18" s="1058"/>
      <c r="BP18" s="1058"/>
      <c r="BQ18" s="1058"/>
      <c r="BR18" s="1058"/>
      <c r="BS18" s="1058"/>
      <c r="BT18" s="1060"/>
      <c r="BU18" s="1060"/>
      <c r="BV18" s="1060"/>
      <c r="BW18" s="1060"/>
      <c r="BX18" s="1060"/>
      <c r="BY18" s="1060"/>
      <c r="BZ18" s="1060"/>
      <c r="CA18" s="1060"/>
      <c r="CB18" s="1060"/>
      <c r="CC18" s="1060"/>
      <c r="CD18" s="1060"/>
      <c r="CE18" s="1060"/>
      <c r="CF18" s="1060"/>
      <c r="CG18" s="1060"/>
      <c r="CH18" s="1060"/>
      <c r="CI18" s="1060"/>
      <c r="CJ18" s="1060"/>
      <c r="CK18" s="1060"/>
      <c r="CL18" s="1058"/>
      <c r="CM18" s="1058"/>
      <c r="CN18" s="1058"/>
      <c r="CO18" s="1058"/>
      <c r="CP18" s="1058"/>
      <c r="CQ18" s="1058"/>
      <c r="CR18" s="1058"/>
      <c r="CS18" s="1058"/>
      <c r="CT18" s="1058"/>
      <c r="CU18" s="1058"/>
      <c r="CV18" s="1058"/>
      <c r="CW18" s="1058"/>
      <c r="CX18" s="1058"/>
      <c r="CY18" s="1060"/>
      <c r="CZ18" s="1060"/>
      <c r="DA18" s="1060"/>
      <c r="DB18" s="1060"/>
      <c r="DC18" s="1060"/>
      <c r="DD18" s="1060"/>
      <c r="DE18" s="1060"/>
      <c r="DF18" s="1060"/>
      <c r="DG18" s="1060"/>
      <c r="DH18" s="1060"/>
      <c r="DI18" s="1060"/>
      <c r="DJ18" s="1060"/>
      <c r="DK18" s="1058"/>
      <c r="DL18" s="1058"/>
      <c r="DM18" s="1058"/>
      <c r="DN18" s="1058"/>
      <c r="DO18" s="1058"/>
      <c r="DP18" s="1058"/>
      <c r="DQ18" s="1058"/>
      <c r="DR18" s="1058"/>
      <c r="DS18" s="1058"/>
      <c r="DT18" s="1058"/>
      <c r="DU18" s="1058"/>
      <c r="DV18" s="1058"/>
      <c r="DW18" s="1058"/>
      <c r="DX18" s="1058"/>
      <c r="DY18" s="1058"/>
      <c r="DZ18" s="1058"/>
      <c r="EA18" s="1058"/>
      <c r="EB18" s="1058"/>
      <c r="EC18" s="1058"/>
      <c r="ED18" s="1058"/>
      <c r="EE18" s="1058"/>
      <c r="EF18" s="1058"/>
      <c r="EG18" s="1058"/>
      <c r="EH18" s="1058"/>
      <c r="EI18" s="1058"/>
      <c r="EJ18" s="1058"/>
      <c r="EK18" s="1058"/>
      <c r="EL18" s="1058"/>
      <c r="EM18" s="1058"/>
      <c r="EN18" s="1058"/>
      <c r="EO18" s="1058"/>
      <c r="EP18" s="1058"/>
      <c r="EQ18" s="1058"/>
      <c r="ER18" s="1058"/>
      <c r="ES18" s="1058"/>
      <c r="ET18" s="1058"/>
      <c r="EU18" s="1058"/>
      <c r="EV18" s="1058"/>
      <c r="EW18" s="1058"/>
      <c r="EX18" s="1058"/>
      <c r="EY18" s="1058"/>
      <c r="EZ18" s="1058"/>
      <c r="FA18" s="1058"/>
      <c r="FB18" s="1058"/>
      <c r="FC18" s="1058"/>
      <c r="FD18" s="1058"/>
      <c r="FE18" s="1058"/>
      <c r="FF18" s="1058"/>
      <c r="FG18" s="1058"/>
      <c r="FH18" s="1058"/>
      <c r="FI18" s="1058"/>
      <c r="FJ18" s="1058"/>
      <c r="FK18" s="1058"/>
      <c r="FL18" s="1058"/>
      <c r="FM18" s="1058"/>
      <c r="FN18" s="1058"/>
      <c r="FO18" s="1058"/>
      <c r="FP18" s="1058"/>
      <c r="FQ18" s="1058"/>
      <c r="FR18" s="1058"/>
      <c r="FS18" s="1058"/>
      <c r="FT18" s="1058"/>
      <c r="FU18" s="1058"/>
      <c r="FV18" s="1058"/>
      <c r="FW18" s="1057"/>
      <c r="FX18" s="1061"/>
    </row>
    <row r="19" spans="1:184" s="1893" customFormat="1" ht="11.25" hidden="1" customHeight="1">
      <c r="B19" s="798"/>
      <c r="E19" s="811"/>
      <c r="F19" s="1057"/>
      <c r="G19" s="1057"/>
      <c r="H19" s="1057"/>
      <c r="I19" s="1057"/>
      <c r="J19" s="1057"/>
      <c r="K19" s="1057"/>
      <c r="L19" s="1057"/>
      <c r="M19" s="1057"/>
      <c r="N19" s="1057"/>
      <c r="O19" s="1057"/>
      <c r="P19" s="1057"/>
      <c r="Q19" s="1057"/>
      <c r="R19" s="1057"/>
      <c r="S19" s="1057"/>
      <c r="T19" s="1057"/>
      <c r="U19" s="1059"/>
      <c r="V19" s="1059"/>
      <c r="W19" s="1059"/>
      <c r="X19" s="1059"/>
      <c r="Y19" s="1059"/>
      <c r="Z19" s="1059"/>
      <c r="AA19" s="1059"/>
      <c r="AB19" s="1057"/>
      <c r="AC19" s="1057"/>
      <c r="AD19" s="1057"/>
      <c r="AE19" s="1057"/>
      <c r="AF19" s="1057"/>
      <c r="AG19" s="1057"/>
      <c r="AH19" s="1057"/>
      <c r="AI19" s="1057"/>
      <c r="AJ19" s="1057"/>
      <c r="AK19" s="1057"/>
      <c r="AL19" s="1057"/>
      <c r="AM19" s="1057"/>
      <c r="AN19" s="1057"/>
      <c r="AO19" s="1057"/>
      <c r="AP19" s="1057"/>
      <c r="AQ19" s="1057"/>
      <c r="AR19" s="1057"/>
      <c r="AS19" s="1057"/>
      <c r="AT19" s="1057"/>
      <c r="AU19" s="1057"/>
      <c r="AV19" s="1057"/>
      <c r="AW19" s="1057"/>
      <c r="AX19" s="1057"/>
      <c r="AY19" s="1057"/>
      <c r="AZ19" s="1057"/>
      <c r="BA19" s="1057"/>
      <c r="BB19" s="1057"/>
      <c r="BC19" s="1057"/>
      <c r="BD19" s="1057"/>
      <c r="BE19" s="1057"/>
      <c r="BF19" s="1057"/>
      <c r="BG19" s="1057"/>
      <c r="BH19" s="1057"/>
      <c r="BI19" s="1057"/>
      <c r="BJ19" s="1057"/>
      <c r="BK19" s="1057"/>
      <c r="BL19" s="1057"/>
      <c r="BM19" s="1057"/>
      <c r="BN19" s="1057"/>
      <c r="BO19" s="1057"/>
      <c r="BP19" s="1057"/>
      <c r="BQ19" s="1057"/>
      <c r="BR19" s="1057"/>
      <c r="BS19" s="1057"/>
      <c r="BT19" s="1057"/>
      <c r="BU19" s="1057"/>
      <c r="BV19" s="1057"/>
      <c r="BW19" s="1057"/>
      <c r="BX19" s="1057"/>
      <c r="BY19" s="1057"/>
      <c r="BZ19" s="1057"/>
      <c r="CA19" s="1057"/>
      <c r="CB19" s="1057"/>
      <c r="CC19" s="1057"/>
      <c r="CD19" s="1057"/>
      <c r="CE19" s="1057"/>
      <c r="CF19" s="1057"/>
      <c r="CG19" s="1057"/>
      <c r="CH19" s="1057"/>
      <c r="CI19" s="1057"/>
      <c r="CJ19" s="1057"/>
      <c r="CK19" s="1057"/>
      <c r="CL19" s="1057"/>
      <c r="CM19" s="1057"/>
      <c r="CN19" s="1057"/>
      <c r="CO19" s="1057"/>
      <c r="CP19" s="1057"/>
      <c r="CQ19" s="1057"/>
      <c r="CR19" s="1057"/>
      <c r="CS19" s="1057"/>
      <c r="CT19" s="1057"/>
      <c r="CU19" s="1057"/>
      <c r="CV19" s="1057"/>
      <c r="CW19" s="1057"/>
      <c r="CX19" s="1057"/>
      <c r="CY19" s="1057"/>
      <c r="CZ19" s="1057"/>
      <c r="DA19" s="1057"/>
      <c r="DB19" s="1057"/>
      <c r="DC19" s="1057"/>
      <c r="DD19" s="1057"/>
      <c r="DE19" s="1057"/>
      <c r="DF19" s="1057"/>
      <c r="DG19" s="1057"/>
      <c r="DH19" s="1057"/>
      <c r="DI19" s="1057"/>
      <c r="DJ19" s="1057"/>
      <c r="DK19" s="1057"/>
      <c r="DL19" s="1057"/>
      <c r="DM19" s="1057"/>
      <c r="DN19" s="1057"/>
      <c r="DO19" s="1057"/>
      <c r="DP19" s="1057"/>
      <c r="DQ19" s="1057"/>
      <c r="DR19" s="1057"/>
      <c r="DS19" s="1057"/>
      <c r="DT19" s="1057"/>
      <c r="DU19" s="1057"/>
      <c r="DV19" s="1057"/>
      <c r="DW19" s="1057"/>
      <c r="DX19" s="1057"/>
      <c r="DY19" s="1057"/>
      <c r="DZ19" s="1057"/>
      <c r="EA19" s="1057"/>
      <c r="EB19" s="1057"/>
      <c r="EC19" s="1057"/>
      <c r="ED19" s="1057"/>
      <c r="EE19" s="1057"/>
      <c r="EF19" s="1057"/>
      <c r="EG19" s="1057"/>
      <c r="EH19" s="1057"/>
      <c r="EI19" s="1057"/>
      <c r="EJ19" s="1057"/>
      <c r="EK19" s="1057"/>
      <c r="EL19" s="1057"/>
      <c r="EM19" s="1057"/>
      <c r="EN19" s="1057"/>
      <c r="EO19" s="1057"/>
      <c r="EP19" s="1057"/>
      <c r="EQ19" s="1057"/>
      <c r="ER19" s="1057"/>
      <c r="ES19" s="1057"/>
      <c r="ET19" s="1057"/>
      <c r="EU19" s="1057"/>
      <c r="EV19" s="1057"/>
      <c r="EW19" s="1057"/>
      <c r="EX19" s="1057"/>
      <c r="EY19" s="1057"/>
      <c r="EZ19" s="1057"/>
      <c r="FA19" s="1057"/>
      <c r="FB19" s="1057"/>
      <c r="FC19" s="1057"/>
      <c r="FD19" s="1057"/>
      <c r="FE19" s="1057"/>
      <c r="FF19" s="1057"/>
      <c r="FG19" s="1057"/>
      <c r="FH19" s="1057"/>
      <c r="FI19" s="1057"/>
      <c r="FJ19" s="1057"/>
      <c r="FK19" s="1057"/>
      <c r="FL19" s="1057"/>
      <c r="FM19" s="1057"/>
      <c r="FN19" s="1057"/>
      <c r="FO19" s="1057"/>
      <c r="FP19" s="1057"/>
      <c r="FQ19" s="1057"/>
      <c r="FR19" s="1057"/>
      <c r="FS19" s="1057"/>
      <c r="FT19" s="1057"/>
      <c r="FU19" s="1057"/>
      <c r="FV19" s="1057"/>
      <c r="FW19" s="1057"/>
      <c r="FX19" s="1061"/>
    </row>
    <row r="20" spans="1:184" s="1893" customFormat="1" ht="11.25" hidden="1" customHeight="1">
      <c r="B20" s="812"/>
      <c r="D20" s="799"/>
      <c r="E20" s="811"/>
      <c r="F20" s="1062" t="s">
        <v>638</v>
      </c>
      <c r="G20" s="1063"/>
      <c r="H20" s="1064"/>
      <c r="I20" s="1064"/>
      <c r="J20" s="1064"/>
      <c r="K20" s="1064"/>
      <c r="L20" s="1064"/>
      <c r="M20" s="1064"/>
      <c r="N20" s="1064"/>
      <c r="O20" s="1063"/>
      <c r="P20" s="1063"/>
      <c r="Q20" s="1063"/>
      <c r="R20" s="1063"/>
      <c r="S20" s="1063"/>
      <c r="T20" s="1063"/>
      <c r="U20" s="1065"/>
      <c r="V20" s="1065"/>
      <c r="W20" s="1065"/>
      <c r="X20" s="1065"/>
      <c r="Y20" s="1065"/>
      <c r="Z20" s="1065"/>
      <c r="AA20" s="1065"/>
      <c r="AB20" s="1063"/>
      <c r="AC20" s="1064"/>
      <c r="AD20" s="1064"/>
      <c r="AE20" s="1064"/>
      <c r="AF20" s="1064"/>
      <c r="AG20" s="1064"/>
      <c r="AH20" s="1064"/>
      <c r="AI20" s="1064"/>
      <c r="AJ20" s="1064"/>
      <c r="AK20" s="1064"/>
      <c r="AL20" s="1064"/>
      <c r="AM20" s="1064"/>
      <c r="AN20" s="1064"/>
      <c r="AO20" s="1064"/>
      <c r="AP20" s="1064"/>
      <c r="AQ20" s="1064"/>
      <c r="AR20" s="1064"/>
      <c r="AS20" s="1064"/>
      <c r="AT20" s="1064"/>
      <c r="AU20" s="1064"/>
      <c r="AV20" s="1064"/>
      <c r="AW20" s="1064"/>
      <c r="AX20" s="1064"/>
      <c r="AY20" s="1064"/>
      <c r="AZ20" s="1064"/>
      <c r="BA20" s="1064"/>
      <c r="BB20" s="1064"/>
      <c r="BC20" s="1064"/>
      <c r="BD20" s="1064"/>
      <c r="BE20" s="1064"/>
      <c r="BF20" s="1064"/>
      <c r="BG20" s="1064"/>
      <c r="BH20" s="1064"/>
      <c r="BI20" s="1064"/>
      <c r="BJ20" s="1064"/>
      <c r="BK20" s="1064"/>
      <c r="BL20" s="1064"/>
      <c r="BM20" s="1064"/>
      <c r="BN20" s="1064"/>
      <c r="BO20" s="1064"/>
      <c r="BP20" s="1064"/>
      <c r="BQ20" s="1064"/>
      <c r="BR20" s="1064"/>
      <c r="BS20" s="1064"/>
      <c r="BT20" s="1064"/>
      <c r="BU20" s="1064"/>
      <c r="BV20" s="1064"/>
      <c r="BW20" s="1064"/>
      <c r="BX20" s="1064"/>
      <c r="BY20" s="1064"/>
      <c r="BZ20" s="1064"/>
      <c r="CA20" s="1064"/>
      <c r="CB20" s="1064"/>
      <c r="CC20" s="1064"/>
      <c r="CD20" s="1064"/>
      <c r="CE20" s="1064"/>
      <c r="CF20" s="1064"/>
      <c r="CG20" s="1064"/>
      <c r="CH20" s="1064"/>
      <c r="CI20" s="1064"/>
      <c r="CJ20" s="1064"/>
      <c r="CK20" s="1064"/>
      <c r="CL20" s="1066"/>
      <c r="CM20" s="1066"/>
      <c r="CN20" s="1066"/>
      <c r="CO20" s="1066"/>
      <c r="CP20" s="1066"/>
      <c r="CQ20" s="1066"/>
      <c r="CR20" s="1066"/>
      <c r="CS20" s="1066"/>
      <c r="CT20" s="1066"/>
      <c r="CU20" s="1066"/>
      <c r="CV20" s="1066"/>
      <c r="CW20" s="1066"/>
      <c r="CX20" s="1066"/>
      <c r="CY20" s="1066"/>
      <c r="CZ20" s="1066"/>
      <c r="DA20" s="1066"/>
      <c r="DB20" s="1066"/>
      <c r="DC20" s="1066"/>
      <c r="DD20" s="1066"/>
      <c r="DE20" s="1066"/>
      <c r="DF20" s="1066"/>
      <c r="DG20" s="1066"/>
      <c r="DH20" s="1066"/>
      <c r="DI20" s="1066"/>
      <c r="DJ20" s="1066"/>
      <c r="DK20" s="1066"/>
      <c r="DL20" s="1066"/>
      <c r="DM20" s="1066"/>
      <c r="DN20" s="1066"/>
      <c r="DO20" s="1066"/>
      <c r="DP20" s="1066"/>
      <c r="DQ20" s="1066"/>
      <c r="DR20" s="1066"/>
      <c r="DS20" s="1066"/>
      <c r="DT20" s="1066"/>
      <c r="DU20" s="1066"/>
      <c r="DV20" s="1066"/>
      <c r="DW20" s="1066"/>
      <c r="DX20" s="1066"/>
      <c r="DY20" s="1066"/>
      <c r="DZ20" s="1066"/>
      <c r="EA20" s="1066"/>
      <c r="EB20" s="1066"/>
      <c r="EC20" s="1066"/>
      <c r="ED20" s="1066"/>
      <c r="EE20" s="1066"/>
      <c r="EF20" s="1066"/>
      <c r="EG20" s="1066"/>
      <c r="EH20" s="1066"/>
      <c r="EI20" s="1066"/>
      <c r="EJ20" s="1066"/>
      <c r="EK20" s="1066"/>
      <c r="EL20" s="1066"/>
      <c r="EM20" s="1066"/>
      <c r="EN20" s="1066"/>
      <c r="EO20" s="1066"/>
      <c r="EP20" s="1066"/>
      <c r="EQ20" s="1066"/>
      <c r="ER20" s="1066"/>
      <c r="ES20" s="1066"/>
      <c r="ET20" s="1066"/>
      <c r="EU20" s="1066"/>
      <c r="EV20" s="1066"/>
      <c r="EW20" s="1066"/>
      <c r="EX20" s="1066"/>
      <c r="EY20" s="1066"/>
      <c r="EZ20" s="1066"/>
      <c r="FA20" s="1066"/>
      <c r="FB20" s="1066"/>
      <c r="FC20" s="1066"/>
      <c r="FD20" s="1066"/>
      <c r="FE20" s="1066"/>
      <c r="FF20" s="1066"/>
      <c r="FG20" s="1066"/>
      <c r="FH20" s="1066"/>
      <c r="FI20" s="1066"/>
      <c r="FJ20" s="1066"/>
      <c r="FK20" s="1066"/>
      <c r="FL20" s="1066"/>
      <c r="FM20" s="1066"/>
      <c r="FN20" s="1066"/>
      <c r="FO20" s="1066"/>
      <c r="FP20" s="1066"/>
      <c r="FQ20" s="1066"/>
      <c r="FR20" s="1066"/>
      <c r="FS20" s="1066"/>
      <c r="FT20" s="1066"/>
      <c r="FU20" s="1066"/>
      <c r="FV20" s="1066"/>
      <c r="FW20" s="1066"/>
      <c r="FX20" s="1067"/>
    </row>
    <row r="21" spans="1:184" s="1893" customFormat="1" ht="12" customHeight="1">
      <c r="A21" s="813"/>
      <c r="B21" s="813"/>
      <c r="C21" s="813"/>
      <c r="D21" s="813"/>
      <c r="E21" s="813"/>
      <c r="F21" s="811"/>
      <c r="G21" s="811"/>
      <c r="H21" s="811"/>
      <c r="I21" s="811"/>
      <c r="J21" s="811"/>
      <c r="K21" s="811"/>
      <c r="L21" s="811"/>
      <c r="M21" s="811"/>
      <c r="N21" s="811"/>
      <c r="O21" s="811"/>
      <c r="P21" s="811"/>
      <c r="Q21" s="811"/>
      <c r="R21" s="811"/>
      <c r="S21" s="814"/>
      <c r="T21" s="814"/>
      <c r="U21" s="811"/>
      <c r="V21" s="811"/>
      <c r="W21" s="811"/>
      <c r="X21" s="811"/>
      <c r="Y21" s="811"/>
      <c r="Z21" s="811"/>
      <c r="AA21" s="811"/>
      <c r="AB21" s="811"/>
      <c r="AC21" s="811"/>
      <c r="AD21" s="811"/>
      <c r="AE21" s="811"/>
      <c r="AF21" s="811"/>
      <c r="AG21" s="811"/>
      <c r="AH21" s="811"/>
      <c r="AI21" s="811"/>
      <c r="AJ21" s="811"/>
      <c r="AK21" s="811"/>
      <c r="AL21" s="811"/>
      <c r="AM21" s="811"/>
      <c r="AN21" s="811"/>
      <c r="AO21" s="811"/>
      <c r="AP21" s="811"/>
      <c r="AQ21" s="811"/>
      <c r="AR21" s="811"/>
      <c r="AS21" s="811"/>
      <c r="AT21" s="811"/>
      <c r="AU21" s="811"/>
      <c r="AV21" s="811"/>
      <c r="AW21" s="811"/>
      <c r="AX21" s="811"/>
      <c r="AY21" s="811"/>
      <c r="AZ21" s="811"/>
      <c r="BA21" s="811"/>
      <c r="BB21" s="811"/>
      <c r="BC21" s="811"/>
      <c r="BD21" s="811"/>
      <c r="BE21" s="811"/>
      <c r="BF21" s="811"/>
      <c r="BG21" s="811"/>
      <c r="BH21" s="811"/>
      <c r="BI21" s="811"/>
      <c r="BJ21" s="811"/>
      <c r="BK21" s="811"/>
      <c r="BL21" s="811"/>
      <c r="BM21" s="811"/>
      <c r="BN21" s="811"/>
      <c r="BO21" s="811"/>
      <c r="BP21" s="811"/>
      <c r="BQ21" s="811"/>
      <c r="BR21" s="811"/>
      <c r="BS21" s="811"/>
      <c r="BT21" s="811"/>
      <c r="BU21" s="811"/>
      <c r="BV21" s="811"/>
      <c r="BW21" s="811"/>
      <c r="BX21" s="811"/>
      <c r="BY21" s="811"/>
      <c r="BZ21" s="811"/>
      <c r="CA21" s="811"/>
      <c r="CB21" s="811"/>
      <c r="CC21" s="811"/>
      <c r="CD21" s="811"/>
      <c r="CE21" s="811"/>
      <c r="CF21" s="811"/>
      <c r="CG21" s="811"/>
      <c r="CH21" s="811"/>
      <c r="CI21" s="811"/>
      <c r="CJ21" s="811"/>
      <c r="CK21" s="811"/>
      <c r="CL21" s="811"/>
      <c r="CM21" s="811"/>
      <c r="CN21" s="811"/>
      <c r="CO21" s="811"/>
      <c r="CP21" s="811"/>
      <c r="CQ21" s="811"/>
      <c r="CR21" s="811"/>
      <c r="CS21" s="811"/>
      <c r="CT21" s="811"/>
      <c r="CU21" s="811"/>
      <c r="CV21" s="811"/>
      <c r="CW21" s="811"/>
      <c r="CX21" s="811"/>
      <c r="CY21" s="811"/>
      <c r="CZ21" s="811"/>
      <c r="DA21" s="811"/>
      <c r="DB21" s="811"/>
      <c r="DC21" s="811"/>
      <c r="DD21" s="811"/>
      <c r="DE21" s="811"/>
      <c r="DF21" s="811"/>
      <c r="DG21" s="811"/>
      <c r="DH21" s="811"/>
      <c r="DI21" s="811"/>
      <c r="DJ21" s="811"/>
      <c r="DK21" s="811"/>
      <c r="DL21" s="811"/>
      <c r="DM21" s="811"/>
      <c r="DN21" s="811"/>
      <c r="DO21" s="811"/>
      <c r="DP21" s="811"/>
      <c r="DQ21" s="811"/>
      <c r="DR21" s="811"/>
      <c r="DS21" s="811"/>
      <c r="DT21" s="811"/>
      <c r="DU21" s="811"/>
      <c r="DV21" s="811"/>
      <c r="DW21" s="811"/>
      <c r="DX21" s="811"/>
      <c r="DY21" s="811"/>
      <c r="DZ21" s="811"/>
      <c r="EA21" s="811"/>
      <c r="EB21" s="811"/>
      <c r="EC21" s="811"/>
      <c r="ED21" s="811"/>
      <c r="EE21" s="811"/>
      <c r="EF21" s="811"/>
      <c r="EG21" s="811"/>
      <c r="EH21" s="811"/>
      <c r="EI21" s="811"/>
      <c r="EJ21" s="811"/>
      <c r="EK21" s="811"/>
      <c r="EL21" s="811"/>
      <c r="EM21" s="811"/>
      <c r="EN21" s="811"/>
      <c r="EO21" s="811"/>
      <c r="EP21" s="811"/>
      <c r="EQ21" s="811"/>
      <c r="ER21" s="811"/>
      <c r="ES21" s="811"/>
      <c r="ET21" s="811"/>
      <c r="EU21" s="811"/>
      <c r="EV21" s="811"/>
      <c r="EW21" s="811"/>
      <c r="EX21" s="811"/>
      <c r="EY21" s="811"/>
      <c r="EZ21" s="811"/>
      <c r="FA21" s="811"/>
      <c r="FB21" s="811"/>
      <c r="FC21" s="811"/>
      <c r="FD21" s="811"/>
      <c r="FE21" s="811"/>
      <c r="FF21" s="811"/>
      <c r="FG21" s="811"/>
      <c r="FH21" s="811"/>
      <c r="FI21" s="811"/>
      <c r="FJ21" s="811"/>
      <c r="FK21" s="811"/>
      <c r="FL21" s="811"/>
      <c r="FM21" s="811"/>
      <c r="FN21" s="811"/>
      <c r="FO21" s="811"/>
      <c r="FP21" s="811"/>
      <c r="FQ21" s="811"/>
      <c r="FR21" s="811"/>
      <c r="FS21" s="811"/>
      <c r="FT21" s="811"/>
      <c r="FU21" s="811"/>
      <c r="FV21" s="811"/>
      <c r="FW21" s="811"/>
      <c r="FX21" s="813"/>
      <c r="FY21" s="813"/>
      <c r="FZ21" s="813"/>
      <c r="GA21" s="813"/>
      <c r="GB21" s="813"/>
    </row>
    <row r="22" spans="1:184" s="1893" customFormat="1" ht="12" customHeight="1">
      <c r="A22" s="813"/>
      <c r="B22" s="813"/>
      <c r="C22" s="813"/>
      <c r="D22" s="813"/>
      <c r="E22" s="813"/>
      <c r="FX22" s="813"/>
      <c r="FY22" s="813"/>
      <c r="FZ22" s="813"/>
      <c r="GA22" s="813"/>
      <c r="GB22" s="813"/>
    </row>
    <row r="23" spans="1:184" s="1898" customFormat="1" ht="12" customHeight="1">
      <c r="A23" s="932"/>
      <c r="B23" s="932"/>
      <c r="C23" s="932"/>
      <c r="D23" s="932"/>
      <c r="E23" s="932"/>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33"/>
      <c r="AO23" s="933"/>
      <c r="AP23" s="933"/>
      <c r="AQ23" s="933"/>
      <c r="AR23" s="933"/>
      <c r="AS23" s="933"/>
      <c r="AT23" s="933"/>
      <c r="AU23" s="933"/>
      <c r="AV23" s="933"/>
      <c r="AW23" s="933"/>
      <c r="AX23" s="933"/>
      <c r="AY23" s="933"/>
      <c r="AZ23" s="933"/>
      <c r="BA23" s="933"/>
      <c r="BB23" s="933"/>
      <c r="BC23" s="933"/>
      <c r="BD23" s="933"/>
      <c r="BE23" s="933"/>
      <c r="BF23" s="933"/>
      <c r="BG23" s="933"/>
      <c r="BH23" s="933"/>
      <c r="BI23" s="933"/>
      <c r="BJ23" s="933"/>
      <c r="BK23" s="933"/>
      <c r="BL23" s="933"/>
      <c r="BM23" s="933"/>
      <c r="BN23" s="933"/>
      <c r="BO23" s="933"/>
      <c r="BP23" s="933"/>
      <c r="BQ23" s="933"/>
      <c r="BR23" s="933"/>
      <c r="BS23" s="933"/>
      <c r="BT23" s="934"/>
      <c r="BU23" s="934"/>
      <c r="BV23" s="934"/>
      <c r="BW23" s="934"/>
      <c r="BX23" s="934"/>
      <c r="BY23" s="934"/>
      <c r="BZ23" s="934"/>
      <c r="CA23" s="934"/>
      <c r="CB23" s="934"/>
      <c r="CC23" s="934"/>
      <c r="CD23" s="934"/>
      <c r="CE23" s="934"/>
      <c r="CF23" s="934"/>
      <c r="CG23" s="934"/>
      <c r="CH23" s="934"/>
      <c r="CI23" s="934"/>
      <c r="CJ23" s="934"/>
      <c r="CK23" s="934"/>
      <c r="CL23" s="934"/>
      <c r="CM23" s="934"/>
      <c r="CN23" s="934"/>
      <c r="CO23" s="934"/>
      <c r="CP23" s="934"/>
      <c r="CQ23" s="934"/>
      <c r="CR23" s="934"/>
      <c r="CS23" s="934"/>
      <c r="CT23" s="934"/>
      <c r="CU23" s="934"/>
      <c r="CV23" s="934"/>
      <c r="CW23" s="934"/>
      <c r="CX23" s="934"/>
      <c r="CY23" s="934"/>
      <c r="CZ23" s="934"/>
      <c r="DA23" s="934"/>
      <c r="DB23" s="934"/>
      <c r="DC23" s="934"/>
      <c r="DD23" s="934"/>
      <c r="DE23" s="934"/>
      <c r="DF23" s="934"/>
      <c r="DG23" s="934"/>
      <c r="DH23" s="934"/>
      <c r="DI23" s="934"/>
      <c r="DJ23" s="934"/>
      <c r="DK23" s="934"/>
      <c r="DL23" s="934"/>
      <c r="DM23" s="934"/>
      <c r="DN23" s="934"/>
      <c r="DO23" s="934"/>
      <c r="DP23" s="934"/>
      <c r="DQ23" s="934"/>
      <c r="DR23" s="934"/>
      <c r="DS23" s="934"/>
      <c r="DT23" s="934"/>
      <c r="DU23" s="934"/>
      <c r="DV23" s="934"/>
      <c r="DW23" s="934"/>
      <c r="DX23" s="934"/>
      <c r="FX23" s="932"/>
      <c r="FY23" s="932"/>
      <c r="FZ23" s="932"/>
      <c r="GA23" s="932"/>
      <c r="GB23" s="932"/>
    </row>
    <row r="24" spans="1:184" ht="12" customHeight="1">
      <c r="S24" s="810"/>
      <c r="T24" s="810"/>
      <c r="U24" s="810"/>
      <c r="V24" s="810"/>
      <c r="W24" s="810"/>
      <c r="X24" s="810"/>
      <c r="Y24" s="810"/>
      <c r="Z24" s="810"/>
      <c r="AA24" s="810"/>
      <c r="AB24" s="810"/>
      <c r="FX24" s="810"/>
      <c r="FY24" s="810"/>
      <c r="FZ24" s="810"/>
      <c r="GA24" s="810"/>
      <c r="GB24" s="810"/>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9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9447E-3997-81E7-E9A7-0DEDCAE57EC8}">
  <sheetPr>
    <tabColor theme="2" tint="-9.9978637043366805E-2"/>
  </sheetPr>
  <dimension ref="A1:DF114"/>
  <sheetViews>
    <sheetView showGridLines="0" topLeftCell="CR32" zoomScale="90" workbookViewId="0">
      <selection activeCell="CW21" sqref="CW21:CW114"/>
    </sheetView>
  </sheetViews>
  <sheetFormatPr defaultColWidth="10.5703125" defaultRowHeight="15" customHeight="1"/>
  <cols>
    <col min="1" max="1" width="9.140625" style="1926" hidden="1" customWidth="1"/>
    <col min="2" max="2" width="9.140625" style="1910" hidden="1" customWidth="1"/>
    <col min="3" max="3" width="4.7109375" style="1921" customWidth="1"/>
    <col min="4" max="4" width="6.28515625" style="1910" customWidth="1"/>
    <col min="5" max="5" width="36.7109375" style="1910" customWidth="1"/>
    <col min="6" max="6" width="9.5703125" style="1910" customWidth="1"/>
    <col min="7" max="7" width="42.42578125" style="1910" hidden="1" customWidth="1"/>
    <col min="8" max="8" width="40.7109375" style="1910" customWidth="1"/>
    <col min="9" max="100" width="42.42578125" style="1910" customWidth="1"/>
    <col min="101" max="101" width="93.42578125" style="1903" customWidth="1"/>
    <col min="102" max="109" width="10.5703125" style="1910"/>
    <col min="110" max="110" width="10.5703125" style="1911"/>
  </cols>
  <sheetData>
    <row r="1" spans="1:110" s="1903" customFormat="1" ht="15" hidden="1" customHeight="1">
      <c r="C1" s="564"/>
      <c r="H1" s="324">
        <v>4</v>
      </c>
      <c r="DF1" s="326"/>
    </row>
    <row r="2" spans="1:110" ht="22.5" hidden="1" customHeight="1">
      <c r="C2" s="1764" t="s">
        <v>118</v>
      </c>
      <c r="D2" s="436"/>
      <c r="E2" s="555"/>
      <c r="F2" s="1604" t="str">
        <f>IF(TEMPLATE_SPHERE="HEAT","Гкал/час","тыс. куб. м/сутки")</f>
        <v>Гкал/час</v>
      </c>
      <c r="G2" s="572"/>
      <c r="H2" s="572"/>
      <c r="I2" s="1872"/>
      <c r="J2" s="1872"/>
      <c r="K2" s="1872"/>
      <c r="L2" s="187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1872"/>
      <c r="AO2" s="1872"/>
      <c r="AP2" s="1872"/>
      <c r="AQ2" s="1872"/>
      <c r="AR2" s="187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c r="BP2" s="1872"/>
      <c r="BQ2" s="1872"/>
      <c r="BR2" s="1872"/>
      <c r="BS2" s="1872"/>
      <c r="BT2" s="1872"/>
      <c r="BU2" s="1872"/>
      <c r="BV2" s="1872"/>
      <c r="BW2" s="1872"/>
      <c r="BX2" s="1872"/>
      <c r="BY2" s="1872"/>
      <c r="BZ2" s="1872"/>
      <c r="CA2" s="1872"/>
      <c r="CB2" s="1872"/>
      <c r="CC2" s="1872"/>
      <c r="CD2" s="1872"/>
      <c r="CE2" s="1872"/>
      <c r="CF2" s="1872"/>
      <c r="CG2" s="1872"/>
      <c r="CH2" s="1872"/>
      <c r="CI2" s="1872"/>
      <c r="CJ2" s="1872"/>
      <c r="CK2" s="1872"/>
      <c r="CL2" s="1872"/>
      <c r="CM2" s="1872"/>
      <c r="CN2" s="1872"/>
      <c r="CO2" s="1872"/>
      <c r="CP2" s="1872"/>
      <c r="CQ2" s="1872"/>
      <c r="CR2" s="1872"/>
      <c r="CS2" s="1872"/>
      <c r="CT2" s="1872"/>
      <c r="CU2" s="1872"/>
      <c r="CV2" s="1872"/>
      <c r="CW2" s="201"/>
    </row>
    <row r="3" spans="1:110" s="1903" customFormat="1" ht="15" hidden="1" customHeight="1">
      <c r="C3" s="564"/>
      <c r="DF3" s="326"/>
    </row>
    <row r="4" spans="1:110" ht="15" customHeight="1">
      <c r="C4" s="93"/>
      <c r="D4" s="407"/>
      <c r="E4" s="407"/>
      <c r="F4" s="407"/>
      <c r="G4" s="407"/>
      <c r="H4" s="407"/>
    </row>
    <row r="5" spans="1:110" ht="37.5" customHeight="1">
      <c r="C5" s="93"/>
      <c r="D5" s="350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3509"/>
      <c r="F5" s="3509"/>
      <c r="G5" s="3509"/>
      <c r="H5" s="3509"/>
      <c r="I5" s="1835"/>
      <c r="J5" s="1835"/>
      <c r="K5" s="1835"/>
      <c r="L5" s="1835"/>
      <c r="M5" s="1835"/>
      <c r="N5" s="1835"/>
      <c r="O5" s="1835"/>
      <c r="P5" s="1835"/>
      <c r="Q5" s="1835"/>
      <c r="R5" s="1835"/>
      <c r="S5" s="1835"/>
      <c r="T5" s="1835"/>
      <c r="U5" s="1835"/>
      <c r="V5" s="1835"/>
      <c r="W5" s="1835"/>
      <c r="X5" s="1835"/>
      <c r="Y5" s="1835"/>
      <c r="Z5" s="1835"/>
      <c r="AA5" s="1835"/>
      <c r="AB5" s="1835"/>
      <c r="AC5" s="1835"/>
      <c r="AD5" s="1835"/>
      <c r="AE5" s="1835"/>
      <c r="AF5" s="1835"/>
      <c r="AG5" s="1835"/>
      <c r="AH5" s="1835"/>
      <c r="AI5" s="1835"/>
      <c r="AJ5" s="1835"/>
      <c r="AK5" s="1835"/>
      <c r="AL5" s="1835"/>
      <c r="AM5" s="1835"/>
      <c r="AN5" s="1835"/>
      <c r="AO5" s="1835"/>
      <c r="AP5" s="1835"/>
      <c r="AQ5" s="1835"/>
      <c r="AR5" s="1835"/>
      <c r="AS5" s="1835"/>
      <c r="AT5" s="1835"/>
      <c r="AU5" s="1835"/>
      <c r="AV5" s="1835"/>
      <c r="AW5" s="1835"/>
      <c r="AX5" s="1835"/>
      <c r="AY5" s="1835"/>
      <c r="AZ5" s="1835"/>
      <c r="BA5" s="1835"/>
      <c r="BB5" s="1835"/>
      <c r="BC5" s="1835"/>
      <c r="BD5" s="1835"/>
      <c r="BE5" s="1835"/>
      <c r="BF5" s="1835"/>
      <c r="BG5" s="1835"/>
      <c r="BH5" s="1835"/>
      <c r="BI5" s="1835"/>
      <c r="BJ5" s="1835"/>
      <c r="BK5" s="1835"/>
      <c r="BL5" s="1835"/>
      <c r="BM5" s="1835"/>
      <c r="BN5" s="1835"/>
      <c r="BO5" s="1835"/>
      <c r="BP5" s="1835"/>
      <c r="BQ5" s="1835"/>
      <c r="BR5" s="1835"/>
      <c r="BS5" s="1835"/>
      <c r="BT5" s="1835"/>
      <c r="BU5" s="1835"/>
      <c r="BV5" s="1835"/>
      <c r="BW5" s="1835"/>
      <c r="BX5" s="1835"/>
      <c r="BY5" s="1835"/>
      <c r="BZ5" s="1835"/>
      <c r="CA5" s="1835"/>
      <c r="CB5" s="1835"/>
      <c r="CC5" s="1835"/>
      <c r="CD5" s="1835"/>
      <c r="CE5" s="1835"/>
      <c r="CF5" s="1835"/>
      <c r="CG5" s="1835"/>
      <c r="CH5" s="1835"/>
      <c r="CI5" s="1835"/>
      <c r="CJ5" s="1835"/>
      <c r="CK5" s="1835"/>
      <c r="CL5" s="1835"/>
      <c r="CM5" s="1835"/>
      <c r="CN5" s="1835"/>
      <c r="CO5" s="1835"/>
      <c r="CP5" s="1835"/>
      <c r="CQ5" s="1835"/>
      <c r="CR5" s="1835"/>
      <c r="CS5" s="1835"/>
      <c r="CT5" s="1835"/>
      <c r="CU5" s="1835"/>
      <c r="CV5" s="1835"/>
      <c r="CW5" s="434"/>
    </row>
    <row r="6" spans="1:110" ht="15" customHeight="1">
      <c r="C6" s="93"/>
      <c r="D6" s="3480" t="str">
        <f>IF(org=0,"Не определено",org)</f>
        <v>АО "Орелгортеплоэнерго"</v>
      </c>
      <c r="E6" s="3480"/>
      <c r="F6" s="3480"/>
      <c r="G6" s="3480"/>
      <c r="H6" s="3480"/>
      <c r="I6" s="1836"/>
      <c r="J6" s="1836"/>
      <c r="K6" s="1836"/>
      <c r="L6" s="1836"/>
      <c r="M6" s="1836"/>
      <c r="N6" s="1836"/>
      <c r="O6" s="1836"/>
      <c r="P6" s="1836"/>
      <c r="Q6" s="1836"/>
      <c r="R6" s="1836"/>
      <c r="S6" s="1836"/>
      <c r="T6" s="1836"/>
      <c r="U6" s="1836"/>
      <c r="V6" s="1836"/>
      <c r="W6" s="1836"/>
      <c r="X6" s="1836"/>
      <c r="Y6" s="1836"/>
      <c r="Z6" s="1836"/>
      <c r="AA6" s="1836"/>
      <c r="AB6" s="1836"/>
      <c r="AC6" s="1836"/>
      <c r="AD6" s="1836"/>
      <c r="AE6" s="1836"/>
      <c r="AF6" s="1836"/>
      <c r="AG6" s="1836"/>
      <c r="AH6" s="1836"/>
      <c r="AI6" s="1836"/>
      <c r="AJ6" s="1836"/>
      <c r="AK6" s="1836"/>
      <c r="AL6" s="1836"/>
      <c r="AM6" s="1836"/>
      <c r="AN6" s="1836"/>
      <c r="AO6" s="1836"/>
      <c r="AP6" s="1836"/>
      <c r="AQ6" s="1836"/>
      <c r="AR6" s="1836"/>
      <c r="AS6" s="1836"/>
      <c r="AT6" s="1836"/>
      <c r="AU6" s="1836"/>
      <c r="AV6" s="1836"/>
      <c r="AW6" s="1836"/>
      <c r="AX6" s="1836"/>
      <c r="AY6" s="1836"/>
      <c r="AZ6" s="1836"/>
      <c r="BA6" s="1836"/>
      <c r="BB6" s="1836"/>
      <c r="BC6" s="1836"/>
      <c r="BD6" s="1836"/>
      <c r="BE6" s="1836"/>
      <c r="BF6" s="1836"/>
      <c r="BG6" s="1836"/>
      <c r="BH6" s="1836"/>
      <c r="BI6" s="1836"/>
      <c r="BJ6" s="1836"/>
      <c r="BK6" s="1836"/>
      <c r="BL6" s="1836"/>
      <c r="BM6" s="1836"/>
      <c r="BN6" s="1836"/>
      <c r="BO6" s="1836"/>
      <c r="BP6" s="1836"/>
      <c r="BQ6" s="1836"/>
      <c r="BR6" s="1836"/>
      <c r="BS6" s="1836"/>
      <c r="BT6" s="1836"/>
      <c r="BU6" s="1836"/>
      <c r="BV6" s="1836"/>
      <c r="BW6" s="1836"/>
      <c r="BX6" s="1836"/>
      <c r="BY6" s="1836"/>
      <c r="BZ6" s="1836"/>
      <c r="CA6" s="1836"/>
      <c r="CB6" s="1836"/>
      <c r="CC6" s="1836"/>
      <c r="CD6" s="1836"/>
      <c r="CE6" s="1836"/>
      <c r="CF6" s="1836"/>
      <c r="CG6" s="1836"/>
      <c r="CH6" s="1836"/>
      <c r="CI6" s="1836"/>
      <c r="CJ6" s="1836"/>
      <c r="CK6" s="1836"/>
      <c r="CL6" s="1836"/>
      <c r="CM6" s="1836"/>
      <c r="CN6" s="1836"/>
      <c r="CO6" s="1836"/>
      <c r="CP6" s="1836"/>
      <c r="CQ6" s="1836"/>
      <c r="CR6" s="1836"/>
      <c r="CS6" s="1836"/>
      <c r="CT6" s="1836"/>
      <c r="CU6" s="1836"/>
      <c r="CV6" s="1836"/>
      <c r="CW6" s="434"/>
    </row>
    <row r="7" spans="1:110" s="1910" customFormat="1" ht="15" customHeight="1">
      <c r="A7" s="645"/>
      <c r="C7" s="93"/>
      <c r="D7" s="568"/>
      <c r="E7" s="568"/>
      <c r="F7" s="568"/>
      <c r="G7" s="568"/>
      <c r="H7" s="640"/>
      <c r="I7" s="1951" t="s">
        <v>18</v>
      </c>
      <c r="J7" s="1951" t="s">
        <v>18</v>
      </c>
      <c r="K7" s="1951" t="s">
        <v>18</v>
      </c>
      <c r="L7" s="1951" t="s">
        <v>18</v>
      </c>
      <c r="M7" s="1951" t="s">
        <v>18</v>
      </c>
      <c r="N7" s="1951" t="s">
        <v>18</v>
      </c>
      <c r="O7" s="1951" t="s">
        <v>18</v>
      </c>
      <c r="P7" s="1951" t="s">
        <v>18</v>
      </c>
      <c r="Q7" s="1951" t="s">
        <v>18</v>
      </c>
      <c r="R7" s="1951" t="s">
        <v>18</v>
      </c>
      <c r="S7" s="1951" t="s">
        <v>18</v>
      </c>
      <c r="T7" s="1951" t="s">
        <v>18</v>
      </c>
      <c r="U7" s="1951" t="s">
        <v>18</v>
      </c>
      <c r="V7" s="1951" t="s">
        <v>18</v>
      </c>
      <c r="W7" s="1951" t="s">
        <v>18</v>
      </c>
      <c r="X7" s="1951" t="s">
        <v>18</v>
      </c>
      <c r="Y7" s="1951" t="s">
        <v>18</v>
      </c>
      <c r="Z7" s="1951" t="s">
        <v>18</v>
      </c>
      <c r="AA7" s="1951" t="s">
        <v>18</v>
      </c>
      <c r="AB7" s="1951" t="s">
        <v>18</v>
      </c>
      <c r="AC7" s="1951" t="s">
        <v>18</v>
      </c>
      <c r="AD7" s="1951" t="s">
        <v>18</v>
      </c>
      <c r="AE7" s="1951" t="s">
        <v>18</v>
      </c>
      <c r="AF7" s="1951" t="s">
        <v>18</v>
      </c>
      <c r="AG7" s="1951" t="s">
        <v>18</v>
      </c>
      <c r="AH7" s="1951" t="s">
        <v>18</v>
      </c>
      <c r="AI7" s="1951" t="s">
        <v>18</v>
      </c>
      <c r="AJ7" s="1951" t="s">
        <v>18</v>
      </c>
      <c r="AK7" s="1951" t="s">
        <v>18</v>
      </c>
      <c r="AL7" s="1951" t="s">
        <v>18</v>
      </c>
      <c r="AM7" s="1951" t="s">
        <v>18</v>
      </c>
      <c r="AN7" s="1951" t="s">
        <v>18</v>
      </c>
      <c r="AO7" s="1951" t="s">
        <v>18</v>
      </c>
      <c r="AP7" s="1951" t="s">
        <v>18</v>
      </c>
      <c r="AQ7" s="1951" t="s">
        <v>18</v>
      </c>
      <c r="AR7" s="1951" t="s">
        <v>18</v>
      </c>
      <c r="AS7" s="1951" t="s">
        <v>18</v>
      </c>
      <c r="AT7" s="1951" t="s">
        <v>18</v>
      </c>
      <c r="AU7" s="1951" t="s">
        <v>18</v>
      </c>
      <c r="AV7" s="1951" t="s">
        <v>18</v>
      </c>
      <c r="AW7" s="1951" t="s">
        <v>18</v>
      </c>
      <c r="AX7" s="1951" t="s">
        <v>18</v>
      </c>
      <c r="AY7" s="1951" t="s">
        <v>18</v>
      </c>
      <c r="AZ7" s="1951" t="s">
        <v>18</v>
      </c>
      <c r="BA7" s="1951" t="s">
        <v>18</v>
      </c>
      <c r="BB7" s="1951" t="s">
        <v>18</v>
      </c>
      <c r="BC7" s="1951" t="s">
        <v>18</v>
      </c>
      <c r="BD7" s="1951" t="s">
        <v>18</v>
      </c>
      <c r="BE7" s="1951" t="s">
        <v>18</v>
      </c>
      <c r="BF7" s="1951" t="s">
        <v>18</v>
      </c>
      <c r="BG7" s="1951" t="s">
        <v>18</v>
      </c>
      <c r="BH7" s="1951" t="s">
        <v>18</v>
      </c>
      <c r="BI7" s="1951" t="s">
        <v>18</v>
      </c>
      <c r="BJ7" s="1951" t="s">
        <v>18</v>
      </c>
      <c r="BK7" s="1951" t="s">
        <v>18</v>
      </c>
      <c r="BL7" s="1951" t="s">
        <v>18</v>
      </c>
      <c r="BM7" s="1951" t="s">
        <v>18</v>
      </c>
      <c r="BN7" s="1951" t="s">
        <v>18</v>
      </c>
      <c r="BO7" s="1951" t="s">
        <v>18</v>
      </c>
      <c r="BP7" s="1951" t="s">
        <v>18</v>
      </c>
      <c r="BQ7" s="1951" t="s">
        <v>18</v>
      </c>
      <c r="BR7" s="1951" t="s">
        <v>18</v>
      </c>
      <c r="BS7" s="1951" t="s">
        <v>18</v>
      </c>
      <c r="BT7" s="1951" t="s">
        <v>18</v>
      </c>
      <c r="BU7" s="1951" t="s">
        <v>18</v>
      </c>
      <c r="BV7" s="1951" t="s">
        <v>18</v>
      </c>
      <c r="BW7" s="1951" t="s">
        <v>18</v>
      </c>
      <c r="BX7" s="1951" t="s">
        <v>18</v>
      </c>
      <c r="BY7" s="1951" t="s">
        <v>18</v>
      </c>
      <c r="BZ7" s="1951" t="s">
        <v>18</v>
      </c>
      <c r="CA7" s="1951" t="s">
        <v>18</v>
      </c>
      <c r="CB7" s="1951" t="s">
        <v>18</v>
      </c>
      <c r="CC7" s="1951" t="s">
        <v>18</v>
      </c>
      <c r="CD7" s="1951" t="s">
        <v>18</v>
      </c>
      <c r="CE7" s="1951" t="s">
        <v>18</v>
      </c>
      <c r="CF7" s="1951" t="s">
        <v>18</v>
      </c>
      <c r="CG7" s="1951" t="s">
        <v>18</v>
      </c>
      <c r="CH7" s="1951" t="s">
        <v>18</v>
      </c>
      <c r="CI7" s="1951" t="s">
        <v>18</v>
      </c>
      <c r="CJ7" s="1951" t="s">
        <v>18</v>
      </c>
      <c r="CK7" s="1951" t="s">
        <v>18</v>
      </c>
      <c r="CL7" s="1951" t="s">
        <v>18</v>
      </c>
      <c r="CM7" s="1951" t="s">
        <v>18</v>
      </c>
      <c r="CN7" s="1951" t="s">
        <v>18</v>
      </c>
      <c r="CO7" s="1951" t="s">
        <v>18</v>
      </c>
      <c r="CP7" s="1951" t="s">
        <v>18</v>
      </c>
      <c r="CQ7" s="1951" t="s">
        <v>18</v>
      </c>
      <c r="CR7" s="1951" t="s">
        <v>18</v>
      </c>
      <c r="CS7" s="1951" t="s">
        <v>18</v>
      </c>
      <c r="CT7" s="1951" t="s">
        <v>18</v>
      </c>
      <c r="CU7" s="1951" t="s">
        <v>18</v>
      </c>
      <c r="CV7" s="1951" t="s">
        <v>18</v>
      </c>
      <c r="CW7" s="434"/>
      <c r="DF7" s="567"/>
    </row>
    <row r="8" spans="1:110" ht="0.75" customHeight="1">
      <c r="C8" s="93"/>
      <c r="D8" s="407"/>
      <c r="E8" s="407"/>
      <c r="F8" s="407"/>
      <c r="G8" s="407"/>
      <c r="H8" s="434" t="s">
        <v>115</v>
      </c>
      <c r="I8" s="1910" t="s">
        <v>120</v>
      </c>
      <c r="J8" s="1910" t="s">
        <v>122</v>
      </c>
      <c r="K8" s="1910" t="s">
        <v>124</v>
      </c>
      <c r="L8" s="1910" t="s">
        <v>126</v>
      </c>
      <c r="M8" s="1910" t="s">
        <v>128</v>
      </c>
      <c r="N8" s="1910" t="s">
        <v>130</v>
      </c>
      <c r="O8" s="1910" t="s">
        <v>132</v>
      </c>
      <c r="P8" s="1910" t="s">
        <v>135</v>
      </c>
      <c r="Q8" s="1910" t="s">
        <v>138</v>
      </c>
      <c r="R8" s="1910" t="s">
        <v>141</v>
      </c>
      <c r="S8" s="1910" t="s">
        <v>144</v>
      </c>
      <c r="T8" s="1910" t="s">
        <v>147</v>
      </c>
      <c r="U8" s="1910" t="s">
        <v>150</v>
      </c>
      <c r="V8" s="1910" t="s">
        <v>153</v>
      </c>
      <c r="W8" s="1910" t="s">
        <v>156</v>
      </c>
      <c r="X8" s="1910" t="s">
        <v>159</v>
      </c>
      <c r="Y8" s="1910" t="s">
        <v>162</v>
      </c>
      <c r="Z8" s="1910" t="s">
        <v>165</v>
      </c>
      <c r="AA8" s="1910" t="s">
        <v>168</v>
      </c>
      <c r="AB8" s="1910" t="s">
        <v>171</v>
      </c>
      <c r="AC8" s="1910" t="s">
        <v>174</v>
      </c>
      <c r="AD8" s="1910" t="s">
        <v>177</v>
      </c>
      <c r="AE8" s="1910" t="s">
        <v>180</v>
      </c>
      <c r="AF8" s="1910" t="s">
        <v>183</v>
      </c>
      <c r="AG8" s="1910" t="s">
        <v>186</v>
      </c>
      <c r="AH8" s="1910" t="s">
        <v>189</v>
      </c>
      <c r="AI8" s="1910" t="s">
        <v>192</v>
      </c>
      <c r="AJ8" s="1910" t="s">
        <v>195</v>
      </c>
      <c r="AK8" s="1910" t="s">
        <v>198</v>
      </c>
      <c r="AL8" s="1910" t="s">
        <v>201</v>
      </c>
      <c r="AM8" s="1910" t="s">
        <v>204</v>
      </c>
      <c r="AN8" s="1910" t="s">
        <v>207</v>
      </c>
      <c r="AO8" s="1910" t="s">
        <v>210</v>
      </c>
      <c r="AP8" s="1910" t="s">
        <v>213</v>
      </c>
      <c r="AQ8" s="1910" t="s">
        <v>216</v>
      </c>
      <c r="AR8" s="1910" t="s">
        <v>219</v>
      </c>
      <c r="AS8" s="1910" t="s">
        <v>222</v>
      </c>
      <c r="AT8" s="1910" t="s">
        <v>224</v>
      </c>
      <c r="AU8" s="1910" t="s">
        <v>227</v>
      </c>
      <c r="AV8" s="1910" t="s">
        <v>230</v>
      </c>
      <c r="AW8" s="1910" t="s">
        <v>233</v>
      </c>
      <c r="AX8" s="1910" t="s">
        <v>236</v>
      </c>
      <c r="AY8" s="1910" t="s">
        <v>239</v>
      </c>
      <c r="AZ8" s="1910" t="s">
        <v>242</v>
      </c>
      <c r="BA8" s="1910" t="s">
        <v>245</v>
      </c>
      <c r="BB8" s="1910" t="s">
        <v>248</v>
      </c>
      <c r="BC8" s="1910" t="s">
        <v>251</v>
      </c>
      <c r="BD8" s="1910" t="s">
        <v>254</v>
      </c>
      <c r="BE8" s="1910" t="s">
        <v>257</v>
      </c>
      <c r="BF8" s="1910" t="s">
        <v>260</v>
      </c>
      <c r="BG8" s="1910" t="s">
        <v>263</v>
      </c>
      <c r="BH8" s="1910" t="s">
        <v>266</v>
      </c>
      <c r="BI8" s="1910" t="s">
        <v>269</v>
      </c>
      <c r="BJ8" s="1910" t="s">
        <v>272</v>
      </c>
      <c r="BK8" s="1910" t="s">
        <v>275</v>
      </c>
      <c r="BL8" s="1910" t="s">
        <v>278</v>
      </c>
      <c r="BM8" s="1910" t="s">
        <v>281</v>
      </c>
      <c r="BN8" s="1910" t="s">
        <v>284</v>
      </c>
      <c r="BO8" s="1910" t="s">
        <v>287</v>
      </c>
      <c r="BP8" s="1910" t="s">
        <v>290</v>
      </c>
      <c r="BQ8" s="1910" t="s">
        <v>293</v>
      </c>
      <c r="BR8" s="1910" t="s">
        <v>296</v>
      </c>
      <c r="BS8" s="1910" t="s">
        <v>299</v>
      </c>
      <c r="BT8" s="1910" t="s">
        <v>302</v>
      </c>
      <c r="BU8" s="1910" t="s">
        <v>305</v>
      </c>
      <c r="BV8" s="1910" t="s">
        <v>308</v>
      </c>
      <c r="BW8" s="1910" t="s">
        <v>311</v>
      </c>
      <c r="BX8" s="1910" t="s">
        <v>314</v>
      </c>
      <c r="BY8" s="1910" t="s">
        <v>317</v>
      </c>
      <c r="BZ8" s="1910" t="s">
        <v>320</v>
      </c>
      <c r="CA8" s="1910" t="s">
        <v>323</v>
      </c>
      <c r="CB8" s="1910" t="s">
        <v>326</v>
      </c>
      <c r="CC8" s="1910" t="s">
        <v>329</v>
      </c>
      <c r="CD8" s="1910" t="s">
        <v>332</v>
      </c>
      <c r="CE8" s="1910" t="s">
        <v>335</v>
      </c>
      <c r="CF8" s="1910" t="s">
        <v>338</v>
      </c>
      <c r="CG8" s="1910" t="s">
        <v>341</v>
      </c>
      <c r="CH8" s="1910" t="s">
        <v>344</v>
      </c>
      <c r="CI8" s="1910" t="s">
        <v>347</v>
      </c>
      <c r="CJ8" s="1910" t="s">
        <v>350</v>
      </c>
      <c r="CK8" s="1910" t="s">
        <v>353</v>
      </c>
      <c r="CL8" s="1910" t="s">
        <v>356</v>
      </c>
      <c r="CM8" s="1910" t="s">
        <v>359</v>
      </c>
      <c r="CN8" s="1910" t="s">
        <v>362</v>
      </c>
      <c r="CO8" s="1910" t="s">
        <v>365</v>
      </c>
      <c r="CP8" s="1910" t="s">
        <v>368</v>
      </c>
      <c r="CQ8" s="1910" t="s">
        <v>371</v>
      </c>
      <c r="CR8" s="1910" t="s">
        <v>374</v>
      </c>
      <c r="CS8" s="1910" t="s">
        <v>377</v>
      </c>
      <c r="CT8" s="1910" t="s">
        <v>380</v>
      </c>
      <c r="CU8" s="1910" t="s">
        <v>383</v>
      </c>
      <c r="CV8" s="1910" t="s">
        <v>386</v>
      </c>
    </row>
    <row r="9" spans="1:110" ht="15" customHeight="1">
      <c r="C9" s="93"/>
      <c r="D9" s="601"/>
      <c r="E9" s="3607" t="s">
        <v>102</v>
      </c>
      <c r="F9" s="3608"/>
      <c r="G9" s="697" t="str">
        <f t="shared" ref="G9:AL9" si="0">IF(G8="","",INDEX(DIFFERENTIATION_UNMERGE_VD,MATCH(G8,DIFFERENTIATION_ID_DIFF,0)))</f>
        <v/>
      </c>
      <c r="H9" s="697" t="str">
        <f t="shared" si="0"/>
        <v>Производство тепловой энергии. Некомбинированная выработка</v>
      </c>
      <c r="I9" s="1900" t="str">
        <f t="shared" si="0"/>
        <v>Производство тепловой энергии. Некомбинированная выработка</v>
      </c>
      <c r="J9" s="1900" t="str">
        <f t="shared" si="0"/>
        <v>Производство тепловой энергии. Некомбинированная выработка</v>
      </c>
      <c r="K9" s="1900" t="str">
        <f t="shared" si="0"/>
        <v>Производство тепловой энергии. Некомбинированная выработка</v>
      </c>
      <c r="L9" s="1900" t="str">
        <f t="shared" si="0"/>
        <v>Производство тепловой энергии. Некомбинированная выработка</v>
      </c>
      <c r="M9" s="1900" t="str">
        <f t="shared" si="0"/>
        <v>Производство тепловой энергии. Некомбинированная выработка</v>
      </c>
      <c r="N9" s="1900" t="str">
        <f t="shared" si="0"/>
        <v>Производство тепловой энергии. Некомбинированная выработка</v>
      </c>
      <c r="O9" s="1900" t="str">
        <f t="shared" si="0"/>
        <v>Производство тепловой энергии. Некомбинированная выработка</v>
      </c>
      <c r="P9" s="1900" t="str">
        <f t="shared" si="0"/>
        <v>Производство тепловой энергии. Некомбинированная выработка</v>
      </c>
      <c r="Q9" s="1900" t="str">
        <f t="shared" si="0"/>
        <v>Производство тепловой энергии. Некомбинированная выработка</v>
      </c>
      <c r="R9" s="1900" t="str">
        <f t="shared" si="0"/>
        <v>Производство тепловой энергии. Некомбинированная выработка</v>
      </c>
      <c r="S9" s="1900" t="str">
        <f t="shared" si="0"/>
        <v>Производство тепловой энергии. Некомбинированная выработка</v>
      </c>
      <c r="T9" s="1900" t="str">
        <f t="shared" si="0"/>
        <v>Производство тепловой энергии. Некомбинированная выработка</v>
      </c>
      <c r="U9" s="1900" t="str">
        <f t="shared" si="0"/>
        <v>Производство тепловой энергии. Некомбинированная выработка</v>
      </c>
      <c r="V9" s="1900" t="str">
        <f t="shared" si="0"/>
        <v>Производство тепловой энергии. Некомбинированная выработка</v>
      </c>
      <c r="W9" s="1900" t="str">
        <f t="shared" si="0"/>
        <v>Производство тепловой энергии. Некомбинированная выработка</v>
      </c>
      <c r="X9" s="1900" t="str">
        <f t="shared" si="0"/>
        <v>Производство тепловой энергии. Некомбинированная выработка</v>
      </c>
      <c r="Y9" s="1900" t="str">
        <f t="shared" si="0"/>
        <v>Производство тепловой энергии. Некомбинированная выработка</v>
      </c>
      <c r="Z9" s="1900" t="str">
        <f t="shared" si="0"/>
        <v>Производство тепловой энергии. Некомбинированная выработка</v>
      </c>
      <c r="AA9" s="1900" t="str">
        <f t="shared" si="0"/>
        <v>Производство тепловой энергии. Некомбинированная выработка</v>
      </c>
      <c r="AB9" s="1900" t="str">
        <f t="shared" si="0"/>
        <v>Производство тепловой энергии. Некомбинированная выработка</v>
      </c>
      <c r="AC9" s="1900" t="str">
        <f t="shared" si="0"/>
        <v>Производство тепловой энергии. Некомбинированная выработка</v>
      </c>
      <c r="AD9" s="1900" t="str">
        <f t="shared" si="0"/>
        <v>Производство тепловой энергии. Некомбинированная выработка</v>
      </c>
      <c r="AE9" s="1900" t="str">
        <f t="shared" si="0"/>
        <v>Производство тепловой энергии. Некомбинированная выработка</v>
      </c>
      <c r="AF9" s="1900" t="str">
        <f t="shared" si="0"/>
        <v>Производство тепловой энергии. Некомбинированная выработка</v>
      </c>
      <c r="AG9" s="1900" t="str">
        <f t="shared" si="0"/>
        <v>Производство тепловой энергии. Некомбинированная выработка</v>
      </c>
      <c r="AH9" s="1900" t="str">
        <f t="shared" si="0"/>
        <v>Производство тепловой энергии. Некомбинированная выработка</v>
      </c>
      <c r="AI9" s="1900" t="str">
        <f t="shared" si="0"/>
        <v>Производство тепловой энергии. Некомбинированная выработка</v>
      </c>
      <c r="AJ9" s="1900" t="str">
        <f t="shared" si="0"/>
        <v>Производство тепловой энергии. Некомбинированная выработка</v>
      </c>
      <c r="AK9" s="1900" t="str">
        <f t="shared" si="0"/>
        <v>Производство тепловой энергии. Некомбинированная выработка</v>
      </c>
      <c r="AL9" s="1900" t="str">
        <f t="shared" si="0"/>
        <v>Производство тепловой энергии. Некомбинированная выработка</v>
      </c>
      <c r="AM9" s="1900" t="str">
        <f t="shared" ref="AM9:BR9" si="1">IF(AM8="","",INDEX(DIFFERENTIATION_UNMERGE_VD,MATCH(AM8,DIFFERENTIATION_ID_DIFF,0)))</f>
        <v>Производство тепловой энергии. Некомбинированная выработка</v>
      </c>
      <c r="AN9" s="1900" t="str">
        <f t="shared" si="1"/>
        <v>Производство тепловой энергии. Некомбинированная выработка</v>
      </c>
      <c r="AO9" s="1900" t="str">
        <f t="shared" si="1"/>
        <v>Производство тепловой энергии. Некомбинированная выработка</v>
      </c>
      <c r="AP9" s="1900" t="str">
        <f t="shared" si="1"/>
        <v>Производство тепловой энергии. Некомбинированная выработка</v>
      </c>
      <c r="AQ9" s="1900" t="str">
        <f t="shared" si="1"/>
        <v>Производство тепловой энергии. Некомбинированная выработка</v>
      </c>
      <c r="AR9" s="1900" t="str">
        <f t="shared" si="1"/>
        <v>Производство тепловой энергии. Некомбинированная выработка</v>
      </c>
      <c r="AS9" s="1900" t="str">
        <f t="shared" si="1"/>
        <v>Производство тепловой энергии. Некомбинированная выработка</v>
      </c>
      <c r="AT9" s="1900" t="str">
        <f t="shared" si="1"/>
        <v>Производство тепловой энергии. Некомбинированная выработка</v>
      </c>
      <c r="AU9" s="1900" t="str">
        <f t="shared" si="1"/>
        <v>Производство тепловой энергии. Некомбинированная выработка</v>
      </c>
      <c r="AV9" s="1900" t="str">
        <f t="shared" si="1"/>
        <v>Производство тепловой энергии. Некомбинированная выработка</v>
      </c>
      <c r="AW9" s="1900" t="str">
        <f t="shared" si="1"/>
        <v>Производство тепловой энергии. Некомбинированная выработка</v>
      </c>
      <c r="AX9" s="1900" t="str">
        <f t="shared" si="1"/>
        <v>Производство тепловой энергии. Некомбинированная выработка</v>
      </c>
      <c r="AY9" s="1900" t="str">
        <f t="shared" si="1"/>
        <v>Производство тепловой энергии. Некомбинированная выработка</v>
      </c>
      <c r="AZ9" s="1900" t="str">
        <f t="shared" si="1"/>
        <v>Производство тепловой энергии. Некомбинированная выработка</v>
      </c>
      <c r="BA9" s="1900" t="str">
        <f t="shared" si="1"/>
        <v>Производство тепловой энергии. Некомбинированная выработка</v>
      </c>
      <c r="BB9" s="1900" t="str">
        <f t="shared" si="1"/>
        <v>Производство тепловой энергии. Некомбинированная выработка</v>
      </c>
      <c r="BC9" s="1900" t="str">
        <f t="shared" si="1"/>
        <v>Производство тепловой энергии. Некомбинированная выработка</v>
      </c>
      <c r="BD9" s="1900" t="str">
        <f t="shared" si="1"/>
        <v>Производство тепловой энергии. Некомбинированная выработка</v>
      </c>
      <c r="BE9" s="1900" t="str">
        <f t="shared" si="1"/>
        <v>Производство тепловой энергии. Некомбинированная выработка</v>
      </c>
      <c r="BF9" s="1900" t="str">
        <f t="shared" si="1"/>
        <v>Производство тепловой энергии. Некомбинированная выработка</v>
      </c>
      <c r="BG9" s="1900" t="str">
        <f t="shared" si="1"/>
        <v>Производство тепловой энергии. Некомбинированная выработка</v>
      </c>
      <c r="BH9" s="1900" t="str">
        <f t="shared" si="1"/>
        <v>Производство тепловой энергии. Некомбинированная выработка</v>
      </c>
      <c r="BI9" s="1900" t="str">
        <f t="shared" si="1"/>
        <v>Производство тепловой энергии. Некомбинированная выработка</v>
      </c>
      <c r="BJ9" s="1900" t="str">
        <f t="shared" si="1"/>
        <v>Производство тепловой энергии. Некомбинированная выработка</v>
      </c>
      <c r="BK9" s="1900" t="str">
        <f t="shared" si="1"/>
        <v>Производство тепловой энергии. Некомбинированная выработка</v>
      </c>
      <c r="BL9" s="1900" t="str">
        <f t="shared" si="1"/>
        <v>Производство тепловой энергии. Некомбинированная выработка</v>
      </c>
      <c r="BM9" s="1900" t="str">
        <f t="shared" si="1"/>
        <v>Производство тепловой энергии. Некомбинированная выработка</v>
      </c>
      <c r="BN9" s="1900" t="str">
        <f t="shared" si="1"/>
        <v>Производство тепловой энергии. Некомбинированная выработка</v>
      </c>
      <c r="BO9" s="1900" t="str">
        <f t="shared" si="1"/>
        <v>Производство тепловой энергии. Некомбинированная выработка</v>
      </c>
      <c r="BP9" s="1900" t="str">
        <f t="shared" si="1"/>
        <v>Производство тепловой энергии. Некомбинированная выработка</v>
      </c>
      <c r="BQ9" s="1900" t="str">
        <f t="shared" si="1"/>
        <v>Производство тепловой энергии. Некомбинированная выработка</v>
      </c>
      <c r="BR9" s="1900" t="str">
        <f t="shared" si="1"/>
        <v>Производство тепловой энергии. Некомбинированная выработка</v>
      </c>
      <c r="BS9" s="1900" t="str">
        <f t="shared" ref="BS9:CX9" si="2">IF(BS8="","",INDEX(DIFFERENTIATION_UNMERGE_VD,MATCH(BS8,DIFFERENTIATION_ID_DIFF,0)))</f>
        <v>Производство тепловой энергии. Некомбинированная выработка</v>
      </c>
      <c r="BT9" s="1900" t="str">
        <f t="shared" si="2"/>
        <v>Производство тепловой энергии. Некомбинированная выработка</v>
      </c>
      <c r="BU9" s="1900" t="str">
        <f t="shared" si="2"/>
        <v>Производство тепловой энергии. Некомбинированная выработка</v>
      </c>
      <c r="BV9" s="1900" t="str">
        <f t="shared" si="2"/>
        <v>Производство тепловой энергии. Некомбинированная выработка</v>
      </c>
      <c r="BW9" s="1900" t="str">
        <f t="shared" si="2"/>
        <v>Производство тепловой энергии. Некомбинированная выработка</v>
      </c>
      <c r="BX9" s="1900" t="str">
        <f t="shared" si="2"/>
        <v>Производство тепловой энергии. Некомбинированная выработка</v>
      </c>
      <c r="BY9" s="1900" t="str">
        <f t="shared" si="2"/>
        <v>Производство тепловой энергии. Некомбинированная выработка</v>
      </c>
      <c r="BZ9" s="1900" t="str">
        <f t="shared" si="2"/>
        <v>Производство тепловой энергии. Некомбинированная выработка</v>
      </c>
      <c r="CA9" s="1900" t="str">
        <f t="shared" si="2"/>
        <v>Производство тепловой энергии. Некомбинированная выработка</v>
      </c>
      <c r="CB9" s="1900" t="str">
        <f t="shared" si="2"/>
        <v>Производство тепловой энергии. Некомбинированная выработка</v>
      </c>
      <c r="CC9" s="1900" t="str">
        <f t="shared" si="2"/>
        <v>Производство тепловой энергии. Некомбинированная выработка</v>
      </c>
      <c r="CD9" s="1900" t="str">
        <f t="shared" si="2"/>
        <v>Производство тепловой энергии. Некомбинированная выработка</v>
      </c>
      <c r="CE9" s="1900" t="str">
        <f t="shared" si="2"/>
        <v>Производство тепловой энергии. Некомбинированная выработка</v>
      </c>
      <c r="CF9" s="1900" t="str">
        <f t="shared" si="2"/>
        <v>Производство тепловой энергии. Некомбинированная выработка</v>
      </c>
      <c r="CG9" s="1900" t="str">
        <f t="shared" si="2"/>
        <v>Производство тепловой энергии. Некомбинированная выработка</v>
      </c>
      <c r="CH9" s="1900" t="str">
        <f t="shared" si="2"/>
        <v>Производство тепловой энергии. Некомбинированная выработка</v>
      </c>
      <c r="CI9" s="1900" t="str">
        <f t="shared" si="2"/>
        <v>Производство тепловой энергии. Некомбинированная выработка</v>
      </c>
      <c r="CJ9" s="1900" t="str">
        <f t="shared" si="2"/>
        <v>Производство тепловой энергии. Некомбинированная выработка</v>
      </c>
      <c r="CK9" s="1900" t="str">
        <f t="shared" si="2"/>
        <v>Производство тепловой энергии. Некомбинированная выработка</v>
      </c>
      <c r="CL9" s="1900" t="str">
        <f t="shared" si="2"/>
        <v>Производство тепловой энергии. Некомбинированная выработка</v>
      </c>
      <c r="CM9" s="1900" t="str">
        <f t="shared" si="2"/>
        <v>Производство тепловой энергии. Некомбинированная выработка</v>
      </c>
      <c r="CN9" s="1900" t="str">
        <f t="shared" si="2"/>
        <v>Производство тепловой энергии. Некомбинированная выработка</v>
      </c>
      <c r="CO9" s="1900" t="str">
        <f t="shared" si="2"/>
        <v>Производство тепловой энергии. Некомбинированная выработка</v>
      </c>
      <c r="CP9" s="1900" t="str">
        <f t="shared" si="2"/>
        <v>Производство тепловой энергии. Некомбинированная выработка</v>
      </c>
      <c r="CQ9" s="1900" t="str">
        <f t="shared" si="2"/>
        <v>Производство тепловой энергии. Некомбинированная выработка</v>
      </c>
      <c r="CR9" s="1900" t="str">
        <f t="shared" si="2"/>
        <v>Производство тепловой энергии. Некомбинированная выработка</v>
      </c>
      <c r="CS9" s="1900" t="str">
        <f t="shared" si="2"/>
        <v>Производство тепловой энергии. Некомбинированная выработка</v>
      </c>
      <c r="CT9" s="1900" t="str">
        <f t="shared" si="2"/>
        <v>Производство тепловой энергии. Некомбинированная выработка</v>
      </c>
      <c r="CU9" s="1900" t="str">
        <f t="shared" si="2"/>
        <v>Производство тепловой энергии. Некомбинированная выработка</v>
      </c>
      <c r="CV9" s="1900" t="str">
        <f t="shared" si="2"/>
        <v>Производство тепловой энергии. Некомбинированная выработка</v>
      </c>
      <c r="CW9" s="3401" t="s">
        <v>561</v>
      </c>
    </row>
    <row r="10" spans="1:110" s="1910" customFormat="1" ht="15" customHeight="1">
      <c r="A10" s="645"/>
      <c r="C10" s="93"/>
      <c r="D10" s="601"/>
      <c r="E10" s="3607" t="s">
        <v>829</v>
      </c>
      <c r="F10" s="3608"/>
      <c r="G10" s="697" t="str">
        <f t="shared" ref="G10:AL10" si="3">IF(G8="","",INDEX(DIFFERENTIATION_UNMERGE_AREA,MATCH(G8,DIFFERENTIATION_ID_DIFF,0)))</f>
        <v/>
      </c>
      <c r="H10" s="697" t="str">
        <f t="shared" si="3"/>
        <v>Территория 1</v>
      </c>
      <c r="I10" s="1900" t="str">
        <f t="shared" si="3"/>
        <v>Территория 1</v>
      </c>
      <c r="J10" s="1900" t="str">
        <f t="shared" si="3"/>
        <v>Территория 1</v>
      </c>
      <c r="K10" s="1900" t="str">
        <f t="shared" si="3"/>
        <v>Территория 1</v>
      </c>
      <c r="L10" s="1900" t="str">
        <f t="shared" si="3"/>
        <v>Территория 1</v>
      </c>
      <c r="M10" s="1900" t="str">
        <f t="shared" si="3"/>
        <v>Территория 1</v>
      </c>
      <c r="N10" s="1900" t="str">
        <f t="shared" si="3"/>
        <v>Территория 1</v>
      </c>
      <c r="O10" s="1900" t="str">
        <f t="shared" si="3"/>
        <v>Территория 1</v>
      </c>
      <c r="P10" s="1900" t="str">
        <f t="shared" si="3"/>
        <v>Территория 1</v>
      </c>
      <c r="Q10" s="1900" t="str">
        <f t="shared" si="3"/>
        <v>Территория 1</v>
      </c>
      <c r="R10" s="1900" t="str">
        <f t="shared" si="3"/>
        <v>Территория 1</v>
      </c>
      <c r="S10" s="1900" t="str">
        <f t="shared" si="3"/>
        <v>Территория 1</v>
      </c>
      <c r="T10" s="1900" t="str">
        <f t="shared" si="3"/>
        <v>Территория 1</v>
      </c>
      <c r="U10" s="1900" t="str">
        <f t="shared" si="3"/>
        <v>Территория 1</v>
      </c>
      <c r="V10" s="1900" t="str">
        <f t="shared" si="3"/>
        <v>Территория 1</v>
      </c>
      <c r="W10" s="1900" t="str">
        <f t="shared" si="3"/>
        <v>Территория 1</v>
      </c>
      <c r="X10" s="1900" t="str">
        <f t="shared" si="3"/>
        <v>Территория 1</v>
      </c>
      <c r="Y10" s="1900" t="str">
        <f t="shared" si="3"/>
        <v>Территория 1</v>
      </c>
      <c r="Z10" s="1900" t="str">
        <f t="shared" si="3"/>
        <v>Территория 1</v>
      </c>
      <c r="AA10" s="1900" t="str">
        <f t="shared" si="3"/>
        <v>Территория 1</v>
      </c>
      <c r="AB10" s="1900" t="str">
        <f t="shared" si="3"/>
        <v>Территория 1</v>
      </c>
      <c r="AC10" s="1900" t="str">
        <f t="shared" si="3"/>
        <v>Территория 1</v>
      </c>
      <c r="AD10" s="1900" t="str">
        <f t="shared" si="3"/>
        <v>Территория 1</v>
      </c>
      <c r="AE10" s="1900" t="str">
        <f t="shared" si="3"/>
        <v>Территория 1</v>
      </c>
      <c r="AF10" s="1900" t="str">
        <f t="shared" si="3"/>
        <v>Территория 1</v>
      </c>
      <c r="AG10" s="1900" t="str">
        <f t="shared" si="3"/>
        <v>Территория 1</v>
      </c>
      <c r="AH10" s="1900" t="str">
        <f t="shared" si="3"/>
        <v>Территория 1</v>
      </c>
      <c r="AI10" s="1900" t="str">
        <f t="shared" si="3"/>
        <v>Территория 1</v>
      </c>
      <c r="AJ10" s="1900" t="str">
        <f t="shared" si="3"/>
        <v>Территория 1</v>
      </c>
      <c r="AK10" s="1900" t="str">
        <f t="shared" si="3"/>
        <v>Территория 1</v>
      </c>
      <c r="AL10" s="1900" t="str">
        <f t="shared" si="3"/>
        <v>Территория 1</v>
      </c>
      <c r="AM10" s="1900" t="str">
        <f t="shared" ref="AM10:BR10" si="4">IF(AM8="","",INDEX(DIFFERENTIATION_UNMERGE_AREA,MATCH(AM8,DIFFERENTIATION_ID_DIFF,0)))</f>
        <v>Территория 1</v>
      </c>
      <c r="AN10" s="1900" t="str">
        <f t="shared" si="4"/>
        <v>Территория 1</v>
      </c>
      <c r="AO10" s="1900" t="str">
        <f t="shared" si="4"/>
        <v>Территория 1</v>
      </c>
      <c r="AP10" s="1900" t="str">
        <f t="shared" si="4"/>
        <v>Территория 1</v>
      </c>
      <c r="AQ10" s="1900" t="str">
        <f t="shared" si="4"/>
        <v>Территория 1</v>
      </c>
      <c r="AR10" s="1900" t="str">
        <f t="shared" si="4"/>
        <v>Территория 1</v>
      </c>
      <c r="AS10" s="1900" t="str">
        <f t="shared" si="4"/>
        <v>Территория 1</v>
      </c>
      <c r="AT10" s="1900" t="str">
        <f t="shared" si="4"/>
        <v>Территория 1</v>
      </c>
      <c r="AU10" s="1900" t="str">
        <f t="shared" si="4"/>
        <v>Территория 1</v>
      </c>
      <c r="AV10" s="1900" t="str">
        <f t="shared" si="4"/>
        <v>Территория 1</v>
      </c>
      <c r="AW10" s="1900" t="str">
        <f t="shared" si="4"/>
        <v>Территория 1</v>
      </c>
      <c r="AX10" s="1900" t="str">
        <f t="shared" si="4"/>
        <v>Территория 1</v>
      </c>
      <c r="AY10" s="1900" t="str">
        <f t="shared" si="4"/>
        <v>Территория 1</v>
      </c>
      <c r="AZ10" s="1900" t="str">
        <f t="shared" si="4"/>
        <v>Территория 1</v>
      </c>
      <c r="BA10" s="1900" t="str">
        <f t="shared" si="4"/>
        <v>Территория 1</v>
      </c>
      <c r="BB10" s="1900" t="str">
        <f t="shared" si="4"/>
        <v>Территория 1</v>
      </c>
      <c r="BC10" s="1900" t="str">
        <f t="shared" si="4"/>
        <v>Территория 1</v>
      </c>
      <c r="BD10" s="1900" t="str">
        <f t="shared" si="4"/>
        <v>Территория 1</v>
      </c>
      <c r="BE10" s="1900" t="str">
        <f t="shared" si="4"/>
        <v>Территория 1</v>
      </c>
      <c r="BF10" s="1900" t="str">
        <f t="shared" si="4"/>
        <v>Территория 1</v>
      </c>
      <c r="BG10" s="1900" t="str">
        <f t="shared" si="4"/>
        <v>Территория 1</v>
      </c>
      <c r="BH10" s="1900" t="str">
        <f t="shared" si="4"/>
        <v>Территория 1</v>
      </c>
      <c r="BI10" s="1900" t="str">
        <f t="shared" si="4"/>
        <v>Территория 1</v>
      </c>
      <c r="BJ10" s="1900" t="str">
        <f t="shared" si="4"/>
        <v>Территория 1</v>
      </c>
      <c r="BK10" s="1900" t="str">
        <f t="shared" si="4"/>
        <v>Территория 1</v>
      </c>
      <c r="BL10" s="1900" t="str">
        <f t="shared" si="4"/>
        <v>Территория 1</v>
      </c>
      <c r="BM10" s="1900" t="str">
        <f t="shared" si="4"/>
        <v>Территория 1</v>
      </c>
      <c r="BN10" s="1900" t="str">
        <f t="shared" si="4"/>
        <v>Территория 1</v>
      </c>
      <c r="BO10" s="1900" t="str">
        <f t="shared" si="4"/>
        <v>Территория 1</v>
      </c>
      <c r="BP10" s="1900" t="str">
        <f t="shared" si="4"/>
        <v>Территория 1</v>
      </c>
      <c r="BQ10" s="1900" t="str">
        <f t="shared" si="4"/>
        <v>Территория 1</v>
      </c>
      <c r="BR10" s="1900" t="str">
        <f t="shared" si="4"/>
        <v>Территория 1</v>
      </c>
      <c r="BS10" s="1900" t="str">
        <f t="shared" ref="BS10:CV10" si="5">IF(BS8="","",INDEX(DIFFERENTIATION_UNMERGE_AREA,MATCH(BS8,DIFFERENTIATION_ID_DIFF,0)))</f>
        <v>Территория 1</v>
      </c>
      <c r="BT10" s="1900" t="str">
        <f t="shared" si="5"/>
        <v>Территория 1</v>
      </c>
      <c r="BU10" s="1900" t="str">
        <f t="shared" si="5"/>
        <v>Территория 1</v>
      </c>
      <c r="BV10" s="1900" t="str">
        <f t="shared" si="5"/>
        <v>Территория 1</v>
      </c>
      <c r="BW10" s="1900" t="str">
        <f t="shared" si="5"/>
        <v>Территория 1</v>
      </c>
      <c r="BX10" s="1900" t="str">
        <f t="shared" si="5"/>
        <v>Территория 1</v>
      </c>
      <c r="BY10" s="1900" t="str">
        <f t="shared" si="5"/>
        <v>Территория 1</v>
      </c>
      <c r="BZ10" s="1900" t="str">
        <f t="shared" si="5"/>
        <v>Территория 1</v>
      </c>
      <c r="CA10" s="1900" t="str">
        <f t="shared" si="5"/>
        <v>Территория 1</v>
      </c>
      <c r="CB10" s="1900" t="str">
        <f t="shared" si="5"/>
        <v>Территория 1</v>
      </c>
      <c r="CC10" s="1900" t="str">
        <f t="shared" si="5"/>
        <v>Территория 1</v>
      </c>
      <c r="CD10" s="1900" t="str">
        <f t="shared" si="5"/>
        <v>Территория 1</v>
      </c>
      <c r="CE10" s="1900" t="str">
        <f t="shared" si="5"/>
        <v>Территория 1</v>
      </c>
      <c r="CF10" s="1900" t="str">
        <f t="shared" si="5"/>
        <v>Территория 1</v>
      </c>
      <c r="CG10" s="1900" t="str">
        <f t="shared" si="5"/>
        <v>Территория 1</v>
      </c>
      <c r="CH10" s="1900" t="str">
        <f t="shared" si="5"/>
        <v>Территория 1</v>
      </c>
      <c r="CI10" s="1900" t="str">
        <f t="shared" si="5"/>
        <v>Территория 1</v>
      </c>
      <c r="CJ10" s="1900" t="str">
        <f t="shared" si="5"/>
        <v>Территория 1</v>
      </c>
      <c r="CK10" s="1900" t="str">
        <f t="shared" si="5"/>
        <v>Территория 1</v>
      </c>
      <c r="CL10" s="1900" t="str">
        <f t="shared" si="5"/>
        <v>Территория 1</v>
      </c>
      <c r="CM10" s="1900" t="str">
        <f t="shared" si="5"/>
        <v>Территория 1</v>
      </c>
      <c r="CN10" s="1900" t="str">
        <f t="shared" si="5"/>
        <v>Территория 1</v>
      </c>
      <c r="CO10" s="1900" t="str">
        <f t="shared" si="5"/>
        <v>Территория 1</v>
      </c>
      <c r="CP10" s="1900" t="str">
        <f t="shared" si="5"/>
        <v>Территория 1</v>
      </c>
      <c r="CQ10" s="1900" t="str">
        <f t="shared" si="5"/>
        <v>Территория 1</v>
      </c>
      <c r="CR10" s="1900" t="str">
        <f t="shared" si="5"/>
        <v>Территория 1</v>
      </c>
      <c r="CS10" s="1900" t="str">
        <f t="shared" si="5"/>
        <v>Территория 1</v>
      </c>
      <c r="CT10" s="1900" t="str">
        <f t="shared" si="5"/>
        <v>Территория 1</v>
      </c>
      <c r="CU10" s="1900" t="str">
        <f t="shared" si="5"/>
        <v>Территория 1</v>
      </c>
      <c r="CV10" s="1900" t="str">
        <f t="shared" si="5"/>
        <v>Территория 1</v>
      </c>
      <c r="CW10" s="3401"/>
      <c r="DF10" s="567"/>
    </row>
    <row r="11" spans="1:110" s="1910" customFormat="1" ht="15" customHeight="1">
      <c r="A11" s="645"/>
      <c r="C11" s="93"/>
      <c r="D11" s="601"/>
      <c r="E11" s="3607" t="s">
        <v>830</v>
      </c>
      <c r="F11" s="3608"/>
      <c r="G11" s="697" t="str">
        <f t="shared" ref="G11:AL11" si="6">IF(G8="","",INDEX(DIFFERENTIATION_UNMERGE_SYSTEM,MATCH(G8,DIFFERENTIATION_ID_DIFF,0)))</f>
        <v/>
      </c>
      <c r="H11" s="697" t="str">
        <f t="shared" si="6"/>
        <v>Авиационная, 1</v>
      </c>
      <c r="I11" s="1900" t="str">
        <f t="shared" si="6"/>
        <v>Автовокзальная, 77</v>
      </c>
      <c r="J11" s="1900" t="str">
        <f t="shared" si="6"/>
        <v>Бетонный, 4а</v>
      </c>
      <c r="K11" s="1900" t="str">
        <f t="shared" si="6"/>
        <v>Ботанический, 2а</v>
      </c>
      <c r="L11" s="1900" t="str">
        <f t="shared" si="6"/>
        <v>Васильевская, 84б</v>
      </c>
      <c r="M11" s="1900" t="str">
        <f t="shared" si="6"/>
        <v>Васильевская, 138а</v>
      </c>
      <c r="N11" s="1900" t="str">
        <f t="shared" si="6"/>
        <v>Гагарина, 48а</v>
      </c>
      <c r="O11" s="1900" t="str">
        <f t="shared" si="6"/>
        <v>Городская, 98к</v>
      </c>
      <c r="P11" s="1900" t="str">
        <f t="shared" si="6"/>
        <v>Калинина, 6б</v>
      </c>
      <c r="Q11" s="1900" t="str">
        <f t="shared" si="6"/>
        <v>Карачевская, 29а</v>
      </c>
      <c r="R11" s="1900" t="str">
        <f t="shared" si="6"/>
        <v>Карачевская, 41б</v>
      </c>
      <c r="S11" s="1900" t="str">
        <f t="shared" si="6"/>
        <v>Карачвский, 23а</v>
      </c>
      <c r="T11" s="1900" t="str">
        <f t="shared" si="6"/>
        <v>Карачевское, 5а</v>
      </c>
      <c r="U11" s="1900" t="str">
        <f t="shared" si="6"/>
        <v>Карачевское, 60а</v>
      </c>
      <c r="V11" s="1900" t="str">
        <f t="shared" si="6"/>
        <v>Комсомольская, 15а</v>
      </c>
      <c r="W11" s="1900" t="str">
        <f t="shared" si="6"/>
        <v>Комсомольская, 119а</v>
      </c>
      <c r="X11" s="1900" t="str">
        <f t="shared" si="6"/>
        <v>Комсомольская, 127а</v>
      </c>
      <c r="Y11" s="1900" t="str">
        <f t="shared" si="6"/>
        <v>Комсомольская, 185а</v>
      </c>
      <c r="Z11" s="1900" t="str">
        <f t="shared" si="6"/>
        <v>Комсомольская, 206а</v>
      </c>
      <c r="AA11" s="1900" t="str">
        <f t="shared" si="6"/>
        <v>Комсомольская, 252а</v>
      </c>
      <c r="AB11" s="1900" t="str">
        <f t="shared" si="6"/>
        <v>Комсомольская, 261а</v>
      </c>
      <c r="AC11" s="1900" t="str">
        <f t="shared" si="6"/>
        <v>Красина, 6а</v>
      </c>
      <c r="AD11" s="1900" t="str">
        <f t="shared" si="6"/>
        <v>Красина, 7а</v>
      </c>
      <c r="AE11" s="1900" t="str">
        <f t="shared" si="6"/>
        <v>Красина, 52</v>
      </c>
      <c r="AF11" s="1900" t="str">
        <f t="shared" si="6"/>
        <v>Кромская, 7а(908кв)</v>
      </c>
      <c r="AG11" s="1900" t="str">
        <f t="shared" si="6"/>
        <v>Кромская, 7а(909кв)</v>
      </c>
      <c r="AH11" s="1900" t="str">
        <f t="shared" si="6"/>
        <v>Кромское шоссе, 13а</v>
      </c>
      <c r="AI11" s="1900" t="str">
        <f t="shared" si="6"/>
        <v>Латышских стрелков, 37а</v>
      </c>
      <c r="AJ11" s="1900" t="str">
        <f t="shared" si="6"/>
        <v>Латышских стрелков,98</v>
      </c>
      <c r="AK11" s="1900" t="str">
        <f t="shared" si="6"/>
        <v>Латышских стрелков, 109</v>
      </c>
      <c r="AL11" s="1900" t="str">
        <f t="shared" si="6"/>
        <v>Левый берег р. Оки,23</v>
      </c>
      <c r="AM11" s="1900" t="str">
        <f t="shared" ref="AM11:BR11" si="7">IF(AM8="","",INDEX(DIFFERENTIATION_UNMERGE_SYSTEM,MATCH(AM8,DIFFERENTIATION_ID_DIFF,0)))</f>
        <v>ГК "Лесной" с/с Сабуровский</v>
      </c>
      <c r="AN11" s="1900" t="str">
        <f t="shared" si="7"/>
        <v>Машиностроительная, 5а</v>
      </c>
      <c r="AO11" s="1900" t="str">
        <f t="shared" si="7"/>
        <v>Маяковского, 10а</v>
      </c>
      <c r="AP11" s="1900" t="str">
        <f t="shared" si="7"/>
        <v>Маяковского, 55а</v>
      </c>
      <c r="AQ11" s="1900" t="str">
        <f t="shared" si="7"/>
        <v>Маяковского, 62а</v>
      </c>
      <c r="AR11" s="1900" t="str">
        <f t="shared" si="7"/>
        <v>Мопра, 28а</v>
      </c>
      <c r="AS11" s="1900" t="str">
        <f t="shared" si="7"/>
        <v>Мопра, 48а</v>
      </c>
      <c r="AT11" s="1900" t="str">
        <f t="shared" si="7"/>
        <v>6-й Орловской дивизии,14</v>
      </c>
      <c r="AU11" s="1900" t="str">
        <f t="shared" si="7"/>
        <v>Пищевой, 9а</v>
      </c>
      <c r="AV11" s="1900" t="str">
        <f t="shared" si="7"/>
        <v>2-а Посадская, 19а</v>
      </c>
      <c r="AW11" s="1900" t="str">
        <f t="shared" si="7"/>
        <v>1-я Пушкарная, 20а</v>
      </c>
      <c r="AX11" s="1900" t="str">
        <f t="shared" si="7"/>
        <v>1-я Пушкарная, 21а</v>
      </c>
      <c r="AY11" s="1900" t="str">
        <f t="shared" si="7"/>
        <v>Связистов, 1а</v>
      </c>
      <c r="AZ11" s="1900" t="str">
        <f t="shared" si="7"/>
        <v>Спивака, 85</v>
      </c>
      <c r="BA11" s="1900" t="str">
        <f t="shared" si="7"/>
        <v>Федотовой, 12</v>
      </c>
      <c r="BB11" s="1900" t="str">
        <f t="shared" si="7"/>
        <v>Циолковского,1б</v>
      </c>
      <c r="BC11" s="1900" t="str">
        <f t="shared" si="7"/>
        <v>Циолковского,51а</v>
      </c>
      <c r="BD11" s="1900" t="str">
        <f t="shared" si="7"/>
        <v>Черепичная, 24б</v>
      </c>
      <c r="BE11" s="1900" t="str">
        <f t="shared" si="7"/>
        <v>Шпагатный,92</v>
      </c>
      <c r="BF11" s="1900" t="str">
        <f t="shared" si="7"/>
        <v>Шпагатный, 92г</v>
      </c>
      <c r="BG11" s="1900" t="str">
        <f t="shared" si="7"/>
        <v>Щепная, 12б</v>
      </c>
      <c r="BH11" s="1900" t="str">
        <f t="shared" si="7"/>
        <v>Энгельса,88а</v>
      </c>
      <c r="BI11" s="1900" t="str">
        <f t="shared" si="7"/>
        <v>Яблочная, 59а</v>
      </c>
      <c r="BJ11" s="1900" t="str">
        <f t="shared" si="7"/>
        <v>Комсомольская, 241б</v>
      </c>
      <c r="BK11" s="1900" t="str">
        <f t="shared" si="7"/>
        <v>Генерала Жадова, 4а</v>
      </c>
      <c r="BL11" s="1900" t="str">
        <f t="shared" si="7"/>
        <v>Генерала Родина, 69а</v>
      </c>
      <c r="BM11" s="1900" t="str">
        <f t="shared" si="7"/>
        <v>Ипподромный,2а</v>
      </c>
      <c r="BN11" s="1900" t="str">
        <f t="shared" si="7"/>
        <v>Лескова, 31а</v>
      </c>
      <c r="BO11" s="1900" t="str">
        <f t="shared" si="7"/>
        <v>Матвеева, 9а</v>
      </c>
      <c r="BP11" s="1900" t="str">
        <f t="shared" si="7"/>
        <v>Матросова, 46б</v>
      </c>
      <c r="BQ11" s="1900" t="str">
        <f t="shared" si="7"/>
        <v>Наугорское, 13б</v>
      </c>
      <c r="BR11" s="1900" t="str">
        <f t="shared" si="7"/>
        <v>Наугорское, 27</v>
      </c>
      <c r="BS11" s="1900" t="str">
        <f t="shared" ref="BS11:CV11" si="8">IF(BS8="","",INDEX(DIFFERENTIATION_UNMERGE_SYSTEM,MATCH(BS8,DIFFERENTIATION_ID_DIFF,0)))</f>
        <v>Наугорское, 29б</v>
      </c>
      <c r="BT11" s="1900" t="str">
        <f t="shared" si="8"/>
        <v>Октябрьская, 4а</v>
      </c>
      <c r="BU11" s="1900" t="str">
        <f t="shared" si="8"/>
        <v>Октябрьская, 54а</v>
      </c>
      <c r="BV11" s="1900" t="str">
        <f t="shared" si="8"/>
        <v>Трудовые резервы, 32а</v>
      </c>
      <c r="BW11" s="1900" t="str">
        <f t="shared" si="8"/>
        <v>Цветаева, 15б</v>
      </c>
      <c r="BX11" s="1900" t="str">
        <f t="shared" si="8"/>
        <v>Бресткая,6</v>
      </c>
      <c r="BY11" s="1900" t="str">
        <f t="shared" si="8"/>
        <v>Веселая,2</v>
      </c>
      <c r="BZ11" s="1900" t="str">
        <f t="shared" si="8"/>
        <v>Огородный,7а</v>
      </c>
      <c r="CA11" s="1900" t="str">
        <f t="shared" si="8"/>
        <v>Пролетарская гора, 1</v>
      </c>
      <c r="CB11" s="1900" t="str">
        <f t="shared" si="8"/>
        <v>Тургенева, 50а</v>
      </c>
      <c r="CC11" s="1900" t="str">
        <f t="shared" si="8"/>
        <v>Абрамова-Соколова, 76б</v>
      </c>
      <c r="CD11" s="1900" t="str">
        <f t="shared" si="8"/>
        <v>5 августа,66а</v>
      </c>
      <c r="CE11" s="1900" t="str">
        <f t="shared" si="8"/>
        <v>Грузовая, 119г</v>
      </c>
      <c r="CF11" s="1900" t="str">
        <f t="shared" si="8"/>
        <v>Деповская, 6а</v>
      </c>
      <c r="CG11" s="1900" t="str">
        <f t="shared" si="8"/>
        <v>3-я Курская, 3а</v>
      </c>
      <c r="CH11" s="1900" t="str">
        <f t="shared" si="8"/>
        <v>Ливенская, 48г</v>
      </c>
      <c r="CI11" s="1900" t="str">
        <f t="shared" si="8"/>
        <v>Лесная, 9а</v>
      </c>
      <c r="CJ11" s="1900" t="str">
        <f t="shared" si="8"/>
        <v>Московская, 27а</v>
      </c>
      <c r="CK11" s="1900" t="str">
        <f t="shared" si="8"/>
        <v>Новосильская, 7а пом.1</v>
      </c>
      <c r="CL11" s="1900" t="str">
        <f t="shared" si="8"/>
        <v>Новосильская, 7а пом.2</v>
      </c>
      <c r="CM11" s="1900" t="str">
        <f t="shared" si="8"/>
        <v>Паровозная,64б</v>
      </c>
      <c r="CN11" s="1900" t="str">
        <f t="shared" si="8"/>
        <v>Пушкина, 68а</v>
      </c>
      <c r="CO11" s="1900" t="str">
        <f t="shared" si="8"/>
        <v>Ст. Разина, 11б</v>
      </c>
      <c r="CP11" s="1900" t="str">
        <f t="shared" si="8"/>
        <v>Рельсовая, 7а</v>
      </c>
      <c r="CQ11" s="1900" t="str">
        <f t="shared" si="8"/>
        <v>Студенческая, 2а</v>
      </c>
      <c r="CR11" s="1900" t="str">
        <f t="shared" si="8"/>
        <v>Тульская, 24а</v>
      </c>
      <c r="CS11" s="1900" t="str">
        <f t="shared" si="8"/>
        <v>Тульская, 63б</v>
      </c>
      <c r="CT11" s="1900" t="str">
        <f t="shared" si="8"/>
        <v>Южный, 26б</v>
      </c>
      <c r="CU11" s="1900" t="str">
        <f t="shared" si="8"/>
        <v>Металлургов,80б</v>
      </c>
      <c r="CV11" s="1900" t="str">
        <f t="shared" si="8"/>
        <v>Силикатная,28а</v>
      </c>
      <c r="CW11" s="3401"/>
      <c r="DF11" s="567"/>
    </row>
    <row r="12" spans="1:110" s="1910" customFormat="1" ht="15" customHeight="1">
      <c r="A12" s="645"/>
      <c r="C12" s="93"/>
      <c r="D12" s="3609" t="s">
        <v>560</v>
      </c>
      <c r="E12" s="3610"/>
      <c r="F12" s="3610"/>
      <c r="G12" s="763"/>
      <c r="H12" s="763"/>
      <c r="I12" s="1888"/>
      <c r="J12" s="1888"/>
      <c r="K12" s="1888"/>
      <c r="L12" s="1888"/>
      <c r="M12" s="1888"/>
      <c r="N12" s="1888"/>
      <c r="O12" s="1888"/>
      <c r="P12" s="1888"/>
      <c r="Q12" s="1888"/>
      <c r="R12" s="1888"/>
      <c r="S12" s="1888"/>
      <c r="T12" s="1888"/>
      <c r="U12" s="1888"/>
      <c r="V12" s="1888"/>
      <c r="W12" s="1888"/>
      <c r="X12" s="1888"/>
      <c r="Y12" s="1888"/>
      <c r="Z12" s="1888"/>
      <c r="AA12" s="1888"/>
      <c r="AB12" s="1888"/>
      <c r="AC12" s="1888"/>
      <c r="AD12" s="1888"/>
      <c r="AE12" s="1888"/>
      <c r="AF12" s="1888"/>
      <c r="AG12" s="1888"/>
      <c r="AH12" s="1888"/>
      <c r="AI12" s="1888"/>
      <c r="AJ12" s="1888"/>
      <c r="AK12" s="1888"/>
      <c r="AL12" s="1888"/>
      <c r="AM12" s="1888"/>
      <c r="AN12" s="1888"/>
      <c r="AO12" s="1888"/>
      <c r="AP12" s="1888"/>
      <c r="AQ12" s="1888"/>
      <c r="AR12" s="1888"/>
      <c r="AS12" s="1888"/>
      <c r="AT12" s="1888"/>
      <c r="AU12" s="1888"/>
      <c r="AV12" s="1888"/>
      <c r="AW12" s="1888"/>
      <c r="AX12" s="1888"/>
      <c r="AY12" s="1888"/>
      <c r="AZ12" s="1888"/>
      <c r="BA12" s="1888"/>
      <c r="BB12" s="1888"/>
      <c r="BC12" s="1888"/>
      <c r="BD12" s="1888"/>
      <c r="BE12" s="1888"/>
      <c r="BF12" s="1888"/>
      <c r="BG12" s="1888"/>
      <c r="BH12" s="1888"/>
      <c r="BI12" s="1888"/>
      <c r="BJ12" s="1888"/>
      <c r="BK12" s="1888"/>
      <c r="BL12" s="1888"/>
      <c r="BM12" s="1888"/>
      <c r="BN12" s="1888"/>
      <c r="BO12" s="1888"/>
      <c r="BP12" s="1888"/>
      <c r="BQ12" s="1888"/>
      <c r="BR12" s="1888"/>
      <c r="BS12" s="1888"/>
      <c r="BT12" s="1888"/>
      <c r="BU12" s="1888"/>
      <c r="BV12" s="1888"/>
      <c r="BW12" s="1888"/>
      <c r="BX12" s="1888"/>
      <c r="BY12" s="1888"/>
      <c r="BZ12" s="1888"/>
      <c r="CA12" s="1888"/>
      <c r="CB12" s="1888"/>
      <c r="CC12" s="1888"/>
      <c r="CD12" s="1888"/>
      <c r="CE12" s="1888"/>
      <c r="CF12" s="1888"/>
      <c r="CG12" s="1888"/>
      <c r="CH12" s="1888"/>
      <c r="CI12" s="1888"/>
      <c r="CJ12" s="1888"/>
      <c r="CK12" s="1888"/>
      <c r="CL12" s="1888"/>
      <c r="CM12" s="1888"/>
      <c r="CN12" s="1888"/>
      <c r="CO12" s="1888"/>
      <c r="CP12" s="1888"/>
      <c r="CQ12" s="1888"/>
      <c r="CR12" s="1888"/>
      <c r="CS12" s="1888"/>
      <c r="CT12" s="1888"/>
      <c r="CU12" s="1888"/>
      <c r="CV12" s="1888"/>
      <c r="CW12" s="3401"/>
      <c r="DF12" s="567"/>
    </row>
    <row r="13" spans="1:110" ht="33.75" customHeight="1">
      <c r="C13" s="93"/>
      <c r="D13" s="647" t="s">
        <v>85</v>
      </c>
      <c r="E13" s="646" t="s">
        <v>562</v>
      </c>
      <c r="F13" s="646" t="s">
        <v>831</v>
      </c>
      <c r="G13" s="689" t="s">
        <v>563</v>
      </c>
      <c r="H13" s="642" t="s">
        <v>563</v>
      </c>
      <c r="I13" s="1922" t="s">
        <v>563</v>
      </c>
      <c r="J13" s="1922" t="s">
        <v>563</v>
      </c>
      <c r="K13" s="1922" t="s">
        <v>563</v>
      </c>
      <c r="L13" s="1922" t="s">
        <v>563</v>
      </c>
      <c r="M13" s="1922" t="s">
        <v>563</v>
      </c>
      <c r="N13" s="1922" t="s">
        <v>563</v>
      </c>
      <c r="O13" s="1922" t="s">
        <v>563</v>
      </c>
      <c r="P13" s="1922" t="s">
        <v>563</v>
      </c>
      <c r="Q13" s="1922" t="s">
        <v>563</v>
      </c>
      <c r="R13" s="1922" t="s">
        <v>563</v>
      </c>
      <c r="S13" s="1922" t="s">
        <v>563</v>
      </c>
      <c r="T13" s="1922" t="s">
        <v>563</v>
      </c>
      <c r="U13" s="1922" t="s">
        <v>563</v>
      </c>
      <c r="V13" s="1922" t="s">
        <v>563</v>
      </c>
      <c r="W13" s="1922" t="s">
        <v>563</v>
      </c>
      <c r="X13" s="1922" t="s">
        <v>563</v>
      </c>
      <c r="Y13" s="1922" t="s">
        <v>563</v>
      </c>
      <c r="Z13" s="1922" t="s">
        <v>563</v>
      </c>
      <c r="AA13" s="1922" t="s">
        <v>563</v>
      </c>
      <c r="AB13" s="1922" t="s">
        <v>563</v>
      </c>
      <c r="AC13" s="1922" t="s">
        <v>563</v>
      </c>
      <c r="AD13" s="1922" t="s">
        <v>563</v>
      </c>
      <c r="AE13" s="1922" t="s">
        <v>563</v>
      </c>
      <c r="AF13" s="1922" t="s">
        <v>563</v>
      </c>
      <c r="AG13" s="1922" t="s">
        <v>563</v>
      </c>
      <c r="AH13" s="1922" t="s">
        <v>563</v>
      </c>
      <c r="AI13" s="1922" t="s">
        <v>563</v>
      </c>
      <c r="AJ13" s="1922" t="s">
        <v>563</v>
      </c>
      <c r="AK13" s="1922" t="s">
        <v>563</v>
      </c>
      <c r="AL13" s="1922" t="s">
        <v>563</v>
      </c>
      <c r="AM13" s="1922" t="s">
        <v>563</v>
      </c>
      <c r="AN13" s="1922" t="s">
        <v>563</v>
      </c>
      <c r="AO13" s="1922" t="s">
        <v>563</v>
      </c>
      <c r="AP13" s="1922" t="s">
        <v>563</v>
      </c>
      <c r="AQ13" s="1922" t="s">
        <v>563</v>
      </c>
      <c r="AR13" s="1922" t="s">
        <v>563</v>
      </c>
      <c r="AS13" s="1922" t="s">
        <v>563</v>
      </c>
      <c r="AT13" s="1922" t="s">
        <v>563</v>
      </c>
      <c r="AU13" s="1922" t="s">
        <v>563</v>
      </c>
      <c r="AV13" s="1922" t="s">
        <v>563</v>
      </c>
      <c r="AW13" s="1922" t="s">
        <v>563</v>
      </c>
      <c r="AX13" s="1922" t="s">
        <v>563</v>
      </c>
      <c r="AY13" s="1922" t="s">
        <v>563</v>
      </c>
      <c r="AZ13" s="1922" t="s">
        <v>563</v>
      </c>
      <c r="BA13" s="1922" t="s">
        <v>563</v>
      </c>
      <c r="BB13" s="1922" t="s">
        <v>563</v>
      </c>
      <c r="BC13" s="1922" t="s">
        <v>563</v>
      </c>
      <c r="BD13" s="1922" t="s">
        <v>563</v>
      </c>
      <c r="BE13" s="1922" t="s">
        <v>563</v>
      </c>
      <c r="BF13" s="1922" t="s">
        <v>563</v>
      </c>
      <c r="BG13" s="1922" t="s">
        <v>563</v>
      </c>
      <c r="BH13" s="1922" t="s">
        <v>563</v>
      </c>
      <c r="BI13" s="1922" t="s">
        <v>563</v>
      </c>
      <c r="BJ13" s="1922" t="s">
        <v>563</v>
      </c>
      <c r="BK13" s="1922" t="s">
        <v>563</v>
      </c>
      <c r="BL13" s="1922" t="s">
        <v>563</v>
      </c>
      <c r="BM13" s="1922" t="s">
        <v>563</v>
      </c>
      <c r="BN13" s="1922" t="s">
        <v>563</v>
      </c>
      <c r="BO13" s="1922" t="s">
        <v>563</v>
      </c>
      <c r="BP13" s="1922" t="s">
        <v>563</v>
      </c>
      <c r="BQ13" s="1922" t="s">
        <v>563</v>
      </c>
      <c r="BR13" s="1922" t="s">
        <v>563</v>
      </c>
      <c r="BS13" s="1922" t="s">
        <v>563</v>
      </c>
      <c r="BT13" s="1922" t="s">
        <v>563</v>
      </c>
      <c r="BU13" s="1922" t="s">
        <v>563</v>
      </c>
      <c r="BV13" s="1922" t="s">
        <v>563</v>
      </c>
      <c r="BW13" s="1922" t="s">
        <v>563</v>
      </c>
      <c r="BX13" s="1922" t="s">
        <v>563</v>
      </c>
      <c r="BY13" s="1922" t="s">
        <v>563</v>
      </c>
      <c r="BZ13" s="1922" t="s">
        <v>563</v>
      </c>
      <c r="CA13" s="1922" t="s">
        <v>563</v>
      </c>
      <c r="CB13" s="1922" t="s">
        <v>563</v>
      </c>
      <c r="CC13" s="1922" t="s">
        <v>563</v>
      </c>
      <c r="CD13" s="1922" t="s">
        <v>563</v>
      </c>
      <c r="CE13" s="1922" t="s">
        <v>563</v>
      </c>
      <c r="CF13" s="1922" t="s">
        <v>563</v>
      </c>
      <c r="CG13" s="1922" t="s">
        <v>563</v>
      </c>
      <c r="CH13" s="1922" t="s">
        <v>563</v>
      </c>
      <c r="CI13" s="1922" t="s">
        <v>563</v>
      </c>
      <c r="CJ13" s="1922" t="s">
        <v>563</v>
      </c>
      <c r="CK13" s="1922" t="s">
        <v>563</v>
      </c>
      <c r="CL13" s="1922" t="s">
        <v>563</v>
      </c>
      <c r="CM13" s="1922" t="s">
        <v>563</v>
      </c>
      <c r="CN13" s="1922" t="s">
        <v>563</v>
      </c>
      <c r="CO13" s="1922" t="s">
        <v>563</v>
      </c>
      <c r="CP13" s="1922" t="s">
        <v>563</v>
      </c>
      <c r="CQ13" s="1922" t="s">
        <v>563</v>
      </c>
      <c r="CR13" s="1922" t="s">
        <v>563</v>
      </c>
      <c r="CS13" s="1922" t="s">
        <v>563</v>
      </c>
      <c r="CT13" s="1922" t="s">
        <v>563</v>
      </c>
      <c r="CU13" s="1922" t="s">
        <v>563</v>
      </c>
      <c r="CV13" s="1922" t="s">
        <v>563</v>
      </c>
      <c r="CW13" s="3401"/>
    </row>
    <row r="14" spans="1:110" ht="15" hidden="1" customHeight="1">
      <c r="C14" s="93"/>
      <c r="D14" s="488" t="s">
        <v>106</v>
      </c>
      <c r="E14" s="488" t="s">
        <v>107</v>
      </c>
      <c r="F14" s="488" t="s">
        <v>87</v>
      </c>
      <c r="G14" s="551" t="str">
        <f t="shared" ref="G14:AL14" si="9">G1&amp;".1"</f>
        <v>.1</v>
      </c>
      <c r="H14" s="551" t="str">
        <f t="shared" si="9"/>
        <v>4.1</v>
      </c>
      <c r="I14" s="1921" t="str">
        <f t="shared" si="9"/>
        <v>.1</v>
      </c>
      <c r="J14" s="1921" t="str">
        <f t="shared" si="9"/>
        <v>.1</v>
      </c>
      <c r="K14" s="1921" t="str">
        <f t="shared" si="9"/>
        <v>.1</v>
      </c>
      <c r="L14" s="1921" t="str">
        <f t="shared" si="9"/>
        <v>.1</v>
      </c>
      <c r="M14" s="1921" t="str">
        <f t="shared" si="9"/>
        <v>.1</v>
      </c>
      <c r="N14" s="1921" t="str">
        <f t="shared" si="9"/>
        <v>.1</v>
      </c>
      <c r="O14" s="1921" t="str">
        <f t="shared" si="9"/>
        <v>.1</v>
      </c>
      <c r="P14" s="1921" t="str">
        <f t="shared" si="9"/>
        <v>.1</v>
      </c>
      <c r="Q14" s="1921" t="str">
        <f t="shared" si="9"/>
        <v>.1</v>
      </c>
      <c r="R14" s="1921" t="str">
        <f t="shared" si="9"/>
        <v>.1</v>
      </c>
      <c r="S14" s="1921" t="str">
        <f t="shared" si="9"/>
        <v>.1</v>
      </c>
      <c r="T14" s="1921" t="str">
        <f t="shared" si="9"/>
        <v>.1</v>
      </c>
      <c r="U14" s="1921" t="str">
        <f t="shared" si="9"/>
        <v>.1</v>
      </c>
      <c r="V14" s="1921" t="str">
        <f t="shared" si="9"/>
        <v>.1</v>
      </c>
      <c r="W14" s="1921" t="str">
        <f t="shared" si="9"/>
        <v>.1</v>
      </c>
      <c r="X14" s="1921" t="str">
        <f t="shared" si="9"/>
        <v>.1</v>
      </c>
      <c r="Y14" s="1921" t="str">
        <f t="shared" si="9"/>
        <v>.1</v>
      </c>
      <c r="Z14" s="1921" t="str">
        <f t="shared" si="9"/>
        <v>.1</v>
      </c>
      <c r="AA14" s="1921" t="str">
        <f t="shared" si="9"/>
        <v>.1</v>
      </c>
      <c r="AB14" s="1921" t="str">
        <f t="shared" si="9"/>
        <v>.1</v>
      </c>
      <c r="AC14" s="1921" t="str">
        <f t="shared" si="9"/>
        <v>.1</v>
      </c>
      <c r="AD14" s="1921" t="str">
        <f t="shared" si="9"/>
        <v>.1</v>
      </c>
      <c r="AE14" s="1921" t="str">
        <f t="shared" si="9"/>
        <v>.1</v>
      </c>
      <c r="AF14" s="1921" t="str">
        <f t="shared" si="9"/>
        <v>.1</v>
      </c>
      <c r="AG14" s="1921" t="str">
        <f t="shared" si="9"/>
        <v>.1</v>
      </c>
      <c r="AH14" s="1921" t="str">
        <f t="shared" si="9"/>
        <v>.1</v>
      </c>
      <c r="AI14" s="1921" t="str">
        <f t="shared" si="9"/>
        <v>.1</v>
      </c>
      <c r="AJ14" s="1921" t="str">
        <f t="shared" si="9"/>
        <v>.1</v>
      </c>
      <c r="AK14" s="1921" t="str">
        <f t="shared" si="9"/>
        <v>.1</v>
      </c>
      <c r="AL14" s="1921" t="str">
        <f t="shared" si="9"/>
        <v>.1</v>
      </c>
      <c r="AM14" s="1921" t="str">
        <f t="shared" ref="AM14:BR14" si="10">AM1&amp;".1"</f>
        <v>.1</v>
      </c>
      <c r="AN14" s="1921" t="str">
        <f t="shared" si="10"/>
        <v>.1</v>
      </c>
      <c r="AO14" s="1921" t="str">
        <f t="shared" si="10"/>
        <v>.1</v>
      </c>
      <c r="AP14" s="1921" t="str">
        <f t="shared" si="10"/>
        <v>.1</v>
      </c>
      <c r="AQ14" s="1921" t="str">
        <f t="shared" si="10"/>
        <v>.1</v>
      </c>
      <c r="AR14" s="1921" t="str">
        <f t="shared" si="10"/>
        <v>.1</v>
      </c>
      <c r="AS14" s="1921" t="str">
        <f t="shared" si="10"/>
        <v>.1</v>
      </c>
      <c r="AT14" s="1921" t="str">
        <f t="shared" si="10"/>
        <v>.1</v>
      </c>
      <c r="AU14" s="1921" t="str">
        <f t="shared" si="10"/>
        <v>.1</v>
      </c>
      <c r="AV14" s="1921" t="str">
        <f t="shared" si="10"/>
        <v>.1</v>
      </c>
      <c r="AW14" s="1921" t="str">
        <f t="shared" si="10"/>
        <v>.1</v>
      </c>
      <c r="AX14" s="1921" t="str">
        <f t="shared" si="10"/>
        <v>.1</v>
      </c>
      <c r="AY14" s="1921" t="str">
        <f t="shared" si="10"/>
        <v>.1</v>
      </c>
      <c r="AZ14" s="1921" t="str">
        <f t="shared" si="10"/>
        <v>.1</v>
      </c>
      <c r="BA14" s="1921" t="str">
        <f t="shared" si="10"/>
        <v>.1</v>
      </c>
      <c r="BB14" s="1921" t="str">
        <f t="shared" si="10"/>
        <v>.1</v>
      </c>
      <c r="BC14" s="1921" t="str">
        <f t="shared" si="10"/>
        <v>.1</v>
      </c>
      <c r="BD14" s="1921" t="str">
        <f t="shared" si="10"/>
        <v>.1</v>
      </c>
      <c r="BE14" s="1921" t="str">
        <f t="shared" si="10"/>
        <v>.1</v>
      </c>
      <c r="BF14" s="1921" t="str">
        <f t="shared" si="10"/>
        <v>.1</v>
      </c>
      <c r="BG14" s="1921" t="str">
        <f t="shared" si="10"/>
        <v>.1</v>
      </c>
      <c r="BH14" s="1921" t="str">
        <f t="shared" si="10"/>
        <v>.1</v>
      </c>
      <c r="BI14" s="1921" t="str">
        <f t="shared" si="10"/>
        <v>.1</v>
      </c>
      <c r="BJ14" s="1921" t="str">
        <f t="shared" si="10"/>
        <v>.1</v>
      </c>
      <c r="BK14" s="1921" t="str">
        <f t="shared" si="10"/>
        <v>.1</v>
      </c>
      <c r="BL14" s="1921" t="str">
        <f t="shared" si="10"/>
        <v>.1</v>
      </c>
      <c r="BM14" s="1921" t="str">
        <f t="shared" si="10"/>
        <v>.1</v>
      </c>
      <c r="BN14" s="1921" t="str">
        <f t="shared" si="10"/>
        <v>.1</v>
      </c>
      <c r="BO14" s="1921" t="str">
        <f t="shared" si="10"/>
        <v>.1</v>
      </c>
      <c r="BP14" s="1921" t="str">
        <f t="shared" si="10"/>
        <v>.1</v>
      </c>
      <c r="BQ14" s="1921" t="str">
        <f t="shared" si="10"/>
        <v>.1</v>
      </c>
      <c r="BR14" s="1921" t="str">
        <f t="shared" si="10"/>
        <v>.1</v>
      </c>
      <c r="BS14" s="1921" t="str">
        <f t="shared" ref="BS14:CV14" si="11">BS1&amp;".1"</f>
        <v>.1</v>
      </c>
      <c r="BT14" s="1921" t="str">
        <f t="shared" si="11"/>
        <v>.1</v>
      </c>
      <c r="BU14" s="1921" t="str">
        <f t="shared" si="11"/>
        <v>.1</v>
      </c>
      <c r="BV14" s="1921" t="str">
        <f t="shared" si="11"/>
        <v>.1</v>
      </c>
      <c r="BW14" s="1921" t="str">
        <f t="shared" si="11"/>
        <v>.1</v>
      </c>
      <c r="BX14" s="1921" t="str">
        <f t="shared" si="11"/>
        <v>.1</v>
      </c>
      <c r="BY14" s="1921" t="str">
        <f t="shared" si="11"/>
        <v>.1</v>
      </c>
      <c r="BZ14" s="1921" t="str">
        <f t="shared" si="11"/>
        <v>.1</v>
      </c>
      <c r="CA14" s="1921" t="str">
        <f t="shared" si="11"/>
        <v>.1</v>
      </c>
      <c r="CB14" s="1921" t="str">
        <f t="shared" si="11"/>
        <v>.1</v>
      </c>
      <c r="CC14" s="1921" t="str">
        <f t="shared" si="11"/>
        <v>.1</v>
      </c>
      <c r="CD14" s="1921" t="str">
        <f t="shared" si="11"/>
        <v>.1</v>
      </c>
      <c r="CE14" s="1921" t="str">
        <f t="shared" si="11"/>
        <v>.1</v>
      </c>
      <c r="CF14" s="1921" t="str">
        <f t="shared" si="11"/>
        <v>.1</v>
      </c>
      <c r="CG14" s="1921" t="str">
        <f t="shared" si="11"/>
        <v>.1</v>
      </c>
      <c r="CH14" s="1921" t="str">
        <f t="shared" si="11"/>
        <v>.1</v>
      </c>
      <c r="CI14" s="1921" t="str">
        <f t="shared" si="11"/>
        <v>.1</v>
      </c>
      <c r="CJ14" s="1921" t="str">
        <f t="shared" si="11"/>
        <v>.1</v>
      </c>
      <c r="CK14" s="1921" t="str">
        <f t="shared" si="11"/>
        <v>.1</v>
      </c>
      <c r="CL14" s="1921" t="str">
        <f t="shared" si="11"/>
        <v>.1</v>
      </c>
      <c r="CM14" s="1921" t="str">
        <f t="shared" si="11"/>
        <v>.1</v>
      </c>
      <c r="CN14" s="1921" t="str">
        <f t="shared" si="11"/>
        <v>.1</v>
      </c>
      <c r="CO14" s="1921" t="str">
        <f t="shared" si="11"/>
        <v>.1</v>
      </c>
      <c r="CP14" s="1921" t="str">
        <f t="shared" si="11"/>
        <v>.1</v>
      </c>
      <c r="CQ14" s="1921" t="str">
        <f t="shared" si="11"/>
        <v>.1</v>
      </c>
      <c r="CR14" s="1921" t="str">
        <f t="shared" si="11"/>
        <v>.1</v>
      </c>
      <c r="CS14" s="1921" t="str">
        <f t="shared" si="11"/>
        <v>.1</v>
      </c>
      <c r="CT14" s="1921" t="str">
        <f t="shared" si="11"/>
        <v>.1</v>
      </c>
      <c r="CU14" s="1921" t="str">
        <f t="shared" si="11"/>
        <v>.1</v>
      </c>
      <c r="CV14" s="1921" t="str">
        <f t="shared" si="11"/>
        <v>.1</v>
      </c>
      <c r="CW14" s="201"/>
    </row>
    <row r="15" spans="1:110" ht="22.5" customHeight="1">
      <c r="A15" s="403"/>
      <c r="C15" s="424"/>
      <c r="D15" s="419">
        <v>1</v>
      </c>
      <c r="E15" s="1766" t="str">
        <f>TP_P_A</f>
        <v>Количество поданных заявок</v>
      </c>
      <c r="F15" s="419" t="s">
        <v>1387</v>
      </c>
      <c r="G15" s="576"/>
      <c r="H15" s="576">
        <v>0</v>
      </c>
      <c r="I15" s="1901">
        <v>1</v>
      </c>
      <c r="J15" s="1901">
        <v>0</v>
      </c>
      <c r="K15" s="1901">
        <v>0</v>
      </c>
      <c r="L15" s="1901">
        <v>0</v>
      </c>
      <c r="M15" s="1901">
        <v>0</v>
      </c>
      <c r="N15" s="1901">
        <v>0</v>
      </c>
      <c r="O15" s="1901">
        <v>0</v>
      </c>
      <c r="P15" s="1901">
        <v>0</v>
      </c>
      <c r="Q15" s="1901">
        <v>0</v>
      </c>
      <c r="R15" s="1901">
        <v>0</v>
      </c>
      <c r="S15" s="1901">
        <v>0</v>
      </c>
      <c r="T15" s="1901">
        <v>0</v>
      </c>
      <c r="U15" s="1901">
        <v>0</v>
      </c>
      <c r="V15" s="1901">
        <v>0</v>
      </c>
      <c r="W15" s="1901">
        <v>0</v>
      </c>
      <c r="X15" s="1901">
        <v>0</v>
      </c>
      <c r="Y15" s="1901">
        <v>0</v>
      </c>
      <c r="Z15" s="1901">
        <v>0</v>
      </c>
      <c r="AA15" s="1901">
        <v>0</v>
      </c>
      <c r="AB15" s="1901">
        <v>0</v>
      </c>
      <c r="AC15" s="1901">
        <v>0</v>
      </c>
      <c r="AD15" s="1901">
        <v>0</v>
      </c>
      <c r="AE15" s="1901">
        <v>0</v>
      </c>
      <c r="AF15" s="1901">
        <v>0</v>
      </c>
      <c r="AG15" s="1901">
        <v>0</v>
      </c>
      <c r="AH15" s="1901">
        <v>0</v>
      </c>
      <c r="AI15" s="1901">
        <v>1</v>
      </c>
      <c r="AJ15" s="1901">
        <v>0</v>
      </c>
      <c r="AK15" s="1901">
        <v>0</v>
      </c>
      <c r="AL15" s="1901">
        <v>0</v>
      </c>
      <c r="AM15" s="1901">
        <v>0</v>
      </c>
      <c r="AN15" s="1901">
        <v>0</v>
      </c>
      <c r="AO15" s="1901">
        <v>0</v>
      </c>
      <c r="AP15" s="1901">
        <v>0</v>
      </c>
      <c r="AQ15" s="1901">
        <v>0</v>
      </c>
      <c r="AR15" s="1901">
        <v>0</v>
      </c>
      <c r="AS15" s="1901">
        <v>0</v>
      </c>
      <c r="AT15" s="1901">
        <v>0</v>
      </c>
      <c r="AU15" s="1901">
        <v>0</v>
      </c>
      <c r="AV15" s="1901">
        <v>0</v>
      </c>
      <c r="AW15" s="1901">
        <v>0</v>
      </c>
      <c r="AX15" s="1901">
        <v>0</v>
      </c>
      <c r="AY15" s="1901">
        <v>0</v>
      </c>
      <c r="AZ15" s="1901">
        <v>0</v>
      </c>
      <c r="BA15" s="1901">
        <v>0</v>
      </c>
      <c r="BB15" s="1901">
        <v>0</v>
      </c>
      <c r="BC15" s="1901">
        <v>0</v>
      </c>
      <c r="BD15" s="1901">
        <v>0</v>
      </c>
      <c r="BE15" s="1901">
        <v>0</v>
      </c>
      <c r="BF15" s="1901">
        <v>0</v>
      </c>
      <c r="BG15" s="1901">
        <v>0</v>
      </c>
      <c r="BH15" s="1901">
        <v>0</v>
      </c>
      <c r="BI15" s="1901">
        <v>0</v>
      </c>
      <c r="BJ15" s="1901">
        <v>0</v>
      </c>
      <c r="BK15" s="1901">
        <v>0</v>
      </c>
      <c r="BL15" s="1901">
        <v>0</v>
      </c>
      <c r="BM15" s="1901">
        <v>0</v>
      </c>
      <c r="BN15" s="1901">
        <v>0</v>
      </c>
      <c r="BO15" s="1901">
        <v>0</v>
      </c>
      <c r="BP15" s="1901">
        <v>0</v>
      </c>
      <c r="BQ15" s="1901">
        <v>0</v>
      </c>
      <c r="BR15" s="1901">
        <v>0</v>
      </c>
      <c r="BS15" s="1901">
        <v>0</v>
      </c>
      <c r="BT15" s="1901">
        <v>0</v>
      </c>
      <c r="BU15" s="1901">
        <v>0</v>
      </c>
      <c r="BV15" s="1901">
        <v>0</v>
      </c>
      <c r="BW15" s="1901">
        <v>0</v>
      </c>
      <c r="BX15" s="1901">
        <v>0</v>
      </c>
      <c r="BY15" s="1901">
        <v>0</v>
      </c>
      <c r="BZ15" s="1901">
        <v>0</v>
      </c>
      <c r="CA15" s="1901">
        <v>0</v>
      </c>
      <c r="CB15" s="1901">
        <v>0</v>
      </c>
      <c r="CC15" s="1901">
        <v>0</v>
      </c>
      <c r="CD15" s="1901">
        <v>0</v>
      </c>
      <c r="CE15" s="1901">
        <v>0</v>
      </c>
      <c r="CF15" s="1901">
        <v>0</v>
      </c>
      <c r="CG15" s="1901">
        <v>0</v>
      </c>
      <c r="CH15" s="1901">
        <v>0</v>
      </c>
      <c r="CI15" s="1901">
        <v>0</v>
      </c>
      <c r="CJ15" s="1901">
        <v>0</v>
      </c>
      <c r="CK15" s="1901">
        <v>0</v>
      </c>
      <c r="CL15" s="1901">
        <v>0</v>
      </c>
      <c r="CM15" s="1901">
        <v>0</v>
      </c>
      <c r="CN15" s="1901">
        <v>0</v>
      </c>
      <c r="CO15" s="1901">
        <v>0</v>
      </c>
      <c r="CP15" s="1901">
        <v>0</v>
      </c>
      <c r="CQ15" s="1901">
        <v>0</v>
      </c>
      <c r="CR15" s="1901">
        <v>0</v>
      </c>
      <c r="CS15" s="1901">
        <v>0</v>
      </c>
      <c r="CT15" s="1901">
        <v>0</v>
      </c>
      <c r="CU15" s="1901">
        <v>0</v>
      </c>
      <c r="CV15" s="1901">
        <v>0</v>
      </c>
      <c r="CW15" s="12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110" ht="33.75" customHeight="1">
      <c r="A16" s="403"/>
      <c r="C16" s="424"/>
      <c r="D16" s="419">
        <v>2</v>
      </c>
      <c r="E16" s="1766" t="str">
        <f>TP_P_B</f>
        <v>Количество рассмотренных заявок</v>
      </c>
      <c r="F16" s="419" t="s">
        <v>1387</v>
      </c>
      <c r="G16" s="576"/>
      <c r="H16" s="576">
        <v>0</v>
      </c>
      <c r="I16" s="1901">
        <v>0</v>
      </c>
      <c r="J16" s="1901">
        <v>0</v>
      </c>
      <c r="K16" s="1901">
        <v>0</v>
      </c>
      <c r="L16" s="1901">
        <v>0</v>
      </c>
      <c r="M16" s="1901">
        <v>0</v>
      </c>
      <c r="N16" s="1901">
        <v>0</v>
      </c>
      <c r="O16" s="1901">
        <v>0</v>
      </c>
      <c r="P16" s="1901">
        <v>0</v>
      </c>
      <c r="Q16" s="1901">
        <v>0</v>
      </c>
      <c r="R16" s="1901">
        <v>0</v>
      </c>
      <c r="S16" s="1901">
        <v>0</v>
      </c>
      <c r="T16" s="1901">
        <v>0</v>
      </c>
      <c r="U16" s="1901">
        <v>0</v>
      </c>
      <c r="V16" s="1901">
        <v>0</v>
      </c>
      <c r="W16" s="1901">
        <v>0</v>
      </c>
      <c r="X16" s="1901">
        <v>0</v>
      </c>
      <c r="Y16" s="1901">
        <v>0</v>
      </c>
      <c r="Z16" s="1901">
        <v>0</v>
      </c>
      <c r="AA16" s="1901">
        <v>0</v>
      </c>
      <c r="AB16" s="1901">
        <v>0</v>
      </c>
      <c r="AC16" s="1901">
        <v>0</v>
      </c>
      <c r="AD16" s="1901">
        <v>0</v>
      </c>
      <c r="AE16" s="1901">
        <v>0</v>
      </c>
      <c r="AF16" s="1901">
        <v>0</v>
      </c>
      <c r="AG16" s="1901">
        <v>0</v>
      </c>
      <c r="AH16" s="1901">
        <v>0</v>
      </c>
      <c r="AI16" s="1901">
        <v>0</v>
      </c>
      <c r="AJ16" s="1901">
        <v>0</v>
      </c>
      <c r="AK16" s="1901">
        <v>0</v>
      </c>
      <c r="AL16" s="1901">
        <v>0</v>
      </c>
      <c r="AM16" s="1901">
        <v>0</v>
      </c>
      <c r="AN16" s="1901">
        <v>0</v>
      </c>
      <c r="AO16" s="1901">
        <v>0</v>
      </c>
      <c r="AP16" s="1901">
        <v>0</v>
      </c>
      <c r="AQ16" s="1901">
        <v>0</v>
      </c>
      <c r="AR16" s="1901">
        <v>0</v>
      </c>
      <c r="AS16" s="1901">
        <v>0</v>
      </c>
      <c r="AT16" s="1901">
        <v>0</v>
      </c>
      <c r="AU16" s="1901">
        <v>0</v>
      </c>
      <c r="AV16" s="1901">
        <v>0</v>
      </c>
      <c r="AW16" s="1901">
        <v>0</v>
      </c>
      <c r="AX16" s="1901">
        <v>0</v>
      </c>
      <c r="AY16" s="1901">
        <v>0</v>
      </c>
      <c r="AZ16" s="1901">
        <v>0</v>
      </c>
      <c r="BA16" s="1901">
        <v>0</v>
      </c>
      <c r="BB16" s="1901">
        <v>0</v>
      </c>
      <c r="BC16" s="1901">
        <v>0</v>
      </c>
      <c r="BD16" s="1901">
        <v>0</v>
      </c>
      <c r="BE16" s="1901">
        <v>0</v>
      </c>
      <c r="BF16" s="1901">
        <v>0</v>
      </c>
      <c r="BG16" s="1901">
        <v>0</v>
      </c>
      <c r="BH16" s="1901">
        <v>0</v>
      </c>
      <c r="BI16" s="1901">
        <v>0</v>
      </c>
      <c r="BJ16" s="1901">
        <v>0</v>
      </c>
      <c r="BK16" s="1901">
        <v>0</v>
      </c>
      <c r="BL16" s="1901">
        <v>0</v>
      </c>
      <c r="BM16" s="1901">
        <v>0</v>
      </c>
      <c r="BN16" s="1901">
        <v>0</v>
      </c>
      <c r="BO16" s="1901">
        <v>0</v>
      </c>
      <c r="BP16" s="1901">
        <v>0</v>
      </c>
      <c r="BQ16" s="1901">
        <v>0</v>
      </c>
      <c r="BR16" s="1901">
        <v>0</v>
      </c>
      <c r="BS16" s="1901">
        <v>0</v>
      </c>
      <c r="BT16" s="1901">
        <v>0</v>
      </c>
      <c r="BU16" s="1901">
        <v>0</v>
      </c>
      <c r="BV16" s="1901">
        <v>0</v>
      </c>
      <c r="BW16" s="1901">
        <v>0</v>
      </c>
      <c r="BX16" s="1901">
        <v>0</v>
      </c>
      <c r="BY16" s="1901">
        <v>0</v>
      </c>
      <c r="BZ16" s="1901">
        <v>0</v>
      </c>
      <c r="CA16" s="1901">
        <v>0</v>
      </c>
      <c r="CB16" s="1901">
        <v>0</v>
      </c>
      <c r="CC16" s="1901">
        <v>0</v>
      </c>
      <c r="CD16" s="1901">
        <v>0</v>
      </c>
      <c r="CE16" s="1901">
        <v>0</v>
      </c>
      <c r="CF16" s="1901">
        <v>0</v>
      </c>
      <c r="CG16" s="1901">
        <v>0</v>
      </c>
      <c r="CH16" s="1901">
        <v>0</v>
      </c>
      <c r="CI16" s="1901">
        <v>0</v>
      </c>
      <c r="CJ16" s="1901">
        <v>0</v>
      </c>
      <c r="CK16" s="1901">
        <v>0</v>
      </c>
      <c r="CL16" s="1901">
        <v>0</v>
      </c>
      <c r="CM16" s="1901">
        <v>0</v>
      </c>
      <c r="CN16" s="1901">
        <v>0</v>
      </c>
      <c r="CO16" s="1901">
        <v>0</v>
      </c>
      <c r="CP16" s="1901">
        <v>0</v>
      </c>
      <c r="CQ16" s="1901">
        <v>0</v>
      </c>
      <c r="CR16" s="1901">
        <v>0</v>
      </c>
      <c r="CS16" s="1901">
        <v>0</v>
      </c>
      <c r="CT16" s="1901">
        <v>0</v>
      </c>
      <c r="CU16" s="1901">
        <v>0</v>
      </c>
      <c r="CV16" s="1901">
        <v>0</v>
      </c>
      <c r="CW16" s="12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110" ht="73.5" customHeight="1">
      <c r="A17" s="403"/>
      <c r="C17" s="424"/>
      <c r="D17" s="419">
        <v>3</v>
      </c>
      <c r="E17" s="1766"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19" t="s">
        <v>1387</v>
      </c>
      <c r="G17" s="576"/>
      <c r="H17" s="576">
        <v>0</v>
      </c>
      <c r="I17" s="1901">
        <v>0</v>
      </c>
      <c r="J17" s="1901">
        <v>0</v>
      </c>
      <c r="K17" s="1901">
        <v>0</v>
      </c>
      <c r="L17" s="1901">
        <v>0</v>
      </c>
      <c r="M17" s="1901">
        <v>0</v>
      </c>
      <c r="N17" s="1901">
        <v>0</v>
      </c>
      <c r="O17" s="1901">
        <v>0</v>
      </c>
      <c r="P17" s="1901">
        <v>0</v>
      </c>
      <c r="Q17" s="1901">
        <v>0</v>
      </c>
      <c r="R17" s="1901">
        <v>0</v>
      </c>
      <c r="S17" s="1901">
        <v>0</v>
      </c>
      <c r="T17" s="1901">
        <v>0</v>
      </c>
      <c r="U17" s="1901">
        <v>0</v>
      </c>
      <c r="V17" s="1901">
        <v>0</v>
      </c>
      <c r="W17" s="1901">
        <v>0</v>
      </c>
      <c r="X17" s="1901">
        <v>0</v>
      </c>
      <c r="Y17" s="1901">
        <v>0</v>
      </c>
      <c r="Z17" s="1901">
        <v>0</v>
      </c>
      <c r="AA17" s="1901">
        <v>0</v>
      </c>
      <c r="AB17" s="1901">
        <v>0</v>
      </c>
      <c r="AC17" s="1901">
        <v>0</v>
      </c>
      <c r="AD17" s="1901">
        <v>0</v>
      </c>
      <c r="AE17" s="1901">
        <v>0</v>
      </c>
      <c r="AF17" s="1901">
        <v>0</v>
      </c>
      <c r="AG17" s="1901">
        <v>0</v>
      </c>
      <c r="AH17" s="1901">
        <v>0</v>
      </c>
      <c r="AI17" s="1901">
        <v>0</v>
      </c>
      <c r="AJ17" s="1901">
        <v>0</v>
      </c>
      <c r="AK17" s="1901">
        <v>0</v>
      </c>
      <c r="AL17" s="1901">
        <v>1</v>
      </c>
      <c r="AM17" s="1901">
        <v>0</v>
      </c>
      <c r="AN17" s="1901">
        <v>0</v>
      </c>
      <c r="AO17" s="1901">
        <v>0</v>
      </c>
      <c r="AP17" s="1901">
        <v>0</v>
      </c>
      <c r="AQ17" s="1901">
        <v>0</v>
      </c>
      <c r="AR17" s="1901">
        <v>0</v>
      </c>
      <c r="AS17" s="1901">
        <v>0</v>
      </c>
      <c r="AT17" s="1901">
        <v>0</v>
      </c>
      <c r="AU17" s="1901">
        <v>0</v>
      </c>
      <c r="AV17" s="1901">
        <v>0</v>
      </c>
      <c r="AW17" s="1901">
        <v>0</v>
      </c>
      <c r="AX17" s="1901">
        <v>0</v>
      </c>
      <c r="AY17" s="1901">
        <v>0</v>
      </c>
      <c r="AZ17" s="1901">
        <v>0</v>
      </c>
      <c r="BA17" s="1901">
        <v>0</v>
      </c>
      <c r="BB17" s="1901">
        <v>0</v>
      </c>
      <c r="BC17" s="1901">
        <v>0</v>
      </c>
      <c r="BD17" s="1901">
        <v>0</v>
      </c>
      <c r="BE17" s="1901">
        <v>0</v>
      </c>
      <c r="BF17" s="1901">
        <v>0</v>
      </c>
      <c r="BG17" s="1901">
        <v>0</v>
      </c>
      <c r="BH17" s="1901">
        <v>0</v>
      </c>
      <c r="BI17" s="1901">
        <v>0</v>
      </c>
      <c r="BJ17" s="1901">
        <v>0</v>
      </c>
      <c r="BK17" s="1901">
        <v>0</v>
      </c>
      <c r="BL17" s="1901">
        <v>0</v>
      </c>
      <c r="BM17" s="1901">
        <v>0</v>
      </c>
      <c r="BN17" s="1901">
        <v>0</v>
      </c>
      <c r="BO17" s="1901">
        <v>0</v>
      </c>
      <c r="BP17" s="1901">
        <v>0</v>
      </c>
      <c r="BQ17" s="1901">
        <v>0</v>
      </c>
      <c r="BR17" s="1901">
        <v>0</v>
      </c>
      <c r="BS17" s="1901">
        <v>0</v>
      </c>
      <c r="BT17" s="1901">
        <v>0</v>
      </c>
      <c r="BU17" s="1901">
        <v>0</v>
      </c>
      <c r="BV17" s="1901">
        <v>0</v>
      </c>
      <c r="BW17" s="1901">
        <v>0</v>
      </c>
      <c r="BX17" s="1901">
        <v>0</v>
      </c>
      <c r="BY17" s="1901">
        <v>1</v>
      </c>
      <c r="BZ17" s="1901">
        <v>0</v>
      </c>
      <c r="CA17" s="1901">
        <v>0</v>
      </c>
      <c r="CB17" s="1901">
        <v>0</v>
      </c>
      <c r="CC17" s="1901">
        <v>0</v>
      </c>
      <c r="CD17" s="1901">
        <v>0</v>
      </c>
      <c r="CE17" s="1901">
        <v>0</v>
      </c>
      <c r="CF17" s="1901">
        <v>0</v>
      </c>
      <c r="CG17" s="1901">
        <v>0</v>
      </c>
      <c r="CH17" s="1901">
        <v>1</v>
      </c>
      <c r="CI17" s="1901">
        <v>0</v>
      </c>
      <c r="CJ17" s="1901">
        <v>0</v>
      </c>
      <c r="CK17" s="1901">
        <v>0</v>
      </c>
      <c r="CL17" s="1901">
        <v>0</v>
      </c>
      <c r="CM17" s="1901">
        <v>0</v>
      </c>
      <c r="CN17" s="1901">
        <v>0</v>
      </c>
      <c r="CO17" s="1901">
        <v>0</v>
      </c>
      <c r="CP17" s="1901">
        <v>0</v>
      </c>
      <c r="CQ17" s="1901">
        <v>0</v>
      </c>
      <c r="CR17" s="1901">
        <v>0</v>
      </c>
      <c r="CS17" s="1901">
        <v>0</v>
      </c>
      <c r="CT17" s="1901">
        <v>0</v>
      </c>
      <c r="CU17" s="1901">
        <v>0</v>
      </c>
      <c r="CV17" s="1901">
        <v>0</v>
      </c>
      <c r="CW17" s="124" t="str">
        <f>TP_P_NOTE_V</f>
        <v>Указывается количество заявок с решением об отказе в течение отчетного квартала.</v>
      </c>
    </row>
    <row r="18" spans="1:110" ht="52.5" customHeight="1">
      <c r="A18" s="403"/>
      <c r="C18" s="424"/>
      <c r="D18" s="419">
        <v>4</v>
      </c>
      <c r="E18" s="1766" t="str">
        <f>TP_P_V_1</f>
        <v>Причины отказа в заключении договора о подключении (технологическом присоединении) к системе теплоснабжения</v>
      </c>
      <c r="F18" s="419" t="s">
        <v>566</v>
      </c>
      <c r="G18" s="577"/>
      <c r="H18" s="577"/>
      <c r="I18" s="1874"/>
      <c r="J18" s="1874"/>
      <c r="K18" s="1874"/>
      <c r="L18" s="1874"/>
      <c r="M18" s="1874"/>
      <c r="N18" s="1874"/>
      <c r="O18" s="1874"/>
      <c r="P18" s="1874"/>
      <c r="Q18" s="1874"/>
      <c r="R18" s="1874"/>
      <c r="S18" s="1874"/>
      <c r="T18" s="1874"/>
      <c r="U18" s="1874"/>
      <c r="V18" s="1874"/>
      <c r="W18" s="1874"/>
      <c r="X18" s="1874"/>
      <c r="Y18" s="1874"/>
      <c r="Z18" s="1874"/>
      <c r="AA18" s="1874"/>
      <c r="AB18" s="1874"/>
      <c r="AC18" s="1874"/>
      <c r="AD18" s="1874"/>
      <c r="AE18" s="1874"/>
      <c r="AF18" s="1874"/>
      <c r="AG18" s="1874"/>
      <c r="AH18" s="1874"/>
      <c r="AI18" s="1874"/>
      <c r="AJ18" s="1874"/>
      <c r="AK18" s="1874"/>
      <c r="AL18" s="1887" t="s">
        <v>1388</v>
      </c>
      <c r="AM18" s="1874"/>
      <c r="AN18" s="1874"/>
      <c r="AO18" s="1874"/>
      <c r="AP18" s="1874"/>
      <c r="AQ18" s="1874"/>
      <c r="AR18" s="1874"/>
      <c r="AS18" s="1874"/>
      <c r="AT18" s="1874"/>
      <c r="AU18" s="1874"/>
      <c r="AV18" s="1874"/>
      <c r="AW18" s="1874"/>
      <c r="AX18" s="1874"/>
      <c r="AY18" s="1874"/>
      <c r="AZ18" s="1874"/>
      <c r="BA18" s="1874"/>
      <c r="BB18" s="1874"/>
      <c r="BC18" s="1874"/>
      <c r="BD18" s="1874"/>
      <c r="BE18" s="1874"/>
      <c r="BF18" s="1874"/>
      <c r="BG18" s="1874"/>
      <c r="BH18" s="1874"/>
      <c r="BI18" s="1874"/>
      <c r="BJ18" s="1874"/>
      <c r="BK18" s="1874"/>
      <c r="BL18" s="1874"/>
      <c r="BM18" s="1874"/>
      <c r="BN18" s="1874"/>
      <c r="BO18" s="1874"/>
      <c r="BP18" s="1874"/>
      <c r="BQ18" s="1874"/>
      <c r="BR18" s="1874"/>
      <c r="BS18" s="1874"/>
      <c r="BT18" s="1874"/>
      <c r="BU18" s="1874"/>
      <c r="BV18" s="1874"/>
      <c r="BW18" s="1874"/>
      <c r="BX18" s="1874"/>
      <c r="BY18" s="1887" t="s">
        <v>1388</v>
      </c>
      <c r="BZ18" s="1874"/>
      <c r="CA18" s="1874"/>
      <c r="CB18" s="1874"/>
      <c r="CC18" s="1874"/>
      <c r="CD18" s="1874"/>
      <c r="CE18" s="1874"/>
      <c r="CF18" s="1874"/>
      <c r="CG18" s="1874"/>
      <c r="CH18" s="1887" t="s">
        <v>1388</v>
      </c>
      <c r="CI18" s="1874"/>
      <c r="CJ18" s="1874"/>
      <c r="CK18" s="1874"/>
      <c r="CL18" s="1874"/>
      <c r="CM18" s="1874"/>
      <c r="CN18" s="1874"/>
      <c r="CO18" s="1874"/>
      <c r="CP18" s="1874"/>
      <c r="CQ18" s="1874"/>
      <c r="CR18" s="1874"/>
      <c r="CS18" s="1874"/>
      <c r="CT18" s="1874"/>
      <c r="CU18" s="1874"/>
      <c r="CV18" s="1874"/>
      <c r="CW18" s="71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10" ht="57" customHeight="1">
      <c r="A19" s="403"/>
      <c r="C19" s="424"/>
      <c r="D19" s="419">
        <v>5</v>
      </c>
      <c r="E19" s="1766" t="str">
        <f>TP_P_G</f>
        <v>Резерв мощности источников тепловой энергии, входящих в систему теплоснабжения, в течение одного квартала, в том числе:</v>
      </c>
      <c r="F19" s="419" t="str">
        <f>IF(TEMPLATE_SPHERE="HEAT","Гкал/час","тыс. куб. м/сутки")</f>
        <v>Гкал/час</v>
      </c>
      <c r="G19" s="578">
        <f t="shared" ref="G19:AL19" si="12">SUM(G20:G114)</f>
        <v>0</v>
      </c>
      <c r="H19" s="578">
        <f t="shared" si="12"/>
        <v>0</v>
      </c>
      <c r="I19" s="1902">
        <f t="shared" si="12"/>
        <v>2.0840000000000001</v>
      </c>
      <c r="J19" s="1902">
        <f t="shared" si="12"/>
        <v>0.92200000000000004</v>
      </c>
      <c r="K19" s="1902">
        <f t="shared" si="12"/>
        <v>0.47399999999999998</v>
      </c>
      <c r="L19" s="1902">
        <f t="shared" si="12"/>
        <v>0</v>
      </c>
      <c r="M19" s="1902">
        <f t="shared" si="12"/>
        <v>4.4930000000000003</v>
      </c>
      <c r="N19" s="1902">
        <f t="shared" si="12"/>
        <v>0.16600000000000001</v>
      </c>
      <c r="O19" s="1902">
        <f t="shared" si="12"/>
        <v>0.39200000000000002</v>
      </c>
      <c r="P19" s="1902">
        <f t="shared" si="12"/>
        <v>0.48299999999999998</v>
      </c>
      <c r="Q19" s="1902">
        <f t="shared" si="12"/>
        <v>0.51</v>
      </c>
      <c r="R19" s="1902">
        <f t="shared" si="12"/>
        <v>0.219</v>
      </c>
      <c r="S19" s="1902">
        <f t="shared" si="12"/>
        <v>0.41899999999999998</v>
      </c>
      <c r="T19" s="1902">
        <f t="shared" si="12"/>
        <v>0.16400000000000001</v>
      </c>
      <c r="U19" s="1902">
        <f t="shared" si="12"/>
        <v>0.23799999999999999</v>
      </c>
      <c r="V19" s="1902">
        <f t="shared" si="12"/>
        <v>0.82899999999999996</v>
      </c>
      <c r="W19" s="1902">
        <f t="shared" si="12"/>
        <v>0.20399999999999999</v>
      </c>
      <c r="X19" s="1902">
        <f t="shared" si="12"/>
        <v>2.3559999999999999</v>
      </c>
      <c r="Y19" s="1902">
        <f t="shared" si="12"/>
        <v>0.26600000000000001</v>
      </c>
      <c r="Z19" s="1902">
        <f t="shared" si="12"/>
        <v>0</v>
      </c>
      <c r="AA19" s="1902">
        <f t="shared" si="12"/>
        <v>0.64400000000000002</v>
      </c>
      <c r="AB19" s="1902">
        <f t="shared" si="12"/>
        <v>0</v>
      </c>
      <c r="AC19" s="1902">
        <f t="shared" si="12"/>
        <v>0</v>
      </c>
      <c r="AD19" s="1902">
        <f t="shared" si="12"/>
        <v>4.7E-2</v>
      </c>
      <c r="AE19" s="1902">
        <f t="shared" si="12"/>
        <v>0</v>
      </c>
      <c r="AF19" s="1902">
        <f t="shared" si="12"/>
        <v>0</v>
      </c>
      <c r="AG19" s="1902">
        <f t="shared" si="12"/>
        <v>0</v>
      </c>
      <c r="AH19" s="1902">
        <f t="shared" si="12"/>
        <v>8.1000000000000003E-2</v>
      </c>
      <c r="AI19" s="1902">
        <f t="shared" si="12"/>
        <v>2.8319999999999999</v>
      </c>
      <c r="AJ19" s="1902">
        <f t="shared" si="12"/>
        <v>0.26100000000000001</v>
      </c>
      <c r="AK19" s="1902">
        <f t="shared" si="12"/>
        <v>7.77</v>
      </c>
      <c r="AL19" s="1902">
        <f t="shared" si="12"/>
        <v>1.1559999999999999</v>
      </c>
      <c r="AM19" s="1902">
        <f t="shared" ref="AM19:BR19" si="13">SUM(AM20:AM114)</f>
        <v>0.42</v>
      </c>
      <c r="AN19" s="1902">
        <f t="shared" si="13"/>
        <v>0.90400000000000003</v>
      </c>
      <c r="AO19" s="1902">
        <f t="shared" si="13"/>
        <v>0.68500000000000005</v>
      </c>
      <c r="AP19" s="1902">
        <f t="shared" si="13"/>
        <v>0.40300000000000002</v>
      </c>
      <c r="AQ19" s="1902">
        <f t="shared" si="13"/>
        <v>1.8859999999999999</v>
      </c>
      <c r="AR19" s="1902">
        <f t="shared" si="13"/>
        <v>0.61799999999999999</v>
      </c>
      <c r="AS19" s="1902">
        <f t="shared" si="13"/>
        <v>4.7E-2</v>
      </c>
      <c r="AT19" s="1902">
        <f t="shared" si="13"/>
        <v>0.253</v>
      </c>
      <c r="AU19" s="1902">
        <f t="shared" si="13"/>
        <v>0</v>
      </c>
      <c r="AV19" s="1902">
        <f t="shared" si="13"/>
        <v>0.35699999999999998</v>
      </c>
      <c r="AW19" s="1902">
        <f t="shared" si="13"/>
        <v>0</v>
      </c>
      <c r="AX19" s="1902">
        <f t="shared" si="13"/>
        <v>0.23100000000000001</v>
      </c>
      <c r="AY19" s="1902">
        <f t="shared" si="13"/>
        <v>1.534</v>
      </c>
      <c r="AZ19" s="1902">
        <f t="shared" si="13"/>
        <v>0.157</v>
      </c>
      <c r="BA19" s="1902">
        <f t="shared" si="13"/>
        <v>0.434</v>
      </c>
      <c r="BB19" s="1902">
        <f t="shared" si="13"/>
        <v>0.26800000000000002</v>
      </c>
      <c r="BC19" s="1902">
        <f t="shared" si="13"/>
        <v>0.28199999999999997</v>
      </c>
      <c r="BD19" s="1902">
        <f t="shared" si="13"/>
        <v>0.56299999999999994</v>
      </c>
      <c r="BE19" s="1902">
        <f t="shared" si="13"/>
        <v>0</v>
      </c>
      <c r="BF19" s="1902">
        <f t="shared" si="13"/>
        <v>0.56699999999999995</v>
      </c>
      <c r="BG19" s="1902">
        <f t="shared" si="13"/>
        <v>0.45900000000000002</v>
      </c>
      <c r="BH19" s="1902">
        <f t="shared" si="13"/>
        <v>1.1399999999999999</v>
      </c>
      <c r="BI19" s="1902">
        <f t="shared" si="13"/>
        <v>0.38200000000000001</v>
      </c>
      <c r="BJ19" s="1902">
        <f t="shared" si="13"/>
        <v>0.253</v>
      </c>
      <c r="BK19" s="1902">
        <f t="shared" si="13"/>
        <v>1.7999999999999999E-2</v>
      </c>
      <c r="BL19" s="1902">
        <f t="shared" si="13"/>
        <v>8.0939999999999994</v>
      </c>
      <c r="BM19" s="1902">
        <f t="shared" si="13"/>
        <v>0.13600000000000001</v>
      </c>
      <c r="BN19" s="1902">
        <f t="shared" si="13"/>
        <v>0</v>
      </c>
      <c r="BO19" s="1902">
        <f t="shared" si="13"/>
        <v>0</v>
      </c>
      <c r="BP19" s="1902">
        <f t="shared" si="13"/>
        <v>0</v>
      </c>
      <c r="BQ19" s="1902">
        <f t="shared" si="13"/>
        <v>0.255</v>
      </c>
      <c r="BR19" s="1902">
        <f t="shared" si="13"/>
        <v>7.2999999999999995E-2</v>
      </c>
      <c r="BS19" s="1902">
        <f t="shared" ref="BS19:CX19" si="14">SUM(BS20:BS114)</f>
        <v>0.13100000000000001</v>
      </c>
      <c r="BT19" s="1902">
        <f t="shared" si="14"/>
        <v>1.246</v>
      </c>
      <c r="BU19" s="1902">
        <f t="shared" si="14"/>
        <v>2.5590000000000002</v>
      </c>
      <c r="BV19" s="1902">
        <f t="shared" si="14"/>
        <v>0.41299999999999998</v>
      </c>
      <c r="BW19" s="1902">
        <f t="shared" si="14"/>
        <v>1.712</v>
      </c>
      <c r="BX19" s="1902">
        <f t="shared" si="14"/>
        <v>0.188</v>
      </c>
      <c r="BY19" s="1902">
        <f t="shared" si="14"/>
        <v>0.01</v>
      </c>
      <c r="BZ19" s="1902">
        <f t="shared" si="14"/>
        <v>0</v>
      </c>
      <c r="CA19" s="1902">
        <f t="shared" si="14"/>
        <v>0</v>
      </c>
      <c r="CB19" s="1902">
        <f t="shared" si="14"/>
        <v>4.8000000000000001E-2</v>
      </c>
      <c r="CC19" s="1902">
        <f t="shared" si="14"/>
        <v>0</v>
      </c>
      <c r="CD19" s="1902">
        <f t="shared" si="14"/>
        <v>6.7000000000000004E-2</v>
      </c>
      <c r="CE19" s="1902">
        <f t="shared" si="14"/>
        <v>0.62</v>
      </c>
      <c r="CF19" s="1902">
        <f t="shared" si="14"/>
        <v>0.26</v>
      </c>
      <c r="CG19" s="1902">
        <f t="shared" si="14"/>
        <v>1.47</v>
      </c>
      <c r="CH19" s="1902">
        <f t="shared" si="14"/>
        <v>1.585</v>
      </c>
      <c r="CI19" s="1902">
        <f t="shared" si="14"/>
        <v>0.251</v>
      </c>
      <c r="CJ19" s="1902">
        <f t="shared" si="14"/>
        <v>0.42099999999999999</v>
      </c>
      <c r="CK19" s="1902">
        <f t="shared" si="14"/>
        <v>1E-3</v>
      </c>
      <c r="CL19" s="1902">
        <f t="shared" si="14"/>
        <v>0.02</v>
      </c>
      <c r="CM19" s="1902">
        <f t="shared" si="14"/>
        <v>0</v>
      </c>
      <c r="CN19" s="1902">
        <f t="shared" si="14"/>
        <v>0.44500000000000001</v>
      </c>
      <c r="CO19" s="1902">
        <f t="shared" si="14"/>
        <v>1.7749999999999999</v>
      </c>
      <c r="CP19" s="1902">
        <f t="shared" si="14"/>
        <v>0.186</v>
      </c>
      <c r="CQ19" s="1902">
        <f t="shared" si="14"/>
        <v>0.23699999999999999</v>
      </c>
      <c r="CR19" s="1902">
        <f t="shared" si="14"/>
        <v>7.0000000000000007E-2</v>
      </c>
      <c r="CS19" s="1902">
        <f t="shared" si="14"/>
        <v>5.0000000000000001E-3</v>
      </c>
      <c r="CT19" s="1902">
        <f t="shared" si="14"/>
        <v>0.14099999999999999</v>
      </c>
      <c r="CU19" s="1902">
        <f t="shared" si="14"/>
        <v>0</v>
      </c>
      <c r="CV19" s="1902">
        <f t="shared" si="14"/>
        <v>2E-3</v>
      </c>
      <c r="CW19" s="12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110" ht="15" hidden="1" customHeight="1">
      <c r="D20" s="407" t="s">
        <v>1389</v>
      </c>
      <c r="E20" s="579"/>
      <c r="F20" s="407"/>
      <c r="G20" s="407"/>
      <c r="H20" s="407"/>
      <c r="CW20" s="1606"/>
    </row>
    <row r="21" spans="1:110" ht="27.75" customHeight="1">
      <c r="C21" s="354"/>
      <c r="D21" s="436" t="s">
        <v>575</v>
      </c>
      <c r="E21" s="562" t="s">
        <v>114</v>
      </c>
      <c r="F21" s="1604" t="str">
        <f t="shared" ref="F21:F52" si="15">IF(TEMPLATE_SPHERE="HEAT","Гкал/час","тыс. куб. м/сутки")</f>
        <v>Гкал/час</v>
      </c>
      <c r="G21" s="572"/>
      <c r="H21" s="572">
        <v>0</v>
      </c>
      <c r="I21" s="1872"/>
      <c r="J21" s="1872"/>
      <c r="K21" s="1872"/>
      <c r="L21" s="1872"/>
      <c r="M21" s="1872"/>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c r="AL21" s="1872"/>
      <c r="AM21" s="1872"/>
      <c r="AN21" s="1872"/>
      <c r="AO21" s="1872"/>
      <c r="AP21" s="1872"/>
      <c r="AQ21" s="1872"/>
      <c r="AR21" s="1872"/>
      <c r="AS21" s="1872"/>
      <c r="AT21" s="1872"/>
      <c r="AU21" s="1872"/>
      <c r="AV21" s="1872"/>
      <c r="AW21" s="1872"/>
      <c r="AX21" s="1872"/>
      <c r="AY21" s="1872"/>
      <c r="AZ21" s="1872"/>
      <c r="BA21" s="1872"/>
      <c r="BB21" s="1872"/>
      <c r="BC21" s="1872"/>
      <c r="BD21" s="1872"/>
      <c r="BE21" s="1872"/>
      <c r="BF21" s="1872"/>
      <c r="BG21" s="1872"/>
      <c r="BH21" s="1872"/>
      <c r="BI21" s="1872"/>
      <c r="BJ21" s="1872"/>
      <c r="BK21" s="1872"/>
      <c r="BL21" s="1872"/>
      <c r="BM21" s="1872"/>
      <c r="BN21" s="1872"/>
      <c r="BO21" s="1872"/>
      <c r="BP21" s="1872"/>
      <c r="BQ21" s="1872"/>
      <c r="BR21" s="1872"/>
      <c r="BS21" s="1872"/>
      <c r="BT21" s="1872"/>
      <c r="BU21" s="1872"/>
      <c r="BV21" s="1872"/>
      <c r="BW21" s="1872"/>
      <c r="BX21" s="1872"/>
      <c r="BY21" s="1872"/>
      <c r="BZ21" s="1872"/>
      <c r="CA21" s="1872"/>
      <c r="CB21" s="1872"/>
      <c r="CC21" s="1872"/>
      <c r="CD21" s="1872"/>
      <c r="CE21" s="1872"/>
      <c r="CF21" s="1872"/>
      <c r="CG21" s="1872"/>
      <c r="CH21" s="1872"/>
      <c r="CI21" s="1872"/>
      <c r="CJ21" s="1872"/>
      <c r="CK21" s="1872"/>
      <c r="CL21" s="1872"/>
      <c r="CM21" s="1872"/>
      <c r="CN21" s="1872"/>
      <c r="CO21" s="1872"/>
      <c r="CP21" s="1872"/>
      <c r="CQ21" s="1872"/>
      <c r="CR21" s="1872"/>
      <c r="CS21" s="1872"/>
      <c r="CT21" s="1872"/>
      <c r="CU21" s="1872"/>
      <c r="CV21" s="1872"/>
      <c r="CW21" s="344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110" s="1962" customFormat="1" ht="22.5" customHeight="1">
      <c r="A22" s="1926"/>
      <c r="B22" s="1910"/>
      <c r="C22" s="1764" t="s">
        <v>118</v>
      </c>
      <c r="D22" s="1941" t="s">
        <v>577</v>
      </c>
      <c r="E22" s="1934" t="s">
        <v>119</v>
      </c>
      <c r="F22" s="1933" t="str">
        <f t="shared" si="15"/>
        <v>Гкал/час</v>
      </c>
      <c r="G22" s="1872"/>
      <c r="H22" s="1872"/>
      <c r="I22" s="1872">
        <v>2.0840000000000001</v>
      </c>
      <c r="J22" s="1872"/>
      <c r="K22" s="1872"/>
      <c r="L22" s="1872"/>
      <c r="M22" s="1872"/>
      <c r="N22" s="1872"/>
      <c r="O22" s="1872"/>
      <c r="P22" s="1872"/>
      <c r="Q22" s="1872"/>
      <c r="R22" s="1872"/>
      <c r="S22" s="1872"/>
      <c r="T22" s="1872"/>
      <c r="U22" s="1872"/>
      <c r="V22" s="1872"/>
      <c r="W22" s="1872"/>
      <c r="X22" s="1872"/>
      <c r="Y22" s="1872"/>
      <c r="Z22" s="1872"/>
      <c r="AA22" s="1872"/>
      <c r="AB22" s="1872"/>
      <c r="AC22" s="1872"/>
      <c r="AD22" s="1872"/>
      <c r="AE22" s="1872"/>
      <c r="AF22" s="1872"/>
      <c r="AG22" s="1872"/>
      <c r="AH22" s="1872"/>
      <c r="AI22" s="1872"/>
      <c r="AJ22" s="1872"/>
      <c r="AK22" s="1872"/>
      <c r="AL22" s="1872"/>
      <c r="AM22" s="1872"/>
      <c r="AN22" s="1872"/>
      <c r="AO22" s="1872"/>
      <c r="AP22" s="1872"/>
      <c r="AQ22" s="1872"/>
      <c r="AR22" s="1872"/>
      <c r="AS22" s="1872"/>
      <c r="AT22" s="1872"/>
      <c r="AU22" s="1872"/>
      <c r="AV22" s="1872"/>
      <c r="AW22" s="1872"/>
      <c r="AX22" s="1872"/>
      <c r="AY22" s="1872"/>
      <c r="AZ22" s="1872"/>
      <c r="BA22" s="1872"/>
      <c r="BB22" s="1872"/>
      <c r="BC22" s="1872"/>
      <c r="BD22" s="1872"/>
      <c r="BE22" s="1872"/>
      <c r="BF22" s="1872"/>
      <c r="BG22" s="1872"/>
      <c r="BH22" s="1872"/>
      <c r="BI22" s="1872"/>
      <c r="BJ22" s="1872"/>
      <c r="BK22" s="1872"/>
      <c r="BL22" s="1872"/>
      <c r="BM22" s="1872"/>
      <c r="BN22" s="1872"/>
      <c r="BO22" s="1872"/>
      <c r="BP22" s="1872"/>
      <c r="BQ22" s="1872"/>
      <c r="BR22" s="1872"/>
      <c r="BS22" s="1872"/>
      <c r="BT22" s="1872"/>
      <c r="BU22" s="1872"/>
      <c r="BV22" s="1872"/>
      <c r="BW22" s="1872"/>
      <c r="BX22" s="1872"/>
      <c r="BY22" s="1872"/>
      <c r="BZ22" s="1872"/>
      <c r="CA22" s="1872"/>
      <c r="CB22" s="1872"/>
      <c r="CC22" s="1872"/>
      <c r="CD22" s="1872"/>
      <c r="CE22" s="1872"/>
      <c r="CF22" s="1872"/>
      <c r="CG22" s="1872"/>
      <c r="CH22" s="1872"/>
      <c r="CI22" s="1872"/>
      <c r="CJ22" s="1872"/>
      <c r="CK22" s="1872"/>
      <c r="CL22" s="1872"/>
      <c r="CM22" s="1872"/>
      <c r="CN22" s="1872"/>
      <c r="CO22" s="1872"/>
      <c r="CP22" s="1872"/>
      <c r="CQ22" s="1872"/>
      <c r="CR22" s="1872"/>
      <c r="CS22" s="1872"/>
      <c r="CT22" s="1872"/>
      <c r="CU22" s="1872"/>
      <c r="CV22" s="1872"/>
      <c r="CW22" s="3677"/>
      <c r="CX22" s="1910"/>
      <c r="CY22" s="1910"/>
      <c r="CZ22" s="1910"/>
      <c r="DA22" s="1910"/>
      <c r="DB22" s="1910"/>
      <c r="DC22" s="1910"/>
      <c r="DD22" s="1910"/>
      <c r="DE22" s="1910"/>
      <c r="DF22" s="1911"/>
    </row>
    <row r="23" spans="1:110" s="1962" customFormat="1" ht="22.5" customHeight="1">
      <c r="A23" s="1926"/>
      <c r="B23" s="1910"/>
      <c r="C23" s="1764" t="s">
        <v>118</v>
      </c>
      <c r="D23" s="1941" t="s">
        <v>580</v>
      </c>
      <c r="E23" s="1934" t="s">
        <v>121</v>
      </c>
      <c r="F23" s="1933" t="str">
        <f t="shared" si="15"/>
        <v>Гкал/час</v>
      </c>
      <c r="G23" s="1872"/>
      <c r="H23" s="1872"/>
      <c r="I23" s="1872"/>
      <c r="J23" s="1872">
        <v>0.92200000000000004</v>
      </c>
      <c r="K23" s="1872"/>
      <c r="L23" s="1872"/>
      <c r="M23" s="1872"/>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c r="AL23" s="1872"/>
      <c r="AM23" s="1872"/>
      <c r="AN23" s="1872"/>
      <c r="AO23" s="1872"/>
      <c r="AP23" s="1872"/>
      <c r="AQ23" s="1872"/>
      <c r="AR23" s="1872"/>
      <c r="AS23" s="1872"/>
      <c r="AT23" s="1872"/>
      <c r="AU23" s="1872"/>
      <c r="AV23" s="1872"/>
      <c r="AW23" s="1872"/>
      <c r="AX23" s="1872"/>
      <c r="AY23" s="1872"/>
      <c r="AZ23" s="1872"/>
      <c r="BA23" s="1872"/>
      <c r="BB23" s="1872"/>
      <c r="BC23" s="1872"/>
      <c r="BD23" s="1872"/>
      <c r="BE23" s="1872"/>
      <c r="BF23" s="1872"/>
      <c r="BG23" s="1872"/>
      <c r="BH23" s="1872"/>
      <c r="BI23" s="1872"/>
      <c r="BJ23" s="1872"/>
      <c r="BK23" s="1872"/>
      <c r="BL23" s="1872"/>
      <c r="BM23" s="1872"/>
      <c r="BN23" s="1872"/>
      <c r="BO23" s="1872"/>
      <c r="BP23" s="1872"/>
      <c r="BQ23" s="1872"/>
      <c r="BR23" s="1872"/>
      <c r="BS23" s="1872"/>
      <c r="BT23" s="1872"/>
      <c r="BU23" s="1872"/>
      <c r="BV23" s="1872"/>
      <c r="BW23" s="1872"/>
      <c r="BX23" s="1872"/>
      <c r="BY23" s="1872"/>
      <c r="BZ23" s="1872"/>
      <c r="CA23" s="1872"/>
      <c r="CB23" s="1872"/>
      <c r="CC23" s="1872"/>
      <c r="CD23" s="1872"/>
      <c r="CE23" s="1872"/>
      <c r="CF23" s="1872"/>
      <c r="CG23" s="1872"/>
      <c r="CH23" s="1872"/>
      <c r="CI23" s="1872"/>
      <c r="CJ23" s="1872"/>
      <c r="CK23" s="1872"/>
      <c r="CL23" s="1872"/>
      <c r="CM23" s="1872"/>
      <c r="CN23" s="1872"/>
      <c r="CO23" s="1872"/>
      <c r="CP23" s="1872"/>
      <c r="CQ23" s="1872"/>
      <c r="CR23" s="1872"/>
      <c r="CS23" s="1872"/>
      <c r="CT23" s="1872"/>
      <c r="CU23" s="1872"/>
      <c r="CV23" s="1872"/>
      <c r="CW23" s="3677"/>
      <c r="CX23" s="1910"/>
      <c r="CY23" s="1910"/>
      <c r="CZ23" s="1910"/>
      <c r="DA23" s="1910"/>
      <c r="DB23" s="1910"/>
      <c r="DC23" s="1910"/>
      <c r="DD23" s="1910"/>
      <c r="DE23" s="1910"/>
      <c r="DF23" s="1911"/>
    </row>
    <row r="24" spans="1:110" s="1962" customFormat="1" ht="22.5" customHeight="1">
      <c r="A24" s="1926"/>
      <c r="B24" s="1910"/>
      <c r="C24" s="1764" t="s">
        <v>118</v>
      </c>
      <c r="D24" s="1941" t="s">
        <v>582</v>
      </c>
      <c r="E24" s="1934" t="s">
        <v>123</v>
      </c>
      <c r="F24" s="1933" t="str">
        <f t="shared" si="15"/>
        <v>Гкал/час</v>
      </c>
      <c r="G24" s="1872"/>
      <c r="H24" s="1872"/>
      <c r="I24" s="1872"/>
      <c r="J24" s="1872"/>
      <c r="K24" s="1872">
        <v>0.47399999999999998</v>
      </c>
      <c r="L24" s="1872"/>
      <c r="M24" s="1872"/>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c r="AL24" s="1872"/>
      <c r="AM24" s="1872"/>
      <c r="AN24" s="1872"/>
      <c r="AO24" s="1872"/>
      <c r="AP24" s="1872"/>
      <c r="AQ24" s="1872"/>
      <c r="AR24" s="1872"/>
      <c r="AS24" s="1872"/>
      <c r="AT24" s="1872"/>
      <c r="AU24" s="1872"/>
      <c r="AV24" s="1872"/>
      <c r="AW24" s="1872"/>
      <c r="AX24" s="1872"/>
      <c r="AY24" s="1872"/>
      <c r="AZ24" s="1872"/>
      <c r="BA24" s="1872"/>
      <c r="BB24" s="1872"/>
      <c r="BC24" s="1872"/>
      <c r="BD24" s="1872"/>
      <c r="BE24" s="1872"/>
      <c r="BF24" s="1872"/>
      <c r="BG24" s="1872"/>
      <c r="BH24" s="1872"/>
      <c r="BI24" s="1872"/>
      <c r="BJ24" s="1872"/>
      <c r="BK24" s="1872"/>
      <c r="BL24" s="1872"/>
      <c r="BM24" s="1872"/>
      <c r="BN24" s="1872"/>
      <c r="BO24" s="1872"/>
      <c r="BP24" s="1872"/>
      <c r="BQ24" s="1872"/>
      <c r="BR24" s="1872"/>
      <c r="BS24" s="1872"/>
      <c r="BT24" s="1872"/>
      <c r="BU24" s="1872"/>
      <c r="BV24" s="1872"/>
      <c r="BW24" s="1872"/>
      <c r="BX24" s="1872"/>
      <c r="BY24" s="1872"/>
      <c r="BZ24" s="1872"/>
      <c r="CA24" s="1872"/>
      <c r="CB24" s="1872"/>
      <c r="CC24" s="1872"/>
      <c r="CD24" s="1872"/>
      <c r="CE24" s="1872"/>
      <c r="CF24" s="1872"/>
      <c r="CG24" s="1872"/>
      <c r="CH24" s="1872"/>
      <c r="CI24" s="1872"/>
      <c r="CJ24" s="1872"/>
      <c r="CK24" s="1872"/>
      <c r="CL24" s="1872"/>
      <c r="CM24" s="1872"/>
      <c r="CN24" s="1872"/>
      <c r="CO24" s="1872"/>
      <c r="CP24" s="1872"/>
      <c r="CQ24" s="1872"/>
      <c r="CR24" s="1872"/>
      <c r="CS24" s="1872"/>
      <c r="CT24" s="1872"/>
      <c r="CU24" s="1872"/>
      <c r="CV24" s="1872"/>
      <c r="CW24" s="3677"/>
      <c r="CX24" s="1910"/>
      <c r="CY24" s="1910"/>
      <c r="CZ24" s="1910"/>
      <c r="DA24" s="1910"/>
      <c r="DB24" s="1910"/>
      <c r="DC24" s="1910"/>
      <c r="DD24" s="1910"/>
      <c r="DE24" s="1910"/>
      <c r="DF24" s="1911"/>
    </row>
    <row r="25" spans="1:110" s="1962" customFormat="1" ht="22.5" customHeight="1">
      <c r="A25" s="1926"/>
      <c r="B25" s="1910"/>
      <c r="C25" s="1764" t="s">
        <v>118</v>
      </c>
      <c r="D25" s="1941" t="s">
        <v>1155</v>
      </c>
      <c r="E25" s="1934" t="s">
        <v>125</v>
      </c>
      <c r="F25" s="1933" t="str">
        <f t="shared" si="15"/>
        <v>Гкал/час</v>
      </c>
      <c r="G25" s="1872"/>
      <c r="H25" s="1872"/>
      <c r="I25" s="1872"/>
      <c r="J25" s="1872"/>
      <c r="K25" s="1872"/>
      <c r="L25" s="1872">
        <v>0</v>
      </c>
      <c r="M25" s="1872"/>
      <c r="N25" s="1872"/>
      <c r="O25" s="1872"/>
      <c r="P25" s="1872"/>
      <c r="Q25" s="1872"/>
      <c r="R25" s="1872"/>
      <c r="S25" s="1872"/>
      <c r="T25" s="1872"/>
      <c r="U25" s="1872"/>
      <c r="V25" s="1872"/>
      <c r="W25" s="1872"/>
      <c r="X25" s="1872"/>
      <c r="Y25" s="1872"/>
      <c r="Z25" s="1872"/>
      <c r="AA25" s="1872"/>
      <c r="AB25" s="1872"/>
      <c r="AC25" s="1872"/>
      <c r="AD25" s="1872"/>
      <c r="AE25" s="1872"/>
      <c r="AF25" s="1872"/>
      <c r="AG25" s="1872"/>
      <c r="AH25" s="1872"/>
      <c r="AI25" s="1872"/>
      <c r="AJ25" s="1872"/>
      <c r="AK25" s="1872"/>
      <c r="AL25" s="1872"/>
      <c r="AM25" s="1872"/>
      <c r="AN25" s="1872"/>
      <c r="AO25" s="1872"/>
      <c r="AP25" s="1872"/>
      <c r="AQ25" s="1872"/>
      <c r="AR25" s="1872"/>
      <c r="AS25" s="1872"/>
      <c r="AT25" s="1872"/>
      <c r="AU25" s="1872"/>
      <c r="AV25" s="1872"/>
      <c r="AW25" s="1872"/>
      <c r="AX25" s="1872"/>
      <c r="AY25" s="1872"/>
      <c r="AZ25" s="1872"/>
      <c r="BA25" s="1872"/>
      <c r="BB25" s="1872"/>
      <c r="BC25" s="1872"/>
      <c r="BD25" s="1872"/>
      <c r="BE25" s="1872"/>
      <c r="BF25" s="1872"/>
      <c r="BG25" s="1872"/>
      <c r="BH25" s="1872"/>
      <c r="BI25" s="1872"/>
      <c r="BJ25" s="1872"/>
      <c r="BK25" s="1872"/>
      <c r="BL25" s="1872"/>
      <c r="BM25" s="1872"/>
      <c r="BN25" s="1872"/>
      <c r="BO25" s="1872"/>
      <c r="BP25" s="1872"/>
      <c r="BQ25" s="1872"/>
      <c r="BR25" s="1872"/>
      <c r="BS25" s="1872"/>
      <c r="BT25" s="1872"/>
      <c r="BU25" s="1872"/>
      <c r="BV25" s="1872"/>
      <c r="BW25" s="1872"/>
      <c r="BX25" s="1872"/>
      <c r="BY25" s="1872"/>
      <c r="BZ25" s="1872"/>
      <c r="CA25" s="1872"/>
      <c r="CB25" s="1872"/>
      <c r="CC25" s="1872"/>
      <c r="CD25" s="1872"/>
      <c r="CE25" s="1872"/>
      <c r="CF25" s="1872"/>
      <c r="CG25" s="1872"/>
      <c r="CH25" s="1872"/>
      <c r="CI25" s="1872"/>
      <c r="CJ25" s="1872"/>
      <c r="CK25" s="1872"/>
      <c r="CL25" s="1872"/>
      <c r="CM25" s="1872"/>
      <c r="CN25" s="1872"/>
      <c r="CO25" s="1872"/>
      <c r="CP25" s="1872"/>
      <c r="CQ25" s="1872"/>
      <c r="CR25" s="1872"/>
      <c r="CS25" s="1872"/>
      <c r="CT25" s="1872"/>
      <c r="CU25" s="1872"/>
      <c r="CV25" s="1872"/>
      <c r="CW25" s="3677"/>
      <c r="CX25" s="1910"/>
      <c r="CY25" s="1910"/>
      <c r="CZ25" s="1910"/>
      <c r="DA25" s="1910"/>
      <c r="DB25" s="1910"/>
      <c r="DC25" s="1910"/>
      <c r="DD25" s="1910"/>
      <c r="DE25" s="1910"/>
      <c r="DF25" s="1911"/>
    </row>
    <row r="26" spans="1:110" s="1962" customFormat="1" ht="22.5" customHeight="1">
      <c r="A26" s="1926"/>
      <c r="B26" s="1910"/>
      <c r="C26" s="1764" t="s">
        <v>118</v>
      </c>
      <c r="D26" s="1941" t="s">
        <v>1390</v>
      </c>
      <c r="E26" s="1934" t="s">
        <v>127</v>
      </c>
      <c r="F26" s="1933" t="str">
        <f t="shared" si="15"/>
        <v>Гкал/час</v>
      </c>
      <c r="G26" s="1872"/>
      <c r="H26" s="1872"/>
      <c r="I26" s="1872"/>
      <c r="J26" s="1872"/>
      <c r="K26" s="1872"/>
      <c r="L26" s="1872"/>
      <c r="M26" s="1872">
        <v>4.4930000000000003</v>
      </c>
      <c r="N26" s="1872"/>
      <c r="O26" s="1872"/>
      <c r="P26" s="1872"/>
      <c r="Q26" s="1872"/>
      <c r="R26" s="1872"/>
      <c r="S26" s="1872"/>
      <c r="T26" s="1872"/>
      <c r="U26" s="1872"/>
      <c r="V26" s="1872"/>
      <c r="W26" s="1872"/>
      <c r="X26" s="1872"/>
      <c r="Y26" s="1872"/>
      <c r="Z26" s="1872"/>
      <c r="AA26" s="1872"/>
      <c r="AB26" s="1872"/>
      <c r="AC26" s="1872"/>
      <c r="AD26" s="1872"/>
      <c r="AE26" s="1872"/>
      <c r="AF26" s="1872"/>
      <c r="AG26" s="1872"/>
      <c r="AH26" s="1872"/>
      <c r="AI26" s="1872"/>
      <c r="AJ26" s="1872"/>
      <c r="AK26" s="1872"/>
      <c r="AL26" s="1872"/>
      <c r="AM26" s="1872"/>
      <c r="AN26" s="1872"/>
      <c r="AO26" s="1872"/>
      <c r="AP26" s="1872"/>
      <c r="AQ26" s="1872"/>
      <c r="AR26" s="1872"/>
      <c r="AS26" s="1872"/>
      <c r="AT26" s="1872"/>
      <c r="AU26" s="1872"/>
      <c r="AV26" s="1872"/>
      <c r="AW26" s="1872"/>
      <c r="AX26" s="1872"/>
      <c r="AY26" s="1872"/>
      <c r="AZ26" s="1872"/>
      <c r="BA26" s="1872"/>
      <c r="BB26" s="1872"/>
      <c r="BC26" s="1872"/>
      <c r="BD26" s="1872"/>
      <c r="BE26" s="1872"/>
      <c r="BF26" s="1872"/>
      <c r="BG26" s="1872"/>
      <c r="BH26" s="1872"/>
      <c r="BI26" s="1872"/>
      <c r="BJ26" s="1872"/>
      <c r="BK26" s="1872"/>
      <c r="BL26" s="1872"/>
      <c r="BM26" s="1872"/>
      <c r="BN26" s="1872"/>
      <c r="BO26" s="1872"/>
      <c r="BP26" s="1872"/>
      <c r="BQ26" s="1872"/>
      <c r="BR26" s="1872"/>
      <c r="BS26" s="1872"/>
      <c r="BT26" s="1872"/>
      <c r="BU26" s="1872"/>
      <c r="BV26" s="1872"/>
      <c r="BW26" s="1872"/>
      <c r="BX26" s="1872"/>
      <c r="BY26" s="1872"/>
      <c r="BZ26" s="1872"/>
      <c r="CA26" s="1872"/>
      <c r="CB26" s="1872"/>
      <c r="CC26" s="1872"/>
      <c r="CD26" s="1872"/>
      <c r="CE26" s="1872"/>
      <c r="CF26" s="1872"/>
      <c r="CG26" s="1872"/>
      <c r="CH26" s="1872"/>
      <c r="CI26" s="1872"/>
      <c r="CJ26" s="1872"/>
      <c r="CK26" s="1872"/>
      <c r="CL26" s="1872"/>
      <c r="CM26" s="1872"/>
      <c r="CN26" s="1872"/>
      <c r="CO26" s="1872"/>
      <c r="CP26" s="1872"/>
      <c r="CQ26" s="1872"/>
      <c r="CR26" s="1872"/>
      <c r="CS26" s="1872"/>
      <c r="CT26" s="1872"/>
      <c r="CU26" s="1872"/>
      <c r="CV26" s="1872"/>
      <c r="CW26" s="3677"/>
      <c r="CX26" s="1910"/>
      <c r="CY26" s="1910"/>
      <c r="CZ26" s="1910"/>
      <c r="DA26" s="1910"/>
      <c r="DB26" s="1910"/>
      <c r="DC26" s="1910"/>
      <c r="DD26" s="1910"/>
      <c r="DE26" s="1910"/>
      <c r="DF26" s="1911"/>
    </row>
    <row r="27" spans="1:110" s="1962" customFormat="1" ht="22.5" customHeight="1">
      <c r="A27" s="1926"/>
      <c r="B27" s="1910"/>
      <c r="C27" s="1764" t="s">
        <v>118</v>
      </c>
      <c r="D27" s="1941" t="s">
        <v>1391</v>
      </c>
      <c r="E27" s="1934" t="s">
        <v>129</v>
      </c>
      <c r="F27" s="1933" t="str">
        <f t="shared" si="15"/>
        <v>Гкал/час</v>
      </c>
      <c r="G27" s="1872"/>
      <c r="H27" s="1872"/>
      <c r="I27" s="1872"/>
      <c r="J27" s="1872"/>
      <c r="K27" s="1872"/>
      <c r="L27" s="1872"/>
      <c r="M27" s="1872"/>
      <c r="N27" s="1872">
        <v>0.16600000000000001</v>
      </c>
      <c r="O27" s="1872"/>
      <c r="P27" s="1872"/>
      <c r="Q27" s="1872"/>
      <c r="R27" s="1872"/>
      <c r="S27" s="1872"/>
      <c r="T27" s="1872"/>
      <c r="U27" s="1872"/>
      <c r="V27" s="1872"/>
      <c r="W27" s="1872"/>
      <c r="X27" s="1872"/>
      <c r="Y27" s="1872"/>
      <c r="Z27" s="1872"/>
      <c r="AA27" s="1872"/>
      <c r="AB27" s="1872"/>
      <c r="AC27" s="1872"/>
      <c r="AD27" s="1872"/>
      <c r="AE27" s="1872"/>
      <c r="AF27" s="1872"/>
      <c r="AG27" s="1872"/>
      <c r="AH27" s="1872"/>
      <c r="AI27" s="1872"/>
      <c r="AJ27" s="1872"/>
      <c r="AK27" s="1872"/>
      <c r="AL27" s="1872"/>
      <c r="AM27" s="1872"/>
      <c r="AN27" s="1872"/>
      <c r="AO27" s="1872"/>
      <c r="AP27" s="1872"/>
      <c r="AQ27" s="1872"/>
      <c r="AR27" s="1872"/>
      <c r="AS27" s="1872"/>
      <c r="AT27" s="1872"/>
      <c r="AU27" s="1872"/>
      <c r="AV27" s="1872"/>
      <c r="AW27" s="1872"/>
      <c r="AX27" s="1872"/>
      <c r="AY27" s="1872"/>
      <c r="AZ27" s="1872"/>
      <c r="BA27" s="1872"/>
      <c r="BB27" s="1872"/>
      <c r="BC27" s="1872"/>
      <c r="BD27" s="1872"/>
      <c r="BE27" s="1872"/>
      <c r="BF27" s="1872"/>
      <c r="BG27" s="1872"/>
      <c r="BH27" s="1872"/>
      <c r="BI27" s="1872"/>
      <c r="BJ27" s="1872"/>
      <c r="BK27" s="1872"/>
      <c r="BL27" s="1872"/>
      <c r="BM27" s="1872"/>
      <c r="BN27" s="1872"/>
      <c r="BO27" s="1872"/>
      <c r="BP27" s="1872"/>
      <c r="BQ27" s="1872"/>
      <c r="BR27" s="1872"/>
      <c r="BS27" s="1872"/>
      <c r="BT27" s="1872"/>
      <c r="BU27" s="1872"/>
      <c r="BV27" s="1872"/>
      <c r="BW27" s="1872"/>
      <c r="BX27" s="1872"/>
      <c r="BY27" s="1872"/>
      <c r="BZ27" s="1872"/>
      <c r="CA27" s="1872"/>
      <c r="CB27" s="1872"/>
      <c r="CC27" s="1872"/>
      <c r="CD27" s="1872"/>
      <c r="CE27" s="1872"/>
      <c r="CF27" s="1872"/>
      <c r="CG27" s="1872"/>
      <c r="CH27" s="1872"/>
      <c r="CI27" s="1872"/>
      <c r="CJ27" s="1872"/>
      <c r="CK27" s="1872"/>
      <c r="CL27" s="1872"/>
      <c r="CM27" s="1872"/>
      <c r="CN27" s="1872"/>
      <c r="CO27" s="1872"/>
      <c r="CP27" s="1872"/>
      <c r="CQ27" s="1872"/>
      <c r="CR27" s="1872"/>
      <c r="CS27" s="1872"/>
      <c r="CT27" s="1872"/>
      <c r="CU27" s="1872"/>
      <c r="CV27" s="1872"/>
      <c r="CW27" s="3677"/>
      <c r="CX27" s="1910"/>
      <c r="CY27" s="1910"/>
      <c r="CZ27" s="1910"/>
      <c r="DA27" s="1910"/>
      <c r="DB27" s="1910"/>
      <c r="DC27" s="1910"/>
      <c r="DD27" s="1910"/>
      <c r="DE27" s="1910"/>
      <c r="DF27" s="1911"/>
    </row>
    <row r="28" spans="1:110" s="1962" customFormat="1" ht="22.5" customHeight="1">
      <c r="A28" s="1926"/>
      <c r="B28" s="1910"/>
      <c r="C28" s="1764" t="s">
        <v>118</v>
      </c>
      <c r="D28" s="1941" t="s">
        <v>1392</v>
      </c>
      <c r="E28" s="1934" t="s">
        <v>131</v>
      </c>
      <c r="F28" s="1933" t="str">
        <f t="shared" si="15"/>
        <v>Гкал/час</v>
      </c>
      <c r="G28" s="1872"/>
      <c r="H28" s="1872"/>
      <c r="I28" s="1872"/>
      <c r="J28" s="1872"/>
      <c r="K28" s="1872"/>
      <c r="L28" s="1872"/>
      <c r="M28" s="1872"/>
      <c r="N28" s="1872"/>
      <c r="O28" s="1872">
        <v>0.39200000000000002</v>
      </c>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c r="AL28" s="1872"/>
      <c r="AM28" s="1872"/>
      <c r="AN28" s="1872"/>
      <c r="AO28" s="1872"/>
      <c r="AP28" s="1872"/>
      <c r="AQ28" s="1872"/>
      <c r="AR28" s="1872"/>
      <c r="AS28" s="1872"/>
      <c r="AT28" s="1872"/>
      <c r="AU28" s="1872"/>
      <c r="AV28" s="1872"/>
      <c r="AW28" s="1872"/>
      <c r="AX28" s="1872"/>
      <c r="AY28" s="1872"/>
      <c r="AZ28" s="1872"/>
      <c r="BA28" s="1872"/>
      <c r="BB28" s="1872"/>
      <c r="BC28" s="1872"/>
      <c r="BD28" s="1872"/>
      <c r="BE28" s="1872"/>
      <c r="BF28" s="1872"/>
      <c r="BG28" s="1872"/>
      <c r="BH28" s="1872"/>
      <c r="BI28" s="1872"/>
      <c r="BJ28" s="1872"/>
      <c r="BK28" s="1872"/>
      <c r="BL28" s="1872"/>
      <c r="BM28" s="1872"/>
      <c r="BN28" s="1872"/>
      <c r="BO28" s="1872"/>
      <c r="BP28" s="1872"/>
      <c r="BQ28" s="1872"/>
      <c r="BR28" s="1872"/>
      <c r="BS28" s="1872"/>
      <c r="BT28" s="1872"/>
      <c r="BU28" s="1872"/>
      <c r="BV28" s="1872"/>
      <c r="BW28" s="1872"/>
      <c r="BX28" s="1872"/>
      <c r="BY28" s="1872"/>
      <c r="BZ28" s="1872"/>
      <c r="CA28" s="1872"/>
      <c r="CB28" s="1872"/>
      <c r="CC28" s="1872"/>
      <c r="CD28" s="1872"/>
      <c r="CE28" s="1872"/>
      <c r="CF28" s="1872"/>
      <c r="CG28" s="1872"/>
      <c r="CH28" s="1872"/>
      <c r="CI28" s="1872"/>
      <c r="CJ28" s="1872"/>
      <c r="CK28" s="1872"/>
      <c r="CL28" s="1872"/>
      <c r="CM28" s="1872"/>
      <c r="CN28" s="1872"/>
      <c r="CO28" s="1872"/>
      <c r="CP28" s="1872"/>
      <c r="CQ28" s="1872"/>
      <c r="CR28" s="1872"/>
      <c r="CS28" s="1872"/>
      <c r="CT28" s="1872"/>
      <c r="CU28" s="1872"/>
      <c r="CV28" s="1872"/>
      <c r="CW28" s="3677"/>
      <c r="CX28" s="1910"/>
      <c r="CY28" s="1910"/>
      <c r="CZ28" s="1910"/>
      <c r="DA28" s="1910"/>
      <c r="DB28" s="1910"/>
      <c r="DC28" s="1910"/>
      <c r="DD28" s="1910"/>
      <c r="DE28" s="1910"/>
      <c r="DF28" s="1911"/>
    </row>
    <row r="29" spans="1:110" s="1962" customFormat="1" ht="22.5" customHeight="1">
      <c r="A29" s="1926"/>
      <c r="B29" s="1910"/>
      <c r="C29" s="1764" t="s">
        <v>118</v>
      </c>
      <c r="D29" s="1941" t="s">
        <v>1393</v>
      </c>
      <c r="E29" s="1934" t="s">
        <v>134</v>
      </c>
      <c r="F29" s="1933" t="str">
        <f t="shared" si="15"/>
        <v>Гкал/час</v>
      </c>
      <c r="G29" s="1872"/>
      <c r="H29" s="1872"/>
      <c r="I29" s="1872"/>
      <c r="J29" s="1872"/>
      <c r="K29" s="1872"/>
      <c r="L29" s="1872"/>
      <c r="M29" s="1872"/>
      <c r="N29" s="1872"/>
      <c r="O29" s="1872"/>
      <c r="P29" s="1872">
        <v>0.48299999999999998</v>
      </c>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c r="AL29" s="1872"/>
      <c r="AM29" s="1872"/>
      <c r="AN29" s="1872"/>
      <c r="AO29" s="1872"/>
      <c r="AP29" s="1872"/>
      <c r="AQ29" s="1872"/>
      <c r="AR29" s="1872"/>
      <c r="AS29" s="1872"/>
      <c r="AT29" s="1872"/>
      <c r="AU29" s="1872"/>
      <c r="AV29" s="1872"/>
      <c r="AW29" s="1872"/>
      <c r="AX29" s="1872"/>
      <c r="AY29" s="1872"/>
      <c r="AZ29" s="1872"/>
      <c r="BA29" s="1872"/>
      <c r="BB29" s="1872"/>
      <c r="BC29" s="1872"/>
      <c r="BD29" s="1872"/>
      <c r="BE29" s="1872"/>
      <c r="BF29" s="1872"/>
      <c r="BG29" s="1872"/>
      <c r="BH29" s="1872"/>
      <c r="BI29" s="1872"/>
      <c r="BJ29" s="1872"/>
      <c r="BK29" s="1872"/>
      <c r="BL29" s="1872"/>
      <c r="BM29" s="1872"/>
      <c r="BN29" s="1872"/>
      <c r="BO29" s="1872"/>
      <c r="BP29" s="1872"/>
      <c r="BQ29" s="1872"/>
      <c r="BR29" s="1872"/>
      <c r="BS29" s="1872"/>
      <c r="BT29" s="1872"/>
      <c r="BU29" s="1872"/>
      <c r="BV29" s="1872"/>
      <c r="BW29" s="1872"/>
      <c r="BX29" s="1872"/>
      <c r="BY29" s="1872"/>
      <c r="BZ29" s="1872"/>
      <c r="CA29" s="1872"/>
      <c r="CB29" s="1872"/>
      <c r="CC29" s="1872"/>
      <c r="CD29" s="1872"/>
      <c r="CE29" s="1872"/>
      <c r="CF29" s="1872"/>
      <c r="CG29" s="1872"/>
      <c r="CH29" s="1872"/>
      <c r="CI29" s="1872"/>
      <c r="CJ29" s="1872"/>
      <c r="CK29" s="1872"/>
      <c r="CL29" s="1872"/>
      <c r="CM29" s="1872"/>
      <c r="CN29" s="1872"/>
      <c r="CO29" s="1872"/>
      <c r="CP29" s="1872"/>
      <c r="CQ29" s="1872"/>
      <c r="CR29" s="1872"/>
      <c r="CS29" s="1872"/>
      <c r="CT29" s="1872"/>
      <c r="CU29" s="1872"/>
      <c r="CV29" s="1872"/>
      <c r="CW29" s="3677"/>
      <c r="CX29" s="1910"/>
      <c r="CY29" s="1910"/>
      <c r="CZ29" s="1910"/>
      <c r="DA29" s="1910"/>
      <c r="DB29" s="1910"/>
      <c r="DC29" s="1910"/>
      <c r="DD29" s="1910"/>
      <c r="DE29" s="1910"/>
      <c r="DF29" s="1911"/>
    </row>
    <row r="30" spans="1:110" s="1962" customFormat="1" ht="22.5" customHeight="1">
      <c r="A30" s="1926"/>
      <c r="B30" s="1910"/>
      <c r="C30" s="1764" t="s">
        <v>118</v>
      </c>
      <c r="D30" s="1941" t="s">
        <v>1394</v>
      </c>
      <c r="E30" s="1934" t="s">
        <v>137</v>
      </c>
      <c r="F30" s="1933" t="str">
        <f t="shared" si="15"/>
        <v>Гкал/час</v>
      </c>
      <c r="G30" s="1872"/>
      <c r="H30" s="1872"/>
      <c r="I30" s="1872"/>
      <c r="J30" s="1872"/>
      <c r="K30" s="1872"/>
      <c r="L30" s="1872"/>
      <c r="M30" s="1872"/>
      <c r="N30" s="1872"/>
      <c r="O30" s="1872"/>
      <c r="P30" s="1872"/>
      <c r="Q30" s="1872">
        <v>0.51</v>
      </c>
      <c r="R30" s="1872"/>
      <c r="S30" s="1872"/>
      <c r="T30" s="1872"/>
      <c r="U30" s="1872"/>
      <c r="V30" s="1872"/>
      <c r="W30" s="1872"/>
      <c r="X30" s="1872"/>
      <c r="Y30" s="1872"/>
      <c r="Z30" s="1872"/>
      <c r="AA30" s="1872"/>
      <c r="AB30" s="1872"/>
      <c r="AC30" s="1872"/>
      <c r="AD30" s="1872"/>
      <c r="AE30" s="1872"/>
      <c r="AF30" s="1872"/>
      <c r="AG30" s="1872"/>
      <c r="AH30" s="1872"/>
      <c r="AI30" s="1872"/>
      <c r="AJ30" s="1872"/>
      <c r="AK30" s="1872"/>
      <c r="AL30" s="1872"/>
      <c r="AM30" s="1872"/>
      <c r="AN30" s="1872"/>
      <c r="AO30" s="1872"/>
      <c r="AP30" s="1872"/>
      <c r="AQ30" s="1872"/>
      <c r="AR30" s="1872"/>
      <c r="AS30" s="1872"/>
      <c r="AT30" s="1872"/>
      <c r="AU30" s="1872"/>
      <c r="AV30" s="1872"/>
      <c r="AW30" s="1872"/>
      <c r="AX30" s="1872"/>
      <c r="AY30" s="1872"/>
      <c r="AZ30" s="1872"/>
      <c r="BA30" s="1872"/>
      <c r="BB30" s="1872"/>
      <c r="BC30" s="1872"/>
      <c r="BD30" s="1872"/>
      <c r="BE30" s="1872"/>
      <c r="BF30" s="1872"/>
      <c r="BG30" s="1872"/>
      <c r="BH30" s="1872"/>
      <c r="BI30" s="1872"/>
      <c r="BJ30" s="1872"/>
      <c r="BK30" s="1872"/>
      <c r="BL30" s="1872"/>
      <c r="BM30" s="1872"/>
      <c r="BN30" s="1872"/>
      <c r="BO30" s="1872"/>
      <c r="BP30" s="1872"/>
      <c r="BQ30" s="1872"/>
      <c r="BR30" s="1872"/>
      <c r="BS30" s="1872"/>
      <c r="BT30" s="1872"/>
      <c r="BU30" s="1872"/>
      <c r="BV30" s="1872"/>
      <c r="BW30" s="1872"/>
      <c r="BX30" s="1872"/>
      <c r="BY30" s="1872"/>
      <c r="BZ30" s="1872"/>
      <c r="CA30" s="1872"/>
      <c r="CB30" s="1872"/>
      <c r="CC30" s="1872"/>
      <c r="CD30" s="1872"/>
      <c r="CE30" s="1872"/>
      <c r="CF30" s="1872"/>
      <c r="CG30" s="1872"/>
      <c r="CH30" s="1872"/>
      <c r="CI30" s="1872"/>
      <c r="CJ30" s="1872"/>
      <c r="CK30" s="1872"/>
      <c r="CL30" s="1872"/>
      <c r="CM30" s="1872"/>
      <c r="CN30" s="1872"/>
      <c r="CO30" s="1872"/>
      <c r="CP30" s="1872"/>
      <c r="CQ30" s="1872"/>
      <c r="CR30" s="1872"/>
      <c r="CS30" s="1872"/>
      <c r="CT30" s="1872"/>
      <c r="CU30" s="1872"/>
      <c r="CV30" s="1872"/>
      <c r="CW30" s="3677"/>
      <c r="CX30" s="1910"/>
      <c r="CY30" s="1910"/>
      <c r="CZ30" s="1910"/>
      <c r="DA30" s="1910"/>
      <c r="DB30" s="1910"/>
      <c r="DC30" s="1910"/>
      <c r="DD30" s="1910"/>
      <c r="DE30" s="1910"/>
      <c r="DF30" s="1911"/>
    </row>
    <row r="31" spans="1:110" s="1962" customFormat="1" ht="22.5" customHeight="1">
      <c r="A31" s="1926"/>
      <c r="B31" s="1910"/>
      <c r="C31" s="1764" t="s">
        <v>118</v>
      </c>
      <c r="D31" s="1941" t="s">
        <v>1395</v>
      </c>
      <c r="E31" s="1934" t="s">
        <v>140</v>
      </c>
      <c r="F31" s="1933" t="str">
        <f t="shared" si="15"/>
        <v>Гкал/час</v>
      </c>
      <c r="G31" s="1872"/>
      <c r="H31" s="1872"/>
      <c r="I31" s="1872"/>
      <c r="J31" s="1872"/>
      <c r="K31" s="1872"/>
      <c r="L31" s="1872"/>
      <c r="M31" s="1872"/>
      <c r="N31" s="1872"/>
      <c r="O31" s="1872"/>
      <c r="P31" s="1872"/>
      <c r="Q31" s="1872"/>
      <c r="R31" s="1872">
        <v>0.219</v>
      </c>
      <c r="S31" s="1872"/>
      <c r="T31" s="1872"/>
      <c r="U31" s="1872"/>
      <c r="V31" s="1872"/>
      <c r="W31" s="1872"/>
      <c r="X31" s="1872"/>
      <c r="Y31" s="1872"/>
      <c r="Z31" s="1872"/>
      <c r="AA31" s="1872"/>
      <c r="AB31" s="1872"/>
      <c r="AC31" s="1872"/>
      <c r="AD31" s="1872"/>
      <c r="AE31" s="1872"/>
      <c r="AF31" s="1872"/>
      <c r="AG31" s="1872"/>
      <c r="AH31" s="1872"/>
      <c r="AI31" s="1872"/>
      <c r="AJ31" s="1872"/>
      <c r="AK31" s="1872"/>
      <c r="AL31" s="1872"/>
      <c r="AM31" s="1872"/>
      <c r="AN31" s="1872"/>
      <c r="AO31" s="1872"/>
      <c r="AP31" s="1872"/>
      <c r="AQ31" s="1872"/>
      <c r="AR31" s="1872"/>
      <c r="AS31" s="1872"/>
      <c r="AT31" s="1872"/>
      <c r="AU31" s="1872"/>
      <c r="AV31" s="1872"/>
      <c r="AW31" s="1872"/>
      <c r="AX31" s="1872"/>
      <c r="AY31" s="1872"/>
      <c r="AZ31" s="1872"/>
      <c r="BA31" s="1872"/>
      <c r="BB31" s="1872"/>
      <c r="BC31" s="1872"/>
      <c r="BD31" s="1872"/>
      <c r="BE31" s="1872"/>
      <c r="BF31" s="1872"/>
      <c r="BG31" s="1872"/>
      <c r="BH31" s="1872"/>
      <c r="BI31" s="1872"/>
      <c r="BJ31" s="1872"/>
      <c r="BK31" s="1872"/>
      <c r="BL31" s="1872"/>
      <c r="BM31" s="1872"/>
      <c r="BN31" s="1872"/>
      <c r="BO31" s="1872"/>
      <c r="BP31" s="1872"/>
      <c r="BQ31" s="1872"/>
      <c r="BR31" s="1872"/>
      <c r="BS31" s="1872"/>
      <c r="BT31" s="1872"/>
      <c r="BU31" s="1872"/>
      <c r="BV31" s="1872"/>
      <c r="BW31" s="1872"/>
      <c r="BX31" s="1872"/>
      <c r="BY31" s="1872"/>
      <c r="BZ31" s="1872"/>
      <c r="CA31" s="1872"/>
      <c r="CB31" s="1872"/>
      <c r="CC31" s="1872"/>
      <c r="CD31" s="1872"/>
      <c r="CE31" s="1872"/>
      <c r="CF31" s="1872"/>
      <c r="CG31" s="1872"/>
      <c r="CH31" s="1872"/>
      <c r="CI31" s="1872"/>
      <c r="CJ31" s="1872"/>
      <c r="CK31" s="1872"/>
      <c r="CL31" s="1872"/>
      <c r="CM31" s="1872"/>
      <c r="CN31" s="1872"/>
      <c r="CO31" s="1872"/>
      <c r="CP31" s="1872"/>
      <c r="CQ31" s="1872"/>
      <c r="CR31" s="1872"/>
      <c r="CS31" s="1872"/>
      <c r="CT31" s="1872"/>
      <c r="CU31" s="1872"/>
      <c r="CV31" s="1872"/>
      <c r="CW31" s="3677"/>
      <c r="CX31" s="1910"/>
      <c r="CY31" s="1910"/>
      <c r="CZ31" s="1910"/>
      <c r="DA31" s="1910"/>
      <c r="DB31" s="1910"/>
      <c r="DC31" s="1910"/>
      <c r="DD31" s="1910"/>
      <c r="DE31" s="1910"/>
      <c r="DF31" s="1911"/>
    </row>
    <row r="32" spans="1:110" s="1962" customFormat="1" ht="22.5" customHeight="1">
      <c r="A32" s="1926"/>
      <c r="B32" s="1910"/>
      <c r="C32" s="1764" t="s">
        <v>118</v>
      </c>
      <c r="D32" s="1941" t="s">
        <v>1396</v>
      </c>
      <c r="E32" s="1934" t="s">
        <v>143</v>
      </c>
      <c r="F32" s="1933" t="str">
        <f t="shared" si="15"/>
        <v>Гкал/час</v>
      </c>
      <c r="G32" s="1872"/>
      <c r="H32" s="1872"/>
      <c r="I32" s="1872"/>
      <c r="J32" s="1872"/>
      <c r="K32" s="1872"/>
      <c r="L32" s="1872"/>
      <c r="M32" s="1872"/>
      <c r="N32" s="1872"/>
      <c r="O32" s="1872"/>
      <c r="P32" s="1872"/>
      <c r="Q32" s="1872"/>
      <c r="R32" s="1872"/>
      <c r="S32" s="1872">
        <v>0.41899999999999998</v>
      </c>
      <c r="T32" s="1872"/>
      <c r="U32" s="1872"/>
      <c r="V32" s="1872"/>
      <c r="W32" s="1872"/>
      <c r="X32" s="1872"/>
      <c r="Y32" s="1872"/>
      <c r="Z32" s="1872"/>
      <c r="AA32" s="1872"/>
      <c r="AB32" s="1872"/>
      <c r="AC32" s="1872"/>
      <c r="AD32" s="1872"/>
      <c r="AE32" s="1872"/>
      <c r="AF32" s="1872"/>
      <c r="AG32" s="1872"/>
      <c r="AH32" s="1872"/>
      <c r="AI32" s="1872"/>
      <c r="AJ32" s="1872"/>
      <c r="AK32" s="1872"/>
      <c r="AL32" s="1872"/>
      <c r="AM32" s="1872"/>
      <c r="AN32" s="1872"/>
      <c r="AO32" s="1872"/>
      <c r="AP32" s="1872"/>
      <c r="AQ32" s="1872"/>
      <c r="AR32" s="1872"/>
      <c r="AS32" s="1872"/>
      <c r="AT32" s="1872"/>
      <c r="AU32" s="1872"/>
      <c r="AV32" s="1872"/>
      <c r="AW32" s="1872"/>
      <c r="AX32" s="1872"/>
      <c r="AY32" s="1872"/>
      <c r="AZ32" s="1872"/>
      <c r="BA32" s="1872"/>
      <c r="BB32" s="1872"/>
      <c r="BC32" s="1872"/>
      <c r="BD32" s="1872"/>
      <c r="BE32" s="1872"/>
      <c r="BF32" s="1872"/>
      <c r="BG32" s="1872"/>
      <c r="BH32" s="1872"/>
      <c r="BI32" s="1872"/>
      <c r="BJ32" s="1872"/>
      <c r="BK32" s="1872"/>
      <c r="BL32" s="1872"/>
      <c r="BM32" s="1872"/>
      <c r="BN32" s="1872"/>
      <c r="BO32" s="1872"/>
      <c r="BP32" s="1872"/>
      <c r="BQ32" s="1872"/>
      <c r="BR32" s="1872"/>
      <c r="BS32" s="1872"/>
      <c r="BT32" s="1872"/>
      <c r="BU32" s="1872"/>
      <c r="BV32" s="1872"/>
      <c r="BW32" s="1872"/>
      <c r="BX32" s="1872"/>
      <c r="BY32" s="1872"/>
      <c r="BZ32" s="1872"/>
      <c r="CA32" s="1872"/>
      <c r="CB32" s="1872"/>
      <c r="CC32" s="1872"/>
      <c r="CD32" s="1872"/>
      <c r="CE32" s="1872"/>
      <c r="CF32" s="1872"/>
      <c r="CG32" s="1872"/>
      <c r="CH32" s="1872"/>
      <c r="CI32" s="1872"/>
      <c r="CJ32" s="1872"/>
      <c r="CK32" s="1872"/>
      <c r="CL32" s="1872"/>
      <c r="CM32" s="1872"/>
      <c r="CN32" s="1872"/>
      <c r="CO32" s="1872"/>
      <c r="CP32" s="1872"/>
      <c r="CQ32" s="1872"/>
      <c r="CR32" s="1872"/>
      <c r="CS32" s="1872"/>
      <c r="CT32" s="1872"/>
      <c r="CU32" s="1872"/>
      <c r="CV32" s="1872"/>
      <c r="CW32" s="3677"/>
      <c r="CX32" s="1910"/>
      <c r="CY32" s="1910"/>
      <c r="CZ32" s="1910"/>
      <c r="DA32" s="1910"/>
      <c r="DB32" s="1910"/>
      <c r="DC32" s="1910"/>
      <c r="DD32" s="1910"/>
      <c r="DE32" s="1910"/>
      <c r="DF32" s="1911"/>
    </row>
    <row r="33" spans="1:110" s="1962" customFormat="1" ht="22.5" customHeight="1">
      <c r="A33" s="1926"/>
      <c r="B33" s="1910"/>
      <c r="C33" s="1764" t="s">
        <v>118</v>
      </c>
      <c r="D33" s="1941" t="s">
        <v>1397</v>
      </c>
      <c r="E33" s="1934" t="s">
        <v>146</v>
      </c>
      <c r="F33" s="1933" t="str">
        <f t="shared" si="15"/>
        <v>Гкал/час</v>
      </c>
      <c r="G33" s="1872"/>
      <c r="H33" s="1872"/>
      <c r="I33" s="1872"/>
      <c r="J33" s="1872"/>
      <c r="K33" s="1872"/>
      <c r="L33" s="1872"/>
      <c r="M33" s="1872"/>
      <c r="N33" s="1872"/>
      <c r="O33" s="1872"/>
      <c r="P33" s="1872"/>
      <c r="Q33" s="1872"/>
      <c r="R33" s="1872"/>
      <c r="S33" s="1872"/>
      <c r="T33" s="1872">
        <v>0.16400000000000001</v>
      </c>
      <c r="U33" s="1872"/>
      <c r="V33" s="1872"/>
      <c r="W33" s="1872"/>
      <c r="X33" s="1872"/>
      <c r="Y33" s="1872"/>
      <c r="Z33" s="1872"/>
      <c r="AA33" s="1872"/>
      <c r="AB33" s="1872"/>
      <c r="AC33" s="1872"/>
      <c r="AD33" s="1872"/>
      <c r="AE33" s="1872"/>
      <c r="AF33" s="1872"/>
      <c r="AG33" s="1872"/>
      <c r="AH33" s="1872"/>
      <c r="AI33" s="1872"/>
      <c r="AJ33" s="1872"/>
      <c r="AK33" s="1872"/>
      <c r="AL33" s="1872"/>
      <c r="AM33" s="1872"/>
      <c r="AN33" s="1872"/>
      <c r="AO33" s="1872"/>
      <c r="AP33" s="1872"/>
      <c r="AQ33" s="1872"/>
      <c r="AR33" s="1872"/>
      <c r="AS33" s="1872"/>
      <c r="AT33" s="1872"/>
      <c r="AU33" s="1872"/>
      <c r="AV33" s="1872"/>
      <c r="AW33" s="1872"/>
      <c r="AX33" s="1872"/>
      <c r="AY33" s="1872"/>
      <c r="AZ33" s="1872"/>
      <c r="BA33" s="1872"/>
      <c r="BB33" s="1872"/>
      <c r="BC33" s="1872"/>
      <c r="BD33" s="1872"/>
      <c r="BE33" s="1872"/>
      <c r="BF33" s="1872"/>
      <c r="BG33" s="1872"/>
      <c r="BH33" s="1872"/>
      <c r="BI33" s="1872"/>
      <c r="BJ33" s="1872"/>
      <c r="BK33" s="1872"/>
      <c r="BL33" s="1872"/>
      <c r="BM33" s="1872"/>
      <c r="BN33" s="1872"/>
      <c r="BO33" s="1872"/>
      <c r="BP33" s="1872"/>
      <c r="BQ33" s="1872"/>
      <c r="BR33" s="1872"/>
      <c r="BS33" s="1872"/>
      <c r="BT33" s="1872"/>
      <c r="BU33" s="1872"/>
      <c r="BV33" s="1872"/>
      <c r="BW33" s="1872"/>
      <c r="BX33" s="1872"/>
      <c r="BY33" s="1872"/>
      <c r="BZ33" s="1872"/>
      <c r="CA33" s="1872"/>
      <c r="CB33" s="1872"/>
      <c r="CC33" s="1872"/>
      <c r="CD33" s="1872"/>
      <c r="CE33" s="1872"/>
      <c r="CF33" s="1872"/>
      <c r="CG33" s="1872"/>
      <c r="CH33" s="1872"/>
      <c r="CI33" s="1872"/>
      <c r="CJ33" s="1872"/>
      <c r="CK33" s="1872"/>
      <c r="CL33" s="1872"/>
      <c r="CM33" s="1872"/>
      <c r="CN33" s="1872"/>
      <c r="CO33" s="1872"/>
      <c r="CP33" s="1872"/>
      <c r="CQ33" s="1872"/>
      <c r="CR33" s="1872"/>
      <c r="CS33" s="1872"/>
      <c r="CT33" s="1872"/>
      <c r="CU33" s="1872"/>
      <c r="CV33" s="1872"/>
      <c r="CW33" s="3677"/>
      <c r="CX33" s="1910"/>
      <c r="CY33" s="1910"/>
      <c r="CZ33" s="1910"/>
      <c r="DA33" s="1910"/>
      <c r="DB33" s="1910"/>
      <c r="DC33" s="1910"/>
      <c r="DD33" s="1910"/>
      <c r="DE33" s="1910"/>
      <c r="DF33" s="1911"/>
    </row>
    <row r="34" spans="1:110" s="1962" customFormat="1" ht="22.5" customHeight="1">
      <c r="A34" s="1926"/>
      <c r="B34" s="1910"/>
      <c r="C34" s="1764" t="s">
        <v>118</v>
      </c>
      <c r="D34" s="1941" t="s">
        <v>1398</v>
      </c>
      <c r="E34" s="1934" t="s">
        <v>149</v>
      </c>
      <c r="F34" s="1933" t="str">
        <f t="shared" si="15"/>
        <v>Гкал/час</v>
      </c>
      <c r="G34" s="1872"/>
      <c r="H34" s="1872"/>
      <c r="I34" s="1872"/>
      <c r="J34" s="1872"/>
      <c r="K34" s="1872"/>
      <c r="L34" s="1872"/>
      <c r="M34" s="1872"/>
      <c r="N34" s="1872"/>
      <c r="O34" s="1872"/>
      <c r="P34" s="1872"/>
      <c r="Q34" s="1872"/>
      <c r="R34" s="1872"/>
      <c r="S34" s="1872"/>
      <c r="T34" s="1872"/>
      <c r="U34" s="1872">
        <v>0.23799999999999999</v>
      </c>
      <c r="V34" s="1872"/>
      <c r="W34" s="1872"/>
      <c r="X34" s="1872"/>
      <c r="Y34" s="1872"/>
      <c r="Z34" s="1872"/>
      <c r="AA34" s="1872"/>
      <c r="AB34" s="1872"/>
      <c r="AC34" s="1872"/>
      <c r="AD34" s="1872"/>
      <c r="AE34" s="1872"/>
      <c r="AF34" s="1872"/>
      <c r="AG34" s="1872"/>
      <c r="AH34" s="1872"/>
      <c r="AI34" s="1872"/>
      <c r="AJ34" s="1872"/>
      <c r="AK34" s="1872"/>
      <c r="AL34" s="1872"/>
      <c r="AM34" s="1872"/>
      <c r="AN34" s="1872"/>
      <c r="AO34" s="1872"/>
      <c r="AP34" s="1872"/>
      <c r="AQ34" s="1872"/>
      <c r="AR34" s="1872"/>
      <c r="AS34" s="1872"/>
      <c r="AT34" s="1872"/>
      <c r="AU34" s="1872"/>
      <c r="AV34" s="1872"/>
      <c r="AW34" s="1872"/>
      <c r="AX34" s="1872"/>
      <c r="AY34" s="1872"/>
      <c r="AZ34" s="1872"/>
      <c r="BA34" s="1872"/>
      <c r="BB34" s="1872"/>
      <c r="BC34" s="1872"/>
      <c r="BD34" s="1872"/>
      <c r="BE34" s="1872"/>
      <c r="BF34" s="1872"/>
      <c r="BG34" s="1872"/>
      <c r="BH34" s="1872"/>
      <c r="BI34" s="1872"/>
      <c r="BJ34" s="1872"/>
      <c r="BK34" s="1872"/>
      <c r="BL34" s="1872"/>
      <c r="BM34" s="1872"/>
      <c r="BN34" s="1872"/>
      <c r="BO34" s="1872"/>
      <c r="BP34" s="1872"/>
      <c r="BQ34" s="1872"/>
      <c r="BR34" s="1872"/>
      <c r="BS34" s="1872"/>
      <c r="BT34" s="1872"/>
      <c r="BU34" s="1872"/>
      <c r="BV34" s="1872"/>
      <c r="BW34" s="1872"/>
      <c r="BX34" s="1872"/>
      <c r="BY34" s="1872"/>
      <c r="BZ34" s="1872"/>
      <c r="CA34" s="1872"/>
      <c r="CB34" s="1872"/>
      <c r="CC34" s="1872"/>
      <c r="CD34" s="1872"/>
      <c r="CE34" s="1872"/>
      <c r="CF34" s="1872"/>
      <c r="CG34" s="1872"/>
      <c r="CH34" s="1872"/>
      <c r="CI34" s="1872"/>
      <c r="CJ34" s="1872"/>
      <c r="CK34" s="1872"/>
      <c r="CL34" s="1872"/>
      <c r="CM34" s="1872"/>
      <c r="CN34" s="1872"/>
      <c r="CO34" s="1872"/>
      <c r="CP34" s="1872"/>
      <c r="CQ34" s="1872"/>
      <c r="CR34" s="1872"/>
      <c r="CS34" s="1872"/>
      <c r="CT34" s="1872"/>
      <c r="CU34" s="1872"/>
      <c r="CV34" s="1872"/>
      <c r="CW34" s="3677"/>
      <c r="CX34" s="1910"/>
      <c r="CY34" s="1910"/>
      <c r="CZ34" s="1910"/>
      <c r="DA34" s="1910"/>
      <c r="DB34" s="1910"/>
      <c r="DC34" s="1910"/>
      <c r="DD34" s="1910"/>
      <c r="DE34" s="1910"/>
      <c r="DF34" s="1911"/>
    </row>
    <row r="35" spans="1:110" s="1962" customFormat="1" ht="22.5" customHeight="1">
      <c r="A35" s="1926"/>
      <c r="B35" s="1910"/>
      <c r="C35" s="1764" t="s">
        <v>118</v>
      </c>
      <c r="D35" s="1941" t="s">
        <v>1399</v>
      </c>
      <c r="E35" s="1934" t="s">
        <v>152</v>
      </c>
      <c r="F35" s="1933" t="str">
        <f t="shared" si="15"/>
        <v>Гкал/час</v>
      </c>
      <c r="G35" s="1872"/>
      <c r="H35" s="1872"/>
      <c r="I35" s="1872"/>
      <c r="J35" s="1872"/>
      <c r="K35" s="1872"/>
      <c r="L35" s="1872"/>
      <c r="M35" s="1872"/>
      <c r="N35" s="1872"/>
      <c r="O35" s="1872"/>
      <c r="P35" s="1872"/>
      <c r="Q35" s="1872"/>
      <c r="R35" s="1872"/>
      <c r="S35" s="1872"/>
      <c r="T35" s="1872"/>
      <c r="U35" s="1872"/>
      <c r="V35" s="1872">
        <v>0.82899999999999996</v>
      </c>
      <c r="W35" s="1872"/>
      <c r="X35" s="1872"/>
      <c r="Y35" s="1872"/>
      <c r="Z35" s="1872"/>
      <c r="AA35" s="1872"/>
      <c r="AB35" s="1872"/>
      <c r="AC35" s="1872"/>
      <c r="AD35" s="1872"/>
      <c r="AE35" s="1872"/>
      <c r="AF35" s="1872"/>
      <c r="AG35" s="1872"/>
      <c r="AH35" s="1872"/>
      <c r="AI35" s="1872"/>
      <c r="AJ35" s="1872"/>
      <c r="AK35" s="1872"/>
      <c r="AL35" s="1872"/>
      <c r="AM35" s="1872"/>
      <c r="AN35" s="1872"/>
      <c r="AO35" s="1872"/>
      <c r="AP35" s="1872"/>
      <c r="AQ35" s="1872"/>
      <c r="AR35" s="1872"/>
      <c r="AS35" s="1872"/>
      <c r="AT35" s="1872"/>
      <c r="AU35" s="1872"/>
      <c r="AV35" s="1872"/>
      <c r="AW35" s="1872"/>
      <c r="AX35" s="1872"/>
      <c r="AY35" s="1872"/>
      <c r="AZ35" s="1872"/>
      <c r="BA35" s="1872"/>
      <c r="BB35" s="1872"/>
      <c r="BC35" s="1872"/>
      <c r="BD35" s="1872"/>
      <c r="BE35" s="1872"/>
      <c r="BF35" s="1872"/>
      <c r="BG35" s="1872"/>
      <c r="BH35" s="1872"/>
      <c r="BI35" s="1872"/>
      <c r="BJ35" s="1872"/>
      <c r="BK35" s="1872"/>
      <c r="BL35" s="1872"/>
      <c r="BM35" s="1872"/>
      <c r="BN35" s="1872"/>
      <c r="BO35" s="1872"/>
      <c r="BP35" s="1872"/>
      <c r="BQ35" s="1872"/>
      <c r="BR35" s="1872"/>
      <c r="BS35" s="1872"/>
      <c r="BT35" s="1872"/>
      <c r="BU35" s="1872"/>
      <c r="BV35" s="1872"/>
      <c r="BW35" s="1872"/>
      <c r="BX35" s="1872"/>
      <c r="BY35" s="1872"/>
      <c r="BZ35" s="1872"/>
      <c r="CA35" s="1872"/>
      <c r="CB35" s="1872"/>
      <c r="CC35" s="1872"/>
      <c r="CD35" s="1872"/>
      <c r="CE35" s="1872"/>
      <c r="CF35" s="1872"/>
      <c r="CG35" s="1872"/>
      <c r="CH35" s="1872"/>
      <c r="CI35" s="1872"/>
      <c r="CJ35" s="1872"/>
      <c r="CK35" s="1872"/>
      <c r="CL35" s="1872"/>
      <c r="CM35" s="1872"/>
      <c r="CN35" s="1872"/>
      <c r="CO35" s="1872"/>
      <c r="CP35" s="1872"/>
      <c r="CQ35" s="1872"/>
      <c r="CR35" s="1872"/>
      <c r="CS35" s="1872"/>
      <c r="CT35" s="1872"/>
      <c r="CU35" s="1872"/>
      <c r="CV35" s="1872"/>
      <c r="CW35" s="3677"/>
      <c r="CX35" s="1910"/>
      <c r="CY35" s="1910"/>
      <c r="CZ35" s="1910"/>
      <c r="DA35" s="1910"/>
      <c r="DB35" s="1910"/>
      <c r="DC35" s="1910"/>
      <c r="DD35" s="1910"/>
      <c r="DE35" s="1910"/>
      <c r="DF35" s="1911"/>
    </row>
    <row r="36" spans="1:110" s="1962" customFormat="1" ht="22.5" customHeight="1">
      <c r="A36" s="1926"/>
      <c r="B36" s="1910"/>
      <c r="C36" s="1764" t="s">
        <v>118</v>
      </c>
      <c r="D36" s="1941" t="s">
        <v>1400</v>
      </c>
      <c r="E36" s="1934" t="s">
        <v>155</v>
      </c>
      <c r="F36" s="1933" t="str">
        <f t="shared" si="15"/>
        <v>Гкал/час</v>
      </c>
      <c r="G36" s="1872"/>
      <c r="H36" s="1872"/>
      <c r="I36" s="1872"/>
      <c r="J36" s="1872"/>
      <c r="K36" s="1872"/>
      <c r="L36" s="1872"/>
      <c r="M36" s="1872"/>
      <c r="N36" s="1872"/>
      <c r="O36" s="1872"/>
      <c r="P36" s="1872"/>
      <c r="Q36" s="1872"/>
      <c r="R36" s="1872"/>
      <c r="S36" s="1872"/>
      <c r="T36" s="1872"/>
      <c r="U36" s="1872"/>
      <c r="V36" s="1872"/>
      <c r="W36" s="1872">
        <v>0.20399999999999999</v>
      </c>
      <c r="X36" s="1872"/>
      <c r="Y36" s="1872"/>
      <c r="Z36" s="1872"/>
      <c r="AA36" s="1872"/>
      <c r="AB36" s="1872"/>
      <c r="AC36" s="1872"/>
      <c r="AD36" s="1872"/>
      <c r="AE36" s="1872"/>
      <c r="AF36" s="1872"/>
      <c r="AG36" s="1872"/>
      <c r="AH36" s="1872"/>
      <c r="AI36" s="1872"/>
      <c r="AJ36" s="1872"/>
      <c r="AK36" s="1872"/>
      <c r="AL36" s="1872"/>
      <c r="AM36" s="1872"/>
      <c r="AN36" s="1872"/>
      <c r="AO36" s="1872"/>
      <c r="AP36" s="1872"/>
      <c r="AQ36" s="1872"/>
      <c r="AR36" s="1872"/>
      <c r="AS36" s="1872"/>
      <c r="AT36" s="1872"/>
      <c r="AU36" s="1872"/>
      <c r="AV36" s="1872"/>
      <c r="AW36" s="1872"/>
      <c r="AX36" s="1872"/>
      <c r="AY36" s="1872"/>
      <c r="AZ36" s="1872"/>
      <c r="BA36" s="1872"/>
      <c r="BB36" s="1872"/>
      <c r="BC36" s="1872"/>
      <c r="BD36" s="1872"/>
      <c r="BE36" s="1872"/>
      <c r="BF36" s="1872"/>
      <c r="BG36" s="1872"/>
      <c r="BH36" s="1872"/>
      <c r="BI36" s="1872"/>
      <c r="BJ36" s="1872"/>
      <c r="BK36" s="1872"/>
      <c r="BL36" s="1872"/>
      <c r="BM36" s="1872"/>
      <c r="BN36" s="1872"/>
      <c r="BO36" s="1872"/>
      <c r="BP36" s="1872"/>
      <c r="BQ36" s="1872"/>
      <c r="BR36" s="1872"/>
      <c r="BS36" s="1872"/>
      <c r="BT36" s="1872"/>
      <c r="BU36" s="1872"/>
      <c r="BV36" s="1872"/>
      <c r="BW36" s="1872"/>
      <c r="BX36" s="1872"/>
      <c r="BY36" s="1872"/>
      <c r="BZ36" s="1872"/>
      <c r="CA36" s="1872"/>
      <c r="CB36" s="1872"/>
      <c r="CC36" s="1872"/>
      <c r="CD36" s="1872"/>
      <c r="CE36" s="1872"/>
      <c r="CF36" s="1872"/>
      <c r="CG36" s="1872"/>
      <c r="CH36" s="1872"/>
      <c r="CI36" s="1872"/>
      <c r="CJ36" s="1872"/>
      <c r="CK36" s="1872"/>
      <c r="CL36" s="1872"/>
      <c r="CM36" s="1872"/>
      <c r="CN36" s="1872"/>
      <c r="CO36" s="1872"/>
      <c r="CP36" s="1872"/>
      <c r="CQ36" s="1872"/>
      <c r="CR36" s="1872"/>
      <c r="CS36" s="1872"/>
      <c r="CT36" s="1872"/>
      <c r="CU36" s="1872"/>
      <c r="CV36" s="1872"/>
      <c r="CW36" s="3677"/>
      <c r="CX36" s="1910"/>
      <c r="CY36" s="1910"/>
      <c r="CZ36" s="1910"/>
      <c r="DA36" s="1910"/>
      <c r="DB36" s="1910"/>
      <c r="DC36" s="1910"/>
      <c r="DD36" s="1910"/>
      <c r="DE36" s="1910"/>
      <c r="DF36" s="1911"/>
    </row>
    <row r="37" spans="1:110" s="1962" customFormat="1" ht="22.5" customHeight="1">
      <c r="A37" s="1926"/>
      <c r="B37" s="1910"/>
      <c r="C37" s="1764" t="s">
        <v>118</v>
      </c>
      <c r="D37" s="1941" t="s">
        <v>1401</v>
      </c>
      <c r="E37" s="1934" t="s">
        <v>158</v>
      </c>
      <c r="F37" s="1933" t="str">
        <f t="shared" si="15"/>
        <v>Гкал/час</v>
      </c>
      <c r="G37" s="1872"/>
      <c r="H37" s="1872"/>
      <c r="I37" s="1872"/>
      <c r="J37" s="1872"/>
      <c r="K37" s="1872"/>
      <c r="L37" s="1872"/>
      <c r="M37" s="1872"/>
      <c r="N37" s="1872"/>
      <c r="O37" s="1872"/>
      <c r="P37" s="1872"/>
      <c r="Q37" s="1872"/>
      <c r="R37" s="1872"/>
      <c r="S37" s="1872"/>
      <c r="T37" s="1872"/>
      <c r="U37" s="1872"/>
      <c r="V37" s="1872"/>
      <c r="W37" s="1872"/>
      <c r="X37" s="1872">
        <v>2.3559999999999999</v>
      </c>
      <c r="Y37" s="1872"/>
      <c r="Z37" s="1872"/>
      <c r="AA37" s="1872"/>
      <c r="AB37" s="1872"/>
      <c r="AC37" s="1872"/>
      <c r="AD37" s="1872"/>
      <c r="AE37" s="1872"/>
      <c r="AF37" s="1872"/>
      <c r="AG37" s="1872"/>
      <c r="AH37" s="1872"/>
      <c r="AI37" s="1872"/>
      <c r="AJ37" s="1872"/>
      <c r="AK37" s="1872"/>
      <c r="AL37" s="1872"/>
      <c r="AM37" s="1872"/>
      <c r="AN37" s="1872"/>
      <c r="AO37" s="1872"/>
      <c r="AP37" s="1872"/>
      <c r="AQ37" s="1872"/>
      <c r="AR37" s="1872"/>
      <c r="AS37" s="1872"/>
      <c r="AT37" s="1872"/>
      <c r="AU37" s="1872"/>
      <c r="AV37" s="1872"/>
      <c r="AW37" s="1872"/>
      <c r="AX37" s="1872"/>
      <c r="AY37" s="1872"/>
      <c r="AZ37" s="1872"/>
      <c r="BA37" s="1872"/>
      <c r="BB37" s="1872"/>
      <c r="BC37" s="1872"/>
      <c r="BD37" s="1872"/>
      <c r="BE37" s="1872"/>
      <c r="BF37" s="1872"/>
      <c r="BG37" s="1872"/>
      <c r="BH37" s="1872"/>
      <c r="BI37" s="1872"/>
      <c r="BJ37" s="1872"/>
      <c r="BK37" s="1872"/>
      <c r="BL37" s="1872"/>
      <c r="BM37" s="1872"/>
      <c r="BN37" s="1872"/>
      <c r="BO37" s="1872"/>
      <c r="BP37" s="1872"/>
      <c r="BQ37" s="1872"/>
      <c r="BR37" s="1872"/>
      <c r="BS37" s="1872"/>
      <c r="BT37" s="1872"/>
      <c r="BU37" s="1872"/>
      <c r="BV37" s="1872"/>
      <c r="BW37" s="1872"/>
      <c r="BX37" s="1872"/>
      <c r="BY37" s="1872"/>
      <c r="BZ37" s="1872"/>
      <c r="CA37" s="1872"/>
      <c r="CB37" s="1872"/>
      <c r="CC37" s="1872"/>
      <c r="CD37" s="1872"/>
      <c r="CE37" s="1872"/>
      <c r="CF37" s="1872"/>
      <c r="CG37" s="1872"/>
      <c r="CH37" s="1872"/>
      <c r="CI37" s="1872"/>
      <c r="CJ37" s="1872"/>
      <c r="CK37" s="1872"/>
      <c r="CL37" s="1872"/>
      <c r="CM37" s="1872"/>
      <c r="CN37" s="1872"/>
      <c r="CO37" s="1872"/>
      <c r="CP37" s="1872"/>
      <c r="CQ37" s="1872"/>
      <c r="CR37" s="1872"/>
      <c r="CS37" s="1872"/>
      <c r="CT37" s="1872"/>
      <c r="CU37" s="1872"/>
      <c r="CV37" s="1872"/>
      <c r="CW37" s="3677"/>
      <c r="CX37" s="1910"/>
      <c r="CY37" s="1910"/>
      <c r="CZ37" s="1910"/>
      <c r="DA37" s="1910"/>
      <c r="DB37" s="1910"/>
      <c r="DC37" s="1910"/>
      <c r="DD37" s="1910"/>
      <c r="DE37" s="1910"/>
      <c r="DF37" s="1911"/>
    </row>
    <row r="38" spans="1:110" s="1962" customFormat="1" ht="22.5" customHeight="1">
      <c r="A38" s="1926"/>
      <c r="B38" s="1910"/>
      <c r="C38" s="1764" t="s">
        <v>118</v>
      </c>
      <c r="D38" s="1941" t="s">
        <v>1402</v>
      </c>
      <c r="E38" s="1934" t="s">
        <v>161</v>
      </c>
      <c r="F38" s="1933" t="str">
        <f t="shared" si="15"/>
        <v>Гкал/час</v>
      </c>
      <c r="G38" s="1872"/>
      <c r="H38" s="1872"/>
      <c r="I38" s="1872"/>
      <c r="J38" s="1872"/>
      <c r="K38" s="1872"/>
      <c r="L38" s="1872"/>
      <c r="M38" s="1872"/>
      <c r="N38" s="1872"/>
      <c r="O38" s="1872"/>
      <c r="P38" s="1872"/>
      <c r="Q38" s="1872"/>
      <c r="R38" s="1872"/>
      <c r="S38" s="1872"/>
      <c r="T38" s="1872"/>
      <c r="U38" s="1872"/>
      <c r="V38" s="1872"/>
      <c r="W38" s="1872"/>
      <c r="X38" s="1872"/>
      <c r="Y38" s="1872">
        <v>0.26600000000000001</v>
      </c>
      <c r="Z38" s="1872"/>
      <c r="AA38" s="1872"/>
      <c r="AB38" s="1872"/>
      <c r="AC38" s="1872"/>
      <c r="AD38" s="1872"/>
      <c r="AE38" s="1872"/>
      <c r="AF38" s="1872"/>
      <c r="AG38" s="1872"/>
      <c r="AH38" s="1872"/>
      <c r="AI38" s="1872"/>
      <c r="AJ38" s="1872"/>
      <c r="AK38" s="1872"/>
      <c r="AL38" s="1872"/>
      <c r="AM38" s="1872"/>
      <c r="AN38" s="1872"/>
      <c r="AO38" s="1872"/>
      <c r="AP38" s="1872"/>
      <c r="AQ38" s="1872"/>
      <c r="AR38" s="1872"/>
      <c r="AS38" s="1872"/>
      <c r="AT38" s="1872"/>
      <c r="AU38" s="1872"/>
      <c r="AV38" s="1872"/>
      <c r="AW38" s="1872"/>
      <c r="AX38" s="1872"/>
      <c r="AY38" s="1872"/>
      <c r="AZ38" s="1872"/>
      <c r="BA38" s="1872"/>
      <c r="BB38" s="1872"/>
      <c r="BC38" s="1872"/>
      <c r="BD38" s="1872"/>
      <c r="BE38" s="1872"/>
      <c r="BF38" s="1872"/>
      <c r="BG38" s="1872"/>
      <c r="BH38" s="1872"/>
      <c r="BI38" s="1872"/>
      <c r="BJ38" s="1872"/>
      <c r="BK38" s="1872"/>
      <c r="BL38" s="1872"/>
      <c r="BM38" s="1872"/>
      <c r="BN38" s="1872"/>
      <c r="BO38" s="1872"/>
      <c r="BP38" s="1872"/>
      <c r="BQ38" s="1872"/>
      <c r="BR38" s="1872"/>
      <c r="BS38" s="1872"/>
      <c r="BT38" s="1872"/>
      <c r="BU38" s="1872"/>
      <c r="BV38" s="1872"/>
      <c r="BW38" s="1872"/>
      <c r="BX38" s="1872"/>
      <c r="BY38" s="1872"/>
      <c r="BZ38" s="1872"/>
      <c r="CA38" s="1872"/>
      <c r="CB38" s="1872"/>
      <c r="CC38" s="1872"/>
      <c r="CD38" s="1872"/>
      <c r="CE38" s="1872"/>
      <c r="CF38" s="1872"/>
      <c r="CG38" s="1872"/>
      <c r="CH38" s="1872"/>
      <c r="CI38" s="1872"/>
      <c r="CJ38" s="1872"/>
      <c r="CK38" s="1872"/>
      <c r="CL38" s="1872"/>
      <c r="CM38" s="1872"/>
      <c r="CN38" s="1872"/>
      <c r="CO38" s="1872"/>
      <c r="CP38" s="1872"/>
      <c r="CQ38" s="1872"/>
      <c r="CR38" s="1872"/>
      <c r="CS38" s="1872"/>
      <c r="CT38" s="1872"/>
      <c r="CU38" s="1872"/>
      <c r="CV38" s="1872"/>
      <c r="CW38" s="3677"/>
      <c r="CX38" s="1910"/>
      <c r="CY38" s="1910"/>
      <c r="CZ38" s="1910"/>
      <c r="DA38" s="1910"/>
      <c r="DB38" s="1910"/>
      <c r="DC38" s="1910"/>
      <c r="DD38" s="1910"/>
      <c r="DE38" s="1910"/>
      <c r="DF38" s="1911"/>
    </row>
    <row r="39" spans="1:110" s="1962" customFormat="1" ht="22.5" customHeight="1">
      <c r="A39" s="1926"/>
      <c r="B39" s="1910"/>
      <c r="C39" s="1764" t="s">
        <v>118</v>
      </c>
      <c r="D39" s="1941" t="s">
        <v>1403</v>
      </c>
      <c r="E39" s="1934" t="s">
        <v>164</v>
      </c>
      <c r="F39" s="1933" t="str">
        <f t="shared" si="15"/>
        <v>Гкал/час</v>
      </c>
      <c r="G39" s="1872"/>
      <c r="H39" s="1872"/>
      <c r="I39" s="1872"/>
      <c r="J39" s="1872"/>
      <c r="K39" s="1872"/>
      <c r="L39" s="1872"/>
      <c r="M39" s="1872"/>
      <c r="N39" s="1872"/>
      <c r="O39" s="1872"/>
      <c r="P39" s="1872"/>
      <c r="Q39" s="1872"/>
      <c r="R39" s="1872"/>
      <c r="S39" s="1872"/>
      <c r="T39" s="1872"/>
      <c r="U39" s="1872"/>
      <c r="V39" s="1872"/>
      <c r="W39" s="1872"/>
      <c r="X39" s="1872"/>
      <c r="Y39" s="1872"/>
      <c r="Z39" s="1872">
        <v>0</v>
      </c>
      <c r="AA39" s="1872"/>
      <c r="AB39" s="1872"/>
      <c r="AC39" s="1872"/>
      <c r="AD39" s="1872"/>
      <c r="AE39" s="1872"/>
      <c r="AF39" s="1872"/>
      <c r="AG39" s="1872"/>
      <c r="AH39" s="1872"/>
      <c r="AI39" s="1872"/>
      <c r="AJ39" s="1872"/>
      <c r="AK39" s="1872"/>
      <c r="AL39" s="1872"/>
      <c r="AM39" s="1872"/>
      <c r="AN39" s="1872"/>
      <c r="AO39" s="1872"/>
      <c r="AP39" s="1872"/>
      <c r="AQ39" s="1872"/>
      <c r="AR39" s="1872"/>
      <c r="AS39" s="1872"/>
      <c r="AT39" s="1872"/>
      <c r="AU39" s="1872"/>
      <c r="AV39" s="1872"/>
      <c r="AW39" s="1872"/>
      <c r="AX39" s="1872"/>
      <c r="AY39" s="1872"/>
      <c r="AZ39" s="1872"/>
      <c r="BA39" s="1872"/>
      <c r="BB39" s="1872"/>
      <c r="BC39" s="1872"/>
      <c r="BD39" s="1872"/>
      <c r="BE39" s="1872"/>
      <c r="BF39" s="1872"/>
      <c r="BG39" s="1872"/>
      <c r="BH39" s="1872"/>
      <c r="BI39" s="1872"/>
      <c r="BJ39" s="1872"/>
      <c r="BK39" s="1872"/>
      <c r="BL39" s="1872"/>
      <c r="BM39" s="1872"/>
      <c r="BN39" s="1872"/>
      <c r="BO39" s="1872"/>
      <c r="BP39" s="1872"/>
      <c r="BQ39" s="1872"/>
      <c r="BR39" s="1872"/>
      <c r="BS39" s="1872"/>
      <c r="BT39" s="1872"/>
      <c r="BU39" s="1872"/>
      <c r="BV39" s="1872"/>
      <c r="BW39" s="1872"/>
      <c r="BX39" s="1872"/>
      <c r="BY39" s="1872"/>
      <c r="BZ39" s="1872"/>
      <c r="CA39" s="1872"/>
      <c r="CB39" s="1872"/>
      <c r="CC39" s="1872"/>
      <c r="CD39" s="1872"/>
      <c r="CE39" s="1872"/>
      <c r="CF39" s="1872"/>
      <c r="CG39" s="1872"/>
      <c r="CH39" s="1872"/>
      <c r="CI39" s="1872"/>
      <c r="CJ39" s="1872"/>
      <c r="CK39" s="1872"/>
      <c r="CL39" s="1872"/>
      <c r="CM39" s="1872"/>
      <c r="CN39" s="1872"/>
      <c r="CO39" s="1872"/>
      <c r="CP39" s="1872"/>
      <c r="CQ39" s="1872"/>
      <c r="CR39" s="1872"/>
      <c r="CS39" s="1872"/>
      <c r="CT39" s="1872"/>
      <c r="CU39" s="1872"/>
      <c r="CV39" s="1872"/>
      <c r="CW39" s="3677"/>
      <c r="CX39" s="1910"/>
      <c r="CY39" s="1910"/>
      <c r="CZ39" s="1910"/>
      <c r="DA39" s="1910"/>
      <c r="DB39" s="1910"/>
      <c r="DC39" s="1910"/>
      <c r="DD39" s="1910"/>
      <c r="DE39" s="1910"/>
      <c r="DF39" s="1911"/>
    </row>
    <row r="40" spans="1:110" s="1962" customFormat="1" ht="22.5" customHeight="1">
      <c r="A40" s="1926"/>
      <c r="B40" s="1910"/>
      <c r="C40" s="1764" t="s">
        <v>118</v>
      </c>
      <c r="D40" s="1941" t="s">
        <v>1404</v>
      </c>
      <c r="E40" s="1934" t="s">
        <v>167</v>
      </c>
      <c r="F40" s="1933" t="str">
        <f t="shared" si="15"/>
        <v>Гкал/час</v>
      </c>
      <c r="G40" s="1872"/>
      <c r="H40" s="1872"/>
      <c r="I40" s="1872"/>
      <c r="J40" s="1872"/>
      <c r="K40" s="1872"/>
      <c r="L40" s="1872"/>
      <c r="M40" s="1872"/>
      <c r="N40" s="1872"/>
      <c r="O40" s="1872"/>
      <c r="P40" s="1872"/>
      <c r="Q40" s="1872"/>
      <c r="R40" s="1872"/>
      <c r="S40" s="1872"/>
      <c r="T40" s="1872"/>
      <c r="U40" s="1872"/>
      <c r="V40" s="1872"/>
      <c r="W40" s="1872"/>
      <c r="X40" s="1872"/>
      <c r="Y40" s="1872"/>
      <c r="Z40" s="1872"/>
      <c r="AA40" s="1872">
        <v>0.64400000000000002</v>
      </c>
      <c r="AB40" s="1872"/>
      <c r="AC40" s="1872"/>
      <c r="AD40" s="1872"/>
      <c r="AE40" s="1872"/>
      <c r="AF40" s="1872"/>
      <c r="AG40" s="1872"/>
      <c r="AH40" s="1872"/>
      <c r="AI40" s="1872"/>
      <c r="AJ40" s="1872"/>
      <c r="AK40" s="1872"/>
      <c r="AL40" s="1872"/>
      <c r="AM40" s="1872"/>
      <c r="AN40" s="1872"/>
      <c r="AO40" s="1872"/>
      <c r="AP40" s="1872"/>
      <c r="AQ40" s="1872"/>
      <c r="AR40" s="1872"/>
      <c r="AS40" s="1872"/>
      <c r="AT40" s="1872"/>
      <c r="AU40" s="1872"/>
      <c r="AV40" s="1872"/>
      <c r="AW40" s="1872"/>
      <c r="AX40" s="1872"/>
      <c r="AY40" s="1872"/>
      <c r="AZ40" s="1872"/>
      <c r="BA40" s="1872"/>
      <c r="BB40" s="1872"/>
      <c r="BC40" s="1872"/>
      <c r="BD40" s="1872"/>
      <c r="BE40" s="1872"/>
      <c r="BF40" s="1872"/>
      <c r="BG40" s="1872"/>
      <c r="BH40" s="1872"/>
      <c r="BI40" s="1872"/>
      <c r="BJ40" s="1872"/>
      <c r="BK40" s="1872"/>
      <c r="BL40" s="1872"/>
      <c r="BM40" s="1872"/>
      <c r="BN40" s="1872"/>
      <c r="BO40" s="1872"/>
      <c r="BP40" s="1872"/>
      <c r="BQ40" s="1872"/>
      <c r="BR40" s="1872"/>
      <c r="BS40" s="1872"/>
      <c r="BT40" s="1872"/>
      <c r="BU40" s="1872"/>
      <c r="BV40" s="1872"/>
      <c r="BW40" s="1872"/>
      <c r="BX40" s="1872"/>
      <c r="BY40" s="1872"/>
      <c r="BZ40" s="1872"/>
      <c r="CA40" s="1872"/>
      <c r="CB40" s="1872"/>
      <c r="CC40" s="1872"/>
      <c r="CD40" s="1872"/>
      <c r="CE40" s="1872"/>
      <c r="CF40" s="1872"/>
      <c r="CG40" s="1872"/>
      <c r="CH40" s="1872"/>
      <c r="CI40" s="1872"/>
      <c r="CJ40" s="1872"/>
      <c r="CK40" s="1872"/>
      <c r="CL40" s="1872"/>
      <c r="CM40" s="1872"/>
      <c r="CN40" s="1872"/>
      <c r="CO40" s="1872"/>
      <c r="CP40" s="1872"/>
      <c r="CQ40" s="1872"/>
      <c r="CR40" s="1872"/>
      <c r="CS40" s="1872"/>
      <c r="CT40" s="1872"/>
      <c r="CU40" s="1872"/>
      <c r="CV40" s="1872"/>
      <c r="CW40" s="3677"/>
      <c r="CX40" s="1910"/>
      <c r="CY40" s="1910"/>
      <c r="CZ40" s="1910"/>
      <c r="DA40" s="1910"/>
      <c r="DB40" s="1910"/>
      <c r="DC40" s="1910"/>
      <c r="DD40" s="1910"/>
      <c r="DE40" s="1910"/>
      <c r="DF40" s="1911"/>
    </row>
    <row r="41" spans="1:110" s="1962" customFormat="1" ht="22.5" customHeight="1">
      <c r="A41" s="1926"/>
      <c r="B41" s="1910"/>
      <c r="C41" s="1764" t="s">
        <v>118</v>
      </c>
      <c r="D41" s="1941" t="s">
        <v>1405</v>
      </c>
      <c r="E41" s="1934" t="s">
        <v>170</v>
      </c>
      <c r="F41" s="1933" t="str">
        <f t="shared" si="15"/>
        <v>Гкал/час</v>
      </c>
      <c r="G41" s="1872"/>
      <c r="H41" s="1872"/>
      <c r="I41" s="1872"/>
      <c r="J41" s="1872"/>
      <c r="K41" s="1872"/>
      <c r="L41" s="1872"/>
      <c r="M41" s="1872"/>
      <c r="N41" s="1872"/>
      <c r="O41" s="1872"/>
      <c r="P41" s="1872"/>
      <c r="Q41" s="1872"/>
      <c r="R41" s="1872"/>
      <c r="S41" s="1872"/>
      <c r="T41" s="1872"/>
      <c r="U41" s="1872"/>
      <c r="V41" s="1872"/>
      <c r="W41" s="1872"/>
      <c r="X41" s="1872"/>
      <c r="Y41" s="1872"/>
      <c r="Z41" s="1872"/>
      <c r="AA41" s="1872"/>
      <c r="AB41" s="1872">
        <v>0</v>
      </c>
      <c r="AC41" s="1872"/>
      <c r="AD41" s="1872"/>
      <c r="AE41" s="1872"/>
      <c r="AF41" s="1872"/>
      <c r="AG41" s="1872"/>
      <c r="AH41" s="1872"/>
      <c r="AI41" s="1872"/>
      <c r="AJ41" s="1872"/>
      <c r="AK41" s="1872"/>
      <c r="AL41" s="1872"/>
      <c r="AM41" s="1872"/>
      <c r="AN41" s="1872"/>
      <c r="AO41" s="1872"/>
      <c r="AP41" s="1872"/>
      <c r="AQ41" s="1872"/>
      <c r="AR41" s="1872"/>
      <c r="AS41" s="1872"/>
      <c r="AT41" s="1872"/>
      <c r="AU41" s="1872"/>
      <c r="AV41" s="1872"/>
      <c r="AW41" s="1872"/>
      <c r="AX41" s="1872"/>
      <c r="AY41" s="1872"/>
      <c r="AZ41" s="1872"/>
      <c r="BA41" s="1872"/>
      <c r="BB41" s="1872"/>
      <c r="BC41" s="1872"/>
      <c r="BD41" s="1872"/>
      <c r="BE41" s="1872"/>
      <c r="BF41" s="1872"/>
      <c r="BG41" s="1872"/>
      <c r="BH41" s="1872"/>
      <c r="BI41" s="1872"/>
      <c r="BJ41" s="1872"/>
      <c r="BK41" s="1872"/>
      <c r="BL41" s="1872"/>
      <c r="BM41" s="1872"/>
      <c r="BN41" s="1872"/>
      <c r="BO41" s="1872"/>
      <c r="BP41" s="1872"/>
      <c r="BQ41" s="1872"/>
      <c r="BR41" s="1872"/>
      <c r="BS41" s="1872"/>
      <c r="BT41" s="1872"/>
      <c r="BU41" s="1872"/>
      <c r="BV41" s="1872"/>
      <c r="BW41" s="1872"/>
      <c r="BX41" s="1872"/>
      <c r="BY41" s="1872"/>
      <c r="BZ41" s="1872"/>
      <c r="CA41" s="1872"/>
      <c r="CB41" s="1872"/>
      <c r="CC41" s="1872"/>
      <c r="CD41" s="1872"/>
      <c r="CE41" s="1872"/>
      <c r="CF41" s="1872"/>
      <c r="CG41" s="1872"/>
      <c r="CH41" s="1872"/>
      <c r="CI41" s="1872"/>
      <c r="CJ41" s="1872"/>
      <c r="CK41" s="1872"/>
      <c r="CL41" s="1872"/>
      <c r="CM41" s="1872"/>
      <c r="CN41" s="1872"/>
      <c r="CO41" s="1872"/>
      <c r="CP41" s="1872"/>
      <c r="CQ41" s="1872"/>
      <c r="CR41" s="1872"/>
      <c r="CS41" s="1872"/>
      <c r="CT41" s="1872"/>
      <c r="CU41" s="1872"/>
      <c r="CV41" s="1872"/>
      <c r="CW41" s="3677"/>
      <c r="CX41" s="1910"/>
      <c r="CY41" s="1910"/>
      <c r="CZ41" s="1910"/>
      <c r="DA41" s="1910"/>
      <c r="DB41" s="1910"/>
      <c r="DC41" s="1910"/>
      <c r="DD41" s="1910"/>
      <c r="DE41" s="1910"/>
      <c r="DF41" s="1911"/>
    </row>
    <row r="42" spans="1:110" s="1962" customFormat="1" ht="22.5" customHeight="1">
      <c r="A42" s="1926"/>
      <c r="B42" s="1910"/>
      <c r="C42" s="1764" t="s">
        <v>118</v>
      </c>
      <c r="D42" s="1941" t="s">
        <v>1406</v>
      </c>
      <c r="E42" s="1934" t="s">
        <v>173</v>
      </c>
      <c r="F42" s="1933" t="str">
        <f t="shared" si="15"/>
        <v>Гкал/час</v>
      </c>
      <c r="G42" s="1872"/>
      <c r="H42" s="1872"/>
      <c r="I42" s="1872"/>
      <c r="J42" s="1872"/>
      <c r="K42" s="1872"/>
      <c r="L42" s="1872"/>
      <c r="M42" s="1872"/>
      <c r="N42" s="1872"/>
      <c r="O42" s="1872"/>
      <c r="P42" s="1872"/>
      <c r="Q42" s="1872"/>
      <c r="R42" s="1872"/>
      <c r="S42" s="1872"/>
      <c r="T42" s="1872"/>
      <c r="U42" s="1872"/>
      <c r="V42" s="1872"/>
      <c r="W42" s="1872"/>
      <c r="X42" s="1872"/>
      <c r="Y42" s="1872"/>
      <c r="Z42" s="1872"/>
      <c r="AA42" s="1872"/>
      <c r="AB42" s="1872"/>
      <c r="AC42" s="1872">
        <v>0</v>
      </c>
      <c r="AD42" s="1872"/>
      <c r="AE42" s="1872"/>
      <c r="AF42" s="1872"/>
      <c r="AG42" s="1872"/>
      <c r="AH42" s="1872"/>
      <c r="AI42" s="1872"/>
      <c r="AJ42" s="1872"/>
      <c r="AK42" s="1872"/>
      <c r="AL42" s="1872"/>
      <c r="AM42" s="1872"/>
      <c r="AN42" s="1872"/>
      <c r="AO42" s="1872"/>
      <c r="AP42" s="1872"/>
      <c r="AQ42" s="1872"/>
      <c r="AR42" s="1872"/>
      <c r="AS42" s="1872"/>
      <c r="AT42" s="1872"/>
      <c r="AU42" s="1872"/>
      <c r="AV42" s="1872"/>
      <c r="AW42" s="1872"/>
      <c r="AX42" s="1872"/>
      <c r="AY42" s="1872"/>
      <c r="AZ42" s="1872"/>
      <c r="BA42" s="1872"/>
      <c r="BB42" s="1872"/>
      <c r="BC42" s="1872"/>
      <c r="BD42" s="1872"/>
      <c r="BE42" s="1872"/>
      <c r="BF42" s="1872"/>
      <c r="BG42" s="1872"/>
      <c r="BH42" s="1872"/>
      <c r="BI42" s="1872"/>
      <c r="BJ42" s="1872"/>
      <c r="BK42" s="1872"/>
      <c r="BL42" s="1872"/>
      <c r="BM42" s="1872"/>
      <c r="BN42" s="1872"/>
      <c r="BO42" s="1872"/>
      <c r="BP42" s="1872"/>
      <c r="BQ42" s="1872"/>
      <c r="BR42" s="1872"/>
      <c r="BS42" s="1872"/>
      <c r="BT42" s="1872"/>
      <c r="BU42" s="1872"/>
      <c r="BV42" s="1872"/>
      <c r="BW42" s="1872"/>
      <c r="BX42" s="1872"/>
      <c r="BY42" s="1872"/>
      <c r="BZ42" s="1872"/>
      <c r="CA42" s="1872"/>
      <c r="CB42" s="1872"/>
      <c r="CC42" s="1872"/>
      <c r="CD42" s="1872"/>
      <c r="CE42" s="1872"/>
      <c r="CF42" s="1872"/>
      <c r="CG42" s="1872"/>
      <c r="CH42" s="1872"/>
      <c r="CI42" s="1872"/>
      <c r="CJ42" s="1872"/>
      <c r="CK42" s="1872"/>
      <c r="CL42" s="1872"/>
      <c r="CM42" s="1872"/>
      <c r="CN42" s="1872"/>
      <c r="CO42" s="1872"/>
      <c r="CP42" s="1872"/>
      <c r="CQ42" s="1872"/>
      <c r="CR42" s="1872"/>
      <c r="CS42" s="1872"/>
      <c r="CT42" s="1872"/>
      <c r="CU42" s="1872"/>
      <c r="CV42" s="1872"/>
      <c r="CW42" s="3677"/>
      <c r="CX42" s="1910"/>
      <c r="CY42" s="1910"/>
      <c r="CZ42" s="1910"/>
      <c r="DA42" s="1910"/>
      <c r="DB42" s="1910"/>
      <c r="DC42" s="1910"/>
      <c r="DD42" s="1910"/>
      <c r="DE42" s="1910"/>
      <c r="DF42" s="1911"/>
    </row>
    <row r="43" spans="1:110" s="1962" customFormat="1" ht="22.5" customHeight="1">
      <c r="A43" s="1926"/>
      <c r="B43" s="1910"/>
      <c r="C43" s="1764" t="s">
        <v>118</v>
      </c>
      <c r="D43" s="1941" t="s">
        <v>1407</v>
      </c>
      <c r="E43" s="1934" t="s">
        <v>176</v>
      </c>
      <c r="F43" s="1933" t="str">
        <f t="shared" si="15"/>
        <v>Гкал/час</v>
      </c>
      <c r="G43" s="1872"/>
      <c r="H43" s="1872"/>
      <c r="I43" s="1872"/>
      <c r="J43" s="1872"/>
      <c r="K43" s="1872"/>
      <c r="L43" s="1872"/>
      <c r="M43" s="1872"/>
      <c r="N43" s="1872"/>
      <c r="O43" s="1872"/>
      <c r="P43" s="1872"/>
      <c r="Q43" s="1872"/>
      <c r="R43" s="1872"/>
      <c r="S43" s="1872"/>
      <c r="T43" s="1872"/>
      <c r="U43" s="1872"/>
      <c r="V43" s="1872"/>
      <c r="W43" s="1872"/>
      <c r="X43" s="1872"/>
      <c r="Y43" s="1872"/>
      <c r="Z43" s="1872"/>
      <c r="AA43" s="1872"/>
      <c r="AB43" s="1872"/>
      <c r="AC43" s="1872"/>
      <c r="AD43" s="1872">
        <v>4.7E-2</v>
      </c>
      <c r="AE43" s="1872"/>
      <c r="AF43" s="1872"/>
      <c r="AG43" s="1872"/>
      <c r="AH43" s="1872"/>
      <c r="AI43" s="1872"/>
      <c r="AJ43" s="1872"/>
      <c r="AK43" s="1872"/>
      <c r="AL43" s="1872"/>
      <c r="AM43" s="1872"/>
      <c r="AN43" s="1872"/>
      <c r="AO43" s="1872"/>
      <c r="AP43" s="1872"/>
      <c r="AQ43" s="1872"/>
      <c r="AR43" s="1872"/>
      <c r="AS43" s="1872"/>
      <c r="AT43" s="1872"/>
      <c r="AU43" s="1872"/>
      <c r="AV43" s="1872"/>
      <c r="AW43" s="1872"/>
      <c r="AX43" s="1872"/>
      <c r="AY43" s="1872"/>
      <c r="AZ43" s="1872"/>
      <c r="BA43" s="1872"/>
      <c r="BB43" s="1872"/>
      <c r="BC43" s="1872"/>
      <c r="BD43" s="1872"/>
      <c r="BE43" s="1872"/>
      <c r="BF43" s="1872"/>
      <c r="BG43" s="1872"/>
      <c r="BH43" s="1872"/>
      <c r="BI43" s="1872"/>
      <c r="BJ43" s="1872"/>
      <c r="BK43" s="1872"/>
      <c r="BL43" s="1872"/>
      <c r="BM43" s="1872"/>
      <c r="BN43" s="1872"/>
      <c r="BO43" s="1872"/>
      <c r="BP43" s="1872"/>
      <c r="BQ43" s="1872"/>
      <c r="BR43" s="1872"/>
      <c r="BS43" s="1872"/>
      <c r="BT43" s="1872"/>
      <c r="BU43" s="1872"/>
      <c r="BV43" s="1872"/>
      <c r="BW43" s="1872"/>
      <c r="BX43" s="1872"/>
      <c r="BY43" s="1872"/>
      <c r="BZ43" s="1872"/>
      <c r="CA43" s="1872"/>
      <c r="CB43" s="1872"/>
      <c r="CC43" s="1872"/>
      <c r="CD43" s="1872"/>
      <c r="CE43" s="1872"/>
      <c r="CF43" s="1872"/>
      <c r="CG43" s="1872"/>
      <c r="CH43" s="1872"/>
      <c r="CI43" s="1872"/>
      <c r="CJ43" s="1872"/>
      <c r="CK43" s="1872"/>
      <c r="CL43" s="1872"/>
      <c r="CM43" s="1872"/>
      <c r="CN43" s="1872"/>
      <c r="CO43" s="1872"/>
      <c r="CP43" s="1872"/>
      <c r="CQ43" s="1872"/>
      <c r="CR43" s="1872"/>
      <c r="CS43" s="1872"/>
      <c r="CT43" s="1872"/>
      <c r="CU43" s="1872"/>
      <c r="CV43" s="1872"/>
      <c r="CW43" s="3677"/>
      <c r="CX43" s="1910"/>
      <c r="CY43" s="1910"/>
      <c r="CZ43" s="1910"/>
      <c r="DA43" s="1910"/>
      <c r="DB43" s="1910"/>
      <c r="DC43" s="1910"/>
      <c r="DD43" s="1910"/>
      <c r="DE43" s="1910"/>
      <c r="DF43" s="1911"/>
    </row>
    <row r="44" spans="1:110" s="1962" customFormat="1" ht="22.5" customHeight="1">
      <c r="A44" s="1926"/>
      <c r="B44" s="1910"/>
      <c r="C44" s="1764" t="s">
        <v>118</v>
      </c>
      <c r="D44" s="1941" t="s">
        <v>1408</v>
      </c>
      <c r="E44" s="1934" t="s">
        <v>179</v>
      </c>
      <c r="F44" s="1933" t="str">
        <f t="shared" si="15"/>
        <v>Гкал/час</v>
      </c>
      <c r="G44" s="1872"/>
      <c r="H44" s="1872"/>
      <c r="I44" s="1872"/>
      <c r="J44" s="1872"/>
      <c r="K44" s="1872"/>
      <c r="L44" s="1872"/>
      <c r="M44" s="1872"/>
      <c r="N44" s="1872"/>
      <c r="O44" s="1872"/>
      <c r="P44" s="1872"/>
      <c r="Q44" s="1872"/>
      <c r="R44" s="1872"/>
      <c r="S44" s="1872"/>
      <c r="T44" s="1872"/>
      <c r="U44" s="1872"/>
      <c r="V44" s="1872"/>
      <c r="W44" s="1872"/>
      <c r="X44" s="1872"/>
      <c r="Y44" s="1872"/>
      <c r="Z44" s="1872"/>
      <c r="AA44" s="1872"/>
      <c r="AB44" s="1872"/>
      <c r="AC44" s="1872"/>
      <c r="AD44" s="1872"/>
      <c r="AE44" s="1872">
        <v>0</v>
      </c>
      <c r="AF44" s="1872"/>
      <c r="AG44" s="1872"/>
      <c r="AH44" s="1872"/>
      <c r="AI44" s="1872"/>
      <c r="AJ44" s="1872"/>
      <c r="AK44" s="1872"/>
      <c r="AL44" s="1872"/>
      <c r="AM44" s="1872"/>
      <c r="AN44" s="1872"/>
      <c r="AO44" s="1872"/>
      <c r="AP44" s="1872"/>
      <c r="AQ44" s="1872"/>
      <c r="AR44" s="1872"/>
      <c r="AS44" s="1872"/>
      <c r="AT44" s="1872"/>
      <c r="AU44" s="1872"/>
      <c r="AV44" s="1872"/>
      <c r="AW44" s="1872"/>
      <c r="AX44" s="1872"/>
      <c r="AY44" s="1872"/>
      <c r="AZ44" s="1872"/>
      <c r="BA44" s="1872"/>
      <c r="BB44" s="1872"/>
      <c r="BC44" s="1872"/>
      <c r="BD44" s="1872"/>
      <c r="BE44" s="1872"/>
      <c r="BF44" s="1872"/>
      <c r="BG44" s="1872"/>
      <c r="BH44" s="1872"/>
      <c r="BI44" s="1872"/>
      <c r="BJ44" s="1872"/>
      <c r="BK44" s="1872"/>
      <c r="BL44" s="1872"/>
      <c r="BM44" s="1872"/>
      <c r="BN44" s="1872"/>
      <c r="BO44" s="1872"/>
      <c r="BP44" s="1872"/>
      <c r="BQ44" s="1872"/>
      <c r="BR44" s="1872"/>
      <c r="BS44" s="1872"/>
      <c r="BT44" s="1872"/>
      <c r="BU44" s="1872"/>
      <c r="BV44" s="1872"/>
      <c r="BW44" s="1872"/>
      <c r="BX44" s="1872"/>
      <c r="BY44" s="1872"/>
      <c r="BZ44" s="1872"/>
      <c r="CA44" s="1872"/>
      <c r="CB44" s="1872"/>
      <c r="CC44" s="1872"/>
      <c r="CD44" s="1872"/>
      <c r="CE44" s="1872"/>
      <c r="CF44" s="1872"/>
      <c r="CG44" s="1872"/>
      <c r="CH44" s="1872"/>
      <c r="CI44" s="1872"/>
      <c r="CJ44" s="1872"/>
      <c r="CK44" s="1872"/>
      <c r="CL44" s="1872"/>
      <c r="CM44" s="1872"/>
      <c r="CN44" s="1872"/>
      <c r="CO44" s="1872"/>
      <c r="CP44" s="1872"/>
      <c r="CQ44" s="1872"/>
      <c r="CR44" s="1872"/>
      <c r="CS44" s="1872"/>
      <c r="CT44" s="1872"/>
      <c r="CU44" s="1872"/>
      <c r="CV44" s="1872"/>
      <c r="CW44" s="3677"/>
      <c r="CX44" s="1910"/>
      <c r="CY44" s="1910"/>
      <c r="CZ44" s="1910"/>
      <c r="DA44" s="1910"/>
      <c r="DB44" s="1910"/>
      <c r="DC44" s="1910"/>
      <c r="DD44" s="1910"/>
      <c r="DE44" s="1910"/>
      <c r="DF44" s="1911"/>
    </row>
    <row r="45" spans="1:110" s="1962" customFormat="1" ht="22.5" customHeight="1">
      <c r="A45" s="1926"/>
      <c r="B45" s="1910"/>
      <c r="C45" s="1764" t="s">
        <v>118</v>
      </c>
      <c r="D45" s="1941" t="s">
        <v>1409</v>
      </c>
      <c r="E45" s="1934" t="s">
        <v>182</v>
      </c>
      <c r="F45" s="1933" t="str">
        <f t="shared" si="15"/>
        <v>Гкал/час</v>
      </c>
      <c r="G45" s="1872"/>
      <c r="H45" s="1872"/>
      <c r="I45" s="1872"/>
      <c r="J45" s="1872"/>
      <c r="K45" s="1872"/>
      <c r="L45" s="1872"/>
      <c r="M45" s="1872"/>
      <c r="N45" s="1872"/>
      <c r="O45" s="1872"/>
      <c r="P45" s="1872"/>
      <c r="Q45" s="1872"/>
      <c r="R45" s="1872"/>
      <c r="S45" s="1872"/>
      <c r="T45" s="1872"/>
      <c r="U45" s="1872"/>
      <c r="V45" s="1872"/>
      <c r="W45" s="1872"/>
      <c r="X45" s="1872"/>
      <c r="Y45" s="1872"/>
      <c r="Z45" s="1872"/>
      <c r="AA45" s="1872"/>
      <c r="AB45" s="1872"/>
      <c r="AC45" s="1872"/>
      <c r="AD45" s="1872"/>
      <c r="AE45" s="1872"/>
      <c r="AF45" s="1872">
        <v>0</v>
      </c>
      <c r="AG45" s="1872"/>
      <c r="AH45" s="1872"/>
      <c r="AI45" s="1872"/>
      <c r="AJ45" s="1872"/>
      <c r="AK45" s="1872"/>
      <c r="AL45" s="1872"/>
      <c r="AM45" s="1872"/>
      <c r="AN45" s="1872"/>
      <c r="AO45" s="1872"/>
      <c r="AP45" s="1872"/>
      <c r="AQ45" s="1872"/>
      <c r="AR45" s="1872"/>
      <c r="AS45" s="1872"/>
      <c r="AT45" s="1872"/>
      <c r="AU45" s="1872"/>
      <c r="AV45" s="1872"/>
      <c r="AW45" s="1872"/>
      <c r="AX45" s="1872"/>
      <c r="AY45" s="1872"/>
      <c r="AZ45" s="1872"/>
      <c r="BA45" s="1872"/>
      <c r="BB45" s="1872"/>
      <c r="BC45" s="1872"/>
      <c r="BD45" s="1872"/>
      <c r="BE45" s="1872"/>
      <c r="BF45" s="1872"/>
      <c r="BG45" s="1872"/>
      <c r="BH45" s="1872"/>
      <c r="BI45" s="1872"/>
      <c r="BJ45" s="1872"/>
      <c r="BK45" s="1872"/>
      <c r="BL45" s="1872"/>
      <c r="BM45" s="1872"/>
      <c r="BN45" s="1872"/>
      <c r="BO45" s="1872"/>
      <c r="BP45" s="1872"/>
      <c r="BQ45" s="1872"/>
      <c r="BR45" s="1872"/>
      <c r="BS45" s="1872"/>
      <c r="BT45" s="1872"/>
      <c r="BU45" s="1872"/>
      <c r="BV45" s="1872"/>
      <c r="BW45" s="1872"/>
      <c r="BX45" s="1872"/>
      <c r="BY45" s="1872"/>
      <c r="BZ45" s="1872"/>
      <c r="CA45" s="1872"/>
      <c r="CB45" s="1872"/>
      <c r="CC45" s="1872"/>
      <c r="CD45" s="1872"/>
      <c r="CE45" s="1872"/>
      <c r="CF45" s="1872"/>
      <c r="CG45" s="1872"/>
      <c r="CH45" s="1872"/>
      <c r="CI45" s="1872"/>
      <c r="CJ45" s="1872"/>
      <c r="CK45" s="1872"/>
      <c r="CL45" s="1872"/>
      <c r="CM45" s="1872"/>
      <c r="CN45" s="1872"/>
      <c r="CO45" s="1872"/>
      <c r="CP45" s="1872"/>
      <c r="CQ45" s="1872"/>
      <c r="CR45" s="1872"/>
      <c r="CS45" s="1872"/>
      <c r="CT45" s="1872"/>
      <c r="CU45" s="1872"/>
      <c r="CV45" s="1872"/>
      <c r="CW45" s="3677"/>
      <c r="CX45" s="1910"/>
      <c r="CY45" s="1910"/>
      <c r="CZ45" s="1910"/>
      <c r="DA45" s="1910"/>
      <c r="DB45" s="1910"/>
      <c r="DC45" s="1910"/>
      <c r="DD45" s="1910"/>
      <c r="DE45" s="1910"/>
      <c r="DF45" s="1911"/>
    </row>
    <row r="46" spans="1:110" s="1962" customFormat="1" ht="22.5" customHeight="1">
      <c r="A46" s="1926"/>
      <c r="B46" s="1910"/>
      <c r="C46" s="1764" t="s">
        <v>118</v>
      </c>
      <c r="D46" s="1941" t="s">
        <v>1410</v>
      </c>
      <c r="E46" s="1934" t="s">
        <v>185</v>
      </c>
      <c r="F46" s="1933" t="str">
        <f t="shared" si="15"/>
        <v>Гкал/час</v>
      </c>
      <c r="G46" s="1872"/>
      <c r="H46" s="1872"/>
      <c r="I46" s="1872"/>
      <c r="J46" s="1872"/>
      <c r="K46" s="1872"/>
      <c r="L46" s="1872"/>
      <c r="M46" s="1872"/>
      <c r="N46" s="1872"/>
      <c r="O46" s="1872"/>
      <c r="P46" s="1872"/>
      <c r="Q46" s="1872"/>
      <c r="R46" s="1872"/>
      <c r="S46" s="1872"/>
      <c r="T46" s="1872"/>
      <c r="U46" s="1872"/>
      <c r="V46" s="1872"/>
      <c r="W46" s="1872"/>
      <c r="X46" s="1872"/>
      <c r="Y46" s="1872"/>
      <c r="Z46" s="1872"/>
      <c r="AA46" s="1872"/>
      <c r="AB46" s="1872"/>
      <c r="AC46" s="1872"/>
      <c r="AD46" s="1872"/>
      <c r="AE46" s="1872"/>
      <c r="AF46" s="1872"/>
      <c r="AG46" s="1872">
        <v>0</v>
      </c>
      <c r="AH46" s="1872"/>
      <c r="AI46" s="1872"/>
      <c r="AJ46" s="1872"/>
      <c r="AK46" s="1872"/>
      <c r="AL46" s="1872"/>
      <c r="AM46" s="1872"/>
      <c r="AN46" s="1872"/>
      <c r="AO46" s="1872"/>
      <c r="AP46" s="1872"/>
      <c r="AQ46" s="1872"/>
      <c r="AR46" s="1872"/>
      <c r="AS46" s="1872"/>
      <c r="AT46" s="1872"/>
      <c r="AU46" s="1872"/>
      <c r="AV46" s="1872"/>
      <c r="AW46" s="1872"/>
      <c r="AX46" s="1872"/>
      <c r="AY46" s="1872"/>
      <c r="AZ46" s="1872"/>
      <c r="BA46" s="1872"/>
      <c r="BB46" s="1872"/>
      <c r="BC46" s="1872"/>
      <c r="BD46" s="1872"/>
      <c r="BE46" s="1872"/>
      <c r="BF46" s="1872"/>
      <c r="BG46" s="1872"/>
      <c r="BH46" s="1872"/>
      <c r="BI46" s="1872"/>
      <c r="BJ46" s="1872"/>
      <c r="BK46" s="1872"/>
      <c r="BL46" s="1872"/>
      <c r="BM46" s="1872"/>
      <c r="BN46" s="1872"/>
      <c r="BO46" s="1872"/>
      <c r="BP46" s="1872"/>
      <c r="BQ46" s="1872"/>
      <c r="BR46" s="1872"/>
      <c r="BS46" s="1872"/>
      <c r="BT46" s="1872"/>
      <c r="BU46" s="1872"/>
      <c r="BV46" s="1872"/>
      <c r="BW46" s="1872"/>
      <c r="BX46" s="1872"/>
      <c r="BY46" s="1872"/>
      <c r="BZ46" s="1872"/>
      <c r="CA46" s="1872"/>
      <c r="CB46" s="1872"/>
      <c r="CC46" s="1872"/>
      <c r="CD46" s="1872"/>
      <c r="CE46" s="1872"/>
      <c r="CF46" s="1872"/>
      <c r="CG46" s="1872"/>
      <c r="CH46" s="1872"/>
      <c r="CI46" s="1872"/>
      <c r="CJ46" s="1872"/>
      <c r="CK46" s="1872"/>
      <c r="CL46" s="1872"/>
      <c r="CM46" s="1872"/>
      <c r="CN46" s="1872"/>
      <c r="CO46" s="1872"/>
      <c r="CP46" s="1872"/>
      <c r="CQ46" s="1872"/>
      <c r="CR46" s="1872"/>
      <c r="CS46" s="1872"/>
      <c r="CT46" s="1872"/>
      <c r="CU46" s="1872"/>
      <c r="CV46" s="1872"/>
      <c r="CW46" s="3677"/>
      <c r="CX46" s="1910"/>
      <c r="CY46" s="1910"/>
      <c r="CZ46" s="1910"/>
      <c r="DA46" s="1910"/>
      <c r="DB46" s="1910"/>
      <c r="DC46" s="1910"/>
      <c r="DD46" s="1910"/>
      <c r="DE46" s="1910"/>
      <c r="DF46" s="1911"/>
    </row>
    <row r="47" spans="1:110" s="1962" customFormat="1" ht="22.5" customHeight="1">
      <c r="A47" s="1926"/>
      <c r="B47" s="1910"/>
      <c r="C47" s="1764" t="s">
        <v>118</v>
      </c>
      <c r="D47" s="1941" t="s">
        <v>1411</v>
      </c>
      <c r="E47" s="1934" t="s">
        <v>188</v>
      </c>
      <c r="F47" s="1933" t="str">
        <f t="shared" si="15"/>
        <v>Гкал/час</v>
      </c>
      <c r="G47" s="1872"/>
      <c r="H47" s="1872"/>
      <c r="I47" s="1872"/>
      <c r="J47" s="1872"/>
      <c r="K47" s="1872"/>
      <c r="L47" s="1872"/>
      <c r="M47" s="1872"/>
      <c r="N47" s="1872"/>
      <c r="O47" s="1872"/>
      <c r="P47" s="1872"/>
      <c r="Q47" s="1872"/>
      <c r="R47" s="1872"/>
      <c r="S47" s="1872"/>
      <c r="T47" s="1872"/>
      <c r="U47" s="1872"/>
      <c r="V47" s="1872"/>
      <c r="W47" s="1872"/>
      <c r="X47" s="1872"/>
      <c r="Y47" s="1872"/>
      <c r="Z47" s="1872"/>
      <c r="AA47" s="1872"/>
      <c r="AB47" s="1872"/>
      <c r="AC47" s="1872"/>
      <c r="AD47" s="1872"/>
      <c r="AE47" s="1872"/>
      <c r="AF47" s="1872"/>
      <c r="AG47" s="1872"/>
      <c r="AH47" s="1872">
        <v>8.1000000000000003E-2</v>
      </c>
      <c r="AI47" s="1872"/>
      <c r="AJ47" s="1872"/>
      <c r="AK47" s="1872"/>
      <c r="AL47" s="1872"/>
      <c r="AM47" s="1872"/>
      <c r="AN47" s="1872"/>
      <c r="AO47" s="1872"/>
      <c r="AP47" s="1872"/>
      <c r="AQ47" s="1872"/>
      <c r="AR47" s="1872"/>
      <c r="AS47" s="1872"/>
      <c r="AT47" s="1872"/>
      <c r="AU47" s="1872"/>
      <c r="AV47" s="1872"/>
      <c r="AW47" s="1872"/>
      <c r="AX47" s="1872"/>
      <c r="AY47" s="1872"/>
      <c r="AZ47" s="1872"/>
      <c r="BA47" s="1872"/>
      <c r="BB47" s="1872"/>
      <c r="BC47" s="1872"/>
      <c r="BD47" s="1872"/>
      <c r="BE47" s="1872"/>
      <c r="BF47" s="1872"/>
      <c r="BG47" s="1872"/>
      <c r="BH47" s="1872"/>
      <c r="BI47" s="1872"/>
      <c r="BJ47" s="1872"/>
      <c r="BK47" s="1872"/>
      <c r="BL47" s="1872"/>
      <c r="BM47" s="1872"/>
      <c r="BN47" s="1872"/>
      <c r="BO47" s="1872"/>
      <c r="BP47" s="1872"/>
      <c r="BQ47" s="1872"/>
      <c r="BR47" s="1872"/>
      <c r="BS47" s="1872"/>
      <c r="BT47" s="1872"/>
      <c r="BU47" s="1872"/>
      <c r="BV47" s="1872"/>
      <c r="BW47" s="1872"/>
      <c r="BX47" s="1872"/>
      <c r="BY47" s="1872"/>
      <c r="BZ47" s="1872"/>
      <c r="CA47" s="1872"/>
      <c r="CB47" s="1872"/>
      <c r="CC47" s="1872"/>
      <c r="CD47" s="1872"/>
      <c r="CE47" s="1872"/>
      <c r="CF47" s="1872"/>
      <c r="CG47" s="1872"/>
      <c r="CH47" s="1872"/>
      <c r="CI47" s="1872"/>
      <c r="CJ47" s="1872"/>
      <c r="CK47" s="1872"/>
      <c r="CL47" s="1872"/>
      <c r="CM47" s="1872"/>
      <c r="CN47" s="1872"/>
      <c r="CO47" s="1872"/>
      <c r="CP47" s="1872"/>
      <c r="CQ47" s="1872"/>
      <c r="CR47" s="1872"/>
      <c r="CS47" s="1872"/>
      <c r="CT47" s="1872"/>
      <c r="CU47" s="1872"/>
      <c r="CV47" s="1872"/>
      <c r="CW47" s="3677"/>
      <c r="CX47" s="1910"/>
      <c r="CY47" s="1910"/>
      <c r="CZ47" s="1910"/>
      <c r="DA47" s="1910"/>
      <c r="DB47" s="1910"/>
      <c r="DC47" s="1910"/>
      <c r="DD47" s="1910"/>
      <c r="DE47" s="1910"/>
      <c r="DF47" s="1911"/>
    </row>
    <row r="48" spans="1:110" s="1962" customFormat="1" ht="22.5" customHeight="1">
      <c r="A48" s="1926"/>
      <c r="B48" s="1910"/>
      <c r="C48" s="1764" t="s">
        <v>118</v>
      </c>
      <c r="D48" s="1941" t="s">
        <v>1412</v>
      </c>
      <c r="E48" s="1934" t="s">
        <v>191</v>
      </c>
      <c r="F48" s="1933" t="str">
        <f t="shared" si="15"/>
        <v>Гкал/час</v>
      </c>
      <c r="G48" s="1872"/>
      <c r="H48" s="1872"/>
      <c r="I48" s="1872"/>
      <c r="J48" s="1872"/>
      <c r="K48" s="1872"/>
      <c r="L48" s="1872"/>
      <c r="M48" s="1872"/>
      <c r="N48" s="1872"/>
      <c r="O48" s="1872"/>
      <c r="P48" s="1872"/>
      <c r="Q48" s="1872"/>
      <c r="R48" s="1872"/>
      <c r="S48" s="1872"/>
      <c r="T48" s="1872"/>
      <c r="U48" s="1872"/>
      <c r="V48" s="1872"/>
      <c r="W48" s="1872"/>
      <c r="X48" s="1872"/>
      <c r="Y48" s="1872"/>
      <c r="Z48" s="1872"/>
      <c r="AA48" s="1872"/>
      <c r="AB48" s="1872"/>
      <c r="AC48" s="1872"/>
      <c r="AD48" s="1872"/>
      <c r="AE48" s="1872"/>
      <c r="AF48" s="1872"/>
      <c r="AG48" s="1872"/>
      <c r="AH48" s="1872"/>
      <c r="AI48" s="1872">
        <v>2.8319999999999999</v>
      </c>
      <c r="AJ48" s="1872"/>
      <c r="AK48" s="1872"/>
      <c r="AL48" s="1872"/>
      <c r="AM48" s="1872"/>
      <c r="AN48" s="1872"/>
      <c r="AO48" s="1872"/>
      <c r="AP48" s="1872"/>
      <c r="AQ48" s="1872"/>
      <c r="AR48" s="1872"/>
      <c r="AS48" s="1872"/>
      <c r="AT48" s="1872"/>
      <c r="AU48" s="1872"/>
      <c r="AV48" s="1872"/>
      <c r="AW48" s="1872"/>
      <c r="AX48" s="1872"/>
      <c r="AY48" s="1872"/>
      <c r="AZ48" s="1872"/>
      <c r="BA48" s="1872"/>
      <c r="BB48" s="1872"/>
      <c r="BC48" s="1872"/>
      <c r="BD48" s="1872"/>
      <c r="BE48" s="1872"/>
      <c r="BF48" s="1872"/>
      <c r="BG48" s="1872"/>
      <c r="BH48" s="1872"/>
      <c r="BI48" s="1872"/>
      <c r="BJ48" s="1872"/>
      <c r="BK48" s="1872"/>
      <c r="BL48" s="1872"/>
      <c r="BM48" s="1872"/>
      <c r="BN48" s="1872"/>
      <c r="BO48" s="1872"/>
      <c r="BP48" s="1872"/>
      <c r="BQ48" s="1872"/>
      <c r="BR48" s="1872"/>
      <c r="BS48" s="1872"/>
      <c r="BT48" s="1872"/>
      <c r="BU48" s="1872"/>
      <c r="BV48" s="1872"/>
      <c r="BW48" s="1872"/>
      <c r="BX48" s="1872"/>
      <c r="BY48" s="1872"/>
      <c r="BZ48" s="1872"/>
      <c r="CA48" s="1872"/>
      <c r="CB48" s="1872"/>
      <c r="CC48" s="1872"/>
      <c r="CD48" s="1872"/>
      <c r="CE48" s="1872"/>
      <c r="CF48" s="1872"/>
      <c r="CG48" s="1872"/>
      <c r="CH48" s="1872"/>
      <c r="CI48" s="1872"/>
      <c r="CJ48" s="1872"/>
      <c r="CK48" s="1872"/>
      <c r="CL48" s="1872"/>
      <c r="CM48" s="1872"/>
      <c r="CN48" s="1872"/>
      <c r="CO48" s="1872"/>
      <c r="CP48" s="1872"/>
      <c r="CQ48" s="1872"/>
      <c r="CR48" s="1872"/>
      <c r="CS48" s="1872"/>
      <c r="CT48" s="1872"/>
      <c r="CU48" s="1872"/>
      <c r="CV48" s="1872"/>
      <c r="CW48" s="3677"/>
      <c r="CX48" s="1910"/>
      <c r="CY48" s="1910"/>
      <c r="CZ48" s="1910"/>
      <c r="DA48" s="1910"/>
      <c r="DB48" s="1910"/>
      <c r="DC48" s="1910"/>
      <c r="DD48" s="1910"/>
      <c r="DE48" s="1910"/>
      <c r="DF48" s="1911"/>
    </row>
    <row r="49" spans="1:110" s="1962" customFormat="1" ht="22.5" customHeight="1">
      <c r="A49" s="1926"/>
      <c r="B49" s="1910"/>
      <c r="C49" s="1764" t="s">
        <v>118</v>
      </c>
      <c r="D49" s="1941" t="s">
        <v>1413</v>
      </c>
      <c r="E49" s="1934" t="s">
        <v>194</v>
      </c>
      <c r="F49" s="1933" t="str">
        <f t="shared" si="15"/>
        <v>Гкал/час</v>
      </c>
      <c r="G49" s="1872"/>
      <c r="H49" s="1872"/>
      <c r="I49" s="1872"/>
      <c r="J49" s="1872"/>
      <c r="K49" s="1872"/>
      <c r="L49" s="1872"/>
      <c r="M49" s="1872"/>
      <c r="N49" s="1872"/>
      <c r="O49" s="1872"/>
      <c r="P49" s="1872"/>
      <c r="Q49" s="1872"/>
      <c r="R49" s="1872"/>
      <c r="S49" s="1872"/>
      <c r="T49" s="1872"/>
      <c r="U49" s="1872"/>
      <c r="V49" s="1872"/>
      <c r="W49" s="1872"/>
      <c r="X49" s="1872"/>
      <c r="Y49" s="1872"/>
      <c r="Z49" s="1872"/>
      <c r="AA49" s="1872"/>
      <c r="AB49" s="1872"/>
      <c r="AC49" s="1872"/>
      <c r="AD49" s="1872"/>
      <c r="AE49" s="1872"/>
      <c r="AF49" s="1872"/>
      <c r="AG49" s="1872"/>
      <c r="AH49" s="1872"/>
      <c r="AI49" s="1872"/>
      <c r="AJ49" s="1872">
        <v>0.26100000000000001</v>
      </c>
      <c r="AK49" s="1872"/>
      <c r="AL49" s="1872"/>
      <c r="AM49" s="1872"/>
      <c r="AN49" s="1872"/>
      <c r="AO49" s="1872"/>
      <c r="AP49" s="1872"/>
      <c r="AQ49" s="1872"/>
      <c r="AR49" s="1872"/>
      <c r="AS49" s="1872"/>
      <c r="AT49" s="1872"/>
      <c r="AU49" s="1872"/>
      <c r="AV49" s="1872"/>
      <c r="AW49" s="1872"/>
      <c r="AX49" s="1872"/>
      <c r="AY49" s="1872"/>
      <c r="AZ49" s="1872"/>
      <c r="BA49" s="1872"/>
      <c r="BB49" s="1872"/>
      <c r="BC49" s="1872"/>
      <c r="BD49" s="1872"/>
      <c r="BE49" s="1872"/>
      <c r="BF49" s="1872"/>
      <c r="BG49" s="1872"/>
      <c r="BH49" s="1872"/>
      <c r="BI49" s="1872"/>
      <c r="BJ49" s="1872"/>
      <c r="BK49" s="1872"/>
      <c r="BL49" s="1872"/>
      <c r="BM49" s="1872"/>
      <c r="BN49" s="1872"/>
      <c r="BO49" s="1872"/>
      <c r="BP49" s="1872"/>
      <c r="BQ49" s="1872"/>
      <c r="BR49" s="1872"/>
      <c r="BS49" s="1872"/>
      <c r="BT49" s="1872"/>
      <c r="BU49" s="1872"/>
      <c r="BV49" s="1872"/>
      <c r="BW49" s="1872"/>
      <c r="BX49" s="1872"/>
      <c r="BY49" s="1872"/>
      <c r="BZ49" s="1872"/>
      <c r="CA49" s="1872"/>
      <c r="CB49" s="1872"/>
      <c r="CC49" s="1872"/>
      <c r="CD49" s="1872"/>
      <c r="CE49" s="1872"/>
      <c r="CF49" s="1872"/>
      <c r="CG49" s="1872"/>
      <c r="CH49" s="1872"/>
      <c r="CI49" s="1872"/>
      <c r="CJ49" s="1872"/>
      <c r="CK49" s="1872"/>
      <c r="CL49" s="1872"/>
      <c r="CM49" s="1872"/>
      <c r="CN49" s="1872"/>
      <c r="CO49" s="1872"/>
      <c r="CP49" s="1872"/>
      <c r="CQ49" s="1872"/>
      <c r="CR49" s="1872"/>
      <c r="CS49" s="1872"/>
      <c r="CT49" s="1872"/>
      <c r="CU49" s="1872"/>
      <c r="CV49" s="1872"/>
      <c r="CW49" s="3677"/>
      <c r="CX49" s="1910"/>
      <c r="CY49" s="1910"/>
      <c r="CZ49" s="1910"/>
      <c r="DA49" s="1910"/>
      <c r="DB49" s="1910"/>
      <c r="DC49" s="1910"/>
      <c r="DD49" s="1910"/>
      <c r="DE49" s="1910"/>
      <c r="DF49" s="1911"/>
    </row>
    <row r="50" spans="1:110" s="1962" customFormat="1" ht="22.5" customHeight="1">
      <c r="A50" s="1926"/>
      <c r="B50" s="1910"/>
      <c r="C50" s="1764" t="s">
        <v>118</v>
      </c>
      <c r="D50" s="1941" t="s">
        <v>1414</v>
      </c>
      <c r="E50" s="1934" t="s">
        <v>197</v>
      </c>
      <c r="F50" s="1933" t="str">
        <f t="shared" si="15"/>
        <v>Гкал/час</v>
      </c>
      <c r="G50" s="1872"/>
      <c r="H50" s="1872"/>
      <c r="I50" s="1872"/>
      <c r="J50" s="1872"/>
      <c r="K50" s="1872"/>
      <c r="L50" s="1872"/>
      <c r="M50" s="1872"/>
      <c r="N50" s="1872"/>
      <c r="O50" s="1872"/>
      <c r="P50" s="1872"/>
      <c r="Q50" s="1872"/>
      <c r="R50" s="1872"/>
      <c r="S50" s="1872"/>
      <c r="T50" s="1872"/>
      <c r="U50" s="1872"/>
      <c r="V50" s="1872"/>
      <c r="W50" s="1872"/>
      <c r="X50" s="1872"/>
      <c r="Y50" s="1872"/>
      <c r="Z50" s="1872"/>
      <c r="AA50" s="1872"/>
      <c r="AB50" s="1872"/>
      <c r="AC50" s="1872"/>
      <c r="AD50" s="1872"/>
      <c r="AE50" s="1872"/>
      <c r="AF50" s="1872"/>
      <c r="AG50" s="1872"/>
      <c r="AH50" s="1872"/>
      <c r="AI50" s="1872"/>
      <c r="AJ50" s="1872"/>
      <c r="AK50" s="1872">
        <v>7.77</v>
      </c>
      <c r="AL50" s="1872"/>
      <c r="AM50" s="1872"/>
      <c r="AN50" s="1872"/>
      <c r="AO50" s="1872"/>
      <c r="AP50" s="1872"/>
      <c r="AQ50" s="1872"/>
      <c r="AR50" s="1872"/>
      <c r="AS50" s="1872"/>
      <c r="AT50" s="1872"/>
      <c r="AU50" s="1872"/>
      <c r="AV50" s="1872"/>
      <c r="AW50" s="1872"/>
      <c r="AX50" s="1872"/>
      <c r="AY50" s="1872"/>
      <c r="AZ50" s="1872"/>
      <c r="BA50" s="1872"/>
      <c r="BB50" s="1872"/>
      <c r="BC50" s="1872"/>
      <c r="BD50" s="1872"/>
      <c r="BE50" s="1872"/>
      <c r="BF50" s="1872"/>
      <c r="BG50" s="1872"/>
      <c r="BH50" s="1872"/>
      <c r="BI50" s="1872"/>
      <c r="BJ50" s="1872"/>
      <c r="BK50" s="1872"/>
      <c r="BL50" s="1872"/>
      <c r="BM50" s="1872"/>
      <c r="BN50" s="1872"/>
      <c r="BO50" s="1872"/>
      <c r="BP50" s="1872"/>
      <c r="BQ50" s="1872"/>
      <c r="BR50" s="1872"/>
      <c r="BS50" s="1872"/>
      <c r="BT50" s="1872"/>
      <c r="BU50" s="1872"/>
      <c r="BV50" s="1872"/>
      <c r="BW50" s="1872"/>
      <c r="BX50" s="1872"/>
      <c r="BY50" s="1872"/>
      <c r="BZ50" s="1872"/>
      <c r="CA50" s="1872"/>
      <c r="CB50" s="1872"/>
      <c r="CC50" s="1872"/>
      <c r="CD50" s="1872"/>
      <c r="CE50" s="1872"/>
      <c r="CF50" s="1872"/>
      <c r="CG50" s="1872"/>
      <c r="CH50" s="1872"/>
      <c r="CI50" s="1872"/>
      <c r="CJ50" s="1872"/>
      <c r="CK50" s="1872"/>
      <c r="CL50" s="1872"/>
      <c r="CM50" s="1872"/>
      <c r="CN50" s="1872"/>
      <c r="CO50" s="1872"/>
      <c r="CP50" s="1872"/>
      <c r="CQ50" s="1872"/>
      <c r="CR50" s="1872"/>
      <c r="CS50" s="1872"/>
      <c r="CT50" s="1872"/>
      <c r="CU50" s="1872"/>
      <c r="CV50" s="1872"/>
      <c r="CW50" s="3677"/>
      <c r="CX50" s="1910"/>
      <c r="CY50" s="1910"/>
      <c r="CZ50" s="1910"/>
      <c r="DA50" s="1910"/>
      <c r="DB50" s="1910"/>
      <c r="DC50" s="1910"/>
      <c r="DD50" s="1910"/>
      <c r="DE50" s="1910"/>
      <c r="DF50" s="1911"/>
    </row>
    <row r="51" spans="1:110" s="1962" customFormat="1" ht="22.5" customHeight="1">
      <c r="A51" s="1926"/>
      <c r="B51" s="1910"/>
      <c r="C51" s="1764" t="s">
        <v>118</v>
      </c>
      <c r="D51" s="1941" t="s">
        <v>1415</v>
      </c>
      <c r="E51" s="1934" t="s">
        <v>200</v>
      </c>
      <c r="F51" s="1933" t="str">
        <f t="shared" si="15"/>
        <v>Гкал/час</v>
      </c>
      <c r="G51" s="1872"/>
      <c r="H51" s="1872"/>
      <c r="I51" s="1872"/>
      <c r="J51" s="1872"/>
      <c r="K51" s="1872"/>
      <c r="L51" s="1872"/>
      <c r="M51" s="1872"/>
      <c r="N51" s="1872"/>
      <c r="O51" s="1872"/>
      <c r="P51" s="1872"/>
      <c r="Q51" s="1872"/>
      <c r="R51" s="1872"/>
      <c r="S51" s="1872"/>
      <c r="T51" s="1872"/>
      <c r="U51" s="1872"/>
      <c r="V51" s="1872"/>
      <c r="W51" s="1872"/>
      <c r="X51" s="1872"/>
      <c r="Y51" s="1872"/>
      <c r="Z51" s="1872"/>
      <c r="AA51" s="1872"/>
      <c r="AB51" s="1872"/>
      <c r="AC51" s="1872"/>
      <c r="AD51" s="1872"/>
      <c r="AE51" s="1872"/>
      <c r="AF51" s="1872"/>
      <c r="AG51" s="1872"/>
      <c r="AH51" s="1872"/>
      <c r="AI51" s="1872"/>
      <c r="AJ51" s="1872"/>
      <c r="AK51" s="1872"/>
      <c r="AL51" s="1872">
        <v>1.1559999999999999</v>
      </c>
      <c r="AM51" s="1872"/>
      <c r="AN51" s="1872"/>
      <c r="AO51" s="1872"/>
      <c r="AP51" s="1872"/>
      <c r="AQ51" s="1872"/>
      <c r="AR51" s="1872"/>
      <c r="AS51" s="1872"/>
      <c r="AT51" s="1872"/>
      <c r="AU51" s="1872"/>
      <c r="AV51" s="1872"/>
      <c r="AW51" s="1872"/>
      <c r="AX51" s="1872"/>
      <c r="AY51" s="1872"/>
      <c r="AZ51" s="1872"/>
      <c r="BA51" s="1872"/>
      <c r="BB51" s="1872"/>
      <c r="BC51" s="1872"/>
      <c r="BD51" s="1872"/>
      <c r="BE51" s="1872"/>
      <c r="BF51" s="1872"/>
      <c r="BG51" s="1872"/>
      <c r="BH51" s="1872"/>
      <c r="BI51" s="1872"/>
      <c r="BJ51" s="1872"/>
      <c r="BK51" s="1872"/>
      <c r="BL51" s="1872"/>
      <c r="BM51" s="1872"/>
      <c r="BN51" s="1872"/>
      <c r="BO51" s="1872"/>
      <c r="BP51" s="1872"/>
      <c r="BQ51" s="1872"/>
      <c r="BR51" s="1872"/>
      <c r="BS51" s="1872"/>
      <c r="BT51" s="1872"/>
      <c r="BU51" s="1872"/>
      <c r="BV51" s="1872"/>
      <c r="BW51" s="1872"/>
      <c r="BX51" s="1872"/>
      <c r="BY51" s="1872"/>
      <c r="BZ51" s="1872"/>
      <c r="CA51" s="1872"/>
      <c r="CB51" s="1872"/>
      <c r="CC51" s="1872"/>
      <c r="CD51" s="1872"/>
      <c r="CE51" s="1872"/>
      <c r="CF51" s="1872"/>
      <c r="CG51" s="1872"/>
      <c r="CH51" s="1872"/>
      <c r="CI51" s="1872"/>
      <c r="CJ51" s="1872"/>
      <c r="CK51" s="1872"/>
      <c r="CL51" s="1872"/>
      <c r="CM51" s="1872"/>
      <c r="CN51" s="1872"/>
      <c r="CO51" s="1872"/>
      <c r="CP51" s="1872"/>
      <c r="CQ51" s="1872"/>
      <c r="CR51" s="1872"/>
      <c r="CS51" s="1872"/>
      <c r="CT51" s="1872"/>
      <c r="CU51" s="1872"/>
      <c r="CV51" s="1872"/>
      <c r="CW51" s="3677"/>
      <c r="CX51" s="1910"/>
      <c r="CY51" s="1910"/>
      <c r="CZ51" s="1910"/>
      <c r="DA51" s="1910"/>
      <c r="DB51" s="1910"/>
      <c r="DC51" s="1910"/>
      <c r="DD51" s="1910"/>
      <c r="DE51" s="1910"/>
      <c r="DF51" s="1911"/>
    </row>
    <row r="52" spans="1:110" s="1962" customFormat="1" ht="22.5" customHeight="1">
      <c r="A52" s="1926"/>
      <c r="B52" s="1910"/>
      <c r="C52" s="1764" t="s">
        <v>118</v>
      </c>
      <c r="D52" s="1941" t="s">
        <v>1416</v>
      </c>
      <c r="E52" s="1934" t="s">
        <v>203</v>
      </c>
      <c r="F52" s="1933" t="str">
        <f t="shared" si="15"/>
        <v>Гкал/час</v>
      </c>
      <c r="G52" s="1872"/>
      <c r="H52" s="1872"/>
      <c r="I52" s="1872"/>
      <c r="J52" s="1872"/>
      <c r="K52" s="1872"/>
      <c r="L52" s="1872"/>
      <c r="M52" s="1872"/>
      <c r="N52" s="1872"/>
      <c r="O52" s="1872"/>
      <c r="P52" s="1872"/>
      <c r="Q52" s="1872"/>
      <c r="R52" s="1872"/>
      <c r="S52" s="1872"/>
      <c r="T52" s="1872"/>
      <c r="U52" s="1872"/>
      <c r="V52" s="1872"/>
      <c r="W52" s="1872"/>
      <c r="X52" s="1872"/>
      <c r="Y52" s="1872"/>
      <c r="Z52" s="1872"/>
      <c r="AA52" s="1872"/>
      <c r="AB52" s="1872"/>
      <c r="AC52" s="1872"/>
      <c r="AD52" s="1872"/>
      <c r="AE52" s="1872"/>
      <c r="AF52" s="1872"/>
      <c r="AG52" s="1872"/>
      <c r="AH52" s="1872"/>
      <c r="AI52" s="1872"/>
      <c r="AJ52" s="1872"/>
      <c r="AK52" s="1872"/>
      <c r="AL52" s="1872"/>
      <c r="AM52" s="1872">
        <v>0.42</v>
      </c>
      <c r="AN52" s="1872"/>
      <c r="AO52" s="1872"/>
      <c r="AP52" s="1872"/>
      <c r="AQ52" s="1872"/>
      <c r="AR52" s="1872"/>
      <c r="AS52" s="1872"/>
      <c r="AT52" s="1872"/>
      <c r="AU52" s="1872"/>
      <c r="AV52" s="1872"/>
      <c r="AW52" s="1872"/>
      <c r="AX52" s="1872"/>
      <c r="AY52" s="1872"/>
      <c r="AZ52" s="1872"/>
      <c r="BA52" s="1872"/>
      <c r="BB52" s="1872"/>
      <c r="BC52" s="1872"/>
      <c r="BD52" s="1872"/>
      <c r="BE52" s="1872"/>
      <c r="BF52" s="1872"/>
      <c r="BG52" s="1872"/>
      <c r="BH52" s="1872"/>
      <c r="BI52" s="1872"/>
      <c r="BJ52" s="1872"/>
      <c r="BK52" s="1872"/>
      <c r="BL52" s="1872"/>
      <c r="BM52" s="1872"/>
      <c r="BN52" s="1872"/>
      <c r="BO52" s="1872"/>
      <c r="BP52" s="1872"/>
      <c r="BQ52" s="1872"/>
      <c r="BR52" s="1872"/>
      <c r="BS52" s="1872"/>
      <c r="BT52" s="1872"/>
      <c r="BU52" s="1872"/>
      <c r="BV52" s="1872"/>
      <c r="BW52" s="1872"/>
      <c r="BX52" s="1872"/>
      <c r="BY52" s="1872"/>
      <c r="BZ52" s="1872"/>
      <c r="CA52" s="1872"/>
      <c r="CB52" s="1872"/>
      <c r="CC52" s="1872"/>
      <c r="CD52" s="1872"/>
      <c r="CE52" s="1872"/>
      <c r="CF52" s="1872"/>
      <c r="CG52" s="1872"/>
      <c r="CH52" s="1872"/>
      <c r="CI52" s="1872"/>
      <c r="CJ52" s="1872"/>
      <c r="CK52" s="1872"/>
      <c r="CL52" s="1872"/>
      <c r="CM52" s="1872"/>
      <c r="CN52" s="1872"/>
      <c r="CO52" s="1872"/>
      <c r="CP52" s="1872"/>
      <c r="CQ52" s="1872"/>
      <c r="CR52" s="1872"/>
      <c r="CS52" s="1872"/>
      <c r="CT52" s="1872"/>
      <c r="CU52" s="1872"/>
      <c r="CV52" s="1872"/>
      <c r="CW52" s="3677"/>
      <c r="CX52" s="1910"/>
      <c r="CY52" s="1910"/>
      <c r="CZ52" s="1910"/>
      <c r="DA52" s="1910"/>
      <c r="DB52" s="1910"/>
      <c r="DC52" s="1910"/>
      <c r="DD52" s="1910"/>
      <c r="DE52" s="1910"/>
      <c r="DF52" s="1911"/>
    </row>
    <row r="53" spans="1:110" s="1962" customFormat="1" ht="22.5" customHeight="1">
      <c r="A53" s="1926"/>
      <c r="B53" s="1910"/>
      <c r="C53" s="1764" t="s">
        <v>118</v>
      </c>
      <c r="D53" s="1941" t="s">
        <v>1417</v>
      </c>
      <c r="E53" s="1934" t="s">
        <v>206</v>
      </c>
      <c r="F53" s="1933" t="str">
        <f t="shared" ref="F53:F84" si="16">IF(TEMPLATE_SPHERE="HEAT","Гкал/час","тыс. куб. м/сутки")</f>
        <v>Гкал/час</v>
      </c>
      <c r="G53" s="1872"/>
      <c r="H53" s="1872"/>
      <c r="I53" s="1872"/>
      <c r="J53" s="1872"/>
      <c r="K53" s="1872"/>
      <c r="L53" s="1872"/>
      <c r="M53" s="1872"/>
      <c r="N53" s="1872"/>
      <c r="O53" s="1872"/>
      <c r="P53" s="1872"/>
      <c r="Q53" s="1872"/>
      <c r="R53" s="1872"/>
      <c r="S53" s="1872"/>
      <c r="T53" s="1872"/>
      <c r="U53" s="1872"/>
      <c r="V53" s="1872"/>
      <c r="W53" s="1872"/>
      <c r="X53" s="1872"/>
      <c r="Y53" s="1872"/>
      <c r="Z53" s="1872"/>
      <c r="AA53" s="1872"/>
      <c r="AB53" s="1872"/>
      <c r="AC53" s="1872"/>
      <c r="AD53" s="1872"/>
      <c r="AE53" s="1872"/>
      <c r="AF53" s="1872"/>
      <c r="AG53" s="1872"/>
      <c r="AH53" s="1872"/>
      <c r="AI53" s="1872"/>
      <c r="AJ53" s="1872"/>
      <c r="AK53" s="1872"/>
      <c r="AL53" s="1872"/>
      <c r="AM53" s="1872"/>
      <c r="AN53" s="1872">
        <v>0.90400000000000003</v>
      </c>
      <c r="AO53" s="1872"/>
      <c r="AP53" s="1872"/>
      <c r="AQ53" s="1872"/>
      <c r="AR53" s="1872"/>
      <c r="AS53" s="1872"/>
      <c r="AT53" s="1872"/>
      <c r="AU53" s="1872"/>
      <c r="AV53" s="1872"/>
      <c r="AW53" s="1872"/>
      <c r="AX53" s="1872"/>
      <c r="AY53" s="1872"/>
      <c r="AZ53" s="1872"/>
      <c r="BA53" s="1872"/>
      <c r="BB53" s="1872"/>
      <c r="BC53" s="1872"/>
      <c r="BD53" s="1872"/>
      <c r="BE53" s="1872"/>
      <c r="BF53" s="1872"/>
      <c r="BG53" s="1872"/>
      <c r="BH53" s="1872"/>
      <c r="BI53" s="1872"/>
      <c r="BJ53" s="1872"/>
      <c r="BK53" s="1872"/>
      <c r="BL53" s="1872"/>
      <c r="BM53" s="1872"/>
      <c r="BN53" s="1872"/>
      <c r="BO53" s="1872"/>
      <c r="BP53" s="1872"/>
      <c r="BQ53" s="1872"/>
      <c r="BR53" s="1872"/>
      <c r="BS53" s="1872"/>
      <c r="BT53" s="1872"/>
      <c r="BU53" s="1872"/>
      <c r="BV53" s="1872"/>
      <c r="BW53" s="1872"/>
      <c r="BX53" s="1872"/>
      <c r="BY53" s="1872"/>
      <c r="BZ53" s="1872"/>
      <c r="CA53" s="1872"/>
      <c r="CB53" s="1872"/>
      <c r="CC53" s="1872"/>
      <c r="CD53" s="1872"/>
      <c r="CE53" s="1872"/>
      <c r="CF53" s="1872"/>
      <c r="CG53" s="1872"/>
      <c r="CH53" s="1872"/>
      <c r="CI53" s="1872"/>
      <c r="CJ53" s="1872"/>
      <c r="CK53" s="1872"/>
      <c r="CL53" s="1872"/>
      <c r="CM53" s="1872"/>
      <c r="CN53" s="1872"/>
      <c r="CO53" s="1872"/>
      <c r="CP53" s="1872"/>
      <c r="CQ53" s="1872"/>
      <c r="CR53" s="1872"/>
      <c r="CS53" s="1872"/>
      <c r="CT53" s="1872"/>
      <c r="CU53" s="1872"/>
      <c r="CV53" s="1872"/>
      <c r="CW53" s="3677"/>
      <c r="CX53" s="1910"/>
      <c r="CY53" s="1910"/>
      <c r="CZ53" s="1910"/>
      <c r="DA53" s="1910"/>
      <c r="DB53" s="1910"/>
      <c r="DC53" s="1910"/>
      <c r="DD53" s="1910"/>
      <c r="DE53" s="1910"/>
      <c r="DF53" s="1911"/>
    </row>
    <row r="54" spans="1:110" s="1962" customFormat="1" ht="22.5" customHeight="1">
      <c r="A54" s="1926"/>
      <c r="B54" s="1910"/>
      <c r="C54" s="1764" t="s">
        <v>118</v>
      </c>
      <c r="D54" s="1941" t="s">
        <v>1418</v>
      </c>
      <c r="E54" s="1934" t="s">
        <v>209</v>
      </c>
      <c r="F54" s="1933" t="str">
        <f t="shared" si="16"/>
        <v>Гкал/час</v>
      </c>
      <c r="G54" s="1872"/>
      <c r="H54" s="1872"/>
      <c r="I54" s="1872"/>
      <c r="J54" s="1872"/>
      <c r="K54" s="1872"/>
      <c r="L54" s="1872"/>
      <c r="M54" s="1872"/>
      <c r="N54" s="1872"/>
      <c r="O54" s="1872"/>
      <c r="P54" s="1872"/>
      <c r="Q54" s="1872"/>
      <c r="R54" s="1872"/>
      <c r="S54" s="1872"/>
      <c r="T54" s="1872"/>
      <c r="U54" s="1872"/>
      <c r="V54" s="1872"/>
      <c r="W54" s="1872"/>
      <c r="X54" s="1872"/>
      <c r="Y54" s="1872"/>
      <c r="Z54" s="1872"/>
      <c r="AA54" s="1872"/>
      <c r="AB54" s="1872"/>
      <c r="AC54" s="1872"/>
      <c r="AD54" s="1872"/>
      <c r="AE54" s="1872"/>
      <c r="AF54" s="1872"/>
      <c r="AG54" s="1872"/>
      <c r="AH54" s="1872"/>
      <c r="AI54" s="1872"/>
      <c r="AJ54" s="1872"/>
      <c r="AK54" s="1872"/>
      <c r="AL54" s="1872"/>
      <c r="AM54" s="1872"/>
      <c r="AN54" s="1872"/>
      <c r="AO54" s="1872">
        <v>0.68500000000000005</v>
      </c>
      <c r="AP54" s="1872"/>
      <c r="AQ54" s="1872"/>
      <c r="AR54" s="1872"/>
      <c r="AS54" s="1872"/>
      <c r="AT54" s="1872"/>
      <c r="AU54" s="1872"/>
      <c r="AV54" s="1872"/>
      <c r="AW54" s="1872"/>
      <c r="AX54" s="1872"/>
      <c r="AY54" s="1872"/>
      <c r="AZ54" s="1872"/>
      <c r="BA54" s="1872"/>
      <c r="BB54" s="1872"/>
      <c r="BC54" s="1872"/>
      <c r="BD54" s="1872"/>
      <c r="BE54" s="1872"/>
      <c r="BF54" s="1872"/>
      <c r="BG54" s="1872"/>
      <c r="BH54" s="1872"/>
      <c r="BI54" s="1872"/>
      <c r="BJ54" s="1872"/>
      <c r="BK54" s="1872"/>
      <c r="BL54" s="1872"/>
      <c r="BM54" s="1872"/>
      <c r="BN54" s="1872"/>
      <c r="BO54" s="1872"/>
      <c r="BP54" s="1872"/>
      <c r="BQ54" s="1872"/>
      <c r="BR54" s="1872"/>
      <c r="BS54" s="1872"/>
      <c r="BT54" s="1872"/>
      <c r="BU54" s="1872"/>
      <c r="BV54" s="1872"/>
      <c r="BW54" s="1872"/>
      <c r="BX54" s="1872"/>
      <c r="BY54" s="1872"/>
      <c r="BZ54" s="1872"/>
      <c r="CA54" s="1872"/>
      <c r="CB54" s="1872"/>
      <c r="CC54" s="1872"/>
      <c r="CD54" s="1872"/>
      <c r="CE54" s="1872"/>
      <c r="CF54" s="1872"/>
      <c r="CG54" s="1872"/>
      <c r="CH54" s="1872"/>
      <c r="CI54" s="1872"/>
      <c r="CJ54" s="1872"/>
      <c r="CK54" s="1872"/>
      <c r="CL54" s="1872"/>
      <c r="CM54" s="1872"/>
      <c r="CN54" s="1872"/>
      <c r="CO54" s="1872"/>
      <c r="CP54" s="1872"/>
      <c r="CQ54" s="1872"/>
      <c r="CR54" s="1872"/>
      <c r="CS54" s="1872"/>
      <c r="CT54" s="1872"/>
      <c r="CU54" s="1872"/>
      <c r="CV54" s="1872"/>
      <c r="CW54" s="3677"/>
      <c r="CX54" s="1910"/>
      <c r="CY54" s="1910"/>
      <c r="CZ54" s="1910"/>
      <c r="DA54" s="1910"/>
      <c r="DB54" s="1910"/>
      <c r="DC54" s="1910"/>
      <c r="DD54" s="1910"/>
      <c r="DE54" s="1910"/>
      <c r="DF54" s="1911"/>
    </row>
    <row r="55" spans="1:110" s="1962" customFormat="1" ht="22.5" customHeight="1">
      <c r="A55" s="1926"/>
      <c r="B55" s="1910"/>
      <c r="C55" s="1764" t="s">
        <v>118</v>
      </c>
      <c r="D55" s="1941" t="s">
        <v>1419</v>
      </c>
      <c r="E55" s="1934" t="s">
        <v>212</v>
      </c>
      <c r="F55" s="1933" t="str">
        <f t="shared" si="16"/>
        <v>Гкал/час</v>
      </c>
      <c r="G55" s="1872"/>
      <c r="H55" s="1872"/>
      <c r="I55" s="1872"/>
      <c r="J55" s="1872"/>
      <c r="K55" s="1872"/>
      <c r="L55" s="1872"/>
      <c r="M55" s="1872"/>
      <c r="N55" s="1872"/>
      <c r="O55" s="1872"/>
      <c r="P55" s="1872"/>
      <c r="Q55" s="1872"/>
      <c r="R55" s="1872"/>
      <c r="S55" s="1872"/>
      <c r="T55" s="1872"/>
      <c r="U55" s="1872"/>
      <c r="V55" s="1872"/>
      <c r="W55" s="1872"/>
      <c r="X55" s="1872"/>
      <c r="Y55" s="1872"/>
      <c r="Z55" s="1872"/>
      <c r="AA55" s="1872"/>
      <c r="AB55" s="1872"/>
      <c r="AC55" s="1872"/>
      <c r="AD55" s="1872"/>
      <c r="AE55" s="1872"/>
      <c r="AF55" s="1872"/>
      <c r="AG55" s="1872"/>
      <c r="AH55" s="1872"/>
      <c r="AI55" s="1872"/>
      <c r="AJ55" s="1872"/>
      <c r="AK55" s="1872"/>
      <c r="AL55" s="1872"/>
      <c r="AM55" s="1872"/>
      <c r="AN55" s="1872"/>
      <c r="AO55" s="1872"/>
      <c r="AP55" s="1872">
        <v>0.40300000000000002</v>
      </c>
      <c r="AQ55" s="1872"/>
      <c r="AR55" s="1872"/>
      <c r="AS55" s="1872"/>
      <c r="AT55" s="1872"/>
      <c r="AU55" s="1872"/>
      <c r="AV55" s="1872"/>
      <c r="AW55" s="1872"/>
      <c r="AX55" s="1872"/>
      <c r="AY55" s="1872"/>
      <c r="AZ55" s="1872"/>
      <c r="BA55" s="1872"/>
      <c r="BB55" s="1872"/>
      <c r="BC55" s="1872"/>
      <c r="BD55" s="1872"/>
      <c r="BE55" s="1872"/>
      <c r="BF55" s="1872"/>
      <c r="BG55" s="1872"/>
      <c r="BH55" s="1872"/>
      <c r="BI55" s="1872"/>
      <c r="BJ55" s="1872"/>
      <c r="BK55" s="1872"/>
      <c r="BL55" s="1872"/>
      <c r="BM55" s="1872"/>
      <c r="BN55" s="1872"/>
      <c r="BO55" s="1872"/>
      <c r="BP55" s="1872"/>
      <c r="BQ55" s="1872"/>
      <c r="BR55" s="1872"/>
      <c r="BS55" s="1872"/>
      <c r="BT55" s="1872"/>
      <c r="BU55" s="1872"/>
      <c r="BV55" s="1872"/>
      <c r="BW55" s="1872"/>
      <c r="BX55" s="1872"/>
      <c r="BY55" s="1872"/>
      <c r="BZ55" s="1872"/>
      <c r="CA55" s="1872"/>
      <c r="CB55" s="1872"/>
      <c r="CC55" s="1872"/>
      <c r="CD55" s="1872"/>
      <c r="CE55" s="1872"/>
      <c r="CF55" s="1872"/>
      <c r="CG55" s="1872"/>
      <c r="CH55" s="1872"/>
      <c r="CI55" s="1872"/>
      <c r="CJ55" s="1872"/>
      <c r="CK55" s="1872"/>
      <c r="CL55" s="1872"/>
      <c r="CM55" s="1872"/>
      <c r="CN55" s="1872"/>
      <c r="CO55" s="1872"/>
      <c r="CP55" s="1872"/>
      <c r="CQ55" s="1872"/>
      <c r="CR55" s="1872"/>
      <c r="CS55" s="1872"/>
      <c r="CT55" s="1872"/>
      <c r="CU55" s="1872"/>
      <c r="CV55" s="1872"/>
      <c r="CW55" s="3677"/>
      <c r="CX55" s="1910"/>
      <c r="CY55" s="1910"/>
      <c r="CZ55" s="1910"/>
      <c r="DA55" s="1910"/>
      <c r="DB55" s="1910"/>
      <c r="DC55" s="1910"/>
      <c r="DD55" s="1910"/>
      <c r="DE55" s="1910"/>
      <c r="DF55" s="1911"/>
    </row>
    <row r="56" spans="1:110" s="1962" customFormat="1" ht="22.5" customHeight="1">
      <c r="A56" s="1926"/>
      <c r="B56" s="1910"/>
      <c r="C56" s="1764" t="s">
        <v>118</v>
      </c>
      <c r="D56" s="1941" t="s">
        <v>1420</v>
      </c>
      <c r="E56" s="1934" t="s">
        <v>215</v>
      </c>
      <c r="F56" s="1933" t="str">
        <f t="shared" si="16"/>
        <v>Гкал/час</v>
      </c>
      <c r="G56" s="1872"/>
      <c r="H56" s="1872"/>
      <c r="I56" s="1872"/>
      <c r="J56" s="1872"/>
      <c r="K56" s="1872"/>
      <c r="L56" s="1872"/>
      <c r="M56" s="1872"/>
      <c r="N56" s="1872"/>
      <c r="O56" s="1872"/>
      <c r="P56" s="1872"/>
      <c r="Q56" s="1872"/>
      <c r="R56" s="1872"/>
      <c r="S56" s="1872"/>
      <c r="T56" s="1872"/>
      <c r="U56" s="1872"/>
      <c r="V56" s="1872"/>
      <c r="W56" s="1872"/>
      <c r="X56" s="1872"/>
      <c r="Y56" s="1872"/>
      <c r="Z56" s="1872"/>
      <c r="AA56" s="1872"/>
      <c r="AB56" s="1872"/>
      <c r="AC56" s="1872"/>
      <c r="AD56" s="1872"/>
      <c r="AE56" s="1872"/>
      <c r="AF56" s="1872"/>
      <c r="AG56" s="1872"/>
      <c r="AH56" s="1872"/>
      <c r="AI56" s="1872"/>
      <c r="AJ56" s="1872"/>
      <c r="AK56" s="1872"/>
      <c r="AL56" s="1872"/>
      <c r="AM56" s="1872"/>
      <c r="AN56" s="1872"/>
      <c r="AO56" s="1872"/>
      <c r="AP56" s="1872"/>
      <c r="AQ56" s="1872">
        <v>1.8859999999999999</v>
      </c>
      <c r="AR56" s="1872"/>
      <c r="AS56" s="1872"/>
      <c r="AT56" s="1872"/>
      <c r="AU56" s="1872"/>
      <c r="AV56" s="1872"/>
      <c r="AW56" s="1872"/>
      <c r="AX56" s="1872"/>
      <c r="AY56" s="1872"/>
      <c r="AZ56" s="1872"/>
      <c r="BA56" s="1872"/>
      <c r="BB56" s="1872"/>
      <c r="BC56" s="1872"/>
      <c r="BD56" s="1872"/>
      <c r="BE56" s="1872"/>
      <c r="BF56" s="1872"/>
      <c r="BG56" s="1872"/>
      <c r="BH56" s="1872"/>
      <c r="BI56" s="1872"/>
      <c r="BJ56" s="1872"/>
      <c r="BK56" s="1872"/>
      <c r="BL56" s="1872"/>
      <c r="BM56" s="1872"/>
      <c r="BN56" s="1872"/>
      <c r="BO56" s="1872"/>
      <c r="BP56" s="1872"/>
      <c r="BQ56" s="1872"/>
      <c r="BR56" s="1872"/>
      <c r="BS56" s="1872"/>
      <c r="BT56" s="1872"/>
      <c r="BU56" s="1872"/>
      <c r="BV56" s="1872"/>
      <c r="BW56" s="1872"/>
      <c r="BX56" s="1872"/>
      <c r="BY56" s="1872"/>
      <c r="BZ56" s="1872"/>
      <c r="CA56" s="1872"/>
      <c r="CB56" s="1872"/>
      <c r="CC56" s="1872"/>
      <c r="CD56" s="1872"/>
      <c r="CE56" s="1872"/>
      <c r="CF56" s="1872"/>
      <c r="CG56" s="1872"/>
      <c r="CH56" s="1872"/>
      <c r="CI56" s="1872"/>
      <c r="CJ56" s="1872"/>
      <c r="CK56" s="1872"/>
      <c r="CL56" s="1872"/>
      <c r="CM56" s="1872"/>
      <c r="CN56" s="1872"/>
      <c r="CO56" s="1872"/>
      <c r="CP56" s="1872"/>
      <c r="CQ56" s="1872"/>
      <c r="CR56" s="1872"/>
      <c r="CS56" s="1872"/>
      <c r="CT56" s="1872"/>
      <c r="CU56" s="1872"/>
      <c r="CV56" s="1872"/>
      <c r="CW56" s="3677"/>
      <c r="CX56" s="1910"/>
      <c r="CY56" s="1910"/>
      <c r="CZ56" s="1910"/>
      <c r="DA56" s="1910"/>
      <c r="DB56" s="1910"/>
      <c r="DC56" s="1910"/>
      <c r="DD56" s="1910"/>
      <c r="DE56" s="1910"/>
      <c r="DF56" s="1911"/>
    </row>
    <row r="57" spans="1:110" s="1962" customFormat="1" ht="22.5" customHeight="1">
      <c r="A57" s="1926"/>
      <c r="B57" s="1910"/>
      <c r="C57" s="1764" t="s">
        <v>118</v>
      </c>
      <c r="D57" s="1941" t="s">
        <v>1421</v>
      </c>
      <c r="E57" s="1934" t="s">
        <v>218</v>
      </c>
      <c r="F57" s="1933" t="str">
        <f t="shared" si="16"/>
        <v>Гкал/час</v>
      </c>
      <c r="G57" s="1872"/>
      <c r="H57" s="1872"/>
      <c r="I57" s="1872"/>
      <c r="J57" s="1872"/>
      <c r="K57" s="1872"/>
      <c r="L57" s="1872"/>
      <c r="M57" s="1872"/>
      <c r="N57" s="1872"/>
      <c r="O57" s="1872"/>
      <c r="P57" s="1872"/>
      <c r="Q57" s="1872"/>
      <c r="R57" s="1872"/>
      <c r="S57" s="1872"/>
      <c r="T57" s="1872"/>
      <c r="U57" s="1872"/>
      <c r="V57" s="1872"/>
      <c r="W57" s="1872"/>
      <c r="X57" s="1872"/>
      <c r="Y57" s="1872"/>
      <c r="Z57" s="1872"/>
      <c r="AA57" s="1872"/>
      <c r="AB57" s="1872"/>
      <c r="AC57" s="1872"/>
      <c r="AD57" s="1872"/>
      <c r="AE57" s="1872"/>
      <c r="AF57" s="1872"/>
      <c r="AG57" s="1872"/>
      <c r="AH57" s="1872"/>
      <c r="AI57" s="1872"/>
      <c r="AJ57" s="1872"/>
      <c r="AK57" s="1872"/>
      <c r="AL57" s="1872"/>
      <c r="AM57" s="1872"/>
      <c r="AN57" s="1872"/>
      <c r="AO57" s="1872"/>
      <c r="AP57" s="1872"/>
      <c r="AQ57" s="1872"/>
      <c r="AR57" s="1872">
        <v>0.61799999999999999</v>
      </c>
      <c r="AS57" s="1872"/>
      <c r="AT57" s="1872"/>
      <c r="AU57" s="1872"/>
      <c r="AV57" s="1872"/>
      <c r="AW57" s="1872"/>
      <c r="AX57" s="1872"/>
      <c r="AY57" s="1872"/>
      <c r="AZ57" s="1872"/>
      <c r="BA57" s="1872"/>
      <c r="BB57" s="1872"/>
      <c r="BC57" s="1872"/>
      <c r="BD57" s="1872"/>
      <c r="BE57" s="1872"/>
      <c r="BF57" s="1872"/>
      <c r="BG57" s="1872"/>
      <c r="BH57" s="1872"/>
      <c r="BI57" s="1872"/>
      <c r="BJ57" s="1872"/>
      <c r="BK57" s="1872"/>
      <c r="BL57" s="1872"/>
      <c r="BM57" s="1872"/>
      <c r="BN57" s="1872"/>
      <c r="BO57" s="1872"/>
      <c r="BP57" s="1872"/>
      <c r="BQ57" s="1872"/>
      <c r="BR57" s="1872"/>
      <c r="BS57" s="1872"/>
      <c r="BT57" s="1872"/>
      <c r="BU57" s="1872"/>
      <c r="BV57" s="1872"/>
      <c r="BW57" s="1872"/>
      <c r="BX57" s="1872"/>
      <c r="BY57" s="1872"/>
      <c r="BZ57" s="1872"/>
      <c r="CA57" s="1872"/>
      <c r="CB57" s="1872"/>
      <c r="CC57" s="1872"/>
      <c r="CD57" s="1872"/>
      <c r="CE57" s="1872"/>
      <c r="CF57" s="1872"/>
      <c r="CG57" s="1872"/>
      <c r="CH57" s="1872"/>
      <c r="CI57" s="1872"/>
      <c r="CJ57" s="1872"/>
      <c r="CK57" s="1872"/>
      <c r="CL57" s="1872"/>
      <c r="CM57" s="1872"/>
      <c r="CN57" s="1872"/>
      <c r="CO57" s="1872"/>
      <c r="CP57" s="1872"/>
      <c r="CQ57" s="1872"/>
      <c r="CR57" s="1872"/>
      <c r="CS57" s="1872"/>
      <c r="CT57" s="1872"/>
      <c r="CU57" s="1872"/>
      <c r="CV57" s="1872"/>
      <c r="CW57" s="3677"/>
      <c r="CX57" s="1910"/>
      <c r="CY57" s="1910"/>
      <c r="CZ57" s="1910"/>
      <c r="DA57" s="1910"/>
      <c r="DB57" s="1910"/>
      <c r="DC57" s="1910"/>
      <c r="DD57" s="1910"/>
      <c r="DE57" s="1910"/>
      <c r="DF57" s="1911"/>
    </row>
    <row r="58" spans="1:110" s="1962" customFormat="1" ht="22.5" customHeight="1">
      <c r="A58" s="1926"/>
      <c r="B58" s="1910"/>
      <c r="C58" s="1764" t="s">
        <v>118</v>
      </c>
      <c r="D58" s="1941" t="s">
        <v>1422</v>
      </c>
      <c r="E58" s="1934" t="s">
        <v>221</v>
      </c>
      <c r="F58" s="1933" t="str">
        <f t="shared" si="16"/>
        <v>Гкал/час</v>
      </c>
      <c r="G58" s="1872"/>
      <c r="H58" s="1872"/>
      <c r="I58" s="1872"/>
      <c r="J58" s="1872"/>
      <c r="K58" s="1872"/>
      <c r="L58" s="1872"/>
      <c r="M58" s="1872"/>
      <c r="N58" s="1872"/>
      <c r="O58" s="1872"/>
      <c r="P58" s="1872"/>
      <c r="Q58" s="1872"/>
      <c r="R58" s="1872"/>
      <c r="S58" s="1872"/>
      <c r="T58" s="1872"/>
      <c r="U58" s="1872"/>
      <c r="V58" s="1872"/>
      <c r="W58" s="1872"/>
      <c r="X58" s="1872"/>
      <c r="Y58" s="1872"/>
      <c r="Z58" s="1872"/>
      <c r="AA58" s="1872"/>
      <c r="AB58" s="1872"/>
      <c r="AC58" s="1872"/>
      <c r="AD58" s="1872"/>
      <c r="AE58" s="1872"/>
      <c r="AF58" s="1872"/>
      <c r="AG58" s="1872"/>
      <c r="AH58" s="1872"/>
      <c r="AI58" s="1872"/>
      <c r="AJ58" s="1872"/>
      <c r="AK58" s="1872"/>
      <c r="AL58" s="1872"/>
      <c r="AM58" s="1872"/>
      <c r="AN58" s="1872"/>
      <c r="AO58" s="1872"/>
      <c r="AP58" s="1872"/>
      <c r="AQ58" s="1872"/>
      <c r="AR58" s="1872"/>
      <c r="AS58" s="1872">
        <v>4.7E-2</v>
      </c>
      <c r="AT58" s="1872"/>
      <c r="AU58" s="1872"/>
      <c r="AV58" s="1872"/>
      <c r="AW58" s="1872"/>
      <c r="AX58" s="1872"/>
      <c r="AY58" s="1872"/>
      <c r="AZ58" s="1872"/>
      <c r="BA58" s="1872"/>
      <c r="BB58" s="1872"/>
      <c r="BC58" s="1872"/>
      <c r="BD58" s="1872"/>
      <c r="BE58" s="1872"/>
      <c r="BF58" s="1872"/>
      <c r="BG58" s="1872"/>
      <c r="BH58" s="1872"/>
      <c r="BI58" s="1872"/>
      <c r="BJ58" s="1872"/>
      <c r="BK58" s="1872"/>
      <c r="BL58" s="1872"/>
      <c r="BM58" s="1872"/>
      <c r="BN58" s="1872"/>
      <c r="BO58" s="1872"/>
      <c r="BP58" s="1872"/>
      <c r="BQ58" s="1872"/>
      <c r="BR58" s="1872"/>
      <c r="BS58" s="1872"/>
      <c r="BT58" s="1872"/>
      <c r="BU58" s="1872"/>
      <c r="BV58" s="1872"/>
      <c r="BW58" s="1872"/>
      <c r="BX58" s="1872"/>
      <c r="BY58" s="1872"/>
      <c r="BZ58" s="1872"/>
      <c r="CA58" s="1872"/>
      <c r="CB58" s="1872"/>
      <c r="CC58" s="1872"/>
      <c r="CD58" s="1872"/>
      <c r="CE58" s="1872"/>
      <c r="CF58" s="1872"/>
      <c r="CG58" s="1872"/>
      <c r="CH58" s="1872"/>
      <c r="CI58" s="1872"/>
      <c r="CJ58" s="1872"/>
      <c r="CK58" s="1872"/>
      <c r="CL58" s="1872"/>
      <c r="CM58" s="1872"/>
      <c r="CN58" s="1872"/>
      <c r="CO58" s="1872"/>
      <c r="CP58" s="1872"/>
      <c r="CQ58" s="1872"/>
      <c r="CR58" s="1872"/>
      <c r="CS58" s="1872"/>
      <c r="CT58" s="1872"/>
      <c r="CU58" s="1872"/>
      <c r="CV58" s="1872"/>
      <c r="CW58" s="3677"/>
      <c r="CX58" s="1910"/>
      <c r="CY58" s="1910"/>
      <c r="CZ58" s="1910"/>
      <c r="DA58" s="1910"/>
      <c r="DB58" s="1910"/>
      <c r="DC58" s="1910"/>
      <c r="DD58" s="1910"/>
      <c r="DE58" s="1910"/>
      <c r="DF58" s="1911"/>
    </row>
    <row r="59" spans="1:110" s="1962" customFormat="1" ht="22.5" customHeight="1">
      <c r="A59" s="1926"/>
      <c r="B59" s="1910"/>
      <c r="C59" s="1764" t="s">
        <v>118</v>
      </c>
      <c r="D59" s="1941" t="s">
        <v>1423</v>
      </c>
      <c r="E59" s="1934" t="s">
        <v>223</v>
      </c>
      <c r="F59" s="1933" t="str">
        <f t="shared" si="16"/>
        <v>Гкал/час</v>
      </c>
      <c r="G59" s="1872"/>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c r="AM59" s="1872"/>
      <c r="AN59" s="1872"/>
      <c r="AO59" s="1872"/>
      <c r="AP59" s="1872"/>
      <c r="AQ59" s="1872"/>
      <c r="AR59" s="1872"/>
      <c r="AS59" s="1872"/>
      <c r="AT59" s="1872">
        <v>0.253</v>
      </c>
      <c r="AU59" s="1872"/>
      <c r="AV59" s="1872"/>
      <c r="AW59" s="1872"/>
      <c r="AX59" s="1872"/>
      <c r="AY59" s="1872"/>
      <c r="AZ59" s="1872"/>
      <c r="BA59" s="1872"/>
      <c r="BB59" s="1872"/>
      <c r="BC59" s="1872"/>
      <c r="BD59" s="1872"/>
      <c r="BE59" s="1872"/>
      <c r="BF59" s="1872"/>
      <c r="BG59" s="1872"/>
      <c r="BH59" s="1872"/>
      <c r="BI59" s="1872"/>
      <c r="BJ59" s="1872"/>
      <c r="BK59" s="1872"/>
      <c r="BL59" s="1872"/>
      <c r="BM59" s="1872"/>
      <c r="BN59" s="1872"/>
      <c r="BO59" s="1872"/>
      <c r="BP59" s="1872"/>
      <c r="BQ59" s="1872"/>
      <c r="BR59" s="1872"/>
      <c r="BS59" s="1872"/>
      <c r="BT59" s="1872"/>
      <c r="BU59" s="1872"/>
      <c r="BV59" s="1872"/>
      <c r="BW59" s="1872"/>
      <c r="BX59" s="1872"/>
      <c r="BY59" s="1872"/>
      <c r="BZ59" s="1872"/>
      <c r="CA59" s="1872"/>
      <c r="CB59" s="1872"/>
      <c r="CC59" s="1872"/>
      <c r="CD59" s="1872"/>
      <c r="CE59" s="1872"/>
      <c r="CF59" s="1872"/>
      <c r="CG59" s="1872"/>
      <c r="CH59" s="1872"/>
      <c r="CI59" s="1872"/>
      <c r="CJ59" s="1872"/>
      <c r="CK59" s="1872"/>
      <c r="CL59" s="1872"/>
      <c r="CM59" s="1872"/>
      <c r="CN59" s="1872"/>
      <c r="CO59" s="1872"/>
      <c r="CP59" s="1872"/>
      <c r="CQ59" s="1872"/>
      <c r="CR59" s="1872"/>
      <c r="CS59" s="1872"/>
      <c r="CT59" s="1872"/>
      <c r="CU59" s="1872"/>
      <c r="CV59" s="1872"/>
      <c r="CW59" s="3677"/>
      <c r="CX59" s="1910"/>
      <c r="CY59" s="1910"/>
      <c r="CZ59" s="1910"/>
      <c r="DA59" s="1910"/>
      <c r="DB59" s="1910"/>
      <c r="DC59" s="1910"/>
      <c r="DD59" s="1910"/>
      <c r="DE59" s="1910"/>
      <c r="DF59" s="1911"/>
    </row>
    <row r="60" spans="1:110" s="1962" customFormat="1" ht="22.5" customHeight="1">
      <c r="A60" s="1926"/>
      <c r="B60" s="1910"/>
      <c r="C60" s="1764" t="s">
        <v>118</v>
      </c>
      <c r="D60" s="1941" t="s">
        <v>1424</v>
      </c>
      <c r="E60" s="1934" t="s">
        <v>226</v>
      </c>
      <c r="F60" s="1933" t="str">
        <f t="shared" si="16"/>
        <v>Гкал/час</v>
      </c>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c r="AM60" s="1872"/>
      <c r="AN60" s="1872"/>
      <c r="AO60" s="1872"/>
      <c r="AP60" s="1872"/>
      <c r="AQ60" s="1872"/>
      <c r="AR60" s="1872"/>
      <c r="AS60" s="1872"/>
      <c r="AT60" s="1872"/>
      <c r="AU60" s="1872">
        <v>0</v>
      </c>
      <c r="AV60" s="1872"/>
      <c r="AW60" s="1872"/>
      <c r="AX60" s="1872"/>
      <c r="AY60" s="1872"/>
      <c r="AZ60" s="1872"/>
      <c r="BA60" s="1872"/>
      <c r="BB60" s="1872"/>
      <c r="BC60" s="1872"/>
      <c r="BD60" s="1872"/>
      <c r="BE60" s="1872"/>
      <c r="BF60" s="1872"/>
      <c r="BG60" s="1872"/>
      <c r="BH60" s="1872"/>
      <c r="BI60" s="1872"/>
      <c r="BJ60" s="1872"/>
      <c r="BK60" s="1872"/>
      <c r="BL60" s="1872"/>
      <c r="BM60" s="1872"/>
      <c r="BN60" s="1872"/>
      <c r="BO60" s="1872"/>
      <c r="BP60" s="1872"/>
      <c r="BQ60" s="1872"/>
      <c r="BR60" s="1872"/>
      <c r="BS60" s="1872"/>
      <c r="BT60" s="1872"/>
      <c r="BU60" s="1872"/>
      <c r="BV60" s="1872"/>
      <c r="BW60" s="1872"/>
      <c r="BX60" s="1872"/>
      <c r="BY60" s="1872"/>
      <c r="BZ60" s="1872"/>
      <c r="CA60" s="1872"/>
      <c r="CB60" s="1872"/>
      <c r="CC60" s="1872"/>
      <c r="CD60" s="1872"/>
      <c r="CE60" s="1872"/>
      <c r="CF60" s="1872"/>
      <c r="CG60" s="1872"/>
      <c r="CH60" s="1872"/>
      <c r="CI60" s="1872"/>
      <c r="CJ60" s="1872"/>
      <c r="CK60" s="1872"/>
      <c r="CL60" s="1872"/>
      <c r="CM60" s="1872"/>
      <c r="CN60" s="1872"/>
      <c r="CO60" s="1872"/>
      <c r="CP60" s="1872"/>
      <c r="CQ60" s="1872"/>
      <c r="CR60" s="1872"/>
      <c r="CS60" s="1872"/>
      <c r="CT60" s="1872"/>
      <c r="CU60" s="1872"/>
      <c r="CV60" s="1872"/>
      <c r="CW60" s="3677"/>
      <c r="CX60" s="1910"/>
      <c r="CY60" s="1910"/>
      <c r="CZ60" s="1910"/>
      <c r="DA60" s="1910"/>
      <c r="DB60" s="1910"/>
      <c r="DC60" s="1910"/>
      <c r="DD60" s="1910"/>
      <c r="DE60" s="1910"/>
      <c r="DF60" s="1911"/>
    </row>
    <row r="61" spans="1:110" s="1962" customFormat="1" ht="22.5" customHeight="1">
      <c r="A61" s="1926"/>
      <c r="B61" s="1910"/>
      <c r="C61" s="1764" t="s">
        <v>118</v>
      </c>
      <c r="D61" s="1941" t="s">
        <v>1425</v>
      </c>
      <c r="E61" s="1934" t="s">
        <v>229</v>
      </c>
      <c r="F61" s="1933" t="str">
        <f t="shared" si="16"/>
        <v>Гкал/час</v>
      </c>
      <c r="G61" s="1872"/>
      <c r="H61" s="1872"/>
      <c r="I61" s="1872"/>
      <c r="J61" s="1872"/>
      <c r="K61" s="1872"/>
      <c r="L61" s="1872"/>
      <c r="M61" s="1872"/>
      <c r="N61" s="1872"/>
      <c r="O61" s="1872"/>
      <c r="P61" s="1872"/>
      <c r="Q61" s="1872"/>
      <c r="R61" s="1872"/>
      <c r="S61" s="1872"/>
      <c r="T61" s="1872"/>
      <c r="U61" s="1872"/>
      <c r="V61" s="1872"/>
      <c r="W61" s="1872"/>
      <c r="X61" s="1872"/>
      <c r="Y61" s="1872"/>
      <c r="Z61" s="1872"/>
      <c r="AA61" s="1872"/>
      <c r="AB61" s="1872"/>
      <c r="AC61" s="1872"/>
      <c r="AD61" s="1872"/>
      <c r="AE61" s="1872"/>
      <c r="AF61" s="1872"/>
      <c r="AG61" s="1872"/>
      <c r="AH61" s="1872"/>
      <c r="AI61" s="1872"/>
      <c r="AJ61" s="1872"/>
      <c r="AK61" s="1872"/>
      <c r="AL61" s="1872"/>
      <c r="AM61" s="1872"/>
      <c r="AN61" s="1872"/>
      <c r="AO61" s="1872"/>
      <c r="AP61" s="1872"/>
      <c r="AQ61" s="1872"/>
      <c r="AR61" s="1872"/>
      <c r="AS61" s="1872"/>
      <c r="AT61" s="1872"/>
      <c r="AU61" s="1872"/>
      <c r="AV61" s="1872">
        <v>0.35699999999999998</v>
      </c>
      <c r="AW61" s="1872"/>
      <c r="AX61" s="1872"/>
      <c r="AY61" s="1872"/>
      <c r="AZ61" s="1872"/>
      <c r="BA61" s="1872"/>
      <c r="BB61" s="1872"/>
      <c r="BC61" s="1872"/>
      <c r="BD61" s="1872"/>
      <c r="BE61" s="1872"/>
      <c r="BF61" s="1872"/>
      <c r="BG61" s="1872"/>
      <c r="BH61" s="1872"/>
      <c r="BI61" s="1872"/>
      <c r="BJ61" s="1872"/>
      <c r="BK61" s="1872"/>
      <c r="BL61" s="1872"/>
      <c r="BM61" s="1872"/>
      <c r="BN61" s="1872"/>
      <c r="BO61" s="1872"/>
      <c r="BP61" s="1872"/>
      <c r="BQ61" s="1872"/>
      <c r="BR61" s="1872"/>
      <c r="BS61" s="1872"/>
      <c r="BT61" s="1872"/>
      <c r="BU61" s="1872"/>
      <c r="BV61" s="1872"/>
      <c r="BW61" s="1872"/>
      <c r="BX61" s="1872"/>
      <c r="BY61" s="1872"/>
      <c r="BZ61" s="1872"/>
      <c r="CA61" s="1872"/>
      <c r="CB61" s="1872"/>
      <c r="CC61" s="1872"/>
      <c r="CD61" s="1872"/>
      <c r="CE61" s="1872"/>
      <c r="CF61" s="1872"/>
      <c r="CG61" s="1872"/>
      <c r="CH61" s="1872"/>
      <c r="CI61" s="1872"/>
      <c r="CJ61" s="1872"/>
      <c r="CK61" s="1872"/>
      <c r="CL61" s="1872"/>
      <c r="CM61" s="1872"/>
      <c r="CN61" s="1872"/>
      <c r="CO61" s="1872"/>
      <c r="CP61" s="1872"/>
      <c r="CQ61" s="1872"/>
      <c r="CR61" s="1872"/>
      <c r="CS61" s="1872"/>
      <c r="CT61" s="1872"/>
      <c r="CU61" s="1872"/>
      <c r="CV61" s="1872"/>
      <c r="CW61" s="3677"/>
      <c r="CX61" s="1910"/>
      <c r="CY61" s="1910"/>
      <c r="CZ61" s="1910"/>
      <c r="DA61" s="1910"/>
      <c r="DB61" s="1910"/>
      <c r="DC61" s="1910"/>
      <c r="DD61" s="1910"/>
      <c r="DE61" s="1910"/>
      <c r="DF61" s="1911"/>
    </row>
    <row r="62" spans="1:110" s="1962" customFormat="1" ht="22.5" customHeight="1">
      <c r="A62" s="1926"/>
      <c r="B62" s="1910"/>
      <c r="C62" s="1764" t="s">
        <v>118</v>
      </c>
      <c r="D62" s="1941" t="s">
        <v>1426</v>
      </c>
      <c r="E62" s="1934" t="s">
        <v>232</v>
      </c>
      <c r="F62" s="1933" t="str">
        <f t="shared" si="16"/>
        <v>Гкал/час</v>
      </c>
      <c r="G62" s="1872"/>
      <c r="H62" s="1872"/>
      <c r="I62" s="1872"/>
      <c r="J62" s="1872"/>
      <c r="K62" s="1872"/>
      <c r="L62" s="1872"/>
      <c r="M62" s="1872"/>
      <c r="N62" s="1872"/>
      <c r="O62" s="1872"/>
      <c r="P62" s="1872"/>
      <c r="Q62" s="1872"/>
      <c r="R62" s="1872"/>
      <c r="S62" s="1872"/>
      <c r="T62" s="1872"/>
      <c r="U62" s="1872"/>
      <c r="V62" s="1872"/>
      <c r="W62" s="1872"/>
      <c r="X62" s="1872"/>
      <c r="Y62" s="1872"/>
      <c r="Z62" s="1872"/>
      <c r="AA62" s="1872"/>
      <c r="AB62" s="1872"/>
      <c r="AC62" s="1872"/>
      <c r="AD62" s="1872"/>
      <c r="AE62" s="1872"/>
      <c r="AF62" s="1872"/>
      <c r="AG62" s="1872"/>
      <c r="AH62" s="1872"/>
      <c r="AI62" s="1872"/>
      <c r="AJ62" s="1872"/>
      <c r="AK62" s="1872"/>
      <c r="AL62" s="1872"/>
      <c r="AM62" s="1872"/>
      <c r="AN62" s="1872"/>
      <c r="AO62" s="1872"/>
      <c r="AP62" s="1872"/>
      <c r="AQ62" s="1872"/>
      <c r="AR62" s="1872"/>
      <c r="AS62" s="1872"/>
      <c r="AT62" s="1872"/>
      <c r="AU62" s="1872"/>
      <c r="AV62" s="1872"/>
      <c r="AW62" s="1872">
        <v>0</v>
      </c>
      <c r="AX62" s="1872"/>
      <c r="AY62" s="1872"/>
      <c r="AZ62" s="1872"/>
      <c r="BA62" s="1872"/>
      <c r="BB62" s="1872"/>
      <c r="BC62" s="1872"/>
      <c r="BD62" s="1872"/>
      <c r="BE62" s="1872"/>
      <c r="BF62" s="1872"/>
      <c r="BG62" s="1872"/>
      <c r="BH62" s="1872"/>
      <c r="BI62" s="1872"/>
      <c r="BJ62" s="1872"/>
      <c r="BK62" s="1872"/>
      <c r="BL62" s="1872"/>
      <c r="BM62" s="1872"/>
      <c r="BN62" s="1872"/>
      <c r="BO62" s="1872"/>
      <c r="BP62" s="1872"/>
      <c r="BQ62" s="1872"/>
      <c r="BR62" s="1872"/>
      <c r="BS62" s="1872"/>
      <c r="BT62" s="1872"/>
      <c r="BU62" s="1872"/>
      <c r="BV62" s="1872"/>
      <c r="BW62" s="1872"/>
      <c r="BX62" s="1872"/>
      <c r="BY62" s="1872"/>
      <c r="BZ62" s="1872"/>
      <c r="CA62" s="1872"/>
      <c r="CB62" s="1872"/>
      <c r="CC62" s="1872"/>
      <c r="CD62" s="1872"/>
      <c r="CE62" s="1872"/>
      <c r="CF62" s="1872"/>
      <c r="CG62" s="1872"/>
      <c r="CH62" s="1872"/>
      <c r="CI62" s="1872"/>
      <c r="CJ62" s="1872"/>
      <c r="CK62" s="1872"/>
      <c r="CL62" s="1872"/>
      <c r="CM62" s="1872"/>
      <c r="CN62" s="1872"/>
      <c r="CO62" s="1872"/>
      <c r="CP62" s="1872"/>
      <c r="CQ62" s="1872"/>
      <c r="CR62" s="1872"/>
      <c r="CS62" s="1872"/>
      <c r="CT62" s="1872"/>
      <c r="CU62" s="1872"/>
      <c r="CV62" s="1872"/>
      <c r="CW62" s="3677"/>
      <c r="CX62" s="1910"/>
      <c r="CY62" s="1910"/>
      <c r="CZ62" s="1910"/>
      <c r="DA62" s="1910"/>
      <c r="DB62" s="1910"/>
      <c r="DC62" s="1910"/>
      <c r="DD62" s="1910"/>
      <c r="DE62" s="1910"/>
      <c r="DF62" s="1911"/>
    </row>
    <row r="63" spans="1:110" s="1962" customFormat="1" ht="22.5" customHeight="1">
      <c r="A63" s="1926"/>
      <c r="B63" s="1910"/>
      <c r="C63" s="1764" t="s">
        <v>118</v>
      </c>
      <c r="D63" s="1941" t="s">
        <v>1427</v>
      </c>
      <c r="E63" s="1934" t="s">
        <v>235</v>
      </c>
      <c r="F63" s="1933" t="str">
        <f t="shared" si="16"/>
        <v>Гкал/час</v>
      </c>
      <c r="G63" s="1872"/>
      <c r="H63" s="1872"/>
      <c r="I63" s="1872"/>
      <c r="J63" s="1872"/>
      <c r="K63" s="1872"/>
      <c r="L63" s="1872"/>
      <c r="M63" s="1872"/>
      <c r="N63" s="1872"/>
      <c r="O63" s="1872"/>
      <c r="P63" s="1872"/>
      <c r="Q63" s="1872"/>
      <c r="R63" s="1872"/>
      <c r="S63" s="1872"/>
      <c r="T63" s="1872"/>
      <c r="U63" s="1872"/>
      <c r="V63" s="1872"/>
      <c r="W63" s="1872"/>
      <c r="X63" s="1872"/>
      <c r="Y63" s="1872"/>
      <c r="Z63" s="1872"/>
      <c r="AA63" s="1872"/>
      <c r="AB63" s="1872"/>
      <c r="AC63" s="1872"/>
      <c r="AD63" s="1872"/>
      <c r="AE63" s="1872"/>
      <c r="AF63" s="1872"/>
      <c r="AG63" s="1872"/>
      <c r="AH63" s="1872"/>
      <c r="AI63" s="1872"/>
      <c r="AJ63" s="1872"/>
      <c r="AK63" s="1872"/>
      <c r="AL63" s="1872"/>
      <c r="AM63" s="1872"/>
      <c r="AN63" s="1872"/>
      <c r="AO63" s="1872"/>
      <c r="AP63" s="1872"/>
      <c r="AQ63" s="1872"/>
      <c r="AR63" s="1872"/>
      <c r="AS63" s="1872"/>
      <c r="AT63" s="1872"/>
      <c r="AU63" s="1872"/>
      <c r="AV63" s="1872"/>
      <c r="AW63" s="1872"/>
      <c r="AX63" s="1872">
        <v>0.23100000000000001</v>
      </c>
      <c r="AY63" s="1872"/>
      <c r="AZ63" s="1872"/>
      <c r="BA63" s="1872"/>
      <c r="BB63" s="1872"/>
      <c r="BC63" s="1872"/>
      <c r="BD63" s="1872"/>
      <c r="BE63" s="1872"/>
      <c r="BF63" s="1872"/>
      <c r="BG63" s="1872"/>
      <c r="BH63" s="1872"/>
      <c r="BI63" s="1872"/>
      <c r="BJ63" s="1872"/>
      <c r="BK63" s="1872"/>
      <c r="BL63" s="1872"/>
      <c r="BM63" s="1872"/>
      <c r="BN63" s="1872"/>
      <c r="BO63" s="1872"/>
      <c r="BP63" s="1872"/>
      <c r="BQ63" s="1872"/>
      <c r="BR63" s="1872"/>
      <c r="BS63" s="1872"/>
      <c r="BT63" s="1872"/>
      <c r="BU63" s="1872"/>
      <c r="BV63" s="1872"/>
      <c r="BW63" s="1872"/>
      <c r="BX63" s="1872"/>
      <c r="BY63" s="1872"/>
      <c r="BZ63" s="1872"/>
      <c r="CA63" s="1872"/>
      <c r="CB63" s="1872"/>
      <c r="CC63" s="1872"/>
      <c r="CD63" s="1872"/>
      <c r="CE63" s="1872"/>
      <c r="CF63" s="1872"/>
      <c r="CG63" s="1872"/>
      <c r="CH63" s="1872"/>
      <c r="CI63" s="1872"/>
      <c r="CJ63" s="1872"/>
      <c r="CK63" s="1872"/>
      <c r="CL63" s="1872"/>
      <c r="CM63" s="1872"/>
      <c r="CN63" s="1872"/>
      <c r="CO63" s="1872"/>
      <c r="CP63" s="1872"/>
      <c r="CQ63" s="1872"/>
      <c r="CR63" s="1872"/>
      <c r="CS63" s="1872"/>
      <c r="CT63" s="1872"/>
      <c r="CU63" s="1872"/>
      <c r="CV63" s="1872"/>
      <c r="CW63" s="3677"/>
      <c r="CX63" s="1910"/>
      <c r="CY63" s="1910"/>
      <c r="CZ63" s="1910"/>
      <c r="DA63" s="1910"/>
      <c r="DB63" s="1910"/>
      <c r="DC63" s="1910"/>
      <c r="DD63" s="1910"/>
      <c r="DE63" s="1910"/>
      <c r="DF63" s="1911"/>
    </row>
    <row r="64" spans="1:110" s="1962" customFormat="1" ht="22.5" customHeight="1">
      <c r="A64" s="1926"/>
      <c r="B64" s="1910"/>
      <c r="C64" s="1764" t="s">
        <v>118</v>
      </c>
      <c r="D64" s="1941" t="s">
        <v>1428</v>
      </c>
      <c r="E64" s="1934" t="s">
        <v>238</v>
      </c>
      <c r="F64" s="1933" t="str">
        <f t="shared" si="16"/>
        <v>Гкал/час</v>
      </c>
      <c r="G64" s="1872"/>
      <c r="H64" s="1872"/>
      <c r="I64" s="1872"/>
      <c r="J64" s="1872"/>
      <c r="K64" s="1872"/>
      <c r="L64" s="1872"/>
      <c r="M64" s="1872"/>
      <c r="N64" s="1872"/>
      <c r="O64" s="1872"/>
      <c r="P64" s="1872"/>
      <c r="Q64" s="1872"/>
      <c r="R64" s="1872"/>
      <c r="S64" s="1872"/>
      <c r="T64" s="1872"/>
      <c r="U64" s="1872"/>
      <c r="V64" s="1872"/>
      <c r="W64" s="1872"/>
      <c r="X64" s="1872"/>
      <c r="Y64" s="1872"/>
      <c r="Z64" s="1872"/>
      <c r="AA64" s="1872"/>
      <c r="AB64" s="1872"/>
      <c r="AC64" s="1872"/>
      <c r="AD64" s="1872"/>
      <c r="AE64" s="1872"/>
      <c r="AF64" s="1872"/>
      <c r="AG64" s="1872"/>
      <c r="AH64" s="1872"/>
      <c r="AI64" s="1872"/>
      <c r="AJ64" s="1872"/>
      <c r="AK64" s="1872"/>
      <c r="AL64" s="1872"/>
      <c r="AM64" s="1872"/>
      <c r="AN64" s="1872"/>
      <c r="AO64" s="1872"/>
      <c r="AP64" s="1872"/>
      <c r="AQ64" s="1872"/>
      <c r="AR64" s="1872"/>
      <c r="AS64" s="1872"/>
      <c r="AT64" s="1872"/>
      <c r="AU64" s="1872"/>
      <c r="AV64" s="1872"/>
      <c r="AW64" s="1872"/>
      <c r="AX64" s="1872"/>
      <c r="AY64" s="1872">
        <v>1.534</v>
      </c>
      <c r="AZ64" s="1872"/>
      <c r="BA64" s="1872"/>
      <c r="BB64" s="1872"/>
      <c r="BC64" s="1872"/>
      <c r="BD64" s="1872"/>
      <c r="BE64" s="1872"/>
      <c r="BF64" s="1872"/>
      <c r="BG64" s="1872"/>
      <c r="BH64" s="1872"/>
      <c r="BI64" s="1872"/>
      <c r="BJ64" s="1872"/>
      <c r="BK64" s="1872"/>
      <c r="BL64" s="1872"/>
      <c r="BM64" s="1872"/>
      <c r="BN64" s="1872"/>
      <c r="BO64" s="1872"/>
      <c r="BP64" s="1872"/>
      <c r="BQ64" s="1872"/>
      <c r="BR64" s="1872"/>
      <c r="BS64" s="1872"/>
      <c r="BT64" s="1872"/>
      <c r="BU64" s="1872"/>
      <c r="BV64" s="1872"/>
      <c r="BW64" s="1872"/>
      <c r="BX64" s="1872"/>
      <c r="BY64" s="1872"/>
      <c r="BZ64" s="1872"/>
      <c r="CA64" s="1872"/>
      <c r="CB64" s="1872"/>
      <c r="CC64" s="1872"/>
      <c r="CD64" s="1872"/>
      <c r="CE64" s="1872"/>
      <c r="CF64" s="1872"/>
      <c r="CG64" s="1872"/>
      <c r="CH64" s="1872"/>
      <c r="CI64" s="1872"/>
      <c r="CJ64" s="1872"/>
      <c r="CK64" s="1872"/>
      <c r="CL64" s="1872"/>
      <c r="CM64" s="1872"/>
      <c r="CN64" s="1872"/>
      <c r="CO64" s="1872"/>
      <c r="CP64" s="1872"/>
      <c r="CQ64" s="1872"/>
      <c r="CR64" s="1872"/>
      <c r="CS64" s="1872"/>
      <c r="CT64" s="1872"/>
      <c r="CU64" s="1872"/>
      <c r="CV64" s="1872"/>
      <c r="CW64" s="3677"/>
      <c r="CX64" s="1910"/>
      <c r="CY64" s="1910"/>
      <c r="CZ64" s="1910"/>
      <c r="DA64" s="1910"/>
      <c r="DB64" s="1910"/>
      <c r="DC64" s="1910"/>
      <c r="DD64" s="1910"/>
      <c r="DE64" s="1910"/>
      <c r="DF64" s="1911"/>
    </row>
    <row r="65" spans="1:110" s="1962" customFormat="1" ht="22.5" customHeight="1">
      <c r="A65" s="1926"/>
      <c r="B65" s="1910"/>
      <c r="C65" s="1764" t="s">
        <v>118</v>
      </c>
      <c r="D65" s="1941" t="s">
        <v>1429</v>
      </c>
      <c r="E65" s="1934" t="s">
        <v>241</v>
      </c>
      <c r="F65" s="1933" t="str">
        <f t="shared" si="16"/>
        <v>Гкал/час</v>
      </c>
      <c r="G65" s="1872"/>
      <c r="H65" s="1872"/>
      <c r="I65" s="1872"/>
      <c r="J65" s="1872"/>
      <c r="K65" s="1872"/>
      <c r="L65" s="1872"/>
      <c r="M65" s="1872"/>
      <c r="N65" s="1872"/>
      <c r="O65" s="1872"/>
      <c r="P65" s="1872"/>
      <c r="Q65" s="1872"/>
      <c r="R65" s="1872"/>
      <c r="S65" s="1872"/>
      <c r="T65" s="1872"/>
      <c r="U65" s="1872"/>
      <c r="V65" s="1872"/>
      <c r="W65" s="1872"/>
      <c r="X65" s="1872"/>
      <c r="Y65" s="1872"/>
      <c r="Z65" s="1872"/>
      <c r="AA65" s="1872"/>
      <c r="AB65" s="1872"/>
      <c r="AC65" s="1872"/>
      <c r="AD65" s="1872"/>
      <c r="AE65" s="1872"/>
      <c r="AF65" s="1872"/>
      <c r="AG65" s="1872"/>
      <c r="AH65" s="1872"/>
      <c r="AI65" s="1872"/>
      <c r="AJ65" s="1872"/>
      <c r="AK65" s="1872"/>
      <c r="AL65" s="1872"/>
      <c r="AM65" s="1872"/>
      <c r="AN65" s="1872"/>
      <c r="AO65" s="1872"/>
      <c r="AP65" s="1872"/>
      <c r="AQ65" s="1872"/>
      <c r="AR65" s="1872"/>
      <c r="AS65" s="1872"/>
      <c r="AT65" s="1872"/>
      <c r="AU65" s="1872"/>
      <c r="AV65" s="1872"/>
      <c r="AW65" s="1872"/>
      <c r="AX65" s="1872"/>
      <c r="AY65" s="1872"/>
      <c r="AZ65" s="1872">
        <v>0.157</v>
      </c>
      <c r="BA65" s="1872"/>
      <c r="BB65" s="1872"/>
      <c r="BC65" s="1872"/>
      <c r="BD65" s="1872"/>
      <c r="BE65" s="1872"/>
      <c r="BF65" s="1872"/>
      <c r="BG65" s="1872"/>
      <c r="BH65" s="1872"/>
      <c r="BI65" s="1872"/>
      <c r="BJ65" s="1872"/>
      <c r="BK65" s="1872"/>
      <c r="BL65" s="1872"/>
      <c r="BM65" s="1872"/>
      <c r="BN65" s="1872"/>
      <c r="BO65" s="1872"/>
      <c r="BP65" s="1872"/>
      <c r="BQ65" s="1872"/>
      <c r="BR65" s="1872"/>
      <c r="BS65" s="1872"/>
      <c r="BT65" s="1872"/>
      <c r="BU65" s="1872"/>
      <c r="BV65" s="1872"/>
      <c r="BW65" s="1872"/>
      <c r="BX65" s="1872"/>
      <c r="BY65" s="1872"/>
      <c r="BZ65" s="1872"/>
      <c r="CA65" s="1872"/>
      <c r="CB65" s="1872"/>
      <c r="CC65" s="1872"/>
      <c r="CD65" s="1872"/>
      <c r="CE65" s="1872"/>
      <c r="CF65" s="1872"/>
      <c r="CG65" s="1872"/>
      <c r="CH65" s="1872"/>
      <c r="CI65" s="1872"/>
      <c r="CJ65" s="1872"/>
      <c r="CK65" s="1872"/>
      <c r="CL65" s="1872"/>
      <c r="CM65" s="1872"/>
      <c r="CN65" s="1872"/>
      <c r="CO65" s="1872"/>
      <c r="CP65" s="1872"/>
      <c r="CQ65" s="1872"/>
      <c r="CR65" s="1872"/>
      <c r="CS65" s="1872"/>
      <c r="CT65" s="1872"/>
      <c r="CU65" s="1872"/>
      <c r="CV65" s="1872"/>
      <c r="CW65" s="3677"/>
      <c r="CX65" s="1910"/>
      <c r="CY65" s="1910"/>
      <c r="CZ65" s="1910"/>
      <c r="DA65" s="1910"/>
      <c r="DB65" s="1910"/>
      <c r="DC65" s="1910"/>
      <c r="DD65" s="1910"/>
      <c r="DE65" s="1910"/>
      <c r="DF65" s="1911"/>
    </row>
    <row r="66" spans="1:110" s="1962" customFormat="1" ht="22.5" customHeight="1">
      <c r="A66" s="1926"/>
      <c r="B66" s="1910"/>
      <c r="C66" s="1764" t="s">
        <v>118</v>
      </c>
      <c r="D66" s="1941" t="s">
        <v>1430</v>
      </c>
      <c r="E66" s="1934" t="s">
        <v>244</v>
      </c>
      <c r="F66" s="1933" t="str">
        <f t="shared" si="16"/>
        <v>Гкал/час</v>
      </c>
      <c r="G66" s="1872"/>
      <c r="H66" s="1872"/>
      <c r="I66" s="1872"/>
      <c r="J66" s="1872"/>
      <c r="K66" s="1872"/>
      <c r="L66" s="1872"/>
      <c r="M66" s="1872"/>
      <c r="N66" s="1872"/>
      <c r="O66" s="1872"/>
      <c r="P66" s="1872"/>
      <c r="Q66" s="1872"/>
      <c r="R66" s="1872"/>
      <c r="S66" s="1872"/>
      <c r="T66" s="1872"/>
      <c r="U66" s="1872"/>
      <c r="V66" s="1872"/>
      <c r="W66" s="1872"/>
      <c r="X66" s="1872"/>
      <c r="Y66" s="1872"/>
      <c r="Z66" s="1872"/>
      <c r="AA66" s="1872"/>
      <c r="AB66" s="1872"/>
      <c r="AC66" s="1872"/>
      <c r="AD66" s="1872"/>
      <c r="AE66" s="1872"/>
      <c r="AF66" s="1872"/>
      <c r="AG66" s="1872"/>
      <c r="AH66" s="1872"/>
      <c r="AI66" s="1872"/>
      <c r="AJ66" s="1872"/>
      <c r="AK66" s="1872"/>
      <c r="AL66" s="1872"/>
      <c r="AM66" s="1872"/>
      <c r="AN66" s="1872"/>
      <c r="AO66" s="1872"/>
      <c r="AP66" s="1872"/>
      <c r="AQ66" s="1872"/>
      <c r="AR66" s="1872"/>
      <c r="AS66" s="1872"/>
      <c r="AT66" s="1872"/>
      <c r="AU66" s="1872"/>
      <c r="AV66" s="1872"/>
      <c r="AW66" s="1872"/>
      <c r="AX66" s="1872"/>
      <c r="AY66" s="1872"/>
      <c r="AZ66" s="1872"/>
      <c r="BA66" s="1872">
        <v>0.434</v>
      </c>
      <c r="BB66" s="1872"/>
      <c r="BC66" s="1872"/>
      <c r="BD66" s="1872"/>
      <c r="BE66" s="1872"/>
      <c r="BF66" s="1872"/>
      <c r="BG66" s="1872"/>
      <c r="BH66" s="1872"/>
      <c r="BI66" s="1872"/>
      <c r="BJ66" s="1872"/>
      <c r="BK66" s="1872"/>
      <c r="BL66" s="1872"/>
      <c r="BM66" s="1872"/>
      <c r="BN66" s="1872"/>
      <c r="BO66" s="1872"/>
      <c r="BP66" s="1872"/>
      <c r="BQ66" s="1872"/>
      <c r="BR66" s="1872"/>
      <c r="BS66" s="1872"/>
      <c r="BT66" s="1872"/>
      <c r="BU66" s="1872"/>
      <c r="BV66" s="1872"/>
      <c r="BW66" s="1872"/>
      <c r="BX66" s="1872"/>
      <c r="BY66" s="1872"/>
      <c r="BZ66" s="1872"/>
      <c r="CA66" s="1872"/>
      <c r="CB66" s="1872"/>
      <c r="CC66" s="1872"/>
      <c r="CD66" s="1872"/>
      <c r="CE66" s="1872"/>
      <c r="CF66" s="1872"/>
      <c r="CG66" s="1872"/>
      <c r="CH66" s="1872"/>
      <c r="CI66" s="1872"/>
      <c r="CJ66" s="1872"/>
      <c r="CK66" s="1872"/>
      <c r="CL66" s="1872"/>
      <c r="CM66" s="1872"/>
      <c r="CN66" s="1872"/>
      <c r="CO66" s="1872"/>
      <c r="CP66" s="1872"/>
      <c r="CQ66" s="1872"/>
      <c r="CR66" s="1872"/>
      <c r="CS66" s="1872"/>
      <c r="CT66" s="1872"/>
      <c r="CU66" s="1872"/>
      <c r="CV66" s="1872"/>
      <c r="CW66" s="3677"/>
      <c r="CX66" s="1910"/>
      <c r="CY66" s="1910"/>
      <c r="CZ66" s="1910"/>
      <c r="DA66" s="1910"/>
      <c r="DB66" s="1910"/>
      <c r="DC66" s="1910"/>
      <c r="DD66" s="1910"/>
      <c r="DE66" s="1910"/>
      <c r="DF66" s="1911"/>
    </row>
    <row r="67" spans="1:110" s="1962" customFormat="1" ht="22.5" customHeight="1">
      <c r="A67" s="1926"/>
      <c r="B67" s="1910"/>
      <c r="C67" s="1764" t="s">
        <v>118</v>
      </c>
      <c r="D67" s="1941" t="s">
        <v>1431</v>
      </c>
      <c r="E67" s="1934" t="s">
        <v>247</v>
      </c>
      <c r="F67" s="1933" t="str">
        <f t="shared" si="16"/>
        <v>Гкал/час</v>
      </c>
      <c r="G67" s="1872"/>
      <c r="H67" s="1872"/>
      <c r="I67" s="1872"/>
      <c r="J67" s="1872"/>
      <c r="K67" s="1872"/>
      <c r="L67" s="1872"/>
      <c r="M67" s="1872"/>
      <c r="N67" s="1872"/>
      <c r="O67" s="1872"/>
      <c r="P67" s="1872"/>
      <c r="Q67" s="1872"/>
      <c r="R67" s="1872"/>
      <c r="S67" s="1872"/>
      <c r="T67" s="1872"/>
      <c r="U67" s="1872"/>
      <c r="V67" s="1872"/>
      <c r="W67" s="1872"/>
      <c r="X67" s="1872"/>
      <c r="Y67" s="1872"/>
      <c r="Z67" s="1872"/>
      <c r="AA67" s="1872"/>
      <c r="AB67" s="1872"/>
      <c r="AC67" s="1872"/>
      <c r="AD67" s="1872"/>
      <c r="AE67" s="1872"/>
      <c r="AF67" s="1872"/>
      <c r="AG67" s="1872"/>
      <c r="AH67" s="1872"/>
      <c r="AI67" s="1872"/>
      <c r="AJ67" s="1872"/>
      <c r="AK67" s="1872"/>
      <c r="AL67" s="1872"/>
      <c r="AM67" s="1872"/>
      <c r="AN67" s="1872"/>
      <c r="AO67" s="1872"/>
      <c r="AP67" s="1872"/>
      <c r="AQ67" s="1872"/>
      <c r="AR67" s="1872"/>
      <c r="AS67" s="1872"/>
      <c r="AT67" s="1872"/>
      <c r="AU67" s="1872"/>
      <c r="AV67" s="1872"/>
      <c r="AW67" s="1872"/>
      <c r="AX67" s="1872"/>
      <c r="AY67" s="1872"/>
      <c r="AZ67" s="1872"/>
      <c r="BA67" s="1872"/>
      <c r="BB67" s="1872">
        <v>0.26800000000000002</v>
      </c>
      <c r="BC67" s="1872"/>
      <c r="BD67" s="1872"/>
      <c r="BE67" s="1872"/>
      <c r="BF67" s="1872"/>
      <c r="BG67" s="1872"/>
      <c r="BH67" s="1872"/>
      <c r="BI67" s="1872"/>
      <c r="BJ67" s="1872"/>
      <c r="BK67" s="1872"/>
      <c r="BL67" s="1872"/>
      <c r="BM67" s="1872"/>
      <c r="BN67" s="1872"/>
      <c r="BO67" s="1872"/>
      <c r="BP67" s="1872"/>
      <c r="BQ67" s="1872"/>
      <c r="BR67" s="1872"/>
      <c r="BS67" s="1872"/>
      <c r="BT67" s="1872"/>
      <c r="BU67" s="1872"/>
      <c r="BV67" s="1872"/>
      <c r="BW67" s="1872"/>
      <c r="BX67" s="1872"/>
      <c r="BY67" s="1872"/>
      <c r="BZ67" s="1872"/>
      <c r="CA67" s="1872"/>
      <c r="CB67" s="1872"/>
      <c r="CC67" s="1872"/>
      <c r="CD67" s="1872"/>
      <c r="CE67" s="1872"/>
      <c r="CF67" s="1872"/>
      <c r="CG67" s="1872"/>
      <c r="CH67" s="1872"/>
      <c r="CI67" s="1872"/>
      <c r="CJ67" s="1872"/>
      <c r="CK67" s="1872"/>
      <c r="CL67" s="1872"/>
      <c r="CM67" s="1872"/>
      <c r="CN67" s="1872"/>
      <c r="CO67" s="1872"/>
      <c r="CP67" s="1872"/>
      <c r="CQ67" s="1872"/>
      <c r="CR67" s="1872"/>
      <c r="CS67" s="1872"/>
      <c r="CT67" s="1872"/>
      <c r="CU67" s="1872"/>
      <c r="CV67" s="1872"/>
      <c r="CW67" s="3677"/>
      <c r="CX67" s="1910"/>
      <c r="CY67" s="1910"/>
      <c r="CZ67" s="1910"/>
      <c r="DA67" s="1910"/>
      <c r="DB67" s="1910"/>
      <c r="DC67" s="1910"/>
      <c r="DD67" s="1910"/>
      <c r="DE67" s="1910"/>
      <c r="DF67" s="1911"/>
    </row>
    <row r="68" spans="1:110" s="1962" customFormat="1" ht="22.5" customHeight="1">
      <c r="A68" s="1926"/>
      <c r="B68" s="1910"/>
      <c r="C68" s="1764" t="s">
        <v>118</v>
      </c>
      <c r="D68" s="1941" t="s">
        <v>1432</v>
      </c>
      <c r="E68" s="1934" t="s">
        <v>250</v>
      </c>
      <c r="F68" s="1933" t="str">
        <f t="shared" si="16"/>
        <v>Гкал/час</v>
      </c>
      <c r="G68" s="1872"/>
      <c r="H68" s="1872"/>
      <c r="I68" s="1872"/>
      <c r="J68" s="1872"/>
      <c r="K68" s="1872"/>
      <c r="L68" s="1872"/>
      <c r="M68" s="1872"/>
      <c r="N68" s="1872"/>
      <c r="O68" s="1872"/>
      <c r="P68" s="1872"/>
      <c r="Q68" s="1872"/>
      <c r="R68" s="1872"/>
      <c r="S68" s="1872"/>
      <c r="T68" s="1872"/>
      <c r="U68" s="1872"/>
      <c r="V68" s="1872"/>
      <c r="W68" s="1872"/>
      <c r="X68" s="1872"/>
      <c r="Y68" s="1872"/>
      <c r="Z68" s="1872"/>
      <c r="AA68" s="1872"/>
      <c r="AB68" s="1872"/>
      <c r="AC68" s="1872"/>
      <c r="AD68" s="1872"/>
      <c r="AE68" s="1872"/>
      <c r="AF68" s="1872"/>
      <c r="AG68" s="1872"/>
      <c r="AH68" s="1872"/>
      <c r="AI68" s="1872"/>
      <c r="AJ68" s="1872"/>
      <c r="AK68" s="1872"/>
      <c r="AL68" s="1872"/>
      <c r="AM68" s="1872"/>
      <c r="AN68" s="1872"/>
      <c r="AO68" s="1872"/>
      <c r="AP68" s="1872"/>
      <c r="AQ68" s="1872"/>
      <c r="AR68" s="1872"/>
      <c r="AS68" s="1872"/>
      <c r="AT68" s="1872"/>
      <c r="AU68" s="1872"/>
      <c r="AV68" s="1872"/>
      <c r="AW68" s="1872"/>
      <c r="AX68" s="1872"/>
      <c r="AY68" s="1872"/>
      <c r="AZ68" s="1872"/>
      <c r="BA68" s="1872"/>
      <c r="BB68" s="1872"/>
      <c r="BC68" s="1872">
        <v>0.28199999999999997</v>
      </c>
      <c r="BD68" s="1872"/>
      <c r="BE68" s="1872"/>
      <c r="BF68" s="1872"/>
      <c r="BG68" s="1872"/>
      <c r="BH68" s="1872"/>
      <c r="BI68" s="1872"/>
      <c r="BJ68" s="1872"/>
      <c r="BK68" s="1872"/>
      <c r="BL68" s="1872"/>
      <c r="BM68" s="1872"/>
      <c r="BN68" s="1872"/>
      <c r="BO68" s="1872"/>
      <c r="BP68" s="1872"/>
      <c r="BQ68" s="1872"/>
      <c r="BR68" s="1872"/>
      <c r="BS68" s="1872"/>
      <c r="BT68" s="1872"/>
      <c r="BU68" s="1872"/>
      <c r="BV68" s="1872"/>
      <c r="BW68" s="1872"/>
      <c r="BX68" s="1872"/>
      <c r="BY68" s="1872"/>
      <c r="BZ68" s="1872"/>
      <c r="CA68" s="1872"/>
      <c r="CB68" s="1872"/>
      <c r="CC68" s="1872"/>
      <c r="CD68" s="1872"/>
      <c r="CE68" s="1872"/>
      <c r="CF68" s="1872"/>
      <c r="CG68" s="1872"/>
      <c r="CH68" s="1872"/>
      <c r="CI68" s="1872"/>
      <c r="CJ68" s="1872"/>
      <c r="CK68" s="1872"/>
      <c r="CL68" s="1872"/>
      <c r="CM68" s="1872"/>
      <c r="CN68" s="1872"/>
      <c r="CO68" s="1872"/>
      <c r="CP68" s="1872"/>
      <c r="CQ68" s="1872"/>
      <c r="CR68" s="1872"/>
      <c r="CS68" s="1872"/>
      <c r="CT68" s="1872"/>
      <c r="CU68" s="1872"/>
      <c r="CV68" s="1872"/>
      <c r="CW68" s="3677"/>
      <c r="CX68" s="1910"/>
      <c r="CY68" s="1910"/>
      <c r="CZ68" s="1910"/>
      <c r="DA68" s="1910"/>
      <c r="DB68" s="1910"/>
      <c r="DC68" s="1910"/>
      <c r="DD68" s="1910"/>
      <c r="DE68" s="1910"/>
      <c r="DF68" s="1911"/>
    </row>
    <row r="69" spans="1:110" s="1962" customFormat="1" ht="22.5" customHeight="1">
      <c r="A69" s="1926"/>
      <c r="B69" s="1910"/>
      <c r="C69" s="1764" t="s">
        <v>118</v>
      </c>
      <c r="D69" s="1941" t="s">
        <v>1433</v>
      </c>
      <c r="E69" s="1934" t="s">
        <v>253</v>
      </c>
      <c r="F69" s="1933" t="str">
        <f t="shared" si="16"/>
        <v>Гкал/час</v>
      </c>
      <c r="G69" s="1872"/>
      <c r="H69" s="1872"/>
      <c r="I69" s="1872"/>
      <c r="J69" s="1872"/>
      <c r="K69" s="1872"/>
      <c r="L69" s="1872"/>
      <c r="M69" s="1872"/>
      <c r="N69" s="1872"/>
      <c r="O69" s="1872"/>
      <c r="P69" s="1872"/>
      <c r="Q69" s="1872"/>
      <c r="R69" s="1872"/>
      <c r="S69" s="1872"/>
      <c r="T69" s="1872"/>
      <c r="U69" s="1872"/>
      <c r="V69" s="1872"/>
      <c r="W69" s="1872"/>
      <c r="X69" s="1872"/>
      <c r="Y69" s="1872"/>
      <c r="Z69" s="1872"/>
      <c r="AA69" s="1872"/>
      <c r="AB69" s="1872"/>
      <c r="AC69" s="1872"/>
      <c r="AD69" s="1872"/>
      <c r="AE69" s="1872"/>
      <c r="AF69" s="1872"/>
      <c r="AG69" s="1872"/>
      <c r="AH69" s="1872"/>
      <c r="AI69" s="1872"/>
      <c r="AJ69" s="1872"/>
      <c r="AK69" s="1872"/>
      <c r="AL69" s="1872"/>
      <c r="AM69" s="1872"/>
      <c r="AN69" s="1872"/>
      <c r="AO69" s="1872"/>
      <c r="AP69" s="1872"/>
      <c r="AQ69" s="1872"/>
      <c r="AR69" s="1872"/>
      <c r="AS69" s="1872"/>
      <c r="AT69" s="1872"/>
      <c r="AU69" s="1872"/>
      <c r="AV69" s="1872"/>
      <c r="AW69" s="1872"/>
      <c r="AX69" s="1872"/>
      <c r="AY69" s="1872"/>
      <c r="AZ69" s="1872"/>
      <c r="BA69" s="1872"/>
      <c r="BB69" s="1872"/>
      <c r="BC69" s="1872"/>
      <c r="BD69" s="1872">
        <v>0.56299999999999994</v>
      </c>
      <c r="BE69" s="1872"/>
      <c r="BF69" s="1872"/>
      <c r="BG69" s="1872"/>
      <c r="BH69" s="1872"/>
      <c r="BI69" s="1872"/>
      <c r="BJ69" s="1872"/>
      <c r="BK69" s="1872"/>
      <c r="BL69" s="1872"/>
      <c r="BM69" s="1872"/>
      <c r="BN69" s="1872"/>
      <c r="BO69" s="1872"/>
      <c r="BP69" s="1872"/>
      <c r="BQ69" s="1872"/>
      <c r="BR69" s="1872"/>
      <c r="BS69" s="1872"/>
      <c r="BT69" s="1872"/>
      <c r="BU69" s="1872"/>
      <c r="BV69" s="1872"/>
      <c r="BW69" s="1872"/>
      <c r="BX69" s="1872"/>
      <c r="BY69" s="1872"/>
      <c r="BZ69" s="1872"/>
      <c r="CA69" s="1872"/>
      <c r="CB69" s="1872"/>
      <c r="CC69" s="1872"/>
      <c r="CD69" s="1872"/>
      <c r="CE69" s="1872"/>
      <c r="CF69" s="1872"/>
      <c r="CG69" s="1872"/>
      <c r="CH69" s="1872"/>
      <c r="CI69" s="1872"/>
      <c r="CJ69" s="1872"/>
      <c r="CK69" s="1872"/>
      <c r="CL69" s="1872"/>
      <c r="CM69" s="1872"/>
      <c r="CN69" s="1872"/>
      <c r="CO69" s="1872"/>
      <c r="CP69" s="1872"/>
      <c r="CQ69" s="1872"/>
      <c r="CR69" s="1872"/>
      <c r="CS69" s="1872"/>
      <c r="CT69" s="1872"/>
      <c r="CU69" s="1872"/>
      <c r="CV69" s="1872"/>
      <c r="CW69" s="3677"/>
      <c r="CX69" s="1910"/>
      <c r="CY69" s="1910"/>
      <c r="CZ69" s="1910"/>
      <c r="DA69" s="1910"/>
      <c r="DB69" s="1910"/>
      <c r="DC69" s="1910"/>
      <c r="DD69" s="1910"/>
      <c r="DE69" s="1910"/>
      <c r="DF69" s="1911"/>
    </row>
    <row r="70" spans="1:110" s="1962" customFormat="1" ht="22.5" customHeight="1">
      <c r="A70" s="1926"/>
      <c r="B70" s="1910"/>
      <c r="C70" s="1764" t="s">
        <v>118</v>
      </c>
      <c r="D70" s="1941" t="s">
        <v>1434</v>
      </c>
      <c r="E70" s="1934" t="s">
        <v>256</v>
      </c>
      <c r="F70" s="1933" t="str">
        <f t="shared" si="16"/>
        <v>Гкал/час</v>
      </c>
      <c r="G70" s="1872"/>
      <c r="H70" s="1872"/>
      <c r="I70" s="1872"/>
      <c r="J70" s="1872"/>
      <c r="K70" s="1872"/>
      <c r="L70" s="1872"/>
      <c r="M70" s="1872"/>
      <c r="N70" s="1872"/>
      <c r="O70" s="1872"/>
      <c r="P70" s="1872"/>
      <c r="Q70" s="1872"/>
      <c r="R70" s="1872"/>
      <c r="S70" s="1872"/>
      <c r="T70" s="1872"/>
      <c r="U70" s="1872"/>
      <c r="V70" s="1872"/>
      <c r="W70" s="1872"/>
      <c r="X70" s="1872"/>
      <c r="Y70" s="1872"/>
      <c r="Z70" s="1872"/>
      <c r="AA70" s="1872"/>
      <c r="AB70" s="1872"/>
      <c r="AC70" s="1872"/>
      <c r="AD70" s="1872"/>
      <c r="AE70" s="1872"/>
      <c r="AF70" s="1872"/>
      <c r="AG70" s="1872"/>
      <c r="AH70" s="1872"/>
      <c r="AI70" s="1872"/>
      <c r="AJ70" s="1872"/>
      <c r="AK70" s="1872"/>
      <c r="AL70" s="1872"/>
      <c r="AM70" s="1872"/>
      <c r="AN70" s="1872"/>
      <c r="AO70" s="1872"/>
      <c r="AP70" s="1872"/>
      <c r="AQ70" s="1872"/>
      <c r="AR70" s="1872"/>
      <c r="AS70" s="1872"/>
      <c r="AT70" s="1872"/>
      <c r="AU70" s="1872"/>
      <c r="AV70" s="1872"/>
      <c r="AW70" s="1872"/>
      <c r="AX70" s="1872"/>
      <c r="AY70" s="1872"/>
      <c r="AZ70" s="1872"/>
      <c r="BA70" s="1872"/>
      <c r="BB70" s="1872"/>
      <c r="BC70" s="1872"/>
      <c r="BD70" s="1872"/>
      <c r="BE70" s="1872">
        <v>0</v>
      </c>
      <c r="BF70" s="1872"/>
      <c r="BG70" s="1872"/>
      <c r="BH70" s="1872"/>
      <c r="BI70" s="1872"/>
      <c r="BJ70" s="1872"/>
      <c r="BK70" s="1872"/>
      <c r="BL70" s="1872"/>
      <c r="BM70" s="1872"/>
      <c r="BN70" s="1872"/>
      <c r="BO70" s="1872"/>
      <c r="BP70" s="1872"/>
      <c r="BQ70" s="1872"/>
      <c r="BR70" s="1872"/>
      <c r="BS70" s="1872"/>
      <c r="BT70" s="1872"/>
      <c r="BU70" s="1872"/>
      <c r="BV70" s="1872"/>
      <c r="BW70" s="1872"/>
      <c r="BX70" s="1872"/>
      <c r="BY70" s="1872"/>
      <c r="BZ70" s="1872"/>
      <c r="CA70" s="1872"/>
      <c r="CB70" s="1872"/>
      <c r="CC70" s="1872"/>
      <c r="CD70" s="1872"/>
      <c r="CE70" s="1872"/>
      <c r="CF70" s="1872"/>
      <c r="CG70" s="1872"/>
      <c r="CH70" s="1872"/>
      <c r="CI70" s="1872"/>
      <c r="CJ70" s="1872"/>
      <c r="CK70" s="1872"/>
      <c r="CL70" s="1872"/>
      <c r="CM70" s="1872"/>
      <c r="CN70" s="1872"/>
      <c r="CO70" s="1872"/>
      <c r="CP70" s="1872"/>
      <c r="CQ70" s="1872"/>
      <c r="CR70" s="1872"/>
      <c r="CS70" s="1872"/>
      <c r="CT70" s="1872"/>
      <c r="CU70" s="1872"/>
      <c r="CV70" s="1872"/>
      <c r="CW70" s="3677"/>
      <c r="CX70" s="1910"/>
      <c r="CY70" s="1910"/>
      <c r="CZ70" s="1910"/>
      <c r="DA70" s="1910"/>
      <c r="DB70" s="1910"/>
      <c r="DC70" s="1910"/>
      <c r="DD70" s="1910"/>
      <c r="DE70" s="1910"/>
      <c r="DF70" s="1911"/>
    </row>
    <row r="71" spans="1:110" s="1962" customFormat="1" ht="22.5" customHeight="1">
      <c r="A71" s="1926"/>
      <c r="B71" s="1910"/>
      <c r="C71" s="1764" t="s">
        <v>118</v>
      </c>
      <c r="D71" s="1941" t="s">
        <v>1435</v>
      </c>
      <c r="E71" s="1934" t="s">
        <v>259</v>
      </c>
      <c r="F71" s="1933" t="str">
        <f t="shared" si="16"/>
        <v>Гкал/час</v>
      </c>
      <c r="G71" s="1872"/>
      <c r="H71" s="1872"/>
      <c r="I71" s="1872"/>
      <c r="J71" s="1872"/>
      <c r="K71" s="1872"/>
      <c r="L71" s="1872"/>
      <c r="M71" s="1872"/>
      <c r="N71" s="1872"/>
      <c r="O71" s="1872"/>
      <c r="P71" s="1872"/>
      <c r="Q71" s="1872"/>
      <c r="R71" s="1872"/>
      <c r="S71" s="1872"/>
      <c r="T71" s="1872"/>
      <c r="U71" s="1872"/>
      <c r="V71" s="1872"/>
      <c r="W71" s="1872"/>
      <c r="X71" s="1872"/>
      <c r="Y71" s="1872"/>
      <c r="Z71" s="1872"/>
      <c r="AA71" s="1872"/>
      <c r="AB71" s="1872"/>
      <c r="AC71" s="1872"/>
      <c r="AD71" s="1872"/>
      <c r="AE71" s="1872"/>
      <c r="AF71" s="1872"/>
      <c r="AG71" s="1872"/>
      <c r="AH71" s="1872"/>
      <c r="AI71" s="1872"/>
      <c r="AJ71" s="1872"/>
      <c r="AK71" s="1872"/>
      <c r="AL71" s="1872"/>
      <c r="AM71" s="1872"/>
      <c r="AN71" s="1872"/>
      <c r="AO71" s="1872"/>
      <c r="AP71" s="1872"/>
      <c r="AQ71" s="1872"/>
      <c r="AR71" s="1872"/>
      <c r="AS71" s="1872"/>
      <c r="AT71" s="1872"/>
      <c r="AU71" s="1872"/>
      <c r="AV71" s="1872"/>
      <c r="AW71" s="1872"/>
      <c r="AX71" s="1872"/>
      <c r="AY71" s="1872"/>
      <c r="AZ71" s="1872"/>
      <c r="BA71" s="1872"/>
      <c r="BB71" s="1872"/>
      <c r="BC71" s="1872"/>
      <c r="BD71" s="1872"/>
      <c r="BE71" s="1872"/>
      <c r="BF71" s="1872">
        <v>0.56699999999999995</v>
      </c>
      <c r="BG71" s="1872"/>
      <c r="BH71" s="1872"/>
      <c r="BI71" s="1872"/>
      <c r="BJ71" s="1872"/>
      <c r="BK71" s="1872"/>
      <c r="BL71" s="1872"/>
      <c r="BM71" s="1872"/>
      <c r="BN71" s="1872"/>
      <c r="BO71" s="1872"/>
      <c r="BP71" s="1872"/>
      <c r="BQ71" s="1872"/>
      <c r="BR71" s="1872"/>
      <c r="BS71" s="1872"/>
      <c r="BT71" s="1872"/>
      <c r="BU71" s="1872"/>
      <c r="BV71" s="1872"/>
      <c r="BW71" s="1872"/>
      <c r="BX71" s="1872"/>
      <c r="BY71" s="1872"/>
      <c r="BZ71" s="1872"/>
      <c r="CA71" s="1872"/>
      <c r="CB71" s="1872"/>
      <c r="CC71" s="1872"/>
      <c r="CD71" s="1872"/>
      <c r="CE71" s="1872"/>
      <c r="CF71" s="1872"/>
      <c r="CG71" s="1872"/>
      <c r="CH71" s="1872"/>
      <c r="CI71" s="1872"/>
      <c r="CJ71" s="1872"/>
      <c r="CK71" s="1872"/>
      <c r="CL71" s="1872"/>
      <c r="CM71" s="1872"/>
      <c r="CN71" s="1872"/>
      <c r="CO71" s="1872"/>
      <c r="CP71" s="1872"/>
      <c r="CQ71" s="1872"/>
      <c r="CR71" s="1872"/>
      <c r="CS71" s="1872"/>
      <c r="CT71" s="1872"/>
      <c r="CU71" s="1872"/>
      <c r="CV71" s="1872"/>
      <c r="CW71" s="3677"/>
      <c r="CX71" s="1910"/>
      <c r="CY71" s="1910"/>
      <c r="CZ71" s="1910"/>
      <c r="DA71" s="1910"/>
      <c r="DB71" s="1910"/>
      <c r="DC71" s="1910"/>
      <c r="DD71" s="1910"/>
      <c r="DE71" s="1910"/>
      <c r="DF71" s="1911"/>
    </row>
    <row r="72" spans="1:110" s="1962" customFormat="1" ht="22.5" customHeight="1">
      <c r="A72" s="1926"/>
      <c r="B72" s="1910"/>
      <c r="C72" s="1764" t="s">
        <v>118</v>
      </c>
      <c r="D72" s="1941" t="s">
        <v>1436</v>
      </c>
      <c r="E72" s="1934" t="s">
        <v>262</v>
      </c>
      <c r="F72" s="1933" t="str">
        <f t="shared" si="16"/>
        <v>Гкал/час</v>
      </c>
      <c r="G72" s="1872"/>
      <c r="H72" s="1872"/>
      <c r="I72" s="1872"/>
      <c r="J72" s="1872"/>
      <c r="K72" s="1872"/>
      <c r="L72" s="1872"/>
      <c r="M72" s="1872"/>
      <c r="N72" s="1872"/>
      <c r="O72" s="1872"/>
      <c r="P72" s="1872"/>
      <c r="Q72" s="1872"/>
      <c r="R72" s="1872"/>
      <c r="S72" s="1872"/>
      <c r="T72" s="1872"/>
      <c r="U72" s="1872"/>
      <c r="V72" s="1872"/>
      <c r="W72" s="1872"/>
      <c r="X72" s="1872"/>
      <c r="Y72" s="1872"/>
      <c r="Z72" s="1872"/>
      <c r="AA72" s="1872"/>
      <c r="AB72" s="1872"/>
      <c r="AC72" s="1872"/>
      <c r="AD72" s="1872"/>
      <c r="AE72" s="1872"/>
      <c r="AF72" s="1872"/>
      <c r="AG72" s="1872"/>
      <c r="AH72" s="1872"/>
      <c r="AI72" s="1872"/>
      <c r="AJ72" s="1872"/>
      <c r="AK72" s="1872"/>
      <c r="AL72" s="1872"/>
      <c r="AM72" s="1872"/>
      <c r="AN72" s="1872"/>
      <c r="AO72" s="1872"/>
      <c r="AP72" s="1872"/>
      <c r="AQ72" s="1872"/>
      <c r="AR72" s="1872"/>
      <c r="AS72" s="1872"/>
      <c r="AT72" s="1872"/>
      <c r="AU72" s="1872"/>
      <c r="AV72" s="1872"/>
      <c r="AW72" s="1872"/>
      <c r="AX72" s="1872"/>
      <c r="AY72" s="1872"/>
      <c r="AZ72" s="1872"/>
      <c r="BA72" s="1872"/>
      <c r="BB72" s="1872"/>
      <c r="BC72" s="1872"/>
      <c r="BD72" s="1872"/>
      <c r="BE72" s="1872"/>
      <c r="BF72" s="1872"/>
      <c r="BG72" s="1872">
        <v>0.45900000000000002</v>
      </c>
      <c r="BH72" s="1872"/>
      <c r="BI72" s="1872"/>
      <c r="BJ72" s="1872"/>
      <c r="BK72" s="1872"/>
      <c r="BL72" s="1872"/>
      <c r="BM72" s="1872"/>
      <c r="BN72" s="1872"/>
      <c r="BO72" s="1872"/>
      <c r="BP72" s="1872"/>
      <c r="BQ72" s="1872"/>
      <c r="BR72" s="1872"/>
      <c r="BS72" s="1872"/>
      <c r="BT72" s="1872"/>
      <c r="BU72" s="1872"/>
      <c r="BV72" s="1872"/>
      <c r="BW72" s="1872"/>
      <c r="BX72" s="1872"/>
      <c r="BY72" s="1872"/>
      <c r="BZ72" s="1872"/>
      <c r="CA72" s="1872"/>
      <c r="CB72" s="1872"/>
      <c r="CC72" s="1872"/>
      <c r="CD72" s="1872"/>
      <c r="CE72" s="1872"/>
      <c r="CF72" s="1872"/>
      <c r="CG72" s="1872"/>
      <c r="CH72" s="1872"/>
      <c r="CI72" s="1872"/>
      <c r="CJ72" s="1872"/>
      <c r="CK72" s="1872"/>
      <c r="CL72" s="1872"/>
      <c r="CM72" s="1872"/>
      <c r="CN72" s="1872"/>
      <c r="CO72" s="1872"/>
      <c r="CP72" s="1872"/>
      <c r="CQ72" s="1872"/>
      <c r="CR72" s="1872"/>
      <c r="CS72" s="1872"/>
      <c r="CT72" s="1872"/>
      <c r="CU72" s="1872"/>
      <c r="CV72" s="1872"/>
      <c r="CW72" s="3677"/>
      <c r="CX72" s="1910"/>
      <c r="CY72" s="1910"/>
      <c r="CZ72" s="1910"/>
      <c r="DA72" s="1910"/>
      <c r="DB72" s="1910"/>
      <c r="DC72" s="1910"/>
      <c r="DD72" s="1910"/>
      <c r="DE72" s="1910"/>
      <c r="DF72" s="1911"/>
    </row>
    <row r="73" spans="1:110" s="1962" customFormat="1" ht="22.5" customHeight="1">
      <c r="A73" s="1926"/>
      <c r="B73" s="1910"/>
      <c r="C73" s="1764" t="s">
        <v>118</v>
      </c>
      <c r="D73" s="1941" t="s">
        <v>1437</v>
      </c>
      <c r="E73" s="1934" t="s">
        <v>265</v>
      </c>
      <c r="F73" s="1933" t="str">
        <f t="shared" si="16"/>
        <v>Гкал/час</v>
      </c>
      <c r="G73" s="1872"/>
      <c r="H73" s="1872"/>
      <c r="I73" s="1872"/>
      <c r="J73" s="1872"/>
      <c r="K73" s="1872"/>
      <c r="L73" s="1872"/>
      <c r="M73" s="1872"/>
      <c r="N73" s="1872"/>
      <c r="O73" s="1872"/>
      <c r="P73" s="1872"/>
      <c r="Q73" s="1872"/>
      <c r="R73" s="1872"/>
      <c r="S73" s="1872"/>
      <c r="T73" s="1872"/>
      <c r="U73" s="1872"/>
      <c r="V73" s="1872"/>
      <c r="W73" s="1872"/>
      <c r="X73" s="1872"/>
      <c r="Y73" s="1872"/>
      <c r="Z73" s="1872"/>
      <c r="AA73" s="1872"/>
      <c r="AB73" s="1872"/>
      <c r="AC73" s="1872"/>
      <c r="AD73" s="1872"/>
      <c r="AE73" s="1872"/>
      <c r="AF73" s="1872"/>
      <c r="AG73" s="1872"/>
      <c r="AH73" s="1872"/>
      <c r="AI73" s="1872"/>
      <c r="AJ73" s="1872"/>
      <c r="AK73" s="1872"/>
      <c r="AL73" s="1872"/>
      <c r="AM73" s="1872"/>
      <c r="AN73" s="1872"/>
      <c r="AO73" s="1872"/>
      <c r="AP73" s="1872"/>
      <c r="AQ73" s="1872"/>
      <c r="AR73" s="1872"/>
      <c r="AS73" s="1872"/>
      <c r="AT73" s="1872"/>
      <c r="AU73" s="1872"/>
      <c r="AV73" s="1872"/>
      <c r="AW73" s="1872"/>
      <c r="AX73" s="1872"/>
      <c r="AY73" s="1872"/>
      <c r="AZ73" s="1872"/>
      <c r="BA73" s="1872"/>
      <c r="BB73" s="1872"/>
      <c r="BC73" s="1872"/>
      <c r="BD73" s="1872"/>
      <c r="BE73" s="1872"/>
      <c r="BF73" s="1872"/>
      <c r="BG73" s="1872"/>
      <c r="BH73" s="1872">
        <v>1.1399999999999999</v>
      </c>
      <c r="BI73" s="1872"/>
      <c r="BJ73" s="1872"/>
      <c r="BK73" s="1872"/>
      <c r="BL73" s="1872"/>
      <c r="BM73" s="1872"/>
      <c r="BN73" s="1872"/>
      <c r="BO73" s="1872"/>
      <c r="BP73" s="1872"/>
      <c r="BQ73" s="1872"/>
      <c r="BR73" s="1872"/>
      <c r="BS73" s="1872"/>
      <c r="BT73" s="1872"/>
      <c r="BU73" s="1872"/>
      <c r="BV73" s="1872"/>
      <c r="BW73" s="1872"/>
      <c r="BX73" s="1872"/>
      <c r="BY73" s="1872"/>
      <c r="BZ73" s="1872"/>
      <c r="CA73" s="1872"/>
      <c r="CB73" s="1872"/>
      <c r="CC73" s="1872"/>
      <c r="CD73" s="1872"/>
      <c r="CE73" s="1872"/>
      <c r="CF73" s="1872"/>
      <c r="CG73" s="1872"/>
      <c r="CH73" s="1872"/>
      <c r="CI73" s="1872"/>
      <c r="CJ73" s="1872"/>
      <c r="CK73" s="1872"/>
      <c r="CL73" s="1872"/>
      <c r="CM73" s="1872"/>
      <c r="CN73" s="1872"/>
      <c r="CO73" s="1872"/>
      <c r="CP73" s="1872"/>
      <c r="CQ73" s="1872"/>
      <c r="CR73" s="1872"/>
      <c r="CS73" s="1872"/>
      <c r="CT73" s="1872"/>
      <c r="CU73" s="1872"/>
      <c r="CV73" s="1872"/>
      <c r="CW73" s="3677"/>
      <c r="CX73" s="1910"/>
      <c r="CY73" s="1910"/>
      <c r="CZ73" s="1910"/>
      <c r="DA73" s="1910"/>
      <c r="DB73" s="1910"/>
      <c r="DC73" s="1910"/>
      <c r="DD73" s="1910"/>
      <c r="DE73" s="1910"/>
      <c r="DF73" s="1911"/>
    </row>
    <row r="74" spans="1:110" s="1962" customFormat="1" ht="22.5" customHeight="1">
      <c r="A74" s="1926"/>
      <c r="B74" s="1910"/>
      <c r="C74" s="1764" t="s">
        <v>118</v>
      </c>
      <c r="D74" s="1941" t="s">
        <v>1438</v>
      </c>
      <c r="E74" s="1934" t="s">
        <v>268</v>
      </c>
      <c r="F74" s="1933" t="str">
        <f t="shared" si="16"/>
        <v>Гкал/час</v>
      </c>
      <c r="G74" s="1872"/>
      <c r="H74" s="1872"/>
      <c r="I74" s="1872"/>
      <c r="J74" s="1872"/>
      <c r="K74" s="1872"/>
      <c r="L74" s="1872"/>
      <c r="M74" s="1872"/>
      <c r="N74" s="1872"/>
      <c r="O74" s="1872"/>
      <c r="P74" s="1872"/>
      <c r="Q74" s="1872"/>
      <c r="R74" s="1872"/>
      <c r="S74" s="1872"/>
      <c r="T74" s="1872"/>
      <c r="U74" s="1872"/>
      <c r="V74" s="1872"/>
      <c r="W74" s="1872"/>
      <c r="X74" s="1872"/>
      <c r="Y74" s="1872"/>
      <c r="Z74" s="1872"/>
      <c r="AA74" s="1872"/>
      <c r="AB74" s="1872"/>
      <c r="AC74" s="1872"/>
      <c r="AD74" s="1872"/>
      <c r="AE74" s="1872"/>
      <c r="AF74" s="1872"/>
      <c r="AG74" s="1872"/>
      <c r="AH74" s="1872"/>
      <c r="AI74" s="1872"/>
      <c r="AJ74" s="1872"/>
      <c r="AK74" s="1872"/>
      <c r="AL74" s="1872"/>
      <c r="AM74" s="1872"/>
      <c r="AN74" s="1872"/>
      <c r="AO74" s="1872"/>
      <c r="AP74" s="1872"/>
      <c r="AQ74" s="1872"/>
      <c r="AR74" s="1872"/>
      <c r="AS74" s="1872"/>
      <c r="AT74" s="1872"/>
      <c r="AU74" s="1872"/>
      <c r="AV74" s="1872"/>
      <c r="AW74" s="1872"/>
      <c r="AX74" s="1872"/>
      <c r="AY74" s="1872"/>
      <c r="AZ74" s="1872"/>
      <c r="BA74" s="1872"/>
      <c r="BB74" s="1872"/>
      <c r="BC74" s="1872"/>
      <c r="BD74" s="1872"/>
      <c r="BE74" s="1872"/>
      <c r="BF74" s="1872"/>
      <c r="BG74" s="1872"/>
      <c r="BH74" s="1872"/>
      <c r="BI74" s="1872">
        <v>0.38200000000000001</v>
      </c>
      <c r="BJ74" s="1872"/>
      <c r="BK74" s="1872"/>
      <c r="BL74" s="1872"/>
      <c r="BM74" s="1872"/>
      <c r="BN74" s="1872"/>
      <c r="BO74" s="1872"/>
      <c r="BP74" s="1872"/>
      <c r="BQ74" s="1872"/>
      <c r="BR74" s="1872"/>
      <c r="BS74" s="1872"/>
      <c r="BT74" s="1872"/>
      <c r="BU74" s="1872"/>
      <c r="BV74" s="1872"/>
      <c r="BW74" s="1872"/>
      <c r="BX74" s="1872"/>
      <c r="BY74" s="1872"/>
      <c r="BZ74" s="1872"/>
      <c r="CA74" s="1872"/>
      <c r="CB74" s="1872"/>
      <c r="CC74" s="1872"/>
      <c r="CD74" s="1872"/>
      <c r="CE74" s="1872"/>
      <c r="CF74" s="1872"/>
      <c r="CG74" s="1872"/>
      <c r="CH74" s="1872"/>
      <c r="CI74" s="1872"/>
      <c r="CJ74" s="1872"/>
      <c r="CK74" s="1872"/>
      <c r="CL74" s="1872"/>
      <c r="CM74" s="1872"/>
      <c r="CN74" s="1872"/>
      <c r="CO74" s="1872"/>
      <c r="CP74" s="1872"/>
      <c r="CQ74" s="1872"/>
      <c r="CR74" s="1872"/>
      <c r="CS74" s="1872"/>
      <c r="CT74" s="1872"/>
      <c r="CU74" s="1872"/>
      <c r="CV74" s="1872"/>
      <c r="CW74" s="3677"/>
      <c r="CX74" s="1910"/>
      <c r="CY74" s="1910"/>
      <c r="CZ74" s="1910"/>
      <c r="DA74" s="1910"/>
      <c r="DB74" s="1910"/>
      <c r="DC74" s="1910"/>
      <c r="DD74" s="1910"/>
      <c r="DE74" s="1910"/>
      <c r="DF74" s="1911"/>
    </row>
    <row r="75" spans="1:110" s="1962" customFormat="1" ht="22.5" customHeight="1">
      <c r="A75" s="1926"/>
      <c r="B75" s="1910"/>
      <c r="C75" s="1764" t="s">
        <v>118</v>
      </c>
      <c r="D75" s="1941" t="s">
        <v>1439</v>
      </c>
      <c r="E75" s="1934" t="s">
        <v>271</v>
      </c>
      <c r="F75" s="1933" t="str">
        <f t="shared" si="16"/>
        <v>Гкал/час</v>
      </c>
      <c r="G75" s="1872"/>
      <c r="H75" s="1872"/>
      <c r="I75" s="1872"/>
      <c r="J75" s="1872"/>
      <c r="K75" s="1872"/>
      <c r="L75" s="1872"/>
      <c r="M75" s="1872"/>
      <c r="N75" s="1872"/>
      <c r="O75" s="1872"/>
      <c r="P75" s="1872"/>
      <c r="Q75" s="1872"/>
      <c r="R75" s="1872"/>
      <c r="S75" s="1872"/>
      <c r="T75" s="1872"/>
      <c r="U75" s="1872"/>
      <c r="V75" s="1872"/>
      <c r="W75" s="1872"/>
      <c r="X75" s="1872"/>
      <c r="Y75" s="1872"/>
      <c r="Z75" s="1872"/>
      <c r="AA75" s="1872"/>
      <c r="AB75" s="1872"/>
      <c r="AC75" s="1872"/>
      <c r="AD75" s="1872"/>
      <c r="AE75" s="1872"/>
      <c r="AF75" s="1872"/>
      <c r="AG75" s="1872"/>
      <c r="AH75" s="1872"/>
      <c r="AI75" s="1872"/>
      <c r="AJ75" s="1872"/>
      <c r="AK75" s="1872"/>
      <c r="AL75" s="1872"/>
      <c r="AM75" s="1872"/>
      <c r="AN75" s="1872"/>
      <c r="AO75" s="1872"/>
      <c r="AP75" s="1872"/>
      <c r="AQ75" s="1872"/>
      <c r="AR75" s="1872"/>
      <c r="AS75" s="1872"/>
      <c r="AT75" s="1872"/>
      <c r="AU75" s="1872"/>
      <c r="AV75" s="1872"/>
      <c r="AW75" s="1872"/>
      <c r="AX75" s="1872"/>
      <c r="AY75" s="1872"/>
      <c r="AZ75" s="1872"/>
      <c r="BA75" s="1872"/>
      <c r="BB75" s="1872"/>
      <c r="BC75" s="1872"/>
      <c r="BD75" s="1872"/>
      <c r="BE75" s="1872"/>
      <c r="BF75" s="1872"/>
      <c r="BG75" s="1872"/>
      <c r="BH75" s="1872"/>
      <c r="BI75" s="1872"/>
      <c r="BJ75" s="1872">
        <v>0.253</v>
      </c>
      <c r="BK75" s="1872"/>
      <c r="BL75" s="1872"/>
      <c r="BM75" s="1872"/>
      <c r="BN75" s="1872"/>
      <c r="BO75" s="1872"/>
      <c r="BP75" s="1872"/>
      <c r="BQ75" s="1872"/>
      <c r="BR75" s="1872"/>
      <c r="BS75" s="1872"/>
      <c r="BT75" s="1872"/>
      <c r="BU75" s="1872"/>
      <c r="BV75" s="1872"/>
      <c r="BW75" s="1872"/>
      <c r="BX75" s="1872"/>
      <c r="BY75" s="1872"/>
      <c r="BZ75" s="1872"/>
      <c r="CA75" s="1872"/>
      <c r="CB75" s="1872"/>
      <c r="CC75" s="1872"/>
      <c r="CD75" s="1872"/>
      <c r="CE75" s="1872"/>
      <c r="CF75" s="1872"/>
      <c r="CG75" s="1872"/>
      <c r="CH75" s="1872"/>
      <c r="CI75" s="1872"/>
      <c r="CJ75" s="1872"/>
      <c r="CK75" s="1872"/>
      <c r="CL75" s="1872"/>
      <c r="CM75" s="1872"/>
      <c r="CN75" s="1872"/>
      <c r="CO75" s="1872"/>
      <c r="CP75" s="1872"/>
      <c r="CQ75" s="1872"/>
      <c r="CR75" s="1872"/>
      <c r="CS75" s="1872"/>
      <c r="CT75" s="1872"/>
      <c r="CU75" s="1872"/>
      <c r="CV75" s="1872"/>
      <c r="CW75" s="3677"/>
      <c r="CX75" s="1910"/>
      <c r="CY75" s="1910"/>
      <c r="CZ75" s="1910"/>
      <c r="DA75" s="1910"/>
      <c r="DB75" s="1910"/>
      <c r="DC75" s="1910"/>
      <c r="DD75" s="1910"/>
      <c r="DE75" s="1910"/>
      <c r="DF75" s="1911"/>
    </row>
    <row r="76" spans="1:110" s="1962" customFormat="1" ht="22.5" customHeight="1">
      <c r="A76" s="1926"/>
      <c r="B76" s="1910"/>
      <c r="C76" s="1764" t="s">
        <v>118</v>
      </c>
      <c r="D76" s="1941" t="s">
        <v>1440</v>
      </c>
      <c r="E76" s="1934" t="s">
        <v>274</v>
      </c>
      <c r="F76" s="1933" t="str">
        <f t="shared" si="16"/>
        <v>Гкал/час</v>
      </c>
      <c r="G76" s="1872"/>
      <c r="H76" s="1872"/>
      <c r="I76" s="1872"/>
      <c r="J76" s="1872"/>
      <c r="K76" s="1872"/>
      <c r="L76" s="1872"/>
      <c r="M76" s="1872"/>
      <c r="N76" s="1872"/>
      <c r="O76" s="1872"/>
      <c r="P76" s="1872"/>
      <c r="Q76" s="1872"/>
      <c r="R76" s="1872"/>
      <c r="S76" s="1872"/>
      <c r="T76" s="1872"/>
      <c r="U76" s="1872"/>
      <c r="V76" s="1872"/>
      <c r="W76" s="1872"/>
      <c r="X76" s="1872"/>
      <c r="Y76" s="1872"/>
      <c r="Z76" s="1872"/>
      <c r="AA76" s="1872"/>
      <c r="AB76" s="1872"/>
      <c r="AC76" s="1872"/>
      <c r="AD76" s="1872"/>
      <c r="AE76" s="1872"/>
      <c r="AF76" s="1872"/>
      <c r="AG76" s="1872"/>
      <c r="AH76" s="1872"/>
      <c r="AI76" s="1872"/>
      <c r="AJ76" s="1872"/>
      <c r="AK76" s="1872"/>
      <c r="AL76" s="1872"/>
      <c r="AM76" s="1872"/>
      <c r="AN76" s="1872"/>
      <c r="AO76" s="1872"/>
      <c r="AP76" s="1872"/>
      <c r="AQ76" s="1872"/>
      <c r="AR76" s="1872"/>
      <c r="AS76" s="1872"/>
      <c r="AT76" s="1872"/>
      <c r="AU76" s="1872"/>
      <c r="AV76" s="1872"/>
      <c r="AW76" s="1872"/>
      <c r="AX76" s="1872"/>
      <c r="AY76" s="1872"/>
      <c r="AZ76" s="1872"/>
      <c r="BA76" s="1872"/>
      <c r="BB76" s="1872"/>
      <c r="BC76" s="1872"/>
      <c r="BD76" s="1872"/>
      <c r="BE76" s="1872"/>
      <c r="BF76" s="1872"/>
      <c r="BG76" s="1872"/>
      <c r="BH76" s="1872"/>
      <c r="BI76" s="1872"/>
      <c r="BJ76" s="1872"/>
      <c r="BK76" s="1872">
        <v>1.7999999999999999E-2</v>
      </c>
      <c r="BL76" s="1872"/>
      <c r="BM76" s="1872"/>
      <c r="BN76" s="1872"/>
      <c r="BO76" s="1872"/>
      <c r="BP76" s="1872"/>
      <c r="BQ76" s="1872"/>
      <c r="BR76" s="1872"/>
      <c r="BS76" s="1872"/>
      <c r="BT76" s="1872"/>
      <c r="BU76" s="1872"/>
      <c r="BV76" s="1872"/>
      <c r="BW76" s="1872"/>
      <c r="BX76" s="1872"/>
      <c r="BY76" s="1872"/>
      <c r="BZ76" s="1872"/>
      <c r="CA76" s="1872"/>
      <c r="CB76" s="1872"/>
      <c r="CC76" s="1872"/>
      <c r="CD76" s="1872"/>
      <c r="CE76" s="1872"/>
      <c r="CF76" s="1872"/>
      <c r="CG76" s="1872"/>
      <c r="CH76" s="1872"/>
      <c r="CI76" s="1872"/>
      <c r="CJ76" s="1872"/>
      <c r="CK76" s="1872"/>
      <c r="CL76" s="1872"/>
      <c r="CM76" s="1872"/>
      <c r="CN76" s="1872"/>
      <c r="CO76" s="1872"/>
      <c r="CP76" s="1872"/>
      <c r="CQ76" s="1872"/>
      <c r="CR76" s="1872"/>
      <c r="CS76" s="1872"/>
      <c r="CT76" s="1872"/>
      <c r="CU76" s="1872"/>
      <c r="CV76" s="1872"/>
      <c r="CW76" s="3677"/>
      <c r="CX76" s="1910"/>
      <c r="CY76" s="1910"/>
      <c r="CZ76" s="1910"/>
      <c r="DA76" s="1910"/>
      <c r="DB76" s="1910"/>
      <c r="DC76" s="1910"/>
      <c r="DD76" s="1910"/>
      <c r="DE76" s="1910"/>
      <c r="DF76" s="1911"/>
    </row>
    <row r="77" spans="1:110" s="1962" customFormat="1" ht="22.5" customHeight="1">
      <c r="A77" s="1926"/>
      <c r="B77" s="1910"/>
      <c r="C77" s="1764" t="s">
        <v>118</v>
      </c>
      <c r="D77" s="1941" t="s">
        <v>1441</v>
      </c>
      <c r="E77" s="1934" t="s">
        <v>277</v>
      </c>
      <c r="F77" s="1933" t="str">
        <f t="shared" si="16"/>
        <v>Гкал/час</v>
      </c>
      <c r="G77" s="1872"/>
      <c r="H77" s="1872"/>
      <c r="I77" s="1872"/>
      <c r="J77" s="1872"/>
      <c r="K77" s="1872"/>
      <c r="L77" s="1872"/>
      <c r="M77" s="1872"/>
      <c r="N77" s="1872"/>
      <c r="O77" s="1872"/>
      <c r="P77" s="1872"/>
      <c r="Q77" s="1872"/>
      <c r="R77" s="1872"/>
      <c r="S77" s="1872"/>
      <c r="T77" s="1872"/>
      <c r="U77" s="1872"/>
      <c r="V77" s="1872"/>
      <c r="W77" s="1872"/>
      <c r="X77" s="1872"/>
      <c r="Y77" s="1872"/>
      <c r="Z77" s="1872"/>
      <c r="AA77" s="1872"/>
      <c r="AB77" s="1872"/>
      <c r="AC77" s="1872"/>
      <c r="AD77" s="1872"/>
      <c r="AE77" s="1872"/>
      <c r="AF77" s="1872"/>
      <c r="AG77" s="1872"/>
      <c r="AH77" s="1872"/>
      <c r="AI77" s="1872"/>
      <c r="AJ77" s="1872"/>
      <c r="AK77" s="1872"/>
      <c r="AL77" s="1872"/>
      <c r="AM77" s="1872"/>
      <c r="AN77" s="1872"/>
      <c r="AO77" s="1872"/>
      <c r="AP77" s="1872"/>
      <c r="AQ77" s="1872"/>
      <c r="AR77" s="1872"/>
      <c r="AS77" s="1872"/>
      <c r="AT77" s="1872"/>
      <c r="AU77" s="1872"/>
      <c r="AV77" s="1872"/>
      <c r="AW77" s="1872"/>
      <c r="AX77" s="1872"/>
      <c r="AY77" s="1872"/>
      <c r="AZ77" s="1872"/>
      <c r="BA77" s="1872"/>
      <c r="BB77" s="1872"/>
      <c r="BC77" s="1872"/>
      <c r="BD77" s="1872"/>
      <c r="BE77" s="1872"/>
      <c r="BF77" s="1872"/>
      <c r="BG77" s="1872"/>
      <c r="BH77" s="1872"/>
      <c r="BI77" s="1872"/>
      <c r="BJ77" s="1872"/>
      <c r="BK77" s="1872"/>
      <c r="BL77" s="1872">
        <v>8.0939999999999994</v>
      </c>
      <c r="BM77" s="1872"/>
      <c r="BN77" s="1872"/>
      <c r="BO77" s="1872"/>
      <c r="BP77" s="1872"/>
      <c r="BQ77" s="1872"/>
      <c r="BR77" s="1872"/>
      <c r="BS77" s="1872"/>
      <c r="BT77" s="1872"/>
      <c r="BU77" s="1872"/>
      <c r="BV77" s="1872"/>
      <c r="BW77" s="1872"/>
      <c r="BX77" s="1872"/>
      <c r="BY77" s="1872"/>
      <c r="BZ77" s="1872"/>
      <c r="CA77" s="1872"/>
      <c r="CB77" s="1872"/>
      <c r="CC77" s="1872"/>
      <c r="CD77" s="1872"/>
      <c r="CE77" s="1872"/>
      <c r="CF77" s="1872"/>
      <c r="CG77" s="1872"/>
      <c r="CH77" s="1872"/>
      <c r="CI77" s="1872"/>
      <c r="CJ77" s="1872"/>
      <c r="CK77" s="1872"/>
      <c r="CL77" s="1872"/>
      <c r="CM77" s="1872"/>
      <c r="CN77" s="1872"/>
      <c r="CO77" s="1872"/>
      <c r="CP77" s="1872"/>
      <c r="CQ77" s="1872"/>
      <c r="CR77" s="1872"/>
      <c r="CS77" s="1872"/>
      <c r="CT77" s="1872"/>
      <c r="CU77" s="1872"/>
      <c r="CV77" s="1872"/>
      <c r="CW77" s="3677"/>
      <c r="CX77" s="1910"/>
      <c r="CY77" s="1910"/>
      <c r="CZ77" s="1910"/>
      <c r="DA77" s="1910"/>
      <c r="DB77" s="1910"/>
      <c r="DC77" s="1910"/>
      <c r="DD77" s="1910"/>
      <c r="DE77" s="1910"/>
      <c r="DF77" s="1911"/>
    </row>
    <row r="78" spans="1:110" s="1962" customFormat="1" ht="22.5" customHeight="1">
      <c r="A78" s="1926"/>
      <c r="B78" s="1910"/>
      <c r="C78" s="1764" t="s">
        <v>118</v>
      </c>
      <c r="D78" s="1941" t="s">
        <v>1442</v>
      </c>
      <c r="E78" s="1934" t="s">
        <v>280</v>
      </c>
      <c r="F78" s="1933" t="str">
        <f t="shared" si="16"/>
        <v>Гкал/час</v>
      </c>
      <c r="G78" s="1872"/>
      <c r="H78" s="1872"/>
      <c r="I78" s="1872"/>
      <c r="J78" s="1872"/>
      <c r="K78" s="1872"/>
      <c r="L78" s="1872"/>
      <c r="M78" s="1872"/>
      <c r="N78" s="1872"/>
      <c r="O78" s="1872"/>
      <c r="P78" s="1872"/>
      <c r="Q78" s="1872"/>
      <c r="R78" s="1872"/>
      <c r="S78" s="1872"/>
      <c r="T78" s="1872"/>
      <c r="U78" s="1872"/>
      <c r="V78" s="1872"/>
      <c r="W78" s="1872"/>
      <c r="X78" s="1872"/>
      <c r="Y78" s="1872"/>
      <c r="Z78" s="1872"/>
      <c r="AA78" s="1872"/>
      <c r="AB78" s="1872"/>
      <c r="AC78" s="1872"/>
      <c r="AD78" s="1872"/>
      <c r="AE78" s="1872"/>
      <c r="AF78" s="1872"/>
      <c r="AG78" s="1872"/>
      <c r="AH78" s="1872"/>
      <c r="AI78" s="1872"/>
      <c r="AJ78" s="1872"/>
      <c r="AK78" s="1872"/>
      <c r="AL78" s="1872"/>
      <c r="AM78" s="1872"/>
      <c r="AN78" s="1872"/>
      <c r="AO78" s="1872"/>
      <c r="AP78" s="1872"/>
      <c r="AQ78" s="1872"/>
      <c r="AR78" s="1872"/>
      <c r="AS78" s="1872"/>
      <c r="AT78" s="1872"/>
      <c r="AU78" s="1872"/>
      <c r="AV78" s="1872"/>
      <c r="AW78" s="1872"/>
      <c r="AX78" s="1872"/>
      <c r="AY78" s="1872"/>
      <c r="AZ78" s="1872"/>
      <c r="BA78" s="1872"/>
      <c r="BB78" s="1872"/>
      <c r="BC78" s="1872"/>
      <c r="BD78" s="1872"/>
      <c r="BE78" s="1872"/>
      <c r="BF78" s="1872"/>
      <c r="BG78" s="1872"/>
      <c r="BH78" s="1872"/>
      <c r="BI78" s="1872"/>
      <c r="BJ78" s="1872"/>
      <c r="BK78" s="1872"/>
      <c r="BL78" s="1872"/>
      <c r="BM78" s="1872">
        <v>0.13600000000000001</v>
      </c>
      <c r="BN78" s="1872"/>
      <c r="BO78" s="1872"/>
      <c r="BP78" s="1872"/>
      <c r="BQ78" s="1872"/>
      <c r="BR78" s="1872"/>
      <c r="BS78" s="1872"/>
      <c r="BT78" s="1872"/>
      <c r="BU78" s="1872"/>
      <c r="BV78" s="1872"/>
      <c r="BW78" s="1872"/>
      <c r="BX78" s="1872"/>
      <c r="BY78" s="1872"/>
      <c r="BZ78" s="1872"/>
      <c r="CA78" s="1872"/>
      <c r="CB78" s="1872"/>
      <c r="CC78" s="1872"/>
      <c r="CD78" s="1872"/>
      <c r="CE78" s="1872"/>
      <c r="CF78" s="1872"/>
      <c r="CG78" s="1872"/>
      <c r="CH78" s="1872"/>
      <c r="CI78" s="1872"/>
      <c r="CJ78" s="1872"/>
      <c r="CK78" s="1872"/>
      <c r="CL78" s="1872"/>
      <c r="CM78" s="1872"/>
      <c r="CN78" s="1872"/>
      <c r="CO78" s="1872"/>
      <c r="CP78" s="1872"/>
      <c r="CQ78" s="1872"/>
      <c r="CR78" s="1872"/>
      <c r="CS78" s="1872"/>
      <c r="CT78" s="1872"/>
      <c r="CU78" s="1872"/>
      <c r="CV78" s="1872"/>
      <c r="CW78" s="3677"/>
      <c r="CX78" s="1910"/>
      <c r="CY78" s="1910"/>
      <c r="CZ78" s="1910"/>
      <c r="DA78" s="1910"/>
      <c r="DB78" s="1910"/>
      <c r="DC78" s="1910"/>
      <c r="DD78" s="1910"/>
      <c r="DE78" s="1910"/>
      <c r="DF78" s="1911"/>
    </row>
    <row r="79" spans="1:110" s="1962" customFormat="1" ht="22.5" customHeight="1">
      <c r="A79" s="1926"/>
      <c r="B79" s="1910"/>
      <c r="C79" s="1764" t="s">
        <v>118</v>
      </c>
      <c r="D79" s="1941" t="s">
        <v>1443</v>
      </c>
      <c r="E79" s="1934" t="s">
        <v>283</v>
      </c>
      <c r="F79" s="1933" t="str">
        <f t="shared" si="16"/>
        <v>Гкал/час</v>
      </c>
      <c r="G79" s="1872"/>
      <c r="H79" s="1872"/>
      <c r="I79" s="1872"/>
      <c r="J79" s="1872"/>
      <c r="K79" s="1872"/>
      <c r="L79" s="1872"/>
      <c r="M79" s="1872"/>
      <c r="N79" s="1872"/>
      <c r="O79" s="1872"/>
      <c r="P79" s="1872"/>
      <c r="Q79" s="1872"/>
      <c r="R79" s="1872"/>
      <c r="S79" s="1872"/>
      <c r="T79" s="1872"/>
      <c r="U79" s="1872"/>
      <c r="V79" s="1872"/>
      <c r="W79" s="1872"/>
      <c r="X79" s="1872"/>
      <c r="Y79" s="1872"/>
      <c r="Z79" s="1872"/>
      <c r="AA79" s="1872"/>
      <c r="AB79" s="1872"/>
      <c r="AC79" s="1872"/>
      <c r="AD79" s="1872"/>
      <c r="AE79" s="1872"/>
      <c r="AF79" s="1872"/>
      <c r="AG79" s="1872"/>
      <c r="AH79" s="1872"/>
      <c r="AI79" s="1872"/>
      <c r="AJ79" s="1872"/>
      <c r="AK79" s="1872"/>
      <c r="AL79" s="1872"/>
      <c r="AM79" s="1872"/>
      <c r="AN79" s="1872"/>
      <c r="AO79" s="1872"/>
      <c r="AP79" s="1872"/>
      <c r="AQ79" s="1872"/>
      <c r="AR79" s="1872"/>
      <c r="AS79" s="1872"/>
      <c r="AT79" s="1872"/>
      <c r="AU79" s="1872"/>
      <c r="AV79" s="1872"/>
      <c r="AW79" s="1872"/>
      <c r="AX79" s="1872"/>
      <c r="AY79" s="1872"/>
      <c r="AZ79" s="1872"/>
      <c r="BA79" s="1872"/>
      <c r="BB79" s="1872"/>
      <c r="BC79" s="1872"/>
      <c r="BD79" s="1872"/>
      <c r="BE79" s="1872"/>
      <c r="BF79" s="1872"/>
      <c r="BG79" s="1872"/>
      <c r="BH79" s="1872"/>
      <c r="BI79" s="1872"/>
      <c r="BJ79" s="1872"/>
      <c r="BK79" s="1872"/>
      <c r="BL79" s="1872"/>
      <c r="BM79" s="1872"/>
      <c r="BN79" s="1872">
        <v>0</v>
      </c>
      <c r="BO79" s="1872"/>
      <c r="BP79" s="1872"/>
      <c r="BQ79" s="1872"/>
      <c r="BR79" s="1872"/>
      <c r="BS79" s="1872"/>
      <c r="BT79" s="1872"/>
      <c r="BU79" s="1872"/>
      <c r="BV79" s="1872"/>
      <c r="BW79" s="1872"/>
      <c r="BX79" s="1872"/>
      <c r="BY79" s="1872"/>
      <c r="BZ79" s="1872"/>
      <c r="CA79" s="1872"/>
      <c r="CB79" s="1872"/>
      <c r="CC79" s="1872"/>
      <c r="CD79" s="1872"/>
      <c r="CE79" s="1872"/>
      <c r="CF79" s="1872"/>
      <c r="CG79" s="1872"/>
      <c r="CH79" s="1872"/>
      <c r="CI79" s="1872"/>
      <c r="CJ79" s="1872"/>
      <c r="CK79" s="1872"/>
      <c r="CL79" s="1872"/>
      <c r="CM79" s="1872"/>
      <c r="CN79" s="1872"/>
      <c r="CO79" s="1872"/>
      <c r="CP79" s="1872"/>
      <c r="CQ79" s="1872"/>
      <c r="CR79" s="1872"/>
      <c r="CS79" s="1872"/>
      <c r="CT79" s="1872"/>
      <c r="CU79" s="1872"/>
      <c r="CV79" s="1872"/>
      <c r="CW79" s="3677"/>
      <c r="CX79" s="1910"/>
      <c r="CY79" s="1910"/>
      <c r="CZ79" s="1910"/>
      <c r="DA79" s="1910"/>
      <c r="DB79" s="1910"/>
      <c r="DC79" s="1910"/>
      <c r="DD79" s="1910"/>
      <c r="DE79" s="1910"/>
      <c r="DF79" s="1911"/>
    </row>
    <row r="80" spans="1:110" s="1962" customFormat="1" ht="22.5" customHeight="1">
      <c r="A80" s="1926"/>
      <c r="B80" s="1910"/>
      <c r="C80" s="1764" t="s">
        <v>118</v>
      </c>
      <c r="D80" s="1941" t="s">
        <v>1444</v>
      </c>
      <c r="E80" s="1934" t="s">
        <v>286</v>
      </c>
      <c r="F80" s="1933" t="str">
        <f t="shared" si="16"/>
        <v>Гкал/час</v>
      </c>
      <c r="G80" s="1872"/>
      <c r="H80" s="1872"/>
      <c r="I80" s="1872"/>
      <c r="J80" s="1872"/>
      <c r="K80" s="1872"/>
      <c r="L80" s="1872"/>
      <c r="M80" s="1872"/>
      <c r="N80" s="1872"/>
      <c r="O80" s="1872"/>
      <c r="P80" s="1872"/>
      <c r="Q80" s="1872"/>
      <c r="R80" s="1872"/>
      <c r="S80" s="1872"/>
      <c r="T80" s="1872"/>
      <c r="U80" s="1872"/>
      <c r="V80" s="1872"/>
      <c r="W80" s="1872"/>
      <c r="X80" s="1872"/>
      <c r="Y80" s="1872"/>
      <c r="Z80" s="1872"/>
      <c r="AA80" s="1872"/>
      <c r="AB80" s="1872"/>
      <c r="AC80" s="1872"/>
      <c r="AD80" s="1872"/>
      <c r="AE80" s="1872"/>
      <c r="AF80" s="1872"/>
      <c r="AG80" s="1872"/>
      <c r="AH80" s="1872"/>
      <c r="AI80" s="1872"/>
      <c r="AJ80" s="1872"/>
      <c r="AK80" s="1872"/>
      <c r="AL80" s="1872"/>
      <c r="AM80" s="1872"/>
      <c r="AN80" s="1872"/>
      <c r="AO80" s="1872"/>
      <c r="AP80" s="1872"/>
      <c r="AQ80" s="1872"/>
      <c r="AR80" s="1872"/>
      <c r="AS80" s="1872"/>
      <c r="AT80" s="1872"/>
      <c r="AU80" s="1872"/>
      <c r="AV80" s="1872"/>
      <c r="AW80" s="1872"/>
      <c r="AX80" s="1872"/>
      <c r="AY80" s="1872"/>
      <c r="AZ80" s="1872"/>
      <c r="BA80" s="1872"/>
      <c r="BB80" s="1872"/>
      <c r="BC80" s="1872"/>
      <c r="BD80" s="1872"/>
      <c r="BE80" s="1872"/>
      <c r="BF80" s="1872"/>
      <c r="BG80" s="1872"/>
      <c r="BH80" s="1872"/>
      <c r="BI80" s="1872"/>
      <c r="BJ80" s="1872"/>
      <c r="BK80" s="1872"/>
      <c r="BL80" s="1872"/>
      <c r="BM80" s="1872"/>
      <c r="BN80" s="1872"/>
      <c r="BO80" s="1872">
        <v>0</v>
      </c>
      <c r="BP80" s="1872"/>
      <c r="BQ80" s="1872"/>
      <c r="BR80" s="1872"/>
      <c r="BS80" s="1872"/>
      <c r="BT80" s="1872"/>
      <c r="BU80" s="1872"/>
      <c r="BV80" s="1872"/>
      <c r="BW80" s="1872"/>
      <c r="BX80" s="1872"/>
      <c r="BY80" s="1872"/>
      <c r="BZ80" s="1872"/>
      <c r="CA80" s="1872"/>
      <c r="CB80" s="1872"/>
      <c r="CC80" s="1872"/>
      <c r="CD80" s="1872"/>
      <c r="CE80" s="1872"/>
      <c r="CF80" s="1872"/>
      <c r="CG80" s="1872"/>
      <c r="CH80" s="1872"/>
      <c r="CI80" s="1872"/>
      <c r="CJ80" s="1872"/>
      <c r="CK80" s="1872"/>
      <c r="CL80" s="1872"/>
      <c r="CM80" s="1872"/>
      <c r="CN80" s="1872"/>
      <c r="CO80" s="1872"/>
      <c r="CP80" s="1872"/>
      <c r="CQ80" s="1872"/>
      <c r="CR80" s="1872"/>
      <c r="CS80" s="1872"/>
      <c r="CT80" s="1872"/>
      <c r="CU80" s="1872"/>
      <c r="CV80" s="1872"/>
      <c r="CW80" s="3677"/>
      <c r="CX80" s="1910"/>
      <c r="CY80" s="1910"/>
      <c r="CZ80" s="1910"/>
      <c r="DA80" s="1910"/>
      <c r="DB80" s="1910"/>
      <c r="DC80" s="1910"/>
      <c r="DD80" s="1910"/>
      <c r="DE80" s="1910"/>
      <c r="DF80" s="1911"/>
    </row>
    <row r="81" spans="1:110" s="1962" customFormat="1" ht="22.5" customHeight="1">
      <c r="A81" s="1926"/>
      <c r="B81" s="1910"/>
      <c r="C81" s="1764" t="s">
        <v>118</v>
      </c>
      <c r="D81" s="1941" t="s">
        <v>1445</v>
      </c>
      <c r="E81" s="1934" t="s">
        <v>289</v>
      </c>
      <c r="F81" s="1933" t="str">
        <f t="shared" si="16"/>
        <v>Гкал/час</v>
      </c>
      <c r="G81" s="1872"/>
      <c r="H81" s="1872"/>
      <c r="I81" s="1872"/>
      <c r="J81" s="1872"/>
      <c r="K81" s="1872"/>
      <c r="L81" s="1872"/>
      <c r="M81" s="1872"/>
      <c r="N81" s="1872"/>
      <c r="O81" s="1872"/>
      <c r="P81" s="1872"/>
      <c r="Q81" s="1872"/>
      <c r="R81" s="1872"/>
      <c r="S81" s="1872"/>
      <c r="T81" s="1872"/>
      <c r="U81" s="1872"/>
      <c r="V81" s="1872"/>
      <c r="W81" s="1872"/>
      <c r="X81" s="1872"/>
      <c r="Y81" s="1872"/>
      <c r="Z81" s="1872"/>
      <c r="AA81" s="1872"/>
      <c r="AB81" s="1872"/>
      <c r="AC81" s="1872"/>
      <c r="AD81" s="1872"/>
      <c r="AE81" s="1872"/>
      <c r="AF81" s="1872"/>
      <c r="AG81" s="1872"/>
      <c r="AH81" s="1872"/>
      <c r="AI81" s="1872"/>
      <c r="AJ81" s="1872"/>
      <c r="AK81" s="1872"/>
      <c r="AL81" s="1872"/>
      <c r="AM81" s="1872"/>
      <c r="AN81" s="1872"/>
      <c r="AO81" s="1872"/>
      <c r="AP81" s="1872"/>
      <c r="AQ81" s="1872"/>
      <c r="AR81" s="1872"/>
      <c r="AS81" s="1872"/>
      <c r="AT81" s="1872"/>
      <c r="AU81" s="1872"/>
      <c r="AV81" s="1872"/>
      <c r="AW81" s="1872"/>
      <c r="AX81" s="1872"/>
      <c r="AY81" s="1872"/>
      <c r="AZ81" s="1872"/>
      <c r="BA81" s="1872"/>
      <c r="BB81" s="1872"/>
      <c r="BC81" s="1872"/>
      <c r="BD81" s="1872"/>
      <c r="BE81" s="1872"/>
      <c r="BF81" s="1872"/>
      <c r="BG81" s="1872"/>
      <c r="BH81" s="1872"/>
      <c r="BI81" s="1872"/>
      <c r="BJ81" s="1872"/>
      <c r="BK81" s="1872"/>
      <c r="BL81" s="1872"/>
      <c r="BM81" s="1872"/>
      <c r="BN81" s="1872"/>
      <c r="BO81" s="1872"/>
      <c r="BP81" s="1872">
        <v>0</v>
      </c>
      <c r="BQ81" s="1872"/>
      <c r="BR81" s="1872"/>
      <c r="BS81" s="1872"/>
      <c r="BT81" s="1872"/>
      <c r="BU81" s="1872"/>
      <c r="BV81" s="1872"/>
      <c r="BW81" s="1872"/>
      <c r="BX81" s="1872"/>
      <c r="BY81" s="1872"/>
      <c r="BZ81" s="1872"/>
      <c r="CA81" s="1872"/>
      <c r="CB81" s="1872"/>
      <c r="CC81" s="1872"/>
      <c r="CD81" s="1872"/>
      <c r="CE81" s="1872"/>
      <c r="CF81" s="1872"/>
      <c r="CG81" s="1872"/>
      <c r="CH81" s="1872"/>
      <c r="CI81" s="1872"/>
      <c r="CJ81" s="1872"/>
      <c r="CK81" s="1872"/>
      <c r="CL81" s="1872"/>
      <c r="CM81" s="1872"/>
      <c r="CN81" s="1872"/>
      <c r="CO81" s="1872"/>
      <c r="CP81" s="1872"/>
      <c r="CQ81" s="1872"/>
      <c r="CR81" s="1872"/>
      <c r="CS81" s="1872"/>
      <c r="CT81" s="1872"/>
      <c r="CU81" s="1872"/>
      <c r="CV81" s="1872"/>
      <c r="CW81" s="3677"/>
      <c r="CX81" s="1910"/>
      <c r="CY81" s="1910"/>
      <c r="CZ81" s="1910"/>
      <c r="DA81" s="1910"/>
      <c r="DB81" s="1910"/>
      <c r="DC81" s="1910"/>
      <c r="DD81" s="1910"/>
      <c r="DE81" s="1910"/>
      <c r="DF81" s="1911"/>
    </row>
    <row r="82" spans="1:110" s="1962" customFormat="1" ht="22.5" customHeight="1">
      <c r="A82" s="1926"/>
      <c r="B82" s="1910"/>
      <c r="C82" s="1764" t="s">
        <v>118</v>
      </c>
      <c r="D82" s="1941" t="s">
        <v>1446</v>
      </c>
      <c r="E82" s="1934" t="s">
        <v>292</v>
      </c>
      <c r="F82" s="1933" t="str">
        <f t="shared" si="16"/>
        <v>Гкал/час</v>
      </c>
      <c r="G82" s="1872"/>
      <c r="H82" s="1872"/>
      <c r="I82" s="1872"/>
      <c r="J82" s="1872"/>
      <c r="K82" s="1872"/>
      <c r="L82" s="1872"/>
      <c r="M82" s="1872"/>
      <c r="N82" s="1872"/>
      <c r="O82" s="1872"/>
      <c r="P82" s="1872"/>
      <c r="Q82" s="1872"/>
      <c r="R82" s="1872"/>
      <c r="S82" s="1872"/>
      <c r="T82" s="1872"/>
      <c r="U82" s="1872"/>
      <c r="V82" s="1872"/>
      <c r="W82" s="1872"/>
      <c r="X82" s="1872"/>
      <c r="Y82" s="1872"/>
      <c r="Z82" s="1872"/>
      <c r="AA82" s="1872"/>
      <c r="AB82" s="1872"/>
      <c r="AC82" s="1872"/>
      <c r="AD82" s="1872"/>
      <c r="AE82" s="1872"/>
      <c r="AF82" s="1872"/>
      <c r="AG82" s="1872"/>
      <c r="AH82" s="1872"/>
      <c r="AI82" s="1872"/>
      <c r="AJ82" s="1872"/>
      <c r="AK82" s="1872"/>
      <c r="AL82" s="1872"/>
      <c r="AM82" s="1872"/>
      <c r="AN82" s="1872"/>
      <c r="AO82" s="1872"/>
      <c r="AP82" s="1872"/>
      <c r="AQ82" s="1872"/>
      <c r="AR82" s="1872"/>
      <c r="AS82" s="1872"/>
      <c r="AT82" s="1872"/>
      <c r="AU82" s="1872"/>
      <c r="AV82" s="1872"/>
      <c r="AW82" s="1872"/>
      <c r="AX82" s="1872"/>
      <c r="AY82" s="1872"/>
      <c r="AZ82" s="1872"/>
      <c r="BA82" s="1872"/>
      <c r="BB82" s="1872"/>
      <c r="BC82" s="1872"/>
      <c r="BD82" s="1872"/>
      <c r="BE82" s="1872"/>
      <c r="BF82" s="1872"/>
      <c r="BG82" s="1872"/>
      <c r="BH82" s="1872"/>
      <c r="BI82" s="1872"/>
      <c r="BJ82" s="1872"/>
      <c r="BK82" s="1872"/>
      <c r="BL82" s="1872"/>
      <c r="BM82" s="1872"/>
      <c r="BN82" s="1872"/>
      <c r="BO82" s="1872"/>
      <c r="BP82" s="1872"/>
      <c r="BQ82" s="1872">
        <v>0.255</v>
      </c>
      <c r="BR82" s="1872"/>
      <c r="BS82" s="1872"/>
      <c r="BT82" s="1872"/>
      <c r="BU82" s="1872"/>
      <c r="BV82" s="1872"/>
      <c r="BW82" s="1872"/>
      <c r="BX82" s="1872"/>
      <c r="BY82" s="1872"/>
      <c r="BZ82" s="1872"/>
      <c r="CA82" s="1872"/>
      <c r="CB82" s="1872"/>
      <c r="CC82" s="1872"/>
      <c r="CD82" s="1872"/>
      <c r="CE82" s="1872"/>
      <c r="CF82" s="1872"/>
      <c r="CG82" s="1872"/>
      <c r="CH82" s="1872"/>
      <c r="CI82" s="1872"/>
      <c r="CJ82" s="1872"/>
      <c r="CK82" s="1872"/>
      <c r="CL82" s="1872"/>
      <c r="CM82" s="1872"/>
      <c r="CN82" s="1872"/>
      <c r="CO82" s="1872"/>
      <c r="CP82" s="1872"/>
      <c r="CQ82" s="1872"/>
      <c r="CR82" s="1872"/>
      <c r="CS82" s="1872"/>
      <c r="CT82" s="1872"/>
      <c r="CU82" s="1872"/>
      <c r="CV82" s="1872"/>
      <c r="CW82" s="3677"/>
      <c r="CX82" s="1910"/>
      <c r="CY82" s="1910"/>
      <c r="CZ82" s="1910"/>
      <c r="DA82" s="1910"/>
      <c r="DB82" s="1910"/>
      <c r="DC82" s="1910"/>
      <c r="DD82" s="1910"/>
      <c r="DE82" s="1910"/>
      <c r="DF82" s="1911"/>
    </row>
    <row r="83" spans="1:110" s="1962" customFormat="1" ht="22.5" customHeight="1">
      <c r="A83" s="1926"/>
      <c r="B83" s="1910"/>
      <c r="C83" s="1764" t="s">
        <v>118</v>
      </c>
      <c r="D83" s="1941" t="s">
        <v>1447</v>
      </c>
      <c r="E83" s="1934" t="s">
        <v>295</v>
      </c>
      <c r="F83" s="1933" t="str">
        <f t="shared" si="16"/>
        <v>Гкал/час</v>
      </c>
      <c r="G83" s="1872"/>
      <c r="H83" s="1872"/>
      <c r="I83" s="1872"/>
      <c r="J83" s="1872"/>
      <c r="K83" s="1872"/>
      <c r="L83" s="1872"/>
      <c r="M83" s="1872"/>
      <c r="N83" s="1872"/>
      <c r="O83" s="1872"/>
      <c r="P83" s="1872"/>
      <c r="Q83" s="1872"/>
      <c r="R83" s="1872"/>
      <c r="S83" s="1872"/>
      <c r="T83" s="1872"/>
      <c r="U83" s="1872"/>
      <c r="V83" s="1872"/>
      <c r="W83" s="1872"/>
      <c r="X83" s="1872"/>
      <c r="Y83" s="1872"/>
      <c r="Z83" s="1872"/>
      <c r="AA83" s="1872"/>
      <c r="AB83" s="1872"/>
      <c r="AC83" s="1872"/>
      <c r="AD83" s="1872"/>
      <c r="AE83" s="1872"/>
      <c r="AF83" s="1872"/>
      <c r="AG83" s="1872"/>
      <c r="AH83" s="1872"/>
      <c r="AI83" s="1872"/>
      <c r="AJ83" s="1872"/>
      <c r="AK83" s="1872"/>
      <c r="AL83" s="1872"/>
      <c r="AM83" s="1872"/>
      <c r="AN83" s="1872"/>
      <c r="AO83" s="1872"/>
      <c r="AP83" s="1872"/>
      <c r="AQ83" s="1872"/>
      <c r="AR83" s="1872"/>
      <c r="AS83" s="1872"/>
      <c r="AT83" s="1872"/>
      <c r="AU83" s="1872"/>
      <c r="AV83" s="1872"/>
      <c r="AW83" s="1872"/>
      <c r="AX83" s="1872"/>
      <c r="AY83" s="1872"/>
      <c r="AZ83" s="1872"/>
      <c r="BA83" s="1872"/>
      <c r="BB83" s="1872"/>
      <c r="BC83" s="1872"/>
      <c r="BD83" s="1872"/>
      <c r="BE83" s="1872"/>
      <c r="BF83" s="1872"/>
      <c r="BG83" s="1872"/>
      <c r="BH83" s="1872"/>
      <c r="BI83" s="1872"/>
      <c r="BJ83" s="1872"/>
      <c r="BK83" s="1872"/>
      <c r="BL83" s="1872"/>
      <c r="BM83" s="1872"/>
      <c r="BN83" s="1872"/>
      <c r="BO83" s="1872"/>
      <c r="BP83" s="1872"/>
      <c r="BQ83" s="1872"/>
      <c r="BR83" s="1872">
        <v>7.2999999999999995E-2</v>
      </c>
      <c r="BS83" s="1872"/>
      <c r="BT83" s="1872"/>
      <c r="BU83" s="1872"/>
      <c r="BV83" s="1872"/>
      <c r="BW83" s="1872"/>
      <c r="BX83" s="1872"/>
      <c r="BY83" s="1872"/>
      <c r="BZ83" s="1872"/>
      <c r="CA83" s="1872"/>
      <c r="CB83" s="1872"/>
      <c r="CC83" s="1872"/>
      <c r="CD83" s="1872"/>
      <c r="CE83" s="1872"/>
      <c r="CF83" s="1872"/>
      <c r="CG83" s="1872"/>
      <c r="CH83" s="1872"/>
      <c r="CI83" s="1872"/>
      <c r="CJ83" s="1872"/>
      <c r="CK83" s="1872"/>
      <c r="CL83" s="1872"/>
      <c r="CM83" s="1872"/>
      <c r="CN83" s="1872"/>
      <c r="CO83" s="1872"/>
      <c r="CP83" s="1872"/>
      <c r="CQ83" s="1872"/>
      <c r="CR83" s="1872"/>
      <c r="CS83" s="1872"/>
      <c r="CT83" s="1872"/>
      <c r="CU83" s="1872"/>
      <c r="CV83" s="1872"/>
      <c r="CW83" s="3677"/>
      <c r="CX83" s="1910"/>
      <c r="CY83" s="1910"/>
      <c r="CZ83" s="1910"/>
      <c r="DA83" s="1910"/>
      <c r="DB83" s="1910"/>
      <c r="DC83" s="1910"/>
      <c r="DD83" s="1910"/>
      <c r="DE83" s="1910"/>
      <c r="DF83" s="1911"/>
    </row>
    <row r="84" spans="1:110" s="1962" customFormat="1" ht="22.5" customHeight="1">
      <c r="A84" s="1926"/>
      <c r="B84" s="1910"/>
      <c r="C84" s="1764" t="s">
        <v>118</v>
      </c>
      <c r="D84" s="1941" t="s">
        <v>1448</v>
      </c>
      <c r="E84" s="1934" t="s">
        <v>298</v>
      </c>
      <c r="F84" s="1933" t="str">
        <f t="shared" si="16"/>
        <v>Гкал/час</v>
      </c>
      <c r="G84" s="1872"/>
      <c r="H84" s="1872"/>
      <c r="I84" s="1872"/>
      <c r="J84" s="1872"/>
      <c r="K84" s="1872"/>
      <c r="L84" s="1872"/>
      <c r="M84" s="1872"/>
      <c r="N84" s="1872"/>
      <c r="O84" s="1872"/>
      <c r="P84" s="1872"/>
      <c r="Q84" s="1872"/>
      <c r="R84" s="1872"/>
      <c r="S84" s="1872"/>
      <c r="T84" s="1872"/>
      <c r="U84" s="1872"/>
      <c r="V84" s="1872"/>
      <c r="W84" s="1872"/>
      <c r="X84" s="1872"/>
      <c r="Y84" s="1872"/>
      <c r="Z84" s="1872"/>
      <c r="AA84" s="1872"/>
      <c r="AB84" s="1872"/>
      <c r="AC84" s="1872"/>
      <c r="AD84" s="1872"/>
      <c r="AE84" s="1872"/>
      <c r="AF84" s="1872"/>
      <c r="AG84" s="1872"/>
      <c r="AH84" s="1872"/>
      <c r="AI84" s="1872"/>
      <c r="AJ84" s="1872"/>
      <c r="AK84" s="1872"/>
      <c r="AL84" s="1872"/>
      <c r="AM84" s="1872"/>
      <c r="AN84" s="1872"/>
      <c r="AO84" s="1872"/>
      <c r="AP84" s="1872"/>
      <c r="AQ84" s="1872"/>
      <c r="AR84" s="1872"/>
      <c r="AS84" s="1872"/>
      <c r="AT84" s="1872"/>
      <c r="AU84" s="1872"/>
      <c r="AV84" s="1872"/>
      <c r="AW84" s="1872"/>
      <c r="AX84" s="1872"/>
      <c r="AY84" s="1872"/>
      <c r="AZ84" s="1872"/>
      <c r="BA84" s="1872"/>
      <c r="BB84" s="1872"/>
      <c r="BC84" s="1872"/>
      <c r="BD84" s="1872"/>
      <c r="BE84" s="1872"/>
      <c r="BF84" s="1872"/>
      <c r="BG84" s="1872"/>
      <c r="BH84" s="1872"/>
      <c r="BI84" s="1872"/>
      <c r="BJ84" s="1872"/>
      <c r="BK84" s="1872"/>
      <c r="BL84" s="1872"/>
      <c r="BM84" s="1872"/>
      <c r="BN84" s="1872"/>
      <c r="BO84" s="1872"/>
      <c r="BP84" s="1872"/>
      <c r="BQ84" s="1872"/>
      <c r="BR84" s="1872"/>
      <c r="BS84" s="1872">
        <v>0.13100000000000001</v>
      </c>
      <c r="BT84" s="1872"/>
      <c r="BU84" s="1872"/>
      <c r="BV84" s="1872"/>
      <c r="BW84" s="1872"/>
      <c r="BX84" s="1872"/>
      <c r="BY84" s="1872"/>
      <c r="BZ84" s="1872"/>
      <c r="CA84" s="1872"/>
      <c r="CB84" s="1872"/>
      <c r="CC84" s="1872"/>
      <c r="CD84" s="1872"/>
      <c r="CE84" s="1872"/>
      <c r="CF84" s="1872"/>
      <c r="CG84" s="1872"/>
      <c r="CH84" s="1872"/>
      <c r="CI84" s="1872"/>
      <c r="CJ84" s="1872"/>
      <c r="CK84" s="1872"/>
      <c r="CL84" s="1872"/>
      <c r="CM84" s="1872"/>
      <c r="CN84" s="1872"/>
      <c r="CO84" s="1872"/>
      <c r="CP84" s="1872"/>
      <c r="CQ84" s="1872"/>
      <c r="CR84" s="1872"/>
      <c r="CS84" s="1872"/>
      <c r="CT84" s="1872"/>
      <c r="CU84" s="1872"/>
      <c r="CV84" s="1872"/>
      <c r="CW84" s="3677"/>
      <c r="CX84" s="1910"/>
      <c r="CY84" s="1910"/>
      <c r="CZ84" s="1910"/>
      <c r="DA84" s="1910"/>
      <c r="DB84" s="1910"/>
      <c r="DC84" s="1910"/>
      <c r="DD84" s="1910"/>
      <c r="DE84" s="1910"/>
      <c r="DF84" s="1911"/>
    </row>
    <row r="85" spans="1:110" s="1962" customFormat="1" ht="22.5" customHeight="1">
      <c r="A85" s="1926"/>
      <c r="B85" s="1910"/>
      <c r="C85" s="1764" t="s">
        <v>118</v>
      </c>
      <c r="D85" s="1941" t="s">
        <v>1449</v>
      </c>
      <c r="E85" s="1934" t="s">
        <v>301</v>
      </c>
      <c r="F85" s="1933" t="str">
        <f t="shared" ref="F85:F113" si="17">IF(TEMPLATE_SPHERE="HEAT","Гкал/час","тыс. куб. м/сутки")</f>
        <v>Гкал/час</v>
      </c>
      <c r="G85" s="1872"/>
      <c r="H85" s="1872"/>
      <c r="I85" s="1872"/>
      <c r="J85" s="1872"/>
      <c r="K85" s="1872"/>
      <c r="L85" s="1872"/>
      <c r="M85" s="1872"/>
      <c r="N85" s="1872"/>
      <c r="O85" s="1872"/>
      <c r="P85" s="1872"/>
      <c r="Q85" s="1872"/>
      <c r="R85" s="1872"/>
      <c r="S85" s="1872"/>
      <c r="T85" s="1872"/>
      <c r="U85" s="1872"/>
      <c r="V85" s="1872"/>
      <c r="W85" s="1872"/>
      <c r="X85" s="1872"/>
      <c r="Y85" s="1872"/>
      <c r="Z85" s="1872"/>
      <c r="AA85" s="1872"/>
      <c r="AB85" s="1872"/>
      <c r="AC85" s="1872"/>
      <c r="AD85" s="1872"/>
      <c r="AE85" s="1872"/>
      <c r="AF85" s="1872"/>
      <c r="AG85" s="1872"/>
      <c r="AH85" s="1872"/>
      <c r="AI85" s="1872"/>
      <c r="AJ85" s="1872"/>
      <c r="AK85" s="1872"/>
      <c r="AL85" s="1872"/>
      <c r="AM85" s="1872"/>
      <c r="AN85" s="1872"/>
      <c r="AO85" s="1872"/>
      <c r="AP85" s="1872"/>
      <c r="AQ85" s="1872"/>
      <c r="AR85" s="1872"/>
      <c r="AS85" s="1872"/>
      <c r="AT85" s="1872"/>
      <c r="AU85" s="1872"/>
      <c r="AV85" s="1872"/>
      <c r="AW85" s="1872"/>
      <c r="AX85" s="1872"/>
      <c r="AY85" s="1872"/>
      <c r="AZ85" s="1872"/>
      <c r="BA85" s="1872"/>
      <c r="BB85" s="1872"/>
      <c r="BC85" s="1872"/>
      <c r="BD85" s="1872"/>
      <c r="BE85" s="1872"/>
      <c r="BF85" s="1872"/>
      <c r="BG85" s="1872"/>
      <c r="BH85" s="1872"/>
      <c r="BI85" s="1872"/>
      <c r="BJ85" s="1872"/>
      <c r="BK85" s="1872"/>
      <c r="BL85" s="1872"/>
      <c r="BM85" s="1872"/>
      <c r="BN85" s="1872"/>
      <c r="BO85" s="1872"/>
      <c r="BP85" s="1872"/>
      <c r="BQ85" s="1872"/>
      <c r="BR85" s="1872"/>
      <c r="BS85" s="1872"/>
      <c r="BT85" s="1872">
        <v>1.246</v>
      </c>
      <c r="BU85" s="1872"/>
      <c r="BV85" s="1872"/>
      <c r="BW85" s="1872"/>
      <c r="BX85" s="1872"/>
      <c r="BY85" s="1872"/>
      <c r="BZ85" s="1872"/>
      <c r="CA85" s="1872"/>
      <c r="CB85" s="1872"/>
      <c r="CC85" s="1872"/>
      <c r="CD85" s="1872"/>
      <c r="CE85" s="1872"/>
      <c r="CF85" s="1872"/>
      <c r="CG85" s="1872"/>
      <c r="CH85" s="1872"/>
      <c r="CI85" s="1872"/>
      <c r="CJ85" s="1872"/>
      <c r="CK85" s="1872"/>
      <c r="CL85" s="1872"/>
      <c r="CM85" s="1872"/>
      <c r="CN85" s="1872"/>
      <c r="CO85" s="1872"/>
      <c r="CP85" s="1872"/>
      <c r="CQ85" s="1872"/>
      <c r="CR85" s="1872"/>
      <c r="CS85" s="1872"/>
      <c r="CT85" s="1872"/>
      <c r="CU85" s="1872"/>
      <c r="CV85" s="1872"/>
      <c r="CW85" s="3677"/>
      <c r="CX85" s="1910"/>
      <c r="CY85" s="1910"/>
      <c r="CZ85" s="1910"/>
      <c r="DA85" s="1910"/>
      <c r="DB85" s="1910"/>
      <c r="DC85" s="1910"/>
      <c r="DD85" s="1910"/>
      <c r="DE85" s="1910"/>
      <c r="DF85" s="1911"/>
    </row>
    <row r="86" spans="1:110" s="1962" customFormat="1" ht="22.5" customHeight="1">
      <c r="A86" s="1926"/>
      <c r="B86" s="1910"/>
      <c r="C86" s="1764" t="s">
        <v>118</v>
      </c>
      <c r="D86" s="1941" t="s">
        <v>1450</v>
      </c>
      <c r="E86" s="1934" t="s">
        <v>304</v>
      </c>
      <c r="F86" s="1933" t="str">
        <f t="shared" si="17"/>
        <v>Гкал/час</v>
      </c>
      <c r="G86" s="1872"/>
      <c r="H86" s="1872"/>
      <c r="I86" s="1872"/>
      <c r="J86" s="1872"/>
      <c r="K86" s="1872"/>
      <c r="L86" s="1872"/>
      <c r="M86" s="1872"/>
      <c r="N86" s="1872"/>
      <c r="O86" s="1872"/>
      <c r="P86" s="1872"/>
      <c r="Q86" s="1872"/>
      <c r="R86" s="1872"/>
      <c r="S86" s="1872"/>
      <c r="T86" s="1872"/>
      <c r="U86" s="1872"/>
      <c r="V86" s="1872"/>
      <c r="W86" s="1872"/>
      <c r="X86" s="1872"/>
      <c r="Y86" s="1872"/>
      <c r="Z86" s="1872"/>
      <c r="AA86" s="1872"/>
      <c r="AB86" s="1872"/>
      <c r="AC86" s="1872"/>
      <c r="AD86" s="1872"/>
      <c r="AE86" s="1872"/>
      <c r="AF86" s="1872"/>
      <c r="AG86" s="1872"/>
      <c r="AH86" s="1872"/>
      <c r="AI86" s="1872"/>
      <c r="AJ86" s="1872"/>
      <c r="AK86" s="1872"/>
      <c r="AL86" s="1872"/>
      <c r="AM86" s="1872"/>
      <c r="AN86" s="1872"/>
      <c r="AO86" s="1872"/>
      <c r="AP86" s="1872"/>
      <c r="AQ86" s="1872"/>
      <c r="AR86" s="1872"/>
      <c r="AS86" s="1872"/>
      <c r="AT86" s="1872"/>
      <c r="AU86" s="1872"/>
      <c r="AV86" s="1872"/>
      <c r="AW86" s="1872"/>
      <c r="AX86" s="1872"/>
      <c r="AY86" s="1872"/>
      <c r="AZ86" s="1872"/>
      <c r="BA86" s="1872"/>
      <c r="BB86" s="1872"/>
      <c r="BC86" s="1872"/>
      <c r="BD86" s="1872"/>
      <c r="BE86" s="1872"/>
      <c r="BF86" s="1872"/>
      <c r="BG86" s="1872"/>
      <c r="BH86" s="1872"/>
      <c r="BI86" s="1872"/>
      <c r="BJ86" s="1872"/>
      <c r="BK86" s="1872"/>
      <c r="BL86" s="1872"/>
      <c r="BM86" s="1872"/>
      <c r="BN86" s="1872"/>
      <c r="BO86" s="1872"/>
      <c r="BP86" s="1872"/>
      <c r="BQ86" s="1872"/>
      <c r="BR86" s="1872"/>
      <c r="BS86" s="1872"/>
      <c r="BT86" s="1872"/>
      <c r="BU86" s="1872">
        <v>2.5590000000000002</v>
      </c>
      <c r="BV86" s="1872"/>
      <c r="BW86" s="1872"/>
      <c r="BX86" s="1872"/>
      <c r="BY86" s="1872"/>
      <c r="BZ86" s="1872"/>
      <c r="CA86" s="1872"/>
      <c r="CB86" s="1872"/>
      <c r="CC86" s="1872"/>
      <c r="CD86" s="1872"/>
      <c r="CE86" s="1872"/>
      <c r="CF86" s="1872"/>
      <c r="CG86" s="1872"/>
      <c r="CH86" s="1872"/>
      <c r="CI86" s="1872"/>
      <c r="CJ86" s="1872"/>
      <c r="CK86" s="1872"/>
      <c r="CL86" s="1872"/>
      <c r="CM86" s="1872"/>
      <c r="CN86" s="1872"/>
      <c r="CO86" s="1872"/>
      <c r="CP86" s="1872"/>
      <c r="CQ86" s="1872"/>
      <c r="CR86" s="1872"/>
      <c r="CS86" s="1872"/>
      <c r="CT86" s="1872"/>
      <c r="CU86" s="1872"/>
      <c r="CV86" s="1872"/>
      <c r="CW86" s="3677"/>
      <c r="CX86" s="1910"/>
      <c r="CY86" s="1910"/>
      <c r="CZ86" s="1910"/>
      <c r="DA86" s="1910"/>
      <c r="DB86" s="1910"/>
      <c r="DC86" s="1910"/>
      <c r="DD86" s="1910"/>
      <c r="DE86" s="1910"/>
      <c r="DF86" s="1911"/>
    </row>
    <row r="87" spans="1:110" s="1962" customFormat="1" ht="22.5" customHeight="1">
      <c r="A87" s="1926"/>
      <c r="B87" s="1910"/>
      <c r="C87" s="1764" t="s">
        <v>118</v>
      </c>
      <c r="D87" s="1941" t="s">
        <v>1451</v>
      </c>
      <c r="E87" s="1934" t="s">
        <v>307</v>
      </c>
      <c r="F87" s="1933" t="str">
        <f t="shared" si="17"/>
        <v>Гкал/час</v>
      </c>
      <c r="G87" s="1872"/>
      <c r="H87" s="1872"/>
      <c r="I87" s="1872"/>
      <c r="J87" s="1872"/>
      <c r="K87" s="1872"/>
      <c r="L87" s="1872"/>
      <c r="M87" s="1872"/>
      <c r="N87" s="1872"/>
      <c r="O87" s="1872"/>
      <c r="P87" s="1872"/>
      <c r="Q87" s="1872"/>
      <c r="R87" s="1872"/>
      <c r="S87" s="1872"/>
      <c r="T87" s="1872"/>
      <c r="U87" s="1872"/>
      <c r="V87" s="1872"/>
      <c r="W87" s="1872"/>
      <c r="X87" s="1872"/>
      <c r="Y87" s="1872"/>
      <c r="Z87" s="1872"/>
      <c r="AA87" s="1872"/>
      <c r="AB87" s="1872"/>
      <c r="AC87" s="1872"/>
      <c r="AD87" s="1872"/>
      <c r="AE87" s="1872"/>
      <c r="AF87" s="1872"/>
      <c r="AG87" s="1872"/>
      <c r="AH87" s="1872"/>
      <c r="AI87" s="1872"/>
      <c r="AJ87" s="1872"/>
      <c r="AK87" s="1872"/>
      <c r="AL87" s="1872"/>
      <c r="AM87" s="1872"/>
      <c r="AN87" s="1872"/>
      <c r="AO87" s="1872"/>
      <c r="AP87" s="1872"/>
      <c r="AQ87" s="1872"/>
      <c r="AR87" s="1872"/>
      <c r="AS87" s="1872"/>
      <c r="AT87" s="1872"/>
      <c r="AU87" s="1872"/>
      <c r="AV87" s="1872"/>
      <c r="AW87" s="1872"/>
      <c r="AX87" s="1872"/>
      <c r="AY87" s="1872"/>
      <c r="AZ87" s="1872"/>
      <c r="BA87" s="1872"/>
      <c r="BB87" s="1872"/>
      <c r="BC87" s="1872"/>
      <c r="BD87" s="1872"/>
      <c r="BE87" s="1872"/>
      <c r="BF87" s="1872"/>
      <c r="BG87" s="1872"/>
      <c r="BH87" s="1872"/>
      <c r="BI87" s="1872"/>
      <c r="BJ87" s="1872"/>
      <c r="BK87" s="1872"/>
      <c r="BL87" s="1872"/>
      <c r="BM87" s="1872"/>
      <c r="BN87" s="1872"/>
      <c r="BO87" s="1872"/>
      <c r="BP87" s="1872"/>
      <c r="BQ87" s="1872"/>
      <c r="BR87" s="1872"/>
      <c r="BS87" s="1872"/>
      <c r="BT87" s="1872"/>
      <c r="BU87" s="1872"/>
      <c r="BV87" s="1872">
        <v>0.41299999999999998</v>
      </c>
      <c r="BW87" s="1872"/>
      <c r="BX87" s="1872"/>
      <c r="BY87" s="1872"/>
      <c r="BZ87" s="1872"/>
      <c r="CA87" s="1872"/>
      <c r="CB87" s="1872"/>
      <c r="CC87" s="1872"/>
      <c r="CD87" s="1872"/>
      <c r="CE87" s="1872"/>
      <c r="CF87" s="1872"/>
      <c r="CG87" s="1872"/>
      <c r="CH87" s="1872"/>
      <c r="CI87" s="1872"/>
      <c r="CJ87" s="1872"/>
      <c r="CK87" s="1872"/>
      <c r="CL87" s="1872"/>
      <c r="CM87" s="1872"/>
      <c r="CN87" s="1872"/>
      <c r="CO87" s="1872"/>
      <c r="CP87" s="1872"/>
      <c r="CQ87" s="1872"/>
      <c r="CR87" s="1872"/>
      <c r="CS87" s="1872"/>
      <c r="CT87" s="1872"/>
      <c r="CU87" s="1872"/>
      <c r="CV87" s="1872"/>
      <c r="CW87" s="3677"/>
      <c r="CX87" s="1910"/>
      <c r="CY87" s="1910"/>
      <c r="CZ87" s="1910"/>
      <c r="DA87" s="1910"/>
      <c r="DB87" s="1910"/>
      <c r="DC87" s="1910"/>
      <c r="DD87" s="1910"/>
      <c r="DE87" s="1910"/>
      <c r="DF87" s="1911"/>
    </row>
    <row r="88" spans="1:110" s="1962" customFormat="1" ht="22.5" customHeight="1">
      <c r="A88" s="1926"/>
      <c r="B88" s="1910"/>
      <c r="C88" s="1764" t="s">
        <v>118</v>
      </c>
      <c r="D88" s="1941" t="s">
        <v>1452</v>
      </c>
      <c r="E88" s="1934" t="s">
        <v>310</v>
      </c>
      <c r="F88" s="1933" t="str">
        <f t="shared" si="17"/>
        <v>Гкал/час</v>
      </c>
      <c r="G88" s="1872"/>
      <c r="H88" s="1872"/>
      <c r="I88" s="1872"/>
      <c r="J88" s="1872"/>
      <c r="K88" s="1872"/>
      <c r="L88" s="1872"/>
      <c r="M88" s="1872"/>
      <c r="N88" s="1872"/>
      <c r="O88" s="1872"/>
      <c r="P88" s="1872"/>
      <c r="Q88" s="1872"/>
      <c r="R88" s="1872"/>
      <c r="S88" s="1872"/>
      <c r="T88" s="1872"/>
      <c r="U88" s="1872"/>
      <c r="V88" s="1872"/>
      <c r="W88" s="1872"/>
      <c r="X88" s="1872"/>
      <c r="Y88" s="1872"/>
      <c r="Z88" s="1872"/>
      <c r="AA88" s="1872"/>
      <c r="AB88" s="1872"/>
      <c r="AC88" s="1872"/>
      <c r="AD88" s="1872"/>
      <c r="AE88" s="1872"/>
      <c r="AF88" s="1872"/>
      <c r="AG88" s="1872"/>
      <c r="AH88" s="1872"/>
      <c r="AI88" s="1872"/>
      <c r="AJ88" s="1872"/>
      <c r="AK88" s="1872"/>
      <c r="AL88" s="1872"/>
      <c r="AM88" s="1872"/>
      <c r="AN88" s="1872"/>
      <c r="AO88" s="1872"/>
      <c r="AP88" s="1872"/>
      <c r="AQ88" s="1872"/>
      <c r="AR88" s="1872"/>
      <c r="AS88" s="1872"/>
      <c r="AT88" s="1872"/>
      <c r="AU88" s="1872"/>
      <c r="AV88" s="1872"/>
      <c r="AW88" s="1872"/>
      <c r="AX88" s="1872"/>
      <c r="AY88" s="1872"/>
      <c r="AZ88" s="1872"/>
      <c r="BA88" s="1872"/>
      <c r="BB88" s="1872"/>
      <c r="BC88" s="1872"/>
      <c r="BD88" s="1872"/>
      <c r="BE88" s="1872"/>
      <c r="BF88" s="1872"/>
      <c r="BG88" s="1872"/>
      <c r="BH88" s="1872"/>
      <c r="BI88" s="1872"/>
      <c r="BJ88" s="1872"/>
      <c r="BK88" s="1872"/>
      <c r="BL88" s="1872"/>
      <c r="BM88" s="1872"/>
      <c r="BN88" s="1872"/>
      <c r="BO88" s="1872"/>
      <c r="BP88" s="1872"/>
      <c r="BQ88" s="1872"/>
      <c r="BR88" s="1872"/>
      <c r="BS88" s="1872"/>
      <c r="BT88" s="1872"/>
      <c r="BU88" s="1872"/>
      <c r="BV88" s="1872"/>
      <c r="BW88" s="1872">
        <v>1.712</v>
      </c>
      <c r="BX88" s="1872"/>
      <c r="BY88" s="1872"/>
      <c r="BZ88" s="1872"/>
      <c r="CA88" s="1872"/>
      <c r="CB88" s="1872"/>
      <c r="CC88" s="1872"/>
      <c r="CD88" s="1872"/>
      <c r="CE88" s="1872"/>
      <c r="CF88" s="1872"/>
      <c r="CG88" s="1872"/>
      <c r="CH88" s="1872"/>
      <c r="CI88" s="1872"/>
      <c r="CJ88" s="1872"/>
      <c r="CK88" s="1872"/>
      <c r="CL88" s="1872"/>
      <c r="CM88" s="1872"/>
      <c r="CN88" s="1872"/>
      <c r="CO88" s="1872"/>
      <c r="CP88" s="1872"/>
      <c r="CQ88" s="1872"/>
      <c r="CR88" s="1872"/>
      <c r="CS88" s="1872"/>
      <c r="CT88" s="1872"/>
      <c r="CU88" s="1872"/>
      <c r="CV88" s="1872"/>
      <c r="CW88" s="3677"/>
      <c r="CX88" s="1910"/>
      <c r="CY88" s="1910"/>
      <c r="CZ88" s="1910"/>
      <c r="DA88" s="1910"/>
      <c r="DB88" s="1910"/>
      <c r="DC88" s="1910"/>
      <c r="DD88" s="1910"/>
      <c r="DE88" s="1910"/>
      <c r="DF88" s="1911"/>
    </row>
    <row r="89" spans="1:110" s="1962" customFormat="1" ht="22.5" customHeight="1">
      <c r="A89" s="1926"/>
      <c r="B89" s="1910"/>
      <c r="C89" s="1764" t="s">
        <v>118</v>
      </c>
      <c r="D89" s="1941" t="s">
        <v>1453</v>
      </c>
      <c r="E89" s="1934" t="s">
        <v>313</v>
      </c>
      <c r="F89" s="1933" t="str">
        <f t="shared" si="17"/>
        <v>Гкал/час</v>
      </c>
      <c r="G89" s="1872"/>
      <c r="H89" s="1872"/>
      <c r="I89" s="1872"/>
      <c r="J89" s="1872"/>
      <c r="K89" s="1872"/>
      <c r="L89" s="1872"/>
      <c r="M89" s="1872"/>
      <c r="N89" s="1872"/>
      <c r="O89" s="1872"/>
      <c r="P89" s="1872"/>
      <c r="Q89" s="1872"/>
      <c r="R89" s="1872"/>
      <c r="S89" s="1872"/>
      <c r="T89" s="1872"/>
      <c r="U89" s="1872"/>
      <c r="V89" s="1872"/>
      <c r="W89" s="1872"/>
      <c r="X89" s="1872"/>
      <c r="Y89" s="1872"/>
      <c r="Z89" s="1872"/>
      <c r="AA89" s="1872"/>
      <c r="AB89" s="1872"/>
      <c r="AC89" s="1872"/>
      <c r="AD89" s="1872"/>
      <c r="AE89" s="1872"/>
      <c r="AF89" s="1872"/>
      <c r="AG89" s="1872"/>
      <c r="AH89" s="1872"/>
      <c r="AI89" s="1872"/>
      <c r="AJ89" s="1872"/>
      <c r="AK89" s="1872"/>
      <c r="AL89" s="1872"/>
      <c r="AM89" s="1872"/>
      <c r="AN89" s="1872"/>
      <c r="AO89" s="1872"/>
      <c r="AP89" s="1872"/>
      <c r="AQ89" s="1872"/>
      <c r="AR89" s="1872"/>
      <c r="AS89" s="1872"/>
      <c r="AT89" s="1872"/>
      <c r="AU89" s="1872"/>
      <c r="AV89" s="1872"/>
      <c r="AW89" s="1872"/>
      <c r="AX89" s="1872"/>
      <c r="AY89" s="1872"/>
      <c r="AZ89" s="1872"/>
      <c r="BA89" s="1872"/>
      <c r="BB89" s="1872"/>
      <c r="BC89" s="1872"/>
      <c r="BD89" s="1872"/>
      <c r="BE89" s="1872"/>
      <c r="BF89" s="1872"/>
      <c r="BG89" s="1872"/>
      <c r="BH89" s="1872"/>
      <c r="BI89" s="1872"/>
      <c r="BJ89" s="1872"/>
      <c r="BK89" s="1872"/>
      <c r="BL89" s="1872"/>
      <c r="BM89" s="1872"/>
      <c r="BN89" s="1872"/>
      <c r="BO89" s="1872"/>
      <c r="BP89" s="1872"/>
      <c r="BQ89" s="1872"/>
      <c r="BR89" s="1872"/>
      <c r="BS89" s="1872"/>
      <c r="BT89" s="1872"/>
      <c r="BU89" s="1872"/>
      <c r="BV89" s="1872"/>
      <c r="BW89" s="1872"/>
      <c r="BX89" s="1872">
        <v>0.188</v>
      </c>
      <c r="BY89" s="1872"/>
      <c r="BZ89" s="1872"/>
      <c r="CA89" s="1872"/>
      <c r="CB89" s="1872"/>
      <c r="CC89" s="1872"/>
      <c r="CD89" s="1872"/>
      <c r="CE89" s="1872"/>
      <c r="CF89" s="1872"/>
      <c r="CG89" s="1872"/>
      <c r="CH89" s="1872"/>
      <c r="CI89" s="1872"/>
      <c r="CJ89" s="1872"/>
      <c r="CK89" s="1872"/>
      <c r="CL89" s="1872"/>
      <c r="CM89" s="1872"/>
      <c r="CN89" s="1872"/>
      <c r="CO89" s="1872"/>
      <c r="CP89" s="1872"/>
      <c r="CQ89" s="1872"/>
      <c r="CR89" s="1872"/>
      <c r="CS89" s="1872"/>
      <c r="CT89" s="1872"/>
      <c r="CU89" s="1872"/>
      <c r="CV89" s="1872"/>
      <c r="CW89" s="3677"/>
      <c r="CX89" s="1910"/>
      <c r="CY89" s="1910"/>
      <c r="CZ89" s="1910"/>
      <c r="DA89" s="1910"/>
      <c r="DB89" s="1910"/>
      <c r="DC89" s="1910"/>
      <c r="DD89" s="1910"/>
      <c r="DE89" s="1910"/>
      <c r="DF89" s="1911"/>
    </row>
    <row r="90" spans="1:110" s="1962" customFormat="1" ht="22.5" customHeight="1">
      <c r="A90" s="1926"/>
      <c r="B90" s="1910"/>
      <c r="C90" s="1764" t="s">
        <v>118</v>
      </c>
      <c r="D90" s="1941" t="s">
        <v>1454</v>
      </c>
      <c r="E90" s="1934" t="s">
        <v>316</v>
      </c>
      <c r="F90" s="1933" t="str">
        <f t="shared" si="17"/>
        <v>Гкал/час</v>
      </c>
      <c r="G90" s="1872"/>
      <c r="H90" s="1872"/>
      <c r="I90" s="1872"/>
      <c r="J90" s="1872"/>
      <c r="K90" s="1872"/>
      <c r="L90" s="1872"/>
      <c r="M90" s="1872"/>
      <c r="N90" s="1872"/>
      <c r="O90" s="1872"/>
      <c r="P90" s="1872"/>
      <c r="Q90" s="1872"/>
      <c r="R90" s="1872"/>
      <c r="S90" s="1872"/>
      <c r="T90" s="1872"/>
      <c r="U90" s="1872"/>
      <c r="V90" s="1872"/>
      <c r="W90" s="1872"/>
      <c r="X90" s="1872"/>
      <c r="Y90" s="1872"/>
      <c r="Z90" s="1872"/>
      <c r="AA90" s="1872"/>
      <c r="AB90" s="1872"/>
      <c r="AC90" s="1872"/>
      <c r="AD90" s="1872"/>
      <c r="AE90" s="1872"/>
      <c r="AF90" s="1872"/>
      <c r="AG90" s="1872"/>
      <c r="AH90" s="1872"/>
      <c r="AI90" s="1872"/>
      <c r="AJ90" s="1872"/>
      <c r="AK90" s="1872"/>
      <c r="AL90" s="1872"/>
      <c r="AM90" s="1872"/>
      <c r="AN90" s="1872"/>
      <c r="AO90" s="1872"/>
      <c r="AP90" s="1872"/>
      <c r="AQ90" s="1872"/>
      <c r="AR90" s="1872"/>
      <c r="AS90" s="1872"/>
      <c r="AT90" s="1872"/>
      <c r="AU90" s="1872"/>
      <c r="AV90" s="1872"/>
      <c r="AW90" s="1872"/>
      <c r="AX90" s="1872"/>
      <c r="AY90" s="1872"/>
      <c r="AZ90" s="1872"/>
      <c r="BA90" s="1872"/>
      <c r="BB90" s="1872"/>
      <c r="BC90" s="1872"/>
      <c r="BD90" s="1872"/>
      <c r="BE90" s="1872"/>
      <c r="BF90" s="1872"/>
      <c r="BG90" s="1872"/>
      <c r="BH90" s="1872"/>
      <c r="BI90" s="1872"/>
      <c r="BJ90" s="1872"/>
      <c r="BK90" s="1872"/>
      <c r="BL90" s="1872"/>
      <c r="BM90" s="1872"/>
      <c r="BN90" s="1872"/>
      <c r="BO90" s="1872"/>
      <c r="BP90" s="1872"/>
      <c r="BQ90" s="1872"/>
      <c r="BR90" s="1872"/>
      <c r="BS90" s="1872"/>
      <c r="BT90" s="1872"/>
      <c r="BU90" s="1872"/>
      <c r="BV90" s="1872"/>
      <c r="BW90" s="1872"/>
      <c r="BX90" s="1872"/>
      <c r="BY90" s="1872">
        <v>0.01</v>
      </c>
      <c r="BZ90" s="1872"/>
      <c r="CA90" s="1872"/>
      <c r="CB90" s="1872"/>
      <c r="CC90" s="1872"/>
      <c r="CD90" s="1872"/>
      <c r="CE90" s="1872"/>
      <c r="CF90" s="1872"/>
      <c r="CG90" s="1872"/>
      <c r="CH90" s="1872"/>
      <c r="CI90" s="1872"/>
      <c r="CJ90" s="1872"/>
      <c r="CK90" s="1872"/>
      <c r="CL90" s="1872"/>
      <c r="CM90" s="1872"/>
      <c r="CN90" s="1872"/>
      <c r="CO90" s="1872"/>
      <c r="CP90" s="1872"/>
      <c r="CQ90" s="1872"/>
      <c r="CR90" s="1872"/>
      <c r="CS90" s="1872"/>
      <c r="CT90" s="1872"/>
      <c r="CU90" s="1872"/>
      <c r="CV90" s="1872"/>
      <c r="CW90" s="3677"/>
      <c r="CX90" s="1910"/>
      <c r="CY90" s="1910"/>
      <c r="CZ90" s="1910"/>
      <c r="DA90" s="1910"/>
      <c r="DB90" s="1910"/>
      <c r="DC90" s="1910"/>
      <c r="DD90" s="1910"/>
      <c r="DE90" s="1910"/>
      <c r="DF90" s="1911"/>
    </row>
    <row r="91" spans="1:110" s="1962" customFormat="1" ht="22.5" customHeight="1">
      <c r="A91" s="1926"/>
      <c r="B91" s="1910"/>
      <c r="C91" s="1764" t="s">
        <v>118</v>
      </c>
      <c r="D91" s="1941" t="s">
        <v>1455</v>
      </c>
      <c r="E91" s="1934" t="s">
        <v>319</v>
      </c>
      <c r="F91" s="1933" t="str">
        <f t="shared" si="17"/>
        <v>Гкал/час</v>
      </c>
      <c r="G91" s="1872"/>
      <c r="H91" s="1872"/>
      <c r="I91" s="1872"/>
      <c r="J91" s="1872"/>
      <c r="K91" s="1872"/>
      <c r="L91" s="1872"/>
      <c r="M91" s="1872"/>
      <c r="N91" s="1872"/>
      <c r="O91" s="1872"/>
      <c r="P91" s="1872"/>
      <c r="Q91" s="1872"/>
      <c r="R91" s="1872"/>
      <c r="S91" s="1872"/>
      <c r="T91" s="1872"/>
      <c r="U91" s="1872"/>
      <c r="V91" s="1872"/>
      <c r="W91" s="1872"/>
      <c r="X91" s="1872"/>
      <c r="Y91" s="1872"/>
      <c r="Z91" s="1872"/>
      <c r="AA91" s="1872"/>
      <c r="AB91" s="1872"/>
      <c r="AC91" s="1872"/>
      <c r="AD91" s="1872"/>
      <c r="AE91" s="1872"/>
      <c r="AF91" s="1872"/>
      <c r="AG91" s="1872"/>
      <c r="AH91" s="1872"/>
      <c r="AI91" s="1872"/>
      <c r="AJ91" s="1872"/>
      <c r="AK91" s="1872"/>
      <c r="AL91" s="1872"/>
      <c r="AM91" s="1872"/>
      <c r="AN91" s="1872"/>
      <c r="AO91" s="1872"/>
      <c r="AP91" s="1872"/>
      <c r="AQ91" s="1872"/>
      <c r="AR91" s="1872"/>
      <c r="AS91" s="1872"/>
      <c r="AT91" s="1872"/>
      <c r="AU91" s="1872"/>
      <c r="AV91" s="1872"/>
      <c r="AW91" s="1872"/>
      <c r="AX91" s="1872"/>
      <c r="AY91" s="1872"/>
      <c r="AZ91" s="1872"/>
      <c r="BA91" s="1872"/>
      <c r="BB91" s="1872"/>
      <c r="BC91" s="1872"/>
      <c r="BD91" s="1872"/>
      <c r="BE91" s="1872"/>
      <c r="BF91" s="1872"/>
      <c r="BG91" s="1872"/>
      <c r="BH91" s="1872"/>
      <c r="BI91" s="1872"/>
      <c r="BJ91" s="1872"/>
      <c r="BK91" s="1872"/>
      <c r="BL91" s="1872"/>
      <c r="BM91" s="1872"/>
      <c r="BN91" s="1872"/>
      <c r="BO91" s="1872"/>
      <c r="BP91" s="1872"/>
      <c r="BQ91" s="1872"/>
      <c r="BR91" s="1872"/>
      <c r="BS91" s="1872"/>
      <c r="BT91" s="1872"/>
      <c r="BU91" s="1872"/>
      <c r="BV91" s="1872"/>
      <c r="BW91" s="1872"/>
      <c r="BX91" s="1872"/>
      <c r="BY91" s="1872"/>
      <c r="BZ91" s="1872">
        <v>0</v>
      </c>
      <c r="CA91" s="1872"/>
      <c r="CB91" s="1872"/>
      <c r="CC91" s="1872"/>
      <c r="CD91" s="1872"/>
      <c r="CE91" s="1872"/>
      <c r="CF91" s="1872"/>
      <c r="CG91" s="1872"/>
      <c r="CH91" s="1872"/>
      <c r="CI91" s="1872"/>
      <c r="CJ91" s="1872"/>
      <c r="CK91" s="1872"/>
      <c r="CL91" s="1872"/>
      <c r="CM91" s="1872"/>
      <c r="CN91" s="1872"/>
      <c r="CO91" s="1872"/>
      <c r="CP91" s="1872"/>
      <c r="CQ91" s="1872"/>
      <c r="CR91" s="1872"/>
      <c r="CS91" s="1872"/>
      <c r="CT91" s="1872"/>
      <c r="CU91" s="1872"/>
      <c r="CV91" s="1872"/>
      <c r="CW91" s="3677"/>
      <c r="CX91" s="1910"/>
      <c r="CY91" s="1910"/>
      <c r="CZ91" s="1910"/>
      <c r="DA91" s="1910"/>
      <c r="DB91" s="1910"/>
      <c r="DC91" s="1910"/>
      <c r="DD91" s="1910"/>
      <c r="DE91" s="1910"/>
      <c r="DF91" s="1911"/>
    </row>
    <row r="92" spans="1:110" s="1962" customFormat="1" ht="22.5" customHeight="1">
      <c r="A92" s="1926"/>
      <c r="B92" s="1910"/>
      <c r="C92" s="1764" t="s">
        <v>118</v>
      </c>
      <c r="D92" s="1941" t="s">
        <v>1456</v>
      </c>
      <c r="E92" s="1934" t="s">
        <v>322</v>
      </c>
      <c r="F92" s="1933" t="str">
        <f t="shared" si="17"/>
        <v>Гкал/час</v>
      </c>
      <c r="G92" s="1872"/>
      <c r="H92" s="1872"/>
      <c r="I92" s="1872"/>
      <c r="J92" s="1872"/>
      <c r="K92" s="1872"/>
      <c r="L92" s="1872"/>
      <c r="M92" s="1872"/>
      <c r="N92" s="1872"/>
      <c r="O92" s="1872"/>
      <c r="P92" s="1872"/>
      <c r="Q92" s="1872"/>
      <c r="R92" s="1872"/>
      <c r="S92" s="1872"/>
      <c r="T92" s="1872"/>
      <c r="U92" s="1872"/>
      <c r="V92" s="1872"/>
      <c r="W92" s="1872"/>
      <c r="X92" s="1872"/>
      <c r="Y92" s="1872"/>
      <c r="Z92" s="1872"/>
      <c r="AA92" s="1872"/>
      <c r="AB92" s="1872"/>
      <c r="AC92" s="1872"/>
      <c r="AD92" s="1872"/>
      <c r="AE92" s="1872"/>
      <c r="AF92" s="1872"/>
      <c r="AG92" s="1872"/>
      <c r="AH92" s="1872"/>
      <c r="AI92" s="1872"/>
      <c r="AJ92" s="1872"/>
      <c r="AK92" s="1872"/>
      <c r="AL92" s="1872"/>
      <c r="AM92" s="1872"/>
      <c r="AN92" s="1872"/>
      <c r="AO92" s="1872"/>
      <c r="AP92" s="1872"/>
      <c r="AQ92" s="1872"/>
      <c r="AR92" s="1872"/>
      <c r="AS92" s="1872"/>
      <c r="AT92" s="1872"/>
      <c r="AU92" s="1872"/>
      <c r="AV92" s="1872"/>
      <c r="AW92" s="1872"/>
      <c r="AX92" s="1872"/>
      <c r="AY92" s="1872"/>
      <c r="AZ92" s="1872"/>
      <c r="BA92" s="1872"/>
      <c r="BB92" s="1872"/>
      <c r="BC92" s="1872"/>
      <c r="BD92" s="1872"/>
      <c r="BE92" s="1872"/>
      <c r="BF92" s="1872"/>
      <c r="BG92" s="1872"/>
      <c r="BH92" s="1872"/>
      <c r="BI92" s="1872"/>
      <c r="BJ92" s="1872"/>
      <c r="BK92" s="1872"/>
      <c r="BL92" s="1872"/>
      <c r="BM92" s="1872"/>
      <c r="BN92" s="1872"/>
      <c r="BO92" s="1872"/>
      <c r="BP92" s="1872"/>
      <c r="BQ92" s="1872"/>
      <c r="BR92" s="1872"/>
      <c r="BS92" s="1872"/>
      <c r="BT92" s="1872"/>
      <c r="BU92" s="1872"/>
      <c r="BV92" s="1872"/>
      <c r="BW92" s="1872"/>
      <c r="BX92" s="1872"/>
      <c r="BY92" s="1872"/>
      <c r="BZ92" s="1872"/>
      <c r="CA92" s="1872">
        <v>0</v>
      </c>
      <c r="CB92" s="1872"/>
      <c r="CC92" s="1872"/>
      <c r="CD92" s="1872"/>
      <c r="CE92" s="1872"/>
      <c r="CF92" s="1872"/>
      <c r="CG92" s="1872"/>
      <c r="CH92" s="1872"/>
      <c r="CI92" s="1872"/>
      <c r="CJ92" s="1872"/>
      <c r="CK92" s="1872"/>
      <c r="CL92" s="1872"/>
      <c r="CM92" s="1872"/>
      <c r="CN92" s="1872"/>
      <c r="CO92" s="1872"/>
      <c r="CP92" s="1872"/>
      <c r="CQ92" s="1872"/>
      <c r="CR92" s="1872"/>
      <c r="CS92" s="1872"/>
      <c r="CT92" s="1872"/>
      <c r="CU92" s="1872"/>
      <c r="CV92" s="1872"/>
      <c r="CW92" s="3677"/>
      <c r="CX92" s="1910"/>
      <c r="CY92" s="1910"/>
      <c r="CZ92" s="1910"/>
      <c r="DA92" s="1910"/>
      <c r="DB92" s="1910"/>
      <c r="DC92" s="1910"/>
      <c r="DD92" s="1910"/>
      <c r="DE92" s="1910"/>
      <c r="DF92" s="1911"/>
    </row>
    <row r="93" spans="1:110" s="1962" customFormat="1" ht="22.5" customHeight="1">
      <c r="A93" s="1926"/>
      <c r="B93" s="1910"/>
      <c r="C93" s="1764" t="s">
        <v>118</v>
      </c>
      <c r="D93" s="1941" t="s">
        <v>1457</v>
      </c>
      <c r="E93" s="1934" t="s">
        <v>325</v>
      </c>
      <c r="F93" s="1933" t="str">
        <f t="shared" si="17"/>
        <v>Гкал/час</v>
      </c>
      <c r="G93" s="1872"/>
      <c r="H93" s="1872"/>
      <c r="I93" s="1872"/>
      <c r="J93" s="1872"/>
      <c r="K93" s="1872"/>
      <c r="L93" s="1872"/>
      <c r="M93" s="1872"/>
      <c r="N93" s="1872"/>
      <c r="O93" s="1872"/>
      <c r="P93" s="1872"/>
      <c r="Q93" s="1872"/>
      <c r="R93" s="1872"/>
      <c r="S93" s="1872"/>
      <c r="T93" s="1872"/>
      <c r="U93" s="1872"/>
      <c r="V93" s="1872"/>
      <c r="W93" s="1872"/>
      <c r="X93" s="1872"/>
      <c r="Y93" s="1872"/>
      <c r="Z93" s="1872"/>
      <c r="AA93" s="1872"/>
      <c r="AB93" s="1872"/>
      <c r="AC93" s="1872"/>
      <c r="AD93" s="1872"/>
      <c r="AE93" s="1872"/>
      <c r="AF93" s="1872"/>
      <c r="AG93" s="1872"/>
      <c r="AH93" s="1872"/>
      <c r="AI93" s="1872"/>
      <c r="AJ93" s="1872"/>
      <c r="AK93" s="1872"/>
      <c r="AL93" s="1872"/>
      <c r="AM93" s="1872"/>
      <c r="AN93" s="1872"/>
      <c r="AO93" s="1872"/>
      <c r="AP93" s="1872"/>
      <c r="AQ93" s="1872"/>
      <c r="AR93" s="1872"/>
      <c r="AS93" s="1872"/>
      <c r="AT93" s="1872"/>
      <c r="AU93" s="1872"/>
      <c r="AV93" s="1872"/>
      <c r="AW93" s="1872"/>
      <c r="AX93" s="1872"/>
      <c r="AY93" s="1872"/>
      <c r="AZ93" s="1872"/>
      <c r="BA93" s="1872"/>
      <c r="BB93" s="1872"/>
      <c r="BC93" s="1872"/>
      <c r="BD93" s="1872"/>
      <c r="BE93" s="1872"/>
      <c r="BF93" s="1872"/>
      <c r="BG93" s="1872"/>
      <c r="BH93" s="1872"/>
      <c r="BI93" s="1872"/>
      <c r="BJ93" s="1872"/>
      <c r="BK93" s="1872"/>
      <c r="BL93" s="1872"/>
      <c r="BM93" s="1872"/>
      <c r="BN93" s="1872"/>
      <c r="BO93" s="1872"/>
      <c r="BP93" s="1872"/>
      <c r="BQ93" s="1872"/>
      <c r="BR93" s="1872"/>
      <c r="BS93" s="1872"/>
      <c r="BT93" s="1872"/>
      <c r="BU93" s="1872"/>
      <c r="BV93" s="1872"/>
      <c r="BW93" s="1872"/>
      <c r="BX93" s="1872"/>
      <c r="BY93" s="1872"/>
      <c r="BZ93" s="1872"/>
      <c r="CA93" s="1872"/>
      <c r="CB93" s="1872">
        <v>4.8000000000000001E-2</v>
      </c>
      <c r="CC93" s="1872"/>
      <c r="CD93" s="1872"/>
      <c r="CE93" s="1872"/>
      <c r="CF93" s="1872"/>
      <c r="CG93" s="1872"/>
      <c r="CH93" s="1872"/>
      <c r="CI93" s="1872"/>
      <c r="CJ93" s="1872"/>
      <c r="CK93" s="1872"/>
      <c r="CL93" s="1872"/>
      <c r="CM93" s="1872"/>
      <c r="CN93" s="1872"/>
      <c r="CO93" s="1872"/>
      <c r="CP93" s="1872"/>
      <c r="CQ93" s="1872"/>
      <c r="CR93" s="1872"/>
      <c r="CS93" s="1872"/>
      <c r="CT93" s="1872"/>
      <c r="CU93" s="1872"/>
      <c r="CV93" s="1872"/>
      <c r="CW93" s="3677"/>
      <c r="CX93" s="1910"/>
      <c r="CY93" s="1910"/>
      <c r="CZ93" s="1910"/>
      <c r="DA93" s="1910"/>
      <c r="DB93" s="1910"/>
      <c r="DC93" s="1910"/>
      <c r="DD93" s="1910"/>
      <c r="DE93" s="1910"/>
      <c r="DF93" s="1911"/>
    </row>
    <row r="94" spans="1:110" s="1962" customFormat="1" ht="22.5" customHeight="1">
      <c r="A94" s="1926"/>
      <c r="B94" s="1910"/>
      <c r="C94" s="1764" t="s">
        <v>118</v>
      </c>
      <c r="D94" s="1941" t="s">
        <v>1458</v>
      </c>
      <c r="E94" s="1934" t="s">
        <v>328</v>
      </c>
      <c r="F94" s="1933" t="str">
        <f t="shared" si="17"/>
        <v>Гкал/час</v>
      </c>
      <c r="G94" s="1872"/>
      <c r="H94" s="1872"/>
      <c r="I94" s="1872"/>
      <c r="J94" s="1872"/>
      <c r="K94" s="1872"/>
      <c r="L94" s="1872"/>
      <c r="M94" s="1872"/>
      <c r="N94" s="1872"/>
      <c r="O94" s="1872"/>
      <c r="P94" s="1872"/>
      <c r="Q94" s="1872"/>
      <c r="R94" s="1872"/>
      <c r="S94" s="1872"/>
      <c r="T94" s="1872"/>
      <c r="U94" s="1872"/>
      <c r="V94" s="1872"/>
      <c r="W94" s="1872"/>
      <c r="X94" s="1872"/>
      <c r="Y94" s="1872"/>
      <c r="Z94" s="1872"/>
      <c r="AA94" s="1872"/>
      <c r="AB94" s="1872"/>
      <c r="AC94" s="1872"/>
      <c r="AD94" s="1872"/>
      <c r="AE94" s="1872"/>
      <c r="AF94" s="1872"/>
      <c r="AG94" s="1872"/>
      <c r="AH94" s="1872"/>
      <c r="AI94" s="1872"/>
      <c r="AJ94" s="1872"/>
      <c r="AK94" s="1872"/>
      <c r="AL94" s="1872"/>
      <c r="AM94" s="1872"/>
      <c r="AN94" s="1872"/>
      <c r="AO94" s="1872"/>
      <c r="AP94" s="1872"/>
      <c r="AQ94" s="1872"/>
      <c r="AR94" s="1872"/>
      <c r="AS94" s="1872"/>
      <c r="AT94" s="1872"/>
      <c r="AU94" s="1872"/>
      <c r="AV94" s="1872"/>
      <c r="AW94" s="1872"/>
      <c r="AX94" s="1872"/>
      <c r="AY94" s="1872"/>
      <c r="AZ94" s="1872"/>
      <c r="BA94" s="1872"/>
      <c r="BB94" s="1872"/>
      <c r="BC94" s="1872"/>
      <c r="BD94" s="1872"/>
      <c r="BE94" s="1872"/>
      <c r="BF94" s="1872"/>
      <c r="BG94" s="1872"/>
      <c r="BH94" s="1872"/>
      <c r="BI94" s="1872"/>
      <c r="BJ94" s="1872"/>
      <c r="BK94" s="1872"/>
      <c r="BL94" s="1872"/>
      <c r="BM94" s="1872"/>
      <c r="BN94" s="1872"/>
      <c r="BO94" s="1872"/>
      <c r="BP94" s="1872"/>
      <c r="BQ94" s="1872"/>
      <c r="BR94" s="1872"/>
      <c r="BS94" s="1872"/>
      <c r="BT94" s="1872"/>
      <c r="BU94" s="1872"/>
      <c r="BV94" s="1872"/>
      <c r="BW94" s="1872"/>
      <c r="BX94" s="1872"/>
      <c r="BY94" s="1872"/>
      <c r="BZ94" s="1872"/>
      <c r="CA94" s="1872"/>
      <c r="CB94" s="1872"/>
      <c r="CC94" s="1872">
        <v>0</v>
      </c>
      <c r="CD94" s="1872"/>
      <c r="CE94" s="1872"/>
      <c r="CF94" s="1872"/>
      <c r="CG94" s="1872"/>
      <c r="CH94" s="1872"/>
      <c r="CI94" s="1872"/>
      <c r="CJ94" s="1872"/>
      <c r="CK94" s="1872"/>
      <c r="CL94" s="1872"/>
      <c r="CM94" s="1872"/>
      <c r="CN94" s="1872"/>
      <c r="CO94" s="1872"/>
      <c r="CP94" s="1872"/>
      <c r="CQ94" s="1872"/>
      <c r="CR94" s="1872"/>
      <c r="CS94" s="1872"/>
      <c r="CT94" s="1872"/>
      <c r="CU94" s="1872"/>
      <c r="CV94" s="1872"/>
      <c r="CW94" s="3677"/>
      <c r="CX94" s="1910"/>
      <c r="CY94" s="1910"/>
      <c r="CZ94" s="1910"/>
      <c r="DA94" s="1910"/>
      <c r="DB94" s="1910"/>
      <c r="DC94" s="1910"/>
      <c r="DD94" s="1910"/>
      <c r="DE94" s="1910"/>
      <c r="DF94" s="1911"/>
    </row>
    <row r="95" spans="1:110" s="1962" customFormat="1" ht="22.5" customHeight="1">
      <c r="A95" s="1926"/>
      <c r="B95" s="1910"/>
      <c r="C95" s="1764" t="s">
        <v>118</v>
      </c>
      <c r="D95" s="1941" t="s">
        <v>1459</v>
      </c>
      <c r="E95" s="1934" t="s">
        <v>331</v>
      </c>
      <c r="F95" s="1933" t="str">
        <f t="shared" si="17"/>
        <v>Гкал/час</v>
      </c>
      <c r="G95" s="1872"/>
      <c r="H95" s="1872"/>
      <c r="I95" s="1872"/>
      <c r="J95" s="1872"/>
      <c r="K95" s="1872"/>
      <c r="L95" s="1872"/>
      <c r="M95" s="1872"/>
      <c r="N95" s="1872"/>
      <c r="O95" s="1872"/>
      <c r="P95" s="1872"/>
      <c r="Q95" s="1872"/>
      <c r="R95" s="1872"/>
      <c r="S95" s="1872"/>
      <c r="T95" s="1872"/>
      <c r="U95" s="1872"/>
      <c r="V95" s="1872"/>
      <c r="W95" s="1872"/>
      <c r="X95" s="1872"/>
      <c r="Y95" s="1872"/>
      <c r="Z95" s="1872"/>
      <c r="AA95" s="1872"/>
      <c r="AB95" s="1872"/>
      <c r="AC95" s="1872"/>
      <c r="AD95" s="1872"/>
      <c r="AE95" s="1872"/>
      <c r="AF95" s="1872"/>
      <c r="AG95" s="1872"/>
      <c r="AH95" s="1872"/>
      <c r="AI95" s="1872"/>
      <c r="AJ95" s="1872"/>
      <c r="AK95" s="1872"/>
      <c r="AL95" s="1872"/>
      <c r="AM95" s="1872"/>
      <c r="AN95" s="1872"/>
      <c r="AO95" s="1872"/>
      <c r="AP95" s="1872"/>
      <c r="AQ95" s="1872"/>
      <c r="AR95" s="1872"/>
      <c r="AS95" s="1872"/>
      <c r="AT95" s="1872"/>
      <c r="AU95" s="1872"/>
      <c r="AV95" s="1872"/>
      <c r="AW95" s="1872"/>
      <c r="AX95" s="1872"/>
      <c r="AY95" s="1872"/>
      <c r="AZ95" s="1872"/>
      <c r="BA95" s="1872"/>
      <c r="BB95" s="1872"/>
      <c r="BC95" s="1872"/>
      <c r="BD95" s="1872"/>
      <c r="BE95" s="1872"/>
      <c r="BF95" s="1872"/>
      <c r="BG95" s="1872"/>
      <c r="BH95" s="1872"/>
      <c r="BI95" s="1872"/>
      <c r="BJ95" s="1872"/>
      <c r="BK95" s="1872"/>
      <c r="BL95" s="1872"/>
      <c r="BM95" s="1872"/>
      <c r="BN95" s="1872"/>
      <c r="BO95" s="1872"/>
      <c r="BP95" s="1872"/>
      <c r="BQ95" s="1872"/>
      <c r="BR95" s="1872"/>
      <c r="BS95" s="1872"/>
      <c r="BT95" s="1872"/>
      <c r="BU95" s="1872"/>
      <c r="BV95" s="1872"/>
      <c r="BW95" s="1872"/>
      <c r="BX95" s="1872"/>
      <c r="BY95" s="1872"/>
      <c r="BZ95" s="1872"/>
      <c r="CA95" s="1872"/>
      <c r="CB95" s="1872"/>
      <c r="CC95" s="1872"/>
      <c r="CD95" s="1872">
        <v>6.7000000000000004E-2</v>
      </c>
      <c r="CE95" s="1872"/>
      <c r="CF95" s="1872"/>
      <c r="CG95" s="1872"/>
      <c r="CH95" s="1872"/>
      <c r="CI95" s="1872"/>
      <c r="CJ95" s="1872"/>
      <c r="CK95" s="1872"/>
      <c r="CL95" s="1872"/>
      <c r="CM95" s="1872"/>
      <c r="CN95" s="1872"/>
      <c r="CO95" s="1872"/>
      <c r="CP95" s="1872"/>
      <c r="CQ95" s="1872"/>
      <c r="CR95" s="1872"/>
      <c r="CS95" s="1872"/>
      <c r="CT95" s="1872"/>
      <c r="CU95" s="1872"/>
      <c r="CV95" s="1872"/>
      <c r="CW95" s="3677"/>
      <c r="CX95" s="1910"/>
      <c r="CY95" s="1910"/>
      <c r="CZ95" s="1910"/>
      <c r="DA95" s="1910"/>
      <c r="DB95" s="1910"/>
      <c r="DC95" s="1910"/>
      <c r="DD95" s="1910"/>
      <c r="DE95" s="1910"/>
      <c r="DF95" s="1911"/>
    </row>
    <row r="96" spans="1:110" s="1962" customFormat="1" ht="22.5" customHeight="1">
      <c r="A96" s="1926"/>
      <c r="B96" s="1910"/>
      <c r="C96" s="1764" t="s">
        <v>118</v>
      </c>
      <c r="D96" s="1941" t="s">
        <v>1460</v>
      </c>
      <c r="E96" s="1934" t="s">
        <v>334</v>
      </c>
      <c r="F96" s="1933" t="str">
        <f t="shared" si="17"/>
        <v>Гкал/час</v>
      </c>
      <c r="G96" s="1872"/>
      <c r="H96" s="1872"/>
      <c r="I96" s="1872"/>
      <c r="J96" s="1872"/>
      <c r="K96" s="1872"/>
      <c r="L96" s="1872"/>
      <c r="M96" s="1872"/>
      <c r="N96" s="1872"/>
      <c r="O96" s="1872"/>
      <c r="P96" s="1872"/>
      <c r="Q96" s="1872"/>
      <c r="R96" s="1872"/>
      <c r="S96" s="1872"/>
      <c r="T96" s="1872"/>
      <c r="U96" s="1872"/>
      <c r="V96" s="1872"/>
      <c r="W96" s="1872"/>
      <c r="X96" s="1872"/>
      <c r="Y96" s="1872"/>
      <c r="Z96" s="1872"/>
      <c r="AA96" s="1872"/>
      <c r="AB96" s="1872"/>
      <c r="AC96" s="1872"/>
      <c r="AD96" s="1872"/>
      <c r="AE96" s="1872"/>
      <c r="AF96" s="1872"/>
      <c r="AG96" s="1872"/>
      <c r="AH96" s="1872"/>
      <c r="AI96" s="1872"/>
      <c r="AJ96" s="1872"/>
      <c r="AK96" s="1872"/>
      <c r="AL96" s="1872"/>
      <c r="AM96" s="1872"/>
      <c r="AN96" s="1872"/>
      <c r="AO96" s="1872"/>
      <c r="AP96" s="1872"/>
      <c r="AQ96" s="1872"/>
      <c r="AR96" s="1872"/>
      <c r="AS96" s="1872"/>
      <c r="AT96" s="1872"/>
      <c r="AU96" s="1872"/>
      <c r="AV96" s="1872"/>
      <c r="AW96" s="1872"/>
      <c r="AX96" s="1872"/>
      <c r="AY96" s="1872"/>
      <c r="AZ96" s="1872"/>
      <c r="BA96" s="1872"/>
      <c r="BB96" s="1872"/>
      <c r="BC96" s="1872"/>
      <c r="BD96" s="1872"/>
      <c r="BE96" s="1872"/>
      <c r="BF96" s="1872"/>
      <c r="BG96" s="1872"/>
      <c r="BH96" s="1872"/>
      <c r="BI96" s="1872"/>
      <c r="BJ96" s="1872"/>
      <c r="BK96" s="1872"/>
      <c r="BL96" s="1872"/>
      <c r="BM96" s="1872"/>
      <c r="BN96" s="1872"/>
      <c r="BO96" s="1872"/>
      <c r="BP96" s="1872"/>
      <c r="BQ96" s="1872"/>
      <c r="BR96" s="1872"/>
      <c r="BS96" s="1872"/>
      <c r="BT96" s="1872"/>
      <c r="BU96" s="1872"/>
      <c r="BV96" s="1872"/>
      <c r="BW96" s="1872"/>
      <c r="BX96" s="1872"/>
      <c r="BY96" s="1872"/>
      <c r="BZ96" s="1872"/>
      <c r="CA96" s="1872"/>
      <c r="CB96" s="1872"/>
      <c r="CC96" s="1872"/>
      <c r="CD96" s="1872"/>
      <c r="CE96" s="1872">
        <v>0.62</v>
      </c>
      <c r="CF96" s="1872"/>
      <c r="CG96" s="1872"/>
      <c r="CH96" s="1872"/>
      <c r="CI96" s="1872"/>
      <c r="CJ96" s="1872"/>
      <c r="CK96" s="1872"/>
      <c r="CL96" s="1872"/>
      <c r="CM96" s="1872"/>
      <c r="CN96" s="1872"/>
      <c r="CO96" s="1872"/>
      <c r="CP96" s="1872"/>
      <c r="CQ96" s="1872"/>
      <c r="CR96" s="1872"/>
      <c r="CS96" s="1872"/>
      <c r="CT96" s="1872"/>
      <c r="CU96" s="1872"/>
      <c r="CV96" s="1872"/>
      <c r="CW96" s="3677"/>
      <c r="CX96" s="1910"/>
      <c r="CY96" s="1910"/>
      <c r="CZ96" s="1910"/>
      <c r="DA96" s="1910"/>
      <c r="DB96" s="1910"/>
      <c r="DC96" s="1910"/>
      <c r="DD96" s="1910"/>
      <c r="DE96" s="1910"/>
      <c r="DF96" s="1911"/>
    </row>
    <row r="97" spans="1:110" s="1962" customFormat="1" ht="22.5" customHeight="1">
      <c r="A97" s="1926"/>
      <c r="B97" s="1910"/>
      <c r="C97" s="1764" t="s">
        <v>118</v>
      </c>
      <c r="D97" s="1941" t="s">
        <v>1461</v>
      </c>
      <c r="E97" s="1934" t="s">
        <v>337</v>
      </c>
      <c r="F97" s="1933" t="str">
        <f t="shared" si="17"/>
        <v>Гкал/час</v>
      </c>
      <c r="G97" s="1872"/>
      <c r="H97" s="1872"/>
      <c r="I97" s="1872"/>
      <c r="J97" s="1872"/>
      <c r="K97" s="1872"/>
      <c r="L97" s="1872"/>
      <c r="M97" s="1872"/>
      <c r="N97" s="1872"/>
      <c r="O97" s="1872"/>
      <c r="P97" s="1872"/>
      <c r="Q97" s="1872"/>
      <c r="R97" s="1872"/>
      <c r="S97" s="1872"/>
      <c r="T97" s="1872"/>
      <c r="U97" s="1872"/>
      <c r="V97" s="1872"/>
      <c r="W97" s="1872"/>
      <c r="X97" s="1872"/>
      <c r="Y97" s="1872"/>
      <c r="Z97" s="1872"/>
      <c r="AA97" s="1872"/>
      <c r="AB97" s="1872"/>
      <c r="AC97" s="1872"/>
      <c r="AD97" s="1872"/>
      <c r="AE97" s="1872"/>
      <c r="AF97" s="1872"/>
      <c r="AG97" s="1872"/>
      <c r="AH97" s="1872"/>
      <c r="AI97" s="1872"/>
      <c r="AJ97" s="1872"/>
      <c r="AK97" s="1872"/>
      <c r="AL97" s="1872"/>
      <c r="AM97" s="1872"/>
      <c r="AN97" s="1872"/>
      <c r="AO97" s="1872"/>
      <c r="AP97" s="1872"/>
      <c r="AQ97" s="1872"/>
      <c r="AR97" s="1872"/>
      <c r="AS97" s="1872"/>
      <c r="AT97" s="1872"/>
      <c r="AU97" s="1872"/>
      <c r="AV97" s="1872"/>
      <c r="AW97" s="1872"/>
      <c r="AX97" s="1872"/>
      <c r="AY97" s="1872"/>
      <c r="AZ97" s="1872"/>
      <c r="BA97" s="1872"/>
      <c r="BB97" s="1872"/>
      <c r="BC97" s="1872"/>
      <c r="BD97" s="1872"/>
      <c r="BE97" s="1872"/>
      <c r="BF97" s="1872"/>
      <c r="BG97" s="1872"/>
      <c r="BH97" s="1872"/>
      <c r="BI97" s="1872"/>
      <c r="BJ97" s="1872"/>
      <c r="BK97" s="1872"/>
      <c r="BL97" s="1872"/>
      <c r="BM97" s="1872"/>
      <c r="BN97" s="1872"/>
      <c r="BO97" s="1872"/>
      <c r="BP97" s="1872"/>
      <c r="BQ97" s="1872"/>
      <c r="BR97" s="1872"/>
      <c r="BS97" s="1872"/>
      <c r="BT97" s="1872"/>
      <c r="BU97" s="1872"/>
      <c r="BV97" s="1872"/>
      <c r="BW97" s="1872"/>
      <c r="BX97" s="1872"/>
      <c r="BY97" s="1872"/>
      <c r="BZ97" s="1872"/>
      <c r="CA97" s="1872"/>
      <c r="CB97" s="1872"/>
      <c r="CC97" s="1872"/>
      <c r="CD97" s="1872"/>
      <c r="CE97" s="1872"/>
      <c r="CF97" s="1872">
        <v>0.26</v>
      </c>
      <c r="CG97" s="1872"/>
      <c r="CH97" s="1872"/>
      <c r="CI97" s="1872"/>
      <c r="CJ97" s="1872"/>
      <c r="CK97" s="1872"/>
      <c r="CL97" s="1872"/>
      <c r="CM97" s="1872"/>
      <c r="CN97" s="1872"/>
      <c r="CO97" s="1872"/>
      <c r="CP97" s="1872"/>
      <c r="CQ97" s="1872"/>
      <c r="CR97" s="1872"/>
      <c r="CS97" s="1872"/>
      <c r="CT97" s="1872"/>
      <c r="CU97" s="1872"/>
      <c r="CV97" s="1872"/>
      <c r="CW97" s="3677"/>
      <c r="CX97" s="1910"/>
      <c r="CY97" s="1910"/>
      <c r="CZ97" s="1910"/>
      <c r="DA97" s="1910"/>
      <c r="DB97" s="1910"/>
      <c r="DC97" s="1910"/>
      <c r="DD97" s="1910"/>
      <c r="DE97" s="1910"/>
      <c r="DF97" s="1911"/>
    </row>
    <row r="98" spans="1:110" s="1962" customFormat="1" ht="22.5" customHeight="1">
      <c r="A98" s="1926"/>
      <c r="B98" s="1910"/>
      <c r="C98" s="1764" t="s">
        <v>118</v>
      </c>
      <c r="D98" s="1941" t="s">
        <v>1462</v>
      </c>
      <c r="E98" s="1934" t="s">
        <v>340</v>
      </c>
      <c r="F98" s="1933" t="str">
        <f t="shared" si="17"/>
        <v>Гкал/час</v>
      </c>
      <c r="G98" s="1872"/>
      <c r="H98" s="1872"/>
      <c r="I98" s="1872"/>
      <c r="J98" s="1872"/>
      <c r="K98" s="1872"/>
      <c r="L98" s="1872"/>
      <c r="M98" s="1872"/>
      <c r="N98" s="1872"/>
      <c r="O98" s="1872"/>
      <c r="P98" s="1872"/>
      <c r="Q98" s="1872"/>
      <c r="R98" s="1872"/>
      <c r="S98" s="1872"/>
      <c r="T98" s="1872"/>
      <c r="U98" s="1872"/>
      <c r="V98" s="1872"/>
      <c r="W98" s="1872"/>
      <c r="X98" s="1872"/>
      <c r="Y98" s="1872"/>
      <c r="Z98" s="1872"/>
      <c r="AA98" s="1872"/>
      <c r="AB98" s="1872"/>
      <c r="AC98" s="1872"/>
      <c r="AD98" s="1872"/>
      <c r="AE98" s="1872"/>
      <c r="AF98" s="1872"/>
      <c r="AG98" s="1872"/>
      <c r="AH98" s="1872"/>
      <c r="AI98" s="1872"/>
      <c r="AJ98" s="1872"/>
      <c r="AK98" s="1872"/>
      <c r="AL98" s="1872"/>
      <c r="AM98" s="1872"/>
      <c r="AN98" s="1872"/>
      <c r="AO98" s="1872"/>
      <c r="AP98" s="1872"/>
      <c r="AQ98" s="1872"/>
      <c r="AR98" s="1872"/>
      <c r="AS98" s="1872"/>
      <c r="AT98" s="1872"/>
      <c r="AU98" s="1872"/>
      <c r="AV98" s="1872"/>
      <c r="AW98" s="1872"/>
      <c r="AX98" s="1872"/>
      <c r="AY98" s="1872"/>
      <c r="AZ98" s="1872"/>
      <c r="BA98" s="1872"/>
      <c r="BB98" s="1872"/>
      <c r="BC98" s="1872"/>
      <c r="BD98" s="1872"/>
      <c r="BE98" s="1872"/>
      <c r="BF98" s="1872"/>
      <c r="BG98" s="1872"/>
      <c r="BH98" s="1872"/>
      <c r="BI98" s="1872"/>
      <c r="BJ98" s="1872"/>
      <c r="BK98" s="1872"/>
      <c r="BL98" s="1872"/>
      <c r="BM98" s="1872"/>
      <c r="BN98" s="1872"/>
      <c r="BO98" s="1872"/>
      <c r="BP98" s="1872"/>
      <c r="BQ98" s="1872"/>
      <c r="BR98" s="1872"/>
      <c r="BS98" s="1872"/>
      <c r="BT98" s="1872"/>
      <c r="BU98" s="1872"/>
      <c r="BV98" s="1872"/>
      <c r="BW98" s="1872"/>
      <c r="BX98" s="1872"/>
      <c r="BY98" s="1872"/>
      <c r="BZ98" s="1872"/>
      <c r="CA98" s="1872"/>
      <c r="CB98" s="1872"/>
      <c r="CC98" s="1872"/>
      <c r="CD98" s="1872"/>
      <c r="CE98" s="1872"/>
      <c r="CF98" s="1872"/>
      <c r="CG98" s="1872">
        <v>1.47</v>
      </c>
      <c r="CH98" s="1872"/>
      <c r="CI98" s="1872"/>
      <c r="CJ98" s="1872"/>
      <c r="CK98" s="1872"/>
      <c r="CL98" s="1872"/>
      <c r="CM98" s="1872"/>
      <c r="CN98" s="1872"/>
      <c r="CO98" s="1872"/>
      <c r="CP98" s="1872"/>
      <c r="CQ98" s="1872"/>
      <c r="CR98" s="1872"/>
      <c r="CS98" s="1872"/>
      <c r="CT98" s="1872"/>
      <c r="CU98" s="1872"/>
      <c r="CV98" s="1872"/>
      <c r="CW98" s="3677"/>
      <c r="CX98" s="1910"/>
      <c r="CY98" s="1910"/>
      <c r="CZ98" s="1910"/>
      <c r="DA98" s="1910"/>
      <c r="DB98" s="1910"/>
      <c r="DC98" s="1910"/>
      <c r="DD98" s="1910"/>
      <c r="DE98" s="1910"/>
      <c r="DF98" s="1911"/>
    </row>
    <row r="99" spans="1:110" s="1962" customFormat="1" ht="22.5" customHeight="1">
      <c r="A99" s="1926"/>
      <c r="B99" s="1910"/>
      <c r="C99" s="1764" t="s">
        <v>118</v>
      </c>
      <c r="D99" s="1941" t="s">
        <v>1463</v>
      </c>
      <c r="E99" s="1934" t="s">
        <v>343</v>
      </c>
      <c r="F99" s="1933" t="str">
        <f t="shared" si="17"/>
        <v>Гкал/час</v>
      </c>
      <c r="G99" s="1872"/>
      <c r="H99" s="1872"/>
      <c r="I99" s="1872"/>
      <c r="J99" s="1872"/>
      <c r="K99" s="1872"/>
      <c r="L99" s="1872"/>
      <c r="M99" s="1872"/>
      <c r="N99" s="1872"/>
      <c r="O99" s="1872"/>
      <c r="P99" s="1872"/>
      <c r="Q99" s="1872"/>
      <c r="R99" s="1872"/>
      <c r="S99" s="1872"/>
      <c r="T99" s="1872"/>
      <c r="U99" s="1872"/>
      <c r="V99" s="1872"/>
      <c r="W99" s="1872"/>
      <c r="X99" s="1872"/>
      <c r="Y99" s="1872"/>
      <c r="Z99" s="1872"/>
      <c r="AA99" s="1872"/>
      <c r="AB99" s="1872"/>
      <c r="AC99" s="1872"/>
      <c r="AD99" s="1872"/>
      <c r="AE99" s="1872"/>
      <c r="AF99" s="1872"/>
      <c r="AG99" s="1872"/>
      <c r="AH99" s="1872"/>
      <c r="AI99" s="1872"/>
      <c r="AJ99" s="1872"/>
      <c r="AK99" s="1872"/>
      <c r="AL99" s="1872"/>
      <c r="AM99" s="1872"/>
      <c r="AN99" s="1872"/>
      <c r="AO99" s="1872"/>
      <c r="AP99" s="1872"/>
      <c r="AQ99" s="1872"/>
      <c r="AR99" s="1872"/>
      <c r="AS99" s="1872"/>
      <c r="AT99" s="1872"/>
      <c r="AU99" s="1872"/>
      <c r="AV99" s="1872"/>
      <c r="AW99" s="1872"/>
      <c r="AX99" s="1872"/>
      <c r="AY99" s="1872"/>
      <c r="AZ99" s="1872"/>
      <c r="BA99" s="1872"/>
      <c r="BB99" s="1872"/>
      <c r="BC99" s="1872"/>
      <c r="BD99" s="1872"/>
      <c r="BE99" s="1872"/>
      <c r="BF99" s="1872"/>
      <c r="BG99" s="1872"/>
      <c r="BH99" s="1872"/>
      <c r="BI99" s="1872"/>
      <c r="BJ99" s="1872"/>
      <c r="BK99" s="1872"/>
      <c r="BL99" s="1872"/>
      <c r="BM99" s="1872"/>
      <c r="BN99" s="1872"/>
      <c r="BO99" s="1872"/>
      <c r="BP99" s="1872"/>
      <c r="BQ99" s="1872"/>
      <c r="BR99" s="1872"/>
      <c r="BS99" s="1872"/>
      <c r="BT99" s="1872"/>
      <c r="BU99" s="1872"/>
      <c r="BV99" s="1872"/>
      <c r="BW99" s="1872"/>
      <c r="BX99" s="1872"/>
      <c r="BY99" s="1872"/>
      <c r="BZ99" s="1872"/>
      <c r="CA99" s="1872"/>
      <c r="CB99" s="1872"/>
      <c r="CC99" s="1872"/>
      <c r="CD99" s="1872"/>
      <c r="CE99" s="1872"/>
      <c r="CF99" s="1872"/>
      <c r="CG99" s="1872"/>
      <c r="CH99" s="1872">
        <v>1.585</v>
      </c>
      <c r="CI99" s="1872"/>
      <c r="CJ99" s="1872"/>
      <c r="CK99" s="1872"/>
      <c r="CL99" s="1872"/>
      <c r="CM99" s="1872"/>
      <c r="CN99" s="1872"/>
      <c r="CO99" s="1872"/>
      <c r="CP99" s="1872"/>
      <c r="CQ99" s="1872"/>
      <c r="CR99" s="1872"/>
      <c r="CS99" s="1872"/>
      <c r="CT99" s="1872"/>
      <c r="CU99" s="1872"/>
      <c r="CV99" s="1872"/>
      <c r="CW99" s="3677"/>
      <c r="CX99" s="1910"/>
      <c r="CY99" s="1910"/>
      <c r="CZ99" s="1910"/>
      <c r="DA99" s="1910"/>
      <c r="DB99" s="1910"/>
      <c r="DC99" s="1910"/>
      <c r="DD99" s="1910"/>
      <c r="DE99" s="1910"/>
      <c r="DF99" s="1911"/>
    </row>
    <row r="100" spans="1:110" s="1962" customFormat="1" ht="22.5" customHeight="1">
      <c r="A100" s="1926"/>
      <c r="B100" s="1910"/>
      <c r="C100" s="1764" t="s">
        <v>118</v>
      </c>
      <c r="D100" s="1941" t="s">
        <v>1464</v>
      </c>
      <c r="E100" s="1934" t="s">
        <v>346</v>
      </c>
      <c r="F100" s="1933" t="str">
        <f t="shared" si="17"/>
        <v>Гкал/час</v>
      </c>
      <c r="G100" s="1872"/>
      <c r="H100" s="1872"/>
      <c r="I100" s="1872"/>
      <c r="J100" s="1872"/>
      <c r="K100" s="1872"/>
      <c r="L100" s="1872"/>
      <c r="M100" s="1872"/>
      <c r="N100" s="1872"/>
      <c r="O100" s="1872"/>
      <c r="P100" s="1872"/>
      <c r="Q100" s="1872"/>
      <c r="R100" s="1872"/>
      <c r="S100" s="1872"/>
      <c r="T100" s="1872"/>
      <c r="U100" s="1872"/>
      <c r="V100" s="1872"/>
      <c r="W100" s="1872"/>
      <c r="X100" s="1872"/>
      <c r="Y100" s="1872"/>
      <c r="Z100" s="1872"/>
      <c r="AA100" s="1872"/>
      <c r="AB100" s="1872"/>
      <c r="AC100" s="1872"/>
      <c r="AD100" s="1872"/>
      <c r="AE100" s="1872"/>
      <c r="AF100" s="1872"/>
      <c r="AG100" s="1872"/>
      <c r="AH100" s="1872"/>
      <c r="AI100" s="1872"/>
      <c r="AJ100" s="1872"/>
      <c r="AK100" s="1872"/>
      <c r="AL100" s="1872"/>
      <c r="AM100" s="1872"/>
      <c r="AN100" s="1872"/>
      <c r="AO100" s="1872"/>
      <c r="AP100" s="1872"/>
      <c r="AQ100" s="1872"/>
      <c r="AR100" s="1872"/>
      <c r="AS100" s="1872"/>
      <c r="AT100" s="1872"/>
      <c r="AU100" s="1872"/>
      <c r="AV100" s="1872"/>
      <c r="AW100" s="1872"/>
      <c r="AX100" s="1872"/>
      <c r="AY100" s="1872"/>
      <c r="AZ100" s="1872"/>
      <c r="BA100" s="1872"/>
      <c r="BB100" s="1872"/>
      <c r="BC100" s="1872"/>
      <c r="BD100" s="1872"/>
      <c r="BE100" s="1872"/>
      <c r="BF100" s="1872"/>
      <c r="BG100" s="1872"/>
      <c r="BH100" s="1872"/>
      <c r="BI100" s="1872"/>
      <c r="BJ100" s="1872"/>
      <c r="BK100" s="1872"/>
      <c r="BL100" s="1872"/>
      <c r="BM100" s="1872"/>
      <c r="BN100" s="1872"/>
      <c r="BO100" s="1872"/>
      <c r="BP100" s="1872"/>
      <c r="BQ100" s="1872"/>
      <c r="BR100" s="1872"/>
      <c r="BS100" s="1872"/>
      <c r="BT100" s="1872"/>
      <c r="BU100" s="1872"/>
      <c r="BV100" s="1872"/>
      <c r="BW100" s="1872"/>
      <c r="BX100" s="1872"/>
      <c r="BY100" s="1872"/>
      <c r="BZ100" s="1872"/>
      <c r="CA100" s="1872"/>
      <c r="CB100" s="1872"/>
      <c r="CC100" s="1872"/>
      <c r="CD100" s="1872"/>
      <c r="CE100" s="1872"/>
      <c r="CF100" s="1872"/>
      <c r="CG100" s="1872"/>
      <c r="CH100" s="1872"/>
      <c r="CI100" s="1872">
        <v>0.251</v>
      </c>
      <c r="CJ100" s="1872"/>
      <c r="CK100" s="1872"/>
      <c r="CL100" s="1872"/>
      <c r="CM100" s="1872"/>
      <c r="CN100" s="1872"/>
      <c r="CO100" s="1872"/>
      <c r="CP100" s="1872"/>
      <c r="CQ100" s="1872"/>
      <c r="CR100" s="1872"/>
      <c r="CS100" s="1872"/>
      <c r="CT100" s="1872"/>
      <c r="CU100" s="1872"/>
      <c r="CV100" s="1872"/>
      <c r="CW100" s="3677"/>
      <c r="CX100" s="1910"/>
      <c r="CY100" s="1910"/>
      <c r="CZ100" s="1910"/>
      <c r="DA100" s="1910"/>
      <c r="DB100" s="1910"/>
      <c r="DC100" s="1910"/>
      <c r="DD100" s="1910"/>
      <c r="DE100" s="1910"/>
      <c r="DF100" s="1911"/>
    </row>
    <row r="101" spans="1:110" s="1962" customFormat="1" ht="22.5" customHeight="1">
      <c r="A101" s="1926"/>
      <c r="B101" s="1910"/>
      <c r="C101" s="1764" t="s">
        <v>118</v>
      </c>
      <c r="D101" s="1941" t="s">
        <v>1465</v>
      </c>
      <c r="E101" s="1934" t="s">
        <v>349</v>
      </c>
      <c r="F101" s="1933" t="str">
        <f t="shared" si="17"/>
        <v>Гкал/час</v>
      </c>
      <c r="G101" s="1872"/>
      <c r="H101" s="1872"/>
      <c r="I101" s="1872"/>
      <c r="J101" s="1872"/>
      <c r="K101" s="1872"/>
      <c r="L101" s="1872"/>
      <c r="M101" s="1872"/>
      <c r="N101" s="1872"/>
      <c r="O101" s="1872"/>
      <c r="P101" s="1872"/>
      <c r="Q101" s="1872"/>
      <c r="R101" s="1872"/>
      <c r="S101" s="1872"/>
      <c r="T101" s="1872"/>
      <c r="U101" s="1872"/>
      <c r="V101" s="1872"/>
      <c r="W101" s="1872"/>
      <c r="X101" s="1872"/>
      <c r="Y101" s="1872"/>
      <c r="Z101" s="1872"/>
      <c r="AA101" s="1872"/>
      <c r="AB101" s="1872"/>
      <c r="AC101" s="1872"/>
      <c r="AD101" s="1872"/>
      <c r="AE101" s="1872"/>
      <c r="AF101" s="1872"/>
      <c r="AG101" s="1872"/>
      <c r="AH101" s="1872"/>
      <c r="AI101" s="1872"/>
      <c r="AJ101" s="1872"/>
      <c r="AK101" s="1872"/>
      <c r="AL101" s="1872"/>
      <c r="AM101" s="1872"/>
      <c r="AN101" s="1872"/>
      <c r="AO101" s="1872"/>
      <c r="AP101" s="1872"/>
      <c r="AQ101" s="1872"/>
      <c r="AR101" s="1872"/>
      <c r="AS101" s="1872"/>
      <c r="AT101" s="1872"/>
      <c r="AU101" s="1872"/>
      <c r="AV101" s="1872"/>
      <c r="AW101" s="1872"/>
      <c r="AX101" s="1872"/>
      <c r="AY101" s="1872"/>
      <c r="AZ101" s="1872"/>
      <c r="BA101" s="1872"/>
      <c r="BB101" s="1872"/>
      <c r="BC101" s="1872"/>
      <c r="BD101" s="1872"/>
      <c r="BE101" s="1872"/>
      <c r="BF101" s="1872"/>
      <c r="BG101" s="1872"/>
      <c r="BH101" s="1872"/>
      <c r="BI101" s="1872"/>
      <c r="BJ101" s="1872"/>
      <c r="BK101" s="1872"/>
      <c r="BL101" s="1872"/>
      <c r="BM101" s="1872"/>
      <c r="BN101" s="1872"/>
      <c r="BO101" s="1872"/>
      <c r="BP101" s="1872"/>
      <c r="BQ101" s="1872"/>
      <c r="BR101" s="1872"/>
      <c r="BS101" s="1872"/>
      <c r="BT101" s="1872"/>
      <c r="BU101" s="1872"/>
      <c r="BV101" s="1872"/>
      <c r="BW101" s="1872"/>
      <c r="BX101" s="1872"/>
      <c r="BY101" s="1872"/>
      <c r="BZ101" s="1872"/>
      <c r="CA101" s="1872"/>
      <c r="CB101" s="1872"/>
      <c r="CC101" s="1872"/>
      <c r="CD101" s="1872"/>
      <c r="CE101" s="1872"/>
      <c r="CF101" s="1872"/>
      <c r="CG101" s="1872"/>
      <c r="CH101" s="1872"/>
      <c r="CI101" s="1872"/>
      <c r="CJ101" s="1872">
        <v>0.42099999999999999</v>
      </c>
      <c r="CK101" s="1872"/>
      <c r="CL101" s="1872"/>
      <c r="CM101" s="1872"/>
      <c r="CN101" s="1872"/>
      <c r="CO101" s="1872"/>
      <c r="CP101" s="1872"/>
      <c r="CQ101" s="1872"/>
      <c r="CR101" s="1872"/>
      <c r="CS101" s="1872"/>
      <c r="CT101" s="1872"/>
      <c r="CU101" s="1872"/>
      <c r="CV101" s="1872"/>
      <c r="CW101" s="3677"/>
      <c r="CX101" s="1910"/>
      <c r="CY101" s="1910"/>
      <c r="CZ101" s="1910"/>
      <c r="DA101" s="1910"/>
      <c r="DB101" s="1910"/>
      <c r="DC101" s="1910"/>
      <c r="DD101" s="1910"/>
      <c r="DE101" s="1910"/>
      <c r="DF101" s="1911"/>
    </row>
    <row r="102" spans="1:110" s="1962" customFormat="1" ht="22.5" customHeight="1">
      <c r="A102" s="1926"/>
      <c r="B102" s="1910"/>
      <c r="C102" s="1764" t="s">
        <v>118</v>
      </c>
      <c r="D102" s="1941" t="s">
        <v>1466</v>
      </c>
      <c r="E102" s="1934" t="s">
        <v>352</v>
      </c>
      <c r="F102" s="1933" t="str">
        <f t="shared" si="17"/>
        <v>Гкал/час</v>
      </c>
      <c r="G102" s="1872"/>
      <c r="H102" s="1872"/>
      <c r="I102" s="1872"/>
      <c r="J102" s="1872"/>
      <c r="K102" s="1872"/>
      <c r="L102" s="1872"/>
      <c r="M102" s="1872"/>
      <c r="N102" s="1872"/>
      <c r="O102" s="1872"/>
      <c r="P102" s="1872"/>
      <c r="Q102" s="1872"/>
      <c r="R102" s="1872"/>
      <c r="S102" s="1872"/>
      <c r="T102" s="1872"/>
      <c r="U102" s="1872"/>
      <c r="V102" s="1872"/>
      <c r="W102" s="1872"/>
      <c r="X102" s="1872"/>
      <c r="Y102" s="1872"/>
      <c r="Z102" s="1872"/>
      <c r="AA102" s="1872"/>
      <c r="AB102" s="1872"/>
      <c r="AC102" s="1872"/>
      <c r="AD102" s="1872"/>
      <c r="AE102" s="1872"/>
      <c r="AF102" s="1872"/>
      <c r="AG102" s="1872"/>
      <c r="AH102" s="1872"/>
      <c r="AI102" s="1872"/>
      <c r="AJ102" s="1872"/>
      <c r="AK102" s="1872"/>
      <c r="AL102" s="1872"/>
      <c r="AM102" s="1872"/>
      <c r="AN102" s="1872"/>
      <c r="AO102" s="1872"/>
      <c r="AP102" s="1872"/>
      <c r="AQ102" s="1872"/>
      <c r="AR102" s="1872"/>
      <c r="AS102" s="1872"/>
      <c r="AT102" s="1872"/>
      <c r="AU102" s="1872"/>
      <c r="AV102" s="1872"/>
      <c r="AW102" s="1872"/>
      <c r="AX102" s="1872"/>
      <c r="AY102" s="1872"/>
      <c r="AZ102" s="1872"/>
      <c r="BA102" s="1872"/>
      <c r="BB102" s="1872"/>
      <c r="BC102" s="1872"/>
      <c r="BD102" s="1872"/>
      <c r="BE102" s="1872"/>
      <c r="BF102" s="1872"/>
      <c r="BG102" s="1872"/>
      <c r="BH102" s="1872"/>
      <c r="BI102" s="1872"/>
      <c r="BJ102" s="1872"/>
      <c r="BK102" s="1872"/>
      <c r="BL102" s="1872"/>
      <c r="BM102" s="1872"/>
      <c r="BN102" s="1872"/>
      <c r="BO102" s="1872"/>
      <c r="BP102" s="1872"/>
      <c r="BQ102" s="1872"/>
      <c r="BR102" s="1872"/>
      <c r="BS102" s="1872"/>
      <c r="BT102" s="1872"/>
      <c r="BU102" s="1872"/>
      <c r="BV102" s="1872"/>
      <c r="BW102" s="1872"/>
      <c r="BX102" s="1872"/>
      <c r="BY102" s="1872"/>
      <c r="BZ102" s="1872"/>
      <c r="CA102" s="1872"/>
      <c r="CB102" s="1872"/>
      <c r="CC102" s="1872"/>
      <c r="CD102" s="1872"/>
      <c r="CE102" s="1872"/>
      <c r="CF102" s="1872"/>
      <c r="CG102" s="1872"/>
      <c r="CH102" s="1872"/>
      <c r="CI102" s="1872"/>
      <c r="CJ102" s="1872"/>
      <c r="CK102" s="1872">
        <v>1E-3</v>
      </c>
      <c r="CL102" s="1872"/>
      <c r="CM102" s="1872"/>
      <c r="CN102" s="1872"/>
      <c r="CO102" s="1872"/>
      <c r="CP102" s="1872"/>
      <c r="CQ102" s="1872"/>
      <c r="CR102" s="1872"/>
      <c r="CS102" s="1872"/>
      <c r="CT102" s="1872"/>
      <c r="CU102" s="1872"/>
      <c r="CV102" s="1872"/>
      <c r="CW102" s="3677"/>
      <c r="CX102" s="1910"/>
      <c r="CY102" s="1910"/>
      <c r="CZ102" s="1910"/>
      <c r="DA102" s="1910"/>
      <c r="DB102" s="1910"/>
      <c r="DC102" s="1910"/>
      <c r="DD102" s="1910"/>
      <c r="DE102" s="1910"/>
      <c r="DF102" s="1911"/>
    </row>
    <row r="103" spans="1:110" s="1962" customFormat="1" ht="22.5" customHeight="1">
      <c r="A103" s="1926"/>
      <c r="B103" s="1910"/>
      <c r="C103" s="1764" t="s">
        <v>118</v>
      </c>
      <c r="D103" s="1941" t="s">
        <v>1467</v>
      </c>
      <c r="E103" s="1934" t="s">
        <v>355</v>
      </c>
      <c r="F103" s="1933" t="str">
        <f t="shared" si="17"/>
        <v>Гкал/час</v>
      </c>
      <c r="G103" s="1872"/>
      <c r="H103" s="1872"/>
      <c r="I103" s="1872"/>
      <c r="J103" s="1872"/>
      <c r="K103" s="1872"/>
      <c r="L103" s="1872"/>
      <c r="M103" s="1872"/>
      <c r="N103" s="1872"/>
      <c r="O103" s="1872"/>
      <c r="P103" s="1872"/>
      <c r="Q103" s="1872"/>
      <c r="R103" s="1872"/>
      <c r="S103" s="1872"/>
      <c r="T103" s="1872"/>
      <c r="U103" s="1872"/>
      <c r="V103" s="1872"/>
      <c r="W103" s="1872"/>
      <c r="X103" s="1872"/>
      <c r="Y103" s="1872"/>
      <c r="Z103" s="1872"/>
      <c r="AA103" s="1872"/>
      <c r="AB103" s="1872"/>
      <c r="AC103" s="1872"/>
      <c r="AD103" s="1872"/>
      <c r="AE103" s="1872"/>
      <c r="AF103" s="1872"/>
      <c r="AG103" s="1872"/>
      <c r="AH103" s="1872"/>
      <c r="AI103" s="1872"/>
      <c r="AJ103" s="1872"/>
      <c r="AK103" s="1872"/>
      <c r="AL103" s="1872"/>
      <c r="AM103" s="1872"/>
      <c r="AN103" s="1872"/>
      <c r="AO103" s="1872"/>
      <c r="AP103" s="1872"/>
      <c r="AQ103" s="1872"/>
      <c r="AR103" s="1872"/>
      <c r="AS103" s="1872"/>
      <c r="AT103" s="1872"/>
      <c r="AU103" s="1872"/>
      <c r="AV103" s="1872"/>
      <c r="AW103" s="1872"/>
      <c r="AX103" s="1872"/>
      <c r="AY103" s="1872"/>
      <c r="AZ103" s="1872"/>
      <c r="BA103" s="1872"/>
      <c r="BB103" s="1872"/>
      <c r="BC103" s="1872"/>
      <c r="BD103" s="1872"/>
      <c r="BE103" s="1872"/>
      <c r="BF103" s="1872"/>
      <c r="BG103" s="1872"/>
      <c r="BH103" s="1872"/>
      <c r="BI103" s="1872"/>
      <c r="BJ103" s="1872"/>
      <c r="BK103" s="1872"/>
      <c r="BL103" s="1872"/>
      <c r="BM103" s="1872"/>
      <c r="BN103" s="1872"/>
      <c r="BO103" s="1872"/>
      <c r="BP103" s="1872"/>
      <c r="BQ103" s="1872"/>
      <c r="BR103" s="1872"/>
      <c r="BS103" s="1872"/>
      <c r="BT103" s="1872"/>
      <c r="BU103" s="1872"/>
      <c r="BV103" s="1872"/>
      <c r="BW103" s="1872"/>
      <c r="BX103" s="1872"/>
      <c r="BY103" s="1872"/>
      <c r="BZ103" s="1872"/>
      <c r="CA103" s="1872"/>
      <c r="CB103" s="1872"/>
      <c r="CC103" s="1872"/>
      <c r="CD103" s="1872"/>
      <c r="CE103" s="1872"/>
      <c r="CF103" s="1872"/>
      <c r="CG103" s="1872"/>
      <c r="CH103" s="1872"/>
      <c r="CI103" s="1872"/>
      <c r="CJ103" s="1872"/>
      <c r="CK103" s="1872"/>
      <c r="CL103" s="1872">
        <v>0.02</v>
      </c>
      <c r="CM103" s="1872"/>
      <c r="CN103" s="1872"/>
      <c r="CO103" s="1872"/>
      <c r="CP103" s="1872"/>
      <c r="CQ103" s="1872"/>
      <c r="CR103" s="1872"/>
      <c r="CS103" s="1872"/>
      <c r="CT103" s="1872"/>
      <c r="CU103" s="1872"/>
      <c r="CV103" s="1872"/>
      <c r="CW103" s="3677"/>
      <c r="CX103" s="1910"/>
      <c r="CY103" s="1910"/>
      <c r="CZ103" s="1910"/>
      <c r="DA103" s="1910"/>
      <c r="DB103" s="1910"/>
      <c r="DC103" s="1910"/>
      <c r="DD103" s="1910"/>
      <c r="DE103" s="1910"/>
      <c r="DF103" s="1911"/>
    </row>
    <row r="104" spans="1:110" s="1962" customFormat="1" ht="22.5" customHeight="1">
      <c r="A104" s="1926"/>
      <c r="B104" s="1910"/>
      <c r="C104" s="1764" t="s">
        <v>118</v>
      </c>
      <c r="D104" s="1941" t="s">
        <v>1468</v>
      </c>
      <c r="E104" s="1934" t="s">
        <v>358</v>
      </c>
      <c r="F104" s="1933" t="str">
        <f t="shared" si="17"/>
        <v>Гкал/час</v>
      </c>
      <c r="G104" s="1872"/>
      <c r="H104" s="1872"/>
      <c r="I104" s="1872"/>
      <c r="J104" s="1872"/>
      <c r="K104" s="1872"/>
      <c r="L104" s="1872"/>
      <c r="M104" s="1872"/>
      <c r="N104" s="1872"/>
      <c r="O104" s="1872"/>
      <c r="P104" s="1872"/>
      <c r="Q104" s="1872"/>
      <c r="R104" s="1872"/>
      <c r="S104" s="1872"/>
      <c r="T104" s="1872"/>
      <c r="U104" s="1872"/>
      <c r="V104" s="1872"/>
      <c r="W104" s="1872"/>
      <c r="X104" s="1872"/>
      <c r="Y104" s="1872"/>
      <c r="Z104" s="1872"/>
      <c r="AA104" s="1872"/>
      <c r="AB104" s="1872"/>
      <c r="AC104" s="1872"/>
      <c r="AD104" s="1872"/>
      <c r="AE104" s="1872"/>
      <c r="AF104" s="1872"/>
      <c r="AG104" s="1872"/>
      <c r="AH104" s="1872"/>
      <c r="AI104" s="1872"/>
      <c r="AJ104" s="1872"/>
      <c r="AK104" s="1872"/>
      <c r="AL104" s="1872"/>
      <c r="AM104" s="1872"/>
      <c r="AN104" s="1872"/>
      <c r="AO104" s="1872"/>
      <c r="AP104" s="1872"/>
      <c r="AQ104" s="1872"/>
      <c r="AR104" s="1872"/>
      <c r="AS104" s="1872"/>
      <c r="AT104" s="1872"/>
      <c r="AU104" s="1872"/>
      <c r="AV104" s="1872"/>
      <c r="AW104" s="1872"/>
      <c r="AX104" s="1872"/>
      <c r="AY104" s="1872"/>
      <c r="AZ104" s="1872"/>
      <c r="BA104" s="1872"/>
      <c r="BB104" s="1872"/>
      <c r="BC104" s="1872"/>
      <c r="BD104" s="1872"/>
      <c r="BE104" s="1872"/>
      <c r="BF104" s="1872"/>
      <c r="BG104" s="1872"/>
      <c r="BH104" s="1872"/>
      <c r="BI104" s="1872"/>
      <c r="BJ104" s="1872"/>
      <c r="BK104" s="1872"/>
      <c r="BL104" s="1872"/>
      <c r="BM104" s="1872"/>
      <c r="BN104" s="1872"/>
      <c r="BO104" s="1872"/>
      <c r="BP104" s="1872"/>
      <c r="BQ104" s="1872"/>
      <c r="BR104" s="1872"/>
      <c r="BS104" s="1872"/>
      <c r="BT104" s="1872"/>
      <c r="BU104" s="1872"/>
      <c r="BV104" s="1872"/>
      <c r="BW104" s="1872"/>
      <c r="BX104" s="1872"/>
      <c r="BY104" s="1872"/>
      <c r="BZ104" s="1872"/>
      <c r="CA104" s="1872"/>
      <c r="CB104" s="1872"/>
      <c r="CC104" s="1872"/>
      <c r="CD104" s="1872"/>
      <c r="CE104" s="1872"/>
      <c r="CF104" s="1872"/>
      <c r="CG104" s="1872"/>
      <c r="CH104" s="1872"/>
      <c r="CI104" s="1872"/>
      <c r="CJ104" s="1872"/>
      <c r="CK104" s="1872"/>
      <c r="CL104" s="1872"/>
      <c r="CM104" s="1872">
        <v>0</v>
      </c>
      <c r="CN104" s="1872"/>
      <c r="CO104" s="1872"/>
      <c r="CP104" s="1872"/>
      <c r="CQ104" s="1872"/>
      <c r="CR104" s="1872"/>
      <c r="CS104" s="1872"/>
      <c r="CT104" s="1872"/>
      <c r="CU104" s="1872"/>
      <c r="CV104" s="1872"/>
      <c r="CW104" s="3677"/>
      <c r="CX104" s="1910"/>
      <c r="CY104" s="1910"/>
      <c r="CZ104" s="1910"/>
      <c r="DA104" s="1910"/>
      <c r="DB104" s="1910"/>
      <c r="DC104" s="1910"/>
      <c r="DD104" s="1910"/>
      <c r="DE104" s="1910"/>
      <c r="DF104" s="1911"/>
    </row>
    <row r="105" spans="1:110" s="1962" customFormat="1" ht="22.5" customHeight="1">
      <c r="A105" s="1926"/>
      <c r="B105" s="1910"/>
      <c r="C105" s="1764" t="s">
        <v>118</v>
      </c>
      <c r="D105" s="1941" t="s">
        <v>1469</v>
      </c>
      <c r="E105" s="1934" t="s">
        <v>361</v>
      </c>
      <c r="F105" s="1933" t="str">
        <f t="shared" si="17"/>
        <v>Гкал/час</v>
      </c>
      <c r="G105" s="1872"/>
      <c r="H105" s="1872"/>
      <c r="I105" s="1872"/>
      <c r="J105" s="1872"/>
      <c r="K105" s="1872"/>
      <c r="L105" s="1872"/>
      <c r="M105" s="1872"/>
      <c r="N105" s="1872"/>
      <c r="O105" s="1872"/>
      <c r="P105" s="1872"/>
      <c r="Q105" s="1872"/>
      <c r="R105" s="1872"/>
      <c r="S105" s="1872"/>
      <c r="T105" s="1872"/>
      <c r="U105" s="1872"/>
      <c r="V105" s="1872"/>
      <c r="W105" s="1872"/>
      <c r="X105" s="1872"/>
      <c r="Y105" s="1872"/>
      <c r="Z105" s="1872"/>
      <c r="AA105" s="1872"/>
      <c r="AB105" s="1872"/>
      <c r="AC105" s="1872"/>
      <c r="AD105" s="1872"/>
      <c r="AE105" s="1872"/>
      <c r="AF105" s="1872"/>
      <c r="AG105" s="1872"/>
      <c r="AH105" s="1872"/>
      <c r="AI105" s="1872"/>
      <c r="AJ105" s="1872"/>
      <c r="AK105" s="1872"/>
      <c r="AL105" s="1872"/>
      <c r="AM105" s="1872"/>
      <c r="AN105" s="1872"/>
      <c r="AO105" s="1872"/>
      <c r="AP105" s="1872"/>
      <c r="AQ105" s="1872"/>
      <c r="AR105" s="1872"/>
      <c r="AS105" s="1872"/>
      <c r="AT105" s="1872"/>
      <c r="AU105" s="1872"/>
      <c r="AV105" s="1872"/>
      <c r="AW105" s="1872"/>
      <c r="AX105" s="1872"/>
      <c r="AY105" s="1872"/>
      <c r="AZ105" s="1872"/>
      <c r="BA105" s="1872"/>
      <c r="BB105" s="1872"/>
      <c r="BC105" s="1872"/>
      <c r="BD105" s="1872"/>
      <c r="BE105" s="1872"/>
      <c r="BF105" s="1872"/>
      <c r="BG105" s="1872"/>
      <c r="BH105" s="1872"/>
      <c r="BI105" s="1872"/>
      <c r="BJ105" s="1872"/>
      <c r="BK105" s="1872"/>
      <c r="BL105" s="1872"/>
      <c r="BM105" s="1872"/>
      <c r="BN105" s="1872"/>
      <c r="BO105" s="1872"/>
      <c r="BP105" s="1872"/>
      <c r="BQ105" s="1872"/>
      <c r="BR105" s="1872"/>
      <c r="BS105" s="1872"/>
      <c r="BT105" s="1872"/>
      <c r="BU105" s="1872"/>
      <c r="BV105" s="1872"/>
      <c r="BW105" s="1872"/>
      <c r="BX105" s="1872"/>
      <c r="BY105" s="1872"/>
      <c r="BZ105" s="1872"/>
      <c r="CA105" s="1872"/>
      <c r="CB105" s="1872"/>
      <c r="CC105" s="1872"/>
      <c r="CD105" s="1872"/>
      <c r="CE105" s="1872"/>
      <c r="CF105" s="1872"/>
      <c r="CG105" s="1872"/>
      <c r="CH105" s="1872"/>
      <c r="CI105" s="1872"/>
      <c r="CJ105" s="1872"/>
      <c r="CK105" s="1872"/>
      <c r="CL105" s="1872"/>
      <c r="CM105" s="1872"/>
      <c r="CN105" s="1872">
        <v>0.44500000000000001</v>
      </c>
      <c r="CO105" s="1872"/>
      <c r="CP105" s="1872"/>
      <c r="CQ105" s="1872"/>
      <c r="CR105" s="1872"/>
      <c r="CS105" s="1872"/>
      <c r="CT105" s="1872"/>
      <c r="CU105" s="1872"/>
      <c r="CV105" s="1872"/>
      <c r="CW105" s="3677"/>
      <c r="CX105" s="1910"/>
      <c r="CY105" s="1910"/>
      <c r="CZ105" s="1910"/>
      <c r="DA105" s="1910"/>
      <c r="DB105" s="1910"/>
      <c r="DC105" s="1910"/>
      <c r="DD105" s="1910"/>
      <c r="DE105" s="1910"/>
      <c r="DF105" s="1911"/>
    </row>
    <row r="106" spans="1:110" s="1962" customFormat="1" ht="22.5" customHeight="1">
      <c r="A106" s="1926"/>
      <c r="B106" s="1910"/>
      <c r="C106" s="1764" t="s">
        <v>118</v>
      </c>
      <c r="D106" s="1941" t="s">
        <v>1470</v>
      </c>
      <c r="E106" s="1934" t="s">
        <v>364</v>
      </c>
      <c r="F106" s="1933" t="str">
        <f t="shared" si="17"/>
        <v>Гкал/час</v>
      </c>
      <c r="G106" s="1872"/>
      <c r="H106" s="1872"/>
      <c r="I106" s="1872"/>
      <c r="J106" s="1872"/>
      <c r="K106" s="1872"/>
      <c r="L106" s="1872"/>
      <c r="M106" s="1872"/>
      <c r="N106" s="1872"/>
      <c r="O106" s="1872"/>
      <c r="P106" s="1872"/>
      <c r="Q106" s="1872"/>
      <c r="R106" s="1872"/>
      <c r="S106" s="1872"/>
      <c r="T106" s="1872"/>
      <c r="U106" s="1872"/>
      <c r="V106" s="1872"/>
      <c r="W106" s="1872"/>
      <c r="X106" s="1872"/>
      <c r="Y106" s="1872"/>
      <c r="Z106" s="1872"/>
      <c r="AA106" s="1872"/>
      <c r="AB106" s="1872"/>
      <c r="AC106" s="1872"/>
      <c r="AD106" s="1872"/>
      <c r="AE106" s="1872"/>
      <c r="AF106" s="1872"/>
      <c r="AG106" s="1872"/>
      <c r="AH106" s="1872"/>
      <c r="AI106" s="1872"/>
      <c r="AJ106" s="1872"/>
      <c r="AK106" s="1872"/>
      <c r="AL106" s="1872"/>
      <c r="AM106" s="1872"/>
      <c r="AN106" s="1872"/>
      <c r="AO106" s="1872"/>
      <c r="AP106" s="1872"/>
      <c r="AQ106" s="1872"/>
      <c r="AR106" s="1872"/>
      <c r="AS106" s="1872"/>
      <c r="AT106" s="1872"/>
      <c r="AU106" s="1872"/>
      <c r="AV106" s="1872"/>
      <c r="AW106" s="1872"/>
      <c r="AX106" s="1872"/>
      <c r="AY106" s="1872"/>
      <c r="AZ106" s="1872"/>
      <c r="BA106" s="1872"/>
      <c r="BB106" s="1872"/>
      <c r="BC106" s="1872"/>
      <c r="BD106" s="1872"/>
      <c r="BE106" s="1872"/>
      <c r="BF106" s="1872"/>
      <c r="BG106" s="1872"/>
      <c r="BH106" s="1872"/>
      <c r="BI106" s="1872"/>
      <c r="BJ106" s="1872"/>
      <c r="BK106" s="1872"/>
      <c r="BL106" s="1872"/>
      <c r="BM106" s="1872"/>
      <c r="BN106" s="1872"/>
      <c r="BO106" s="1872"/>
      <c r="BP106" s="1872"/>
      <c r="BQ106" s="1872"/>
      <c r="BR106" s="1872"/>
      <c r="BS106" s="1872"/>
      <c r="BT106" s="1872"/>
      <c r="BU106" s="1872"/>
      <c r="BV106" s="1872"/>
      <c r="BW106" s="1872"/>
      <c r="BX106" s="1872"/>
      <c r="BY106" s="1872"/>
      <c r="BZ106" s="1872"/>
      <c r="CA106" s="1872"/>
      <c r="CB106" s="1872"/>
      <c r="CC106" s="1872"/>
      <c r="CD106" s="1872"/>
      <c r="CE106" s="1872"/>
      <c r="CF106" s="1872"/>
      <c r="CG106" s="1872"/>
      <c r="CH106" s="1872"/>
      <c r="CI106" s="1872"/>
      <c r="CJ106" s="1872"/>
      <c r="CK106" s="1872"/>
      <c r="CL106" s="1872"/>
      <c r="CM106" s="1872"/>
      <c r="CN106" s="1872"/>
      <c r="CO106" s="1872">
        <v>1.7749999999999999</v>
      </c>
      <c r="CP106" s="1872"/>
      <c r="CQ106" s="1872"/>
      <c r="CR106" s="1872"/>
      <c r="CS106" s="1872"/>
      <c r="CT106" s="1872"/>
      <c r="CU106" s="1872"/>
      <c r="CV106" s="1872"/>
      <c r="CW106" s="3677"/>
      <c r="CX106" s="1910"/>
      <c r="CY106" s="1910"/>
      <c r="CZ106" s="1910"/>
      <c r="DA106" s="1910"/>
      <c r="DB106" s="1910"/>
      <c r="DC106" s="1910"/>
      <c r="DD106" s="1910"/>
      <c r="DE106" s="1910"/>
      <c r="DF106" s="1911"/>
    </row>
    <row r="107" spans="1:110" s="1962" customFormat="1" ht="22.5" customHeight="1">
      <c r="A107" s="1926"/>
      <c r="B107" s="1910"/>
      <c r="C107" s="1764" t="s">
        <v>118</v>
      </c>
      <c r="D107" s="1941" t="s">
        <v>1471</v>
      </c>
      <c r="E107" s="1934" t="s">
        <v>367</v>
      </c>
      <c r="F107" s="1933" t="str">
        <f t="shared" si="17"/>
        <v>Гкал/час</v>
      </c>
      <c r="G107" s="1872"/>
      <c r="H107" s="1872"/>
      <c r="I107" s="1872"/>
      <c r="J107" s="1872"/>
      <c r="K107" s="1872"/>
      <c r="L107" s="1872"/>
      <c r="M107" s="1872"/>
      <c r="N107" s="1872"/>
      <c r="O107" s="1872"/>
      <c r="P107" s="1872"/>
      <c r="Q107" s="1872"/>
      <c r="R107" s="1872"/>
      <c r="S107" s="1872"/>
      <c r="T107" s="1872"/>
      <c r="U107" s="1872"/>
      <c r="V107" s="1872"/>
      <c r="W107" s="1872"/>
      <c r="X107" s="1872"/>
      <c r="Y107" s="1872"/>
      <c r="Z107" s="1872"/>
      <c r="AA107" s="1872"/>
      <c r="AB107" s="1872"/>
      <c r="AC107" s="1872"/>
      <c r="AD107" s="1872"/>
      <c r="AE107" s="1872"/>
      <c r="AF107" s="1872"/>
      <c r="AG107" s="1872"/>
      <c r="AH107" s="1872"/>
      <c r="AI107" s="1872"/>
      <c r="AJ107" s="1872"/>
      <c r="AK107" s="1872"/>
      <c r="AL107" s="1872"/>
      <c r="AM107" s="1872"/>
      <c r="AN107" s="1872"/>
      <c r="AO107" s="1872"/>
      <c r="AP107" s="1872"/>
      <c r="AQ107" s="1872"/>
      <c r="AR107" s="1872"/>
      <c r="AS107" s="1872"/>
      <c r="AT107" s="1872"/>
      <c r="AU107" s="1872"/>
      <c r="AV107" s="1872"/>
      <c r="AW107" s="1872"/>
      <c r="AX107" s="1872"/>
      <c r="AY107" s="1872"/>
      <c r="AZ107" s="1872"/>
      <c r="BA107" s="1872"/>
      <c r="BB107" s="1872"/>
      <c r="BC107" s="1872"/>
      <c r="BD107" s="1872"/>
      <c r="BE107" s="1872"/>
      <c r="BF107" s="1872"/>
      <c r="BG107" s="1872"/>
      <c r="BH107" s="1872"/>
      <c r="BI107" s="1872"/>
      <c r="BJ107" s="1872"/>
      <c r="BK107" s="1872"/>
      <c r="BL107" s="1872"/>
      <c r="BM107" s="1872"/>
      <c r="BN107" s="1872"/>
      <c r="BO107" s="1872"/>
      <c r="BP107" s="1872"/>
      <c r="BQ107" s="1872"/>
      <c r="BR107" s="1872"/>
      <c r="BS107" s="1872"/>
      <c r="BT107" s="1872"/>
      <c r="BU107" s="1872"/>
      <c r="BV107" s="1872"/>
      <c r="BW107" s="1872"/>
      <c r="BX107" s="1872"/>
      <c r="BY107" s="1872"/>
      <c r="BZ107" s="1872"/>
      <c r="CA107" s="1872"/>
      <c r="CB107" s="1872"/>
      <c r="CC107" s="1872"/>
      <c r="CD107" s="1872"/>
      <c r="CE107" s="1872"/>
      <c r="CF107" s="1872"/>
      <c r="CG107" s="1872"/>
      <c r="CH107" s="1872"/>
      <c r="CI107" s="1872"/>
      <c r="CJ107" s="1872"/>
      <c r="CK107" s="1872"/>
      <c r="CL107" s="1872"/>
      <c r="CM107" s="1872"/>
      <c r="CN107" s="1872"/>
      <c r="CO107" s="1872"/>
      <c r="CP107" s="1872">
        <v>0.186</v>
      </c>
      <c r="CQ107" s="1872"/>
      <c r="CR107" s="1872"/>
      <c r="CS107" s="1872"/>
      <c r="CT107" s="1872"/>
      <c r="CU107" s="1872"/>
      <c r="CV107" s="1872"/>
      <c r="CW107" s="3677"/>
      <c r="CX107" s="1910"/>
      <c r="CY107" s="1910"/>
      <c r="CZ107" s="1910"/>
      <c r="DA107" s="1910"/>
      <c r="DB107" s="1910"/>
      <c r="DC107" s="1910"/>
      <c r="DD107" s="1910"/>
      <c r="DE107" s="1910"/>
      <c r="DF107" s="1911"/>
    </row>
    <row r="108" spans="1:110" s="1962" customFormat="1" ht="22.5" customHeight="1">
      <c r="A108" s="1926"/>
      <c r="B108" s="1910"/>
      <c r="C108" s="1764" t="s">
        <v>118</v>
      </c>
      <c r="D108" s="1941" t="s">
        <v>1472</v>
      </c>
      <c r="E108" s="1934" t="s">
        <v>370</v>
      </c>
      <c r="F108" s="1933" t="str">
        <f t="shared" si="17"/>
        <v>Гкал/час</v>
      </c>
      <c r="G108" s="1872"/>
      <c r="H108" s="1872"/>
      <c r="I108" s="1872"/>
      <c r="J108" s="1872"/>
      <c r="K108" s="1872"/>
      <c r="L108" s="1872"/>
      <c r="M108" s="1872"/>
      <c r="N108" s="1872"/>
      <c r="O108" s="1872"/>
      <c r="P108" s="1872"/>
      <c r="Q108" s="1872"/>
      <c r="R108" s="1872"/>
      <c r="S108" s="1872"/>
      <c r="T108" s="1872"/>
      <c r="U108" s="1872"/>
      <c r="V108" s="1872"/>
      <c r="W108" s="1872"/>
      <c r="X108" s="1872"/>
      <c r="Y108" s="1872"/>
      <c r="Z108" s="1872"/>
      <c r="AA108" s="1872"/>
      <c r="AB108" s="1872"/>
      <c r="AC108" s="1872"/>
      <c r="AD108" s="1872"/>
      <c r="AE108" s="1872"/>
      <c r="AF108" s="1872"/>
      <c r="AG108" s="1872"/>
      <c r="AH108" s="1872"/>
      <c r="AI108" s="1872"/>
      <c r="AJ108" s="1872"/>
      <c r="AK108" s="1872"/>
      <c r="AL108" s="1872"/>
      <c r="AM108" s="1872"/>
      <c r="AN108" s="1872"/>
      <c r="AO108" s="1872"/>
      <c r="AP108" s="1872"/>
      <c r="AQ108" s="1872"/>
      <c r="AR108" s="1872"/>
      <c r="AS108" s="1872"/>
      <c r="AT108" s="1872"/>
      <c r="AU108" s="1872"/>
      <c r="AV108" s="1872"/>
      <c r="AW108" s="1872"/>
      <c r="AX108" s="1872"/>
      <c r="AY108" s="1872"/>
      <c r="AZ108" s="1872"/>
      <c r="BA108" s="1872"/>
      <c r="BB108" s="1872"/>
      <c r="BC108" s="1872"/>
      <c r="BD108" s="1872"/>
      <c r="BE108" s="1872"/>
      <c r="BF108" s="1872"/>
      <c r="BG108" s="1872"/>
      <c r="BH108" s="1872"/>
      <c r="BI108" s="1872"/>
      <c r="BJ108" s="1872"/>
      <c r="BK108" s="1872"/>
      <c r="BL108" s="1872"/>
      <c r="BM108" s="1872"/>
      <c r="BN108" s="1872"/>
      <c r="BO108" s="1872"/>
      <c r="BP108" s="1872"/>
      <c r="BQ108" s="1872"/>
      <c r="BR108" s="1872"/>
      <c r="BS108" s="1872"/>
      <c r="BT108" s="1872"/>
      <c r="BU108" s="1872"/>
      <c r="BV108" s="1872"/>
      <c r="BW108" s="1872"/>
      <c r="BX108" s="1872"/>
      <c r="BY108" s="1872"/>
      <c r="BZ108" s="1872"/>
      <c r="CA108" s="1872"/>
      <c r="CB108" s="1872"/>
      <c r="CC108" s="1872"/>
      <c r="CD108" s="1872"/>
      <c r="CE108" s="1872"/>
      <c r="CF108" s="1872"/>
      <c r="CG108" s="1872"/>
      <c r="CH108" s="1872"/>
      <c r="CI108" s="1872"/>
      <c r="CJ108" s="1872"/>
      <c r="CK108" s="1872"/>
      <c r="CL108" s="1872"/>
      <c r="CM108" s="1872"/>
      <c r="CN108" s="1872"/>
      <c r="CO108" s="1872"/>
      <c r="CP108" s="1872"/>
      <c r="CQ108" s="1872">
        <v>0.23699999999999999</v>
      </c>
      <c r="CR108" s="1872"/>
      <c r="CS108" s="1872"/>
      <c r="CT108" s="1872"/>
      <c r="CU108" s="1872"/>
      <c r="CV108" s="1872"/>
      <c r="CW108" s="3677"/>
      <c r="CX108" s="1910"/>
      <c r="CY108" s="1910"/>
      <c r="CZ108" s="1910"/>
      <c r="DA108" s="1910"/>
      <c r="DB108" s="1910"/>
      <c r="DC108" s="1910"/>
      <c r="DD108" s="1910"/>
      <c r="DE108" s="1910"/>
      <c r="DF108" s="1911"/>
    </row>
    <row r="109" spans="1:110" s="1962" customFormat="1" ht="22.5" customHeight="1">
      <c r="A109" s="1926"/>
      <c r="B109" s="1910"/>
      <c r="C109" s="1764" t="s">
        <v>118</v>
      </c>
      <c r="D109" s="1941" t="s">
        <v>1473</v>
      </c>
      <c r="E109" s="1934" t="s">
        <v>373</v>
      </c>
      <c r="F109" s="1933" t="str">
        <f t="shared" si="17"/>
        <v>Гкал/час</v>
      </c>
      <c r="G109" s="1872"/>
      <c r="H109" s="1872"/>
      <c r="I109" s="1872"/>
      <c r="J109" s="1872"/>
      <c r="K109" s="1872"/>
      <c r="L109" s="1872"/>
      <c r="M109" s="1872"/>
      <c r="N109" s="1872"/>
      <c r="O109" s="1872"/>
      <c r="P109" s="1872"/>
      <c r="Q109" s="1872"/>
      <c r="R109" s="1872"/>
      <c r="S109" s="1872"/>
      <c r="T109" s="1872"/>
      <c r="U109" s="1872"/>
      <c r="V109" s="1872"/>
      <c r="W109" s="1872"/>
      <c r="X109" s="1872"/>
      <c r="Y109" s="1872"/>
      <c r="Z109" s="1872"/>
      <c r="AA109" s="1872"/>
      <c r="AB109" s="1872"/>
      <c r="AC109" s="1872"/>
      <c r="AD109" s="1872"/>
      <c r="AE109" s="1872"/>
      <c r="AF109" s="1872"/>
      <c r="AG109" s="1872"/>
      <c r="AH109" s="1872"/>
      <c r="AI109" s="1872"/>
      <c r="AJ109" s="1872"/>
      <c r="AK109" s="1872"/>
      <c r="AL109" s="1872"/>
      <c r="AM109" s="1872"/>
      <c r="AN109" s="1872"/>
      <c r="AO109" s="1872"/>
      <c r="AP109" s="1872"/>
      <c r="AQ109" s="1872"/>
      <c r="AR109" s="1872"/>
      <c r="AS109" s="1872"/>
      <c r="AT109" s="1872"/>
      <c r="AU109" s="1872"/>
      <c r="AV109" s="1872"/>
      <c r="AW109" s="1872"/>
      <c r="AX109" s="1872"/>
      <c r="AY109" s="1872"/>
      <c r="AZ109" s="1872"/>
      <c r="BA109" s="1872"/>
      <c r="BB109" s="1872"/>
      <c r="BC109" s="1872"/>
      <c r="BD109" s="1872"/>
      <c r="BE109" s="1872"/>
      <c r="BF109" s="1872"/>
      <c r="BG109" s="1872"/>
      <c r="BH109" s="1872"/>
      <c r="BI109" s="1872"/>
      <c r="BJ109" s="1872"/>
      <c r="BK109" s="1872"/>
      <c r="BL109" s="1872"/>
      <c r="BM109" s="1872"/>
      <c r="BN109" s="1872"/>
      <c r="BO109" s="1872"/>
      <c r="BP109" s="1872"/>
      <c r="BQ109" s="1872"/>
      <c r="BR109" s="1872"/>
      <c r="BS109" s="1872"/>
      <c r="BT109" s="1872"/>
      <c r="BU109" s="1872"/>
      <c r="BV109" s="1872"/>
      <c r="BW109" s="1872"/>
      <c r="BX109" s="1872"/>
      <c r="BY109" s="1872"/>
      <c r="BZ109" s="1872"/>
      <c r="CA109" s="1872"/>
      <c r="CB109" s="1872"/>
      <c r="CC109" s="1872"/>
      <c r="CD109" s="1872"/>
      <c r="CE109" s="1872"/>
      <c r="CF109" s="1872"/>
      <c r="CG109" s="1872"/>
      <c r="CH109" s="1872"/>
      <c r="CI109" s="1872"/>
      <c r="CJ109" s="1872"/>
      <c r="CK109" s="1872"/>
      <c r="CL109" s="1872"/>
      <c r="CM109" s="1872"/>
      <c r="CN109" s="1872"/>
      <c r="CO109" s="1872"/>
      <c r="CP109" s="1872"/>
      <c r="CQ109" s="1872"/>
      <c r="CR109" s="1872">
        <v>7.0000000000000007E-2</v>
      </c>
      <c r="CS109" s="1872"/>
      <c r="CT109" s="1872"/>
      <c r="CU109" s="1872"/>
      <c r="CV109" s="1872"/>
      <c r="CW109" s="3677"/>
      <c r="CX109" s="1910"/>
      <c r="CY109" s="1910"/>
      <c r="CZ109" s="1910"/>
      <c r="DA109" s="1910"/>
      <c r="DB109" s="1910"/>
      <c r="DC109" s="1910"/>
      <c r="DD109" s="1910"/>
      <c r="DE109" s="1910"/>
      <c r="DF109" s="1911"/>
    </row>
    <row r="110" spans="1:110" s="1962" customFormat="1" ht="22.5" customHeight="1">
      <c r="A110" s="1926"/>
      <c r="B110" s="1910"/>
      <c r="C110" s="1764" t="s">
        <v>118</v>
      </c>
      <c r="D110" s="1941" t="s">
        <v>1474</v>
      </c>
      <c r="E110" s="1934" t="s">
        <v>376</v>
      </c>
      <c r="F110" s="1933" t="str">
        <f t="shared" si="17"/>
        <v>Гкал/час</v>
      </c>
      <c r="G110" s="1872"/>
      <c r="H110" s="1872"/>
      <c r="I110" s="1872"/>
      <c r="J110" s="1872"/>
      <c r="K110" s="1872"/>
      <c r="L110" s="1872"/>
      <c r="M110" s="1872"/>
      <c r="N110" s="1872"/>
      <c r="O110" s="1872"/>
      <c r="P110" s="1872"/>
      <c r="Q110" s="1872"/>
      <c r="R110" s="1872"/>
      <c r="S110" s="1872"/>
      <c r="T110" s="1872"/>
      <c r="U110" s="1872"/>
      <c r="V110" s="1872"/>
      <c r="W110" s="1872"/>
      <c r="X110" s="1872"/>
      <c r="Y110" s="1872"/>
      <c r="Z110" s="1872"/>
      <c r="AA110" s="1872"/>
      <c r="AB110" s="1872"/>
      <c r="AC110" s="1872"/>
      <c r="AD110" s="1872"/>
      <c r="AE110" s="1872"/>
      <c r="AF110" s="1872"/>
      <c r="AG110" s="1872"/>
      <c r="AH110" s="1872"/>
      <c r="AI110" s="1872"/>
      <c r="AJ110" s="1872"/>
      <c r="AK110" s="1872"/>
      <c r="AL110" s="1872"/>
      <c r="AM110" s="1872"/>
      <c r="AN110" s="1872"/>
      <c r="AO110" s="1872"/>
      <c r="AP110" s="1872"/>
      <c r="AQ110" s="1872"/>
      <c r="AR110" s="1872"/>
      <c r="AS110" s="1872"/>
      <c r="AT110" s="1872"/>
      <c r="AU110" s="1872"/>
      <c r="AV110" s="1872"/>
      <c r="AW110" s="1872"/>
      <c r="AX110" s="1872"/>
      <c r="AY110" s="1872"/>
      <c r="AZ110" s="1872"/>
      <c r="BA110" s="1872"/>
      <c r="BB110" s="1872"/>
      <c r="BC110" s="1872"/>
      <c r="BD110" s="1872"/>
      <c r="BE110" s="1872"/>
      <c r="BF110" s="1872"/>
      <c r="BG110" s="1872"/>
      <c r="BH110" s="1872"/>
      <c r="BI110" s="1872"/>
      <c r="BJ110" s="1872"/>
      <c r="BK110" s="1872"/>
      <c r="BL110" s="1872"/>
      <c r="BM110" s="1872"/>
      <c r="BN110" s="1872"/>
      <c r="BO110" s="1872"/>
      <c r="BP110" s="1872"/>
      <c r="BQ110" s="1872"/>
      <c r="BR110" s="1872"/>
      <c r="BS110" s="1872"/>
      <c r="BT110" s="1872"/>
      <c r="BU110" s="1872"/>
      <c r="BV110" s="1872"/>
      <c r="BW110" s="1872"/>
      <c r="BX110" s="1872"/>
      <c r="BY110" s="1872"/>
      <c r="BZ110" s="1872"/>
      <c r="CA110" s="1872"/>
      <c r="CB110" s="1872"/>
      <c r="CC110" s="1872"/>
      <c r="CD110" s="1872"/>
      <c r="CE110" s="1872"/>
      <c r="CF110" s="1872"/>
      <c r="CG110" s="1872"/>
      <c r="CH110" s="1872"/>
      <c r="CI110" s="1872"/>
      <c r="CJ110" s="1872"/>
      <c r="CK110" s="1872"/>
      <c r="CL110" s="1872"/>
      <c r="CM110" s="1872"/>
      <c r="CN110" s="1872"/>
      <c r="CO110" s="1872"/>
      <c r="CP110" s="1872"/>
      <c r="CQ110" s="1872"/>
      <c r="CR110" s="1872"/>
      <c r="CS110" s="1872">
        <v>5.0000000000000001E-3</v>
      </c>
      <c r="CT110" s="1872"/>
      <c r="CU110" s="1872"/>
      <c r="CV110" s="1872"/>
      <c r="CW110" s="3677"/>
      <c r="CX110" s="1910"/>
      <c r="CY110" s="1910"/>
      <c r="CZ110" s="1910"/>
      <c r="DA110" s="1910"/>
      <c r="DB110" s="1910"/>
      <c r="DC110" s="1910"/>
      <c r="DD110" s="1910"/>
      <c r="DE110" s="1910"/>
      <c r="DF110" s="1911"/>
    </row>
    <row r="111" spans="1:110" s="1962" customFormat="1" ht="22.5" customHeight="1">
      <c r="A111" s="1926"/>
      <c r="B111" s="1910"/>
      <c r="C111" s="1764" t="s">
        <v>118</v>
      </c>
      <c r="D111" s="1941" t="s">
        <v>1475</v>
      </c>
      <c r="E111" s="1934" t="s">
        <v>379</v>
      </c>
      <c r="F111" s="1933" t="str">
        <f t="shared" si="17"/>
        <v>Гкал/час</v>
      </c>
      <c r="G111" s="1872"/>
      <c r="H111" s="1872"/>
      <c r="I111" s="1872"/>
      <c r="J111" s="1872"/>
      <c r="K111" s="1872"/>
      <c r="L111" s="1872"/>
      <c r="M111" s="1872"/>
      <c r="N111" s="1872"/>
      <c r="O111" s="1872"/>
      <c r="P111" s="1872"/>
      <c r="Q111" s="1872"/>
      <c r="R111" s="1872"/>
      <c r="S111" s="1872"/>
      <c r="T111" s="1872"/>
      <c r="U111" s="1872"/>
      <c r="V111" s="1872"/>
      <c r="W111" s="1872"/>
      <c r="X111" s="1872"/>
      <c r="Y111" s="1872"/>
      <c r="Z111" s="1872"/>
      <c r="AA111" s="1872"/>
      <c r="AB111" s="1872"/>
      <c r="AC111" s="1872"/>
      <c r="AD111" s="1872"/>
      <c r="AE111" s="1872"/>
      <c r="AF111" s="1872"/>
      <c r="AG111" s="1872"/>
      <c r="AH111" s="1872"/>
      <c r="AI111" s="1872"/>
      <c r="AJ111" s="1872"/>
      <c r="AK111" s="1872"/>
      <c r="AL111" s="1872"/>
      <c r="AM111" s="1872"/>
      <c r="AN111" s="1872"/>
      <c r="AO111" s="1872"/>
      <c r="AP111" s="1872"/>
      <c r="AQ111" s="1872"/>
      <c r="AR111" s="1872"/>
      <c r="AS111" s="1872"/>
      <c r="AT111" s="1872"/>
      <c r="AU111" s="1872"/>
      <c r="AV111" s="1872"/>
      <c r="AW111" s="1872"/>
      <c r="AX111" s="1872"/>
      <c r="AY111" s="1872"/>
      <c r="AZ111" s="1872"/>
      <c r="BA111" s="1872"/>
      <c r="BB111" s="1872"/>
      <c r="BC111" s="1872"/>
      <c r="BD111" s="1872"/>
      <c r="BE111" s="1872"/>
      <c r="BF111" s="1872"/>
      <c r="BG111" s="1872"/>
      <c r="BH111" s="1872"/>
      <c r="BI111" s="1872"/>
      <c r="BJ111" s="1872"/>
      <c r="BK111" s="1872"/>
      <c r="BL111" s="1872"/>
      <c r="BM111" s="1872"/>
      <c r="BN111" s="1872"/>
      <c r="BO111" s="1872"/>
      <c r="BP111" s="1872"/>
      <c r="BQ111" s="1872"/>
      <c r="BR111" s="1872"/>
      <c r="BS111" s="1872"/>
      <c r="BT111" s="1872"/>
      <c r="BU111" s="1872"/>
      <c r="BV111" s="1872"/>
      <c r="BW111" s="1872"/>
      <c r="BX111" s="1872"/>
      <c r="BY111" s="1872"/>
      <c r="BZ111" s="1872"/>
      <c r="CA111" s="1872"/>
      <c r="CB111" s="1872"/>
      <c r="CC111" s="1872"/>
      <c r="CD111" s="1872"/>
      <c r="CE111" s="1872"/>
      <c r="CF111" s="1872"/>
      <c r="CG111" s="1872"/>
      <c r="CH111" s="1872"/>
      <c r="CI111" s="1872"/>
      <c r="CJ111" s="1872"/>
      <c r="CK111" s="1872"/>
      <c r="CL111" s="1872"/>
      <c r="CM111" s="1872"/>
      <c r="CN111" s="1872"/>
      <c r="CO111" s="1872"/>
      <c r="CP111" s="1872"/>
      <c r="CQ111" s="1872"/>
      <c r="CR111" s="1872"/>
      <c r="CS111" s="1872"/>
      <c r="CT111" s="1872">
        <v>0.14099999999999999</v>
      </c>
      <c r="CU111" s="1872"/>
      <c r="CV111" s="1872"/>
      <c r="CW111" s="3677"/>
      <c r="CX111" s="1910"/>
      <c r="CY111" s="1910"/>
      <c r="CZ111" s="1910"/>
      <c r="DA111" s="1910"/>
      <c r="DB111" s="1910"/>
      <c r="DC111" s="1910"/>
      <c r="DD111" s="1910"/>
      <c r="DE111" s="1910"/>
      <c r="DF111" s="1911"/>
    </row>
    <row r="112" spans="1:110" s="1962" customFormat="1" ht="22.5" customHeight="1">
      <c r="A112" s="1926"/>
      <c r="B112" s="1910"/>
      <c r="C112" s="1764" t="s">
        <v>118</v>
      </c>
      <c r="D112" s="1941" t="s">
        <v>1476</v>
      </c>
      <c r="E112" s="1934" t="s">
        <v>382</v>
      </c>
      <c r="F112" s="1933" t="str">
        <f t="shared" si="17"/>
        <v>Гкал/час</v>
      </c>
      <c r="G112" s="1872"/>
      <c r="H112" s="1872"/>
      <c r="I112" s="1872"/>
      <c r="J112" s="1872"/>
      <c r="K112" s="1872"/>
      <c r="L112" s="1872"/>
      <c r="M112" s="1872"/>
      <c r="N112" s="1872"/>
      <c r="O112" s="1872"/>
      <c r="P112" s="1872"/>
      <c r="Q112" s="1872"/>
      <c r="R112" s="1872"/>
      <c r="S112" s="1872"/>
      <c r="T112" s="1872"/>
      <c r="U112" s="1872"/>
      <c r="V112" s="1872"/>
      <c r="W112" s="1872"/>
      <c r="X112" s="1872"/>
      <c r="Y112" s="1872"/>
      <c r="Z112" s="1872"/>
      <c r="AA112" s="1872"/>
      <c r="AB112" s="1872"/>
      <c r="AC112" s="1872"/>
      <c r="AD112" s="1872"/>
      <c r="AE112" s="1872"/>
      <c r="AF112" s="1872"/>
      <c r="AG112" s="1872"/>
      <c r="AH112" s="1872"/>
      <c r="AI112" s="1872"/>
      <c r="AJ112" s="1872"/>
      <c r="AK112" s="1872"/>
      <c r="AL112" s="1872"/>
      <c r="AM112" s="1872"/>
      <c r="AN112" s="1872"/>
      <c r="AO112" s="1872"/>
      <c r="AP112" s="1872"/>
      <c r="AQ112" s="1872"/>
      <c r="AR112" s="1872"/>
      <c r="AS112" s="1872"/>
      <c r="AT112" s="1872"/>
      <c r="AU112" s="1872"/>
      <c r="AV112" s="1872"/>
      <c r="AW112" s="1872"/>
      <c r="AX112" s="1872"/>
      <c r="AY112" s="1872"/>
      <c r="AZ112" s="1872"/>
      <c r="BA112" s="1872"/>
      <c r="BB112" s="1872"/>
      <c r="BC112" s="1872"/>
      <c r="BD112" s="1872"/>
      <c r="BE112" s="1872"/>
      <c r="BF112" s="1872"/>
      <c r="BG112" s="1872"/>
      <c r="BH112" s="1872"/>
      <c r="BI112" s="1872"/>
      <c r="BJ112" s="1872"/>
      <c r="BK112" s="1872"/>
      <c r="BL112" s="1872"/>
      <c r="BM112" s="1872"/>
      <c r="BN112" s="1872"/>
      <c r="BO112" s="1872"/>
      <c r="BP112" s="1872"/>
      <c r="BQ112" s="1872"/>
      <c r="BR112" s="1872"/>
      <c r="BS112" s="1872"/>
      <c r="BT112" s="1872"/>
      <c r="BU112" s="1872"/>
      <c r="BV112" s="1872"/>
      <c r="BW112" s="1872"/>
      <c r="BX112" s="1872"/>
      <c r="BY112" s="1872"/>
      <c r="BZ112" s="1872"/>
      <c r="CA112" s="1872"/>
      <c r="CB112" s="1872"/>
      <c r="CC112" s="1872"/>
      <c r="CD112" s="1872"/>
      <c r="CE112" s="1872"/>
      <c r="CF112" s="1872"/>
      <c r="CG112" s="1872"/>
      <c r="CH112" s="1872"/>
      <c r="CI112" s="1872"/>
      <c r="CJ112" s="1872"/>
      <c r="CK112" s="1872"/>
      <c r="CL112" s="1872"/>
      <c r="CM112" s="1872"/>
      <c r="CN112" s="1872"/>
      <c r="CO112" s="1872"/>
      <c r="CP112" s="1872"/>
      <c r="CQ112" s="1872"/>
      <c r="CR112" s="1872"/>
      <c r="CS112" s="1872"/>
      <c r="CT112" s="1872"/>
      <c r="CU112" s="1872">
        <v>0</v>
      </c>
      <c r="CV112" s="1872"/>
      <c r="CW112" s="3677"/>
      <c r="CX112" s="1910"/>
      <c r="CY112" s="1910"/>
      <c r="CZ112" s="1910"/>
      <c r="DA112" s="1910"/>
      <c r="DB112" s="1910"/>
      <c r="DC112" s="1910"/>
      <c r="DD112" s="1910"/>
      <c r="DE112" s="1910"/>
      <c r="DF112" s="1911"/>
    </row>
    <row r="113" spans="1:110" s="1962" customFormat="1" ht="22.5" customHeight="1">
      <c r="A113" s="1926"/>
      <c r="B113" s="1910"/>
      <c r="C113" s="1764" t="s">
        <v>118</v>
      </c>
      <c r="D113" s="1941" t="s">
        <v>1477</v>
      </c>
      <c r="E113" s="1934" t="s">
        <v>385</v>
      </c>
      <c r="F113" s="1933" t="str">
        <f t="shared" si="17"/>
        <v>Гкал/час</v>
      </c>
      <c r="G113" s="1872"/>
      <c r="H113" s="1872"/>
      <c r="I113" s="1872"/>
      <c r="J113" s="1872"/>
      <c r="K113" s="1872"/>
      <c r="L113" s="1872"/>
      <c r="M113" s="1872"/>
      <c r="N113" s="1872"/>
      <c r="O113" s="1872"/>
      <c r="P113" s="1872"/>
      <c r="Q113" s="1872"/>
      <c r="R113" s="1872"/>
      <c r="S113" s="1872"/>
      <c r="T113" s="1872"/>
      <c r="U113" s="1872"/>
      <c r="V113" s="1872"/>
      <c r="W113" s="1872"/>
      <c r="X113" s="1872"/>
      <c r="Y113" s="1872"/>
      <c r="Z113" s="1872"/>
      <c r="AA113" s="1872"/>
      <c r="AB113" s="1872"/>
      <c r="AC113" s="1872"/>
      <c r="AD113" s="1872"/>
      <c r="AE113" s="1872"/>
      <c r="AF113" s="1872"/>
      <c r="AG113" s="1872"/>
      <c r="AH113" s="1872"/>
      <c r="AI113" s="1872"/>
      <c r="AJ113" s="1872"/>
      <c r="AK113" s="1872"/>
      <c r="AL113" s="1872"/>
      <c r="AM113" s="1872"/>
      <c r="AN113" s="1872"/>
      <c r="AO113" s="1872"/>
      <c r="AP113" s="1872"/>
      <c r="AQ113" s="1872"/>
      <c r="AR113" s="1872"/>
      <c r="AS113" s="1872"/>
      <c r="AT113" s="1872"/>
      <c r="AU113" s="1872"/>
      <c r="AV113" s="1872"/>
      <c r="AW113" s="1872"/>
      <c r="AX113" s="1872"/>
      <c r="AY113" s="1872"/>
      <c r="AZ113" s="1872"/>
      <c r="BA113" s="1872"/>
      <c r="BB113" s="1872"/>
      <c r="BC113" s="1872"/>
      <c r="BD113" s="1872"/>
      <c r="BE113" s="1872"/>
      <c r="BF113" s="1872"/>
      <c r="BG113" s="1872"/>
      <c r="BH113" s="1872"/>
      <c r="BI113" s="1872"/>
      <c r="BJ113" s="1872"/>
      <c r="BK113" s="1872"/>
      <c r="BL113" s="1872"/>
      <c r="BM113" s="1872"/>
      <c r="BN113" s="1872"/>
      <c r="BO113" s="1872"/>
      <c r="BP113" s="1872"/>
      <c r="BQ113" s="1872"/>
      <c r="BR113" s="1872"/>
      <c r="BS113" s="1872"/>
      <c r="BT113" s="1872"/>
      <c r="BU113" s="1872"/>
      <c r="BV113" s="1872"/>
      <c r="BW113" s="1872"/>
      <c r="BX113" s="1872"/>
      <c r="BY113" s="1872"/>
      <c r="BZ113" s="1872"/>
      <c r="CA113" s="1872"/>
      <c r="CB113" s="1872"/>
      <c r="CC113" s="1872"/>
      <c r="CD113" s="1872"/>
      <c r="CE113" s="1872"/>
      <c r="CF113" s="1872"/>
      <c r="CG113" s="1872"/>
      <c r="CH113" s="1872"/>
      <c r="CI113" s="1872"/>
      <c r="CJ113" s="1872"/>
      <c r="CK113" s="1872"/>
      <c r="CL113" s="1872"/>
      <c r="CM113" s="1872"/>
      <c r="CN113" s="1872"/>
      <c r="CO113" s="1872"/>
      <c r="CP113" s="1872"/>
      <c r="CQ113" s="1872"/>
      <c r="CR113" s="1872"/>
      <c r="CS113" s="1872"/>
      <c r="CT113" s="1872"/>
      <c r="CU113" s="1872"/>
      <c r="CV113" s="1872">
        <v>2E-3</v>
      </c>
      <c r="CW113" s="3677"/>
      <c r="CX113" s="1910"/>
      <c r="CY113" s="1910"/>
      <c r="CZ113" s="1910"/>
      <c r="DA113" s="1910"/>
      <c r="DB113" s="1910"/>
      <c r="DC113" s="1910"/>
      <c r="DD113" s="1910"/>
      <c r="DE113" s="1910"/>
      <c r="DF113" s="1911"/>
    </row>
    <row r="114" spans="1:110" ht="15" customHeight="1">
      <c r="A114" s="403"/>
      <c r="C114" s="403"/>
      <c r="D114" s="257"/>
      <c r="E114" s="477" t="s">
        <v>1478</v>
      </c>
      <c r="F114" s="469"/>
      <c r="G114" s="469"/>
      <c r="H114" s="469"/>
      <c r="I114" s="3261"/>
      <c r="J114" s="3262"/>
      <c r="K114" s="3263"/>
      <c r="L114" s="3264"/>
      <c r="M114" s="3265"/>
      <c r="N114" s="3266"/>
      <c r="O114" s="3267"/>
      <c r="P114" s="3268"/>
      <c r="Q114" s="3269"/>
      <c r="R114" s="3270"/>
      <c r="S114" s="3271"/>
      <c r="T114" s="3272"/>
      <c r="U114" s="3273"/>
      <c r="V114" s="3274"/>
      <c r="W114" s="3275"/>
      <c r="X114" s="3276"/>
      <c r="Y114" s="3277"/>
      <c r="Z114" s="3278"/>
      <c r="AA114" s="3279"/>
      <c r="AB114" s="3280"/>
      <c r="AC114" s="3281"/>
      <c r="AD114" s="3282"/>
      <c r="AE114" s="3283"/>
      <c r="AF114" s="3284"/>
      <c r="AG114" s="3285"/>
      <c r="AH114" s="3286"/>
      <c r="AI114" s="3287"/>
      <c r="AJ114" s="3288"/>
      <c r="AK114" s="3289"/>
      <c r="AL114" s="3290"/>
      <c r="AM114" s="3291"/>
      <c r="AN114" s="3292"/>
      <c r="AO114" s="3293"/>
      <c r="AP114" s="3294"/>
      <c r="AQ114" s="3295"/>
      <c r="AR114" s="3296"/>
      <c r="AS114" s="3297"/>
      <c r="AT114" s="3298"/>
      <c r="AU114" s="3299"/>
      <c r="AV114" s="3300"/>
      <c r="AW114" s="3301"/>
      <c r="AX114" s="3302"/>
      <c r="AY114" s="3303"/>
      <c r="AZ114" s="3304"/>
      <c r="BA114" s="3305"/>
      <c r="BB114" s="3306"/>
      <c r="BC114" s="3307"/>
      <c r="BD114" s="3308"/>
      <c r="BE114" s="3309"/>
      <c r="BF114" s="3310"/>
      <c r="BG114" s="3311"/>
      <c r="BH114" s="3312"/>
      <c r="BI114" s="3313"/>
      <c r="BJ114" s="3314"/>
      <c r="BK114" s="3315"/>
      <c r="BL114" s="3316"/>
      <c r="BM114" s="3317"/>
      <c r="BN114" s="3318"/>
      <c r="BO114" s="3319"/>
      <c r="BP114" s="3320"/>
      <c r="BQ114" s="3321"/>
      <c r="BR114" s="3322"/>
      <c r="BS114" s="3323"/>
      <c r="BT114" s="3324"/>
      <c r="BU114" s="3325"/>
      <c r="BV114" s="3326"/>
      <c r="BW114" s="3327"/>
      <c r="BX114" s="3328"/>
      <c r="BY114" s="3329"/>
      <c r="BZ114" s="3330"/>
      <c r="CA114" s="3331"/>
      <c r="CB114" s="3332"/>
      <c r="CC114" s="3333"/>
      <c r="CD114" s="3334"/>
      <c r="CE114" s="3335"/>
      <c r="CF114" s="3336"/>
      <c r="CG114" s="3337"/>
      <c r="CH114" s="3338"/>
      <c r="CI114" s="3339"/>
      <c r="CJ114" s="3340"/>
      <c r="CK114" s="3341"/>
      <c r="CL114" s="3342"/>
      <c r="CM114" s="3343"/>
      <c r="CN114" s="3344"/>
      <c r="CO114" s="3345"/>
      <c r="CP114" s="3346"/>
      <c r="CQ114" s="3347"/>
      <c r="CR114" s="3348"/>
      <c r="CS114" s="3349"/>
      <c r="CT114" s="3350"/>
      <c r="CU114" s="3351"/>
      <c r="CV114" s="3352"/>
      <c r="CW114" s="3447"/>
      <c r="DF114" s="403"/>
    </row>
  </sheetData>
  <sheetProtection formatColumns="0" formatRows="0" insertRows="0" deleteColumns="0" deleteRows="0" sort="0" autoFilter="0"/>
  <mergeCells count="8">
    <mergeCell ref="CW21:CW114"/>
    <mergeCell ref="CW9:CW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A00-000000000000}"/>
    <dataValidation type="textLength" operator="lessThanOrEqual" allowBlank="1" showInputMessage="1" showErrorMessage="1" errorTitle="Ошибка" error="Допускается ввод не более 900 символов!" sqref="E21:E113 E2 G18:CV18" xr:uid="{00000000-0002-0000-2A00-000001000000}">
      <formula1>900</formula1>
    </dataValidation>
    <dataValidation type="whole" allowBlank="1" showErrorMessage="1" errorTitle="Ошибка" error="Допускается ввод только неотрицательных целых чисел!" sqref="G15:CV17" xr:uid="{00000000-0002-0000-2A00-000002000000}">
      <formula1>0</formula1>
      <formula2>9.99999999999999E+23</formula2>
    </dataValidation>
    <dataValidation type="decimal" allowBlank="1" showErrorMessage="1" errorTitle="Ошибка" error="Допускается ввод только действительных чисел!" sqref="G2:CV2 G21:CV113" xr:uid="{00000000-0002-0000-2A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7C8BE-515A-0EAF-5818-A999C8807AA1}">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1957" hidden="1" customWidth="1"/>
    <col min="2" max="2" width="9.140625" style="1903" hidden="1" customWidth="1"/>
    <col min="3" max="3" width="3.7109375" style="1906" customWidth="1"/>
    <col min="4" max="4" width="6.28515625" style="1910" customWidth="1"/>
    <col min="5" max="6" width="64.140625" style="1910" customWidth="1"/>
    <col min="7" max="7" width="141.140625" style="1910" customWidth="1"/>
    <col min="8" max="8" width="10.5703125" style="1910"/>
    <col min="9" max="10" width="10.5703125" style="1904"/>
    <col min="11" max="16" width="10.5703125" style="1910"/>
  </cols>
  <sheetData>
    <row r="1" spans="1:16" ht="14.25" hidden="1" customHeight="1">
      <c r="M1" s="169"/>
      <c r="N1" s="169"/>
      <c r="P1" s="169"/>
    </row>
    <row r="2" spans="1:16" ht="14.25" hidden="1" customHeight="1"/>
    <row r="3" spans="1:16" ht="14.25" hidden="1" customHeight="1"/>
    <row r="4" spans="1:16" ht="3" customHeight="1">
      <c r="C4" s="26"/>
      <c r="D4" s="16"/>
      <c r="E4" s="16"/>
      <c r="F4" s="17"/>
      <c r="G4" s="17"/>
    </row>
    <row r="5" spans="1:16" ht="27.75" customHeight="1">
      <c r="C5" s="26"/>
      <c r="D5" s="344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450"/>
      <c r="F5" s="3450"/>
      <c r="G5" s="3451"/>
    </row>
    <row r="6" spans="1:16" s="1910" customFormat="1" ht="18" customHeight="1">
      <c r="A6" s="758"/>
      <c r="B6" s="324"/>
      <c r="C6" s="283"/>
      <c r="D6" s="3503" t="str">
        <f>IF(org=0,"Не определено",org)</f>
        <v>АО "Орелгортеплоэнерго"</v>
      </c>
      <c r="E6" s="3504"/>
      <c r="F6" s="3504"/>
      <c r="G6" s="3505"/>
      <c r="I6" s="398"/>
      <c r="J6" s="398"/>
    </row>
    <row r="7" spans="1:16" ht="14.25" customHeight="1">
      <c r="C7" s="26"/>
      <c r="D7" s="16"/>
      <c r="E7" s="25"/>
      <c r="F7" s="640"/>
      <c r="G7" s="109"/>
    </row>
    <row r="8" spans="1:16" s="1910" customFormat="1" ht="0.75" customHeight="1">
      <c r="A8" s="1514"/>
      <c r="B8" s="1023"/>
      <c r="C8" s="283"/>
      <c r="D8" s="272"/>
      <c r="E8" s="296"/>
      <c r="F8" s="640"/>
      <c r="G8" s="109"/>
      <c r="I8" s="1469"/>
      <c r="J8" s="1469"/>
    </row>
    <row r="9" spans="1:16" ht="14.25" customHeight="1">
      <c r="C9" s="26"/>
      <c r="D9" s="3489" t="s">
        <v>560</v>
      </c>
      <c r="E9" s="3489"/>
      <c r="F9" s="3489"/>
      <c r="G9" s="3678" t="s">
        <v>561</v>
      </c>
    </row>
    <row r="10" spans="1:16" ht="14.25" customHeight="1">
      <c r="C10" s="26"/>
      <c r="D10" s="32" t="s">
        <v>85</v>
      </c>
      <c r="E10" s="35" t="s">
        <v>562</v>
      </c>
      <c r="F10" s="35" t="s">
        <v>652</v>
      </c>
      <c r="G10" s="3678"/>
    </row>
    <row r="11" spans="1:16" ht="12" hidden="1" customHeight="1">
      <c r="C11" s="26"/>
      <c r="D11" s="19"/>
      <c r="E11" s="19"/>
      <c r="F11" s="19"/>
      <c r="G11" s="19"/>
    </row>
    <row r="12" spans="1:16" ht="62.25" customHeight="1">
      <c r="A12" s="108"/>
      <c r="C12" s="26"/>
      <c r="D12" s="67">
        <v>1</v>
      </c>
      <c r="E12" s="11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14" t="s">
        <v>566</v>
      </c>
      <c r="G12" s="71"/>
    </row>
    <row r="13" spans="1:16" ht="22.5" customHeight="1">
      <c r="A13" s="108"/>
      <c r="C13" s="26"/>
      <c r="D13" s="67" t="s">
        <v>1294</v>
      </c>
      <c r="E13" s="11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4" t="s">
        <v>566</v>
      </c>
      <c r="G13" s="71"/>
    </row>
    <row r="14" spans="1:16" ht="14.25" customHeight="1">
      <c r="A14" s="108"/>
      <c r="C14" s="26"/>
      <c r="D14" s="67" t="s">
        <v>1330</v>
      </c>
      <c r="E14" s="111"/>
      <c r="F14" s="129"/>
      <c r="G14" s="344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08"/>
      <c r="C15" s="26"/>
      <c r="D15" s="36"/>
      <c r="E15" s="258" t="s">
        <v>1479</v>
      </c>
      <c r="F15" s="117"/>
      <c r="G15" s="3447"/>
    </row>
    <row r="16" spans="1:16" ht="22.5" customHeight="1">
      <c r="A16" s="108"/>
      <c r="C16" s="26"/>
      <c r="D16" s="67" t="s">
        <v>1296</v>
      </c>
      <c r="E16" s="11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14" t="s">
        <v>566</v>
      </c>
      <c r="G16" s="248"/>
    </row>
    <row r="17" spans="1:16" ht="14.25" customHeight="1">
      <c r="A17" s="108"/>
      <c r="C17" s="26"/>
      <c r="D17" s="67" t="s">
        <v>1338</v>
      </c>
      <c r="E17" s="111"/>
      <c r="F17" s="292"/>
      <c r="G17" s="344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r="18" spans="1:16" s="1910" customFormat="1" ht="21" customHeight="1">
      <c r="A18" s="253"/>
      <c r="B18" s="66"/>
      <c r="C18" s="218"/>
      <c r="D18" s="257"/>
      <c r="E18" s="258" t="s">
        <v>1480</v>
      </c>
      <c r="F18" s="249"/>
      <c r="G18" s="3447"/>
      <c r="I18" s="259"/>
      <c r="J18" s="259"/>
    </row>
    <row r="19" spans="1:16" s="1910" customFormat="1" ht="256.5" hidden="1" customHeight="1">
      <c r="A19" s="253"/>
      <c r="B19" s="324"/>
      <c r="C19" s="283"/>
      <c r="D19" s="760" t="s">
        <v>1298</v>
      </c>
      <c r="E19" s="759" t="s">
        <v>1481</v>
      </c>
      <c r="F19" s="292"/>
      <c r="G19" s="248" t="s">
        <v>1482</v>
      </c>
      <c r="I19" s="398"/>
      <c r="J19" s="398"/>
    </row>
    <row r="20" spans="1:16" s="1910" customFormat="1" ht="14.25" customHeight="1">
      <c r="A20" s="253"/>
      <c r="B20" s="66"/>
      <c r="C20" s="218"/>
      <c r="D20" s="761">
        <v>2</v>
      </c>
      <c r="E20" s="241" t="s">
        <v>1483</v>
      </c>
      <c r="F20" s="114" t="s">
        <v>566</v>
      </c>
      <c r="G20" s="248"/>
      <c r="I20" s="259"/>
      <c r="J20" s="259"/>
    </row>
    <row r="21" spans="1:16" s="1910" customFormat="1" ht="18.75" hidden="1" customHeight="1">
      <c r="A21" s="253"/>
      <c r="B21" s="66"/>
      <c r="C21" s="218"/>
      <c r="D21" s="244" t="s">
        <v>1223</v>
      </c>
      <c r="E21" s="243"/>
      <c r="F21" s="242"/>
      <c r="G21" s="252"/>
      <c r="H21" s="245"/>
      <c r="I21" s="259"/>
      <c r="J21" s="259"/>
    </row>
    <row r="22" spans="1:16" ht="15" customHeight="1">
      <c r="A22" s="108"/>
      <c r="C22" s="26"/>
      <c r="D22" s="36"/>
      <c r="E22" s="119" t="s">
        <v>1484</v>
      </c>
      <c r="F22" s="249"/>
      <c r="G22" s="250"/>
    </row>
    <row r="23" spans="1:16" s="1910" customFormat="1" ht="22.5" hidden="1" customHeight="1">
      <c r="A23" s="253"/>
      <c r="B23" s="1023"/>
      <c r="C23" s="283"/>
      <c r="D23" s="1518" t="s">
        <v>107</v>
      </c>
      <c r="E23" s="113" t="s">
        <v>1485</v>
      </c>
      <c r="F23" s="1515" t="s">
        <v>566</v>
      </c>
      <c r="G23" s="255"/>
      <c r="I23" s="1469"/>
      <c r="J23" s="1469"/>
    </row>
    <row r="24" spans="1:16" s="1910" customFormat="1" ht="14.25" hidden="1" customHeight="1">
      <c r="A24" s="253"/>
      <c r="B24" s="1023"/>
      <c r="C24" s="283"/>
      <c r="D24" s="1518" t="s">
        <v>979</v>
      </c>
      <c r="E24" s="1517" t="s">
        <v>1486</v>
      </c>
      <c r="F24" s="1515" t="s">
        <v>566</v>
      </c>
      <c r="G24" s="248"/>
      <c r="I24" s="1469"/>
      <c r="J24" s="1469"/>
    </row>
    <row r="25" spans="1:16" s="1910" customFormat="1" ht="14.25" hidden="1" customHeight="1">
      <c r="A25" s="253"/>
      <c r="B25" s="1023"/>
      <c r="C25" s="283"/>
      <c r="D25" s="1518" t="s">
        <v>982</v>
      </c>
      <c r="E25" s="111"/>
      <c r="F25" s="292"/>
      <c r="G25" s="3445" t="s">
        <v>1487</v>
      </c>
      <c r="I25" s="1469"/>
      <c r="J25" s="1469"/>
    </row>
    <row r="26" spans="1:16" s="1910" customFormat="1" ht="22.5" hidden="1" customHeight="1">
      <c r="A26" s="253"/>
      <c r="B26" s="1023"/>
      <c r="C26" s="283"/>
      <c r="D26" s="257"/>
      <c r="E26" s="258" t="s">
        <v>1488</v>
      </c>
      <c r="F26" s="249"/>
      <c r="G26" s="3447"/>
      <c r="I26" s="1469"/>
      <c r="J26" s="1469"/>
    </row>
    <row r="27" spans="1:16" ht="3" customHeight="1"/>
    <row r="28" spans="1:16" ht="14.25" customHeight="1">
      <c r="D28" s="247"/>
      <c r="E28" s="246"/>
      <c r="F28" s="226"/>
      <c r="G28" s="226"/>
      <c r="H28" s="226"/>
      <c r="I28" s="226"/>
      <c r="J28" s="226"/>
      <c r="K28" s="226"/>
      <c r="L28" s="226"/>
      <c r="M28" s="226"/>
      <c r="N28" s="226"/>
      <c r="O28" s="226"/>
      <c r="P28" s="226"/>
    </row>
    <row r="29" spans="1:16" ht="14.25" customHeight="1">
      <c r="D29" s="247"/>
      <c r="E29" s="479"/>
    </row>
    <row r="31" spans="1:16" ht="14.25" customHeight="1">
      <c r="E31" s="644"/>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xr:uid="{00000000-0002-0000-2B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B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2661D-3FA3-0221-7844-F239D0209B76}">
  <sheetPr>
    <tabColor theme="6" tint="0.39997558519241921"/>
  </sheetPr>
  <dimension ref="A2:L42"/>
  <sheetViews>
    <sheetView showGridLines="0" topLeftCell="C1" zoomScale="90" workbookViewId="0"/>
  </sheetViews>
  <sheetFormatPr defaultColWidth="10.5703125" defaultRowHeight="14.25" customHeight="1"/>
  <cols>
    <col min="1" max="1" width="9.140625" style="1839" hidden="1" customWidth="1"/>
    <col min="2" max="2" width="9.140625" style="1903" hidden="1" customWidth="1"/>
    <col min="3" max="3" width="3.7109375" style="1906" customWidth="1"/>
    <col min="4" max="4" width="6.28515625" style="1910" customWidth="1"/>
    <col min="5" max="5" width="63.42578125" style="1910" customWidth="1"/>
    <col min="6" max="6" width="1.7109375" style="1910" hidden="1" customWidth="1"/>
    <col min="7" max="8" width="35.7109375" style="1910" customWidth="1"/>
    <col min="9" max="9" width="91.5703125" style="1910" customWidth="1"/>
    <col min="10" max="10" width="68.85546875" style="1910" customWidth="1"/>
    <col min="11" max="12" width="10.5703125" style="1904"/>
  </cols>
  <sheetData>
    <row r="2" spans="1:12" s="1910" customFormat="1" ht="18.75" customHeight="1">
      <c r="A2" s="1528"/>
      <c r="B2" s="1023"/>
      <c r="C2" s="1573" t="s">
        <v>118</v>
      </c>
      <c r="D2" s="1518"/>
      <c r="E2" s="115"/>
      <c r="F2" s="1515"/>
      <c r="G2" s="1515" t="s">
        <v>566</v>
      </c>
      <c r="H2" s="1024"/>
      <c r="K2" s="1469"/>
      <c r="L2" s="1469"/>
    </row>
    <row r="3" spans="1:12" s="1910" customFormat="1" ht="14.25" customHeight="1">
      <c r="A3" s="1223"/>
      <c r="B3" s="1023"/>
      <c r="C3" s="254"/>
      <c r="K3" s="1469"/>
      <c r="L3" s="1469"/>
    </row>
    <row r="4" spans="1:12" s="1910" customFormat="1" ht="18.75" customHeight="1">
      <c r="A4" s="1528"/>
      <c r="B4" s="1023"/>
      <c r="C4" s="1573" t="s">
        <v>118</v>
      </c>
      <c r="D4" s="1518"/>
      <c r="E4" s="121" t="s">
        <v>1489</v>
      </c>
      <c r="F4" s="1515"/>
      <c r="G4" s="171"/>
      <c r="H4" s="1515" t="s">
        <v>566</v>
      </c>
      <c r="K4" s="1469"/>
      <c r="L4" s="1469"/>
    </row>
    <row r="5" spans="1:12" s="1910" customFormat="1" ht="14.25" customHeight="1">
      <c r="A5" s="1223"/>
      <c r="B5" s="1023"/>
      <c r="C5" s="254"/>
      <c r="K5" s="1469"/>
      <c r="L5" s="1469"/>
    </row>
    <row r="6" spans="1:12" s="1910" customFormat="1" ht="18.75" customHeight="1">
      <c r="A6" s="1528"/>
      <c r="B6" s="1023"/>
      <c r="C6" s="1573" t="s">
        <v>118</v>
      </c>
      <c r="D6" s="1518"/>
      <c r="E6" s="122" t="s">
        <v>1490</v>
      </c>
      <c r="F6" s="1515"/>
      <c r="G6" s="171"/>
      <c r="H6" s="1515" t="s">
        <v>566</v>
      </c>
      <c r="K6" s="1469"/>
      <c r="L6" s="1469"/>
    </row>
    <row r="7" spans="1:12" s="1910" customFormat="1" ht="14.25" customHeight="1">
      <c r="A7" s="1223"/>
      <c r="B7" s="1023"/>
      <c r="C7" s="254"/>
      <c r="K7" s="1469"/>
      <c r="L7" s="1469"/>
    </row>
    <row r="8" spans="1:12" s="1910" customFormat="1" ht="18.75" customHeight="1">
      <c r="A8" s="1528"/>
      <c r="B8" s="1023"/>
      <c r="C8" s="1573" t="s">
        <v>118</v>
      </c>
      <c r="D8" s="1518"/>
      <c r="E8" s="122" t="s">
        <v>1491</v>
      </c>
      <c r="F8" s="1515"/>
      <c r="G8" s="171"/>
      <c r="H8" s="1515" t="s">
        <v>566</v>
      </c>
      <c r="K8" s="1469"/>
      <c r="L8" s="1469"/>
    </row>
    <row r="9" spans="1:12" s="1910" customFormat="1" ht="14.25" customHeight="1">
      <c r="A9" s="1223"/>
      <c r="B9" s="1023"/>
      <c r="C9" s="254"/>
      <c r="K9" s="1469"/>
      <c r="L9" s="1469"/>
    </row>
    <row r="10" spans="1:12" s="1910" customFormat="1" ht="18.75" customHeight="1">
      <c r="A10" s="1528"/>
      <c r="B10" s="1023"/>
      <c r="C10" s="1573" t="s">
        <v>118</v>
      </c>
      <c r="D10" s="1518"/>
      <c r="E10" s="122" t="s">
        <v>1492</v>
      </c>
      <c r="F10" s="1515"/>
      <c r="G10" s="1519"/>
      <c r="H10" s="1515" t="s">
        <v>566</v>
      </c>
      <c r="K10" s="1469"/>
      <c r="L10" s="1469" t="s">
        <v>1493</v>
      </c>
    </row>
    <row r="13" spans="1:12" ht="14.25" customHeight="1">
      <c r="C13" s="26"/>
      <c r="D13" s="16"/>
      <c r="E13" s="16"/>
      <c r="F13" s="16"/>
      <c r="G13" s="16"/>
      <c r="H13" s="17"/>
      <c r="I13" s="17"/>
    </row>
    <row r="14" spans="1:12" ht="27.75" customHeight="1">
      <c r="C14" s="26"/>
      <c r="D14" s="344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450"/>
      <c r="F14" s="3450"/>
      <c r="G14" s="3450"/>
      <c r="H14" s="3451"/>
      <c r="J14" s="1476"/>
    </row>
    <row r="15" spans="1:12" s="1910" customFormat="1" ht="14.25" customHeight="1">
      <c r="A15" s="1223"/>
      <c r="B15" s="1023"/>
      <c r="C15" s="283"/>
      <c r="D15" s="3503" t="str">
        <f>IF(org=0,"Не определено",org)</f>
        <v>АО "Орелгортеплоэнерго"</v>
      </c>
      <c r="E15" s="3504"/>
      <c r="F15" s="3504"/>
      <c r="G15" s="3504"/>
      <c r="H15" s="3505"/>
      <c r="J15" s="729"/>
      <c r="K15" s="1469"/>
      <c r="L15" s="1469"/>
    </row>
    <row r="16" spans="1:12" ht="14.25" customHeight="1">
      <c r="C16" s="26"/>
      <c r="D16" s="16"/>
      <c r="E16" s="25"/>
      <c r="F16" s="25"/>
      <c r="G16" s="25"/>
      <c r="H16" s="640"/>
      <c r="I16" s="109"/>
    </row>
    <row r="17" spans="1:12" s="1910" customFormat="1" ht="14.25" hidden="1" customHeight="1">
      <c r="A17" s="1223"/>
      <c r="B17" s="1023"/>
      <c r="C17" s="283"/>
      <c r="D17" s="272"/>
      <c r="E17" s="296"/>
      <c r="F17" s="296"/>
      <c r="G17" s="296"/>
      <c r="H17" s="640"/>
      <c r="I17" s="109"/>
      <c r="K17" s="1469"/>
      <c r="L17" s="1469"/>
    </row>
    <row r="18" spans="1:12" ht="21" customHeight="1">
      <c r="C18" s="26"/>
      <c r="D18" s="3489" t="s">
        <v>560</v>
      </c>
      <c r="E18" s="3489"/>
      <c r="F18" s="3489"/>
      <c r="G18" s="3489"/>
      <c r="H18" s="3489"/>
      <c r="I18" s="3678" t="s">
        <v>561</v>
      </c>
    </row>
    <row r="19" spans="1:12" ht="21" customHeight="1">
      <c r="C19" s="26"/>
      <c r="D19" s="32" t="s">
        <v>85</v>
      </c>
      <c r="E19" s="35" t="s">
        <v>562</v>
      </c>
      <c r="F19" s="35"/>
      <c r="G19" s="35" t="s">
        <v>563</v>
      </c>
      <c r="H19" s="35" t="s">
        <v>652</v>
      </c>
      <c r="I19" s="3678"/>
    </row>
    <row r="20" spans="1:12" ht="12" hidden="1" customHeight="1">
      <c r="C20" s="26"/>
      <c r="D20" s="19"/>
      <c r="E20" s="19"/>
      <c r="F20" s="19"/>
      <c r="G20" s="19"/>
      <c r="H20" s="19"/>
      <c r="I20" s="19"/>
    </row>
    <row r="21" spans="1:12" ht="14.25" customHeight="1">
      <c r="A21" s="1528"/>
      <c r="C21" s="26"/>
      <c r="D21" s="67">
        <v>1</v>
      </c>
      <c r="E21" s="3679" t="s">
        <v>1494</v>
      </c>
      <c r="F21" s="3679"/>
      <c r="G21" s="3679"/>
      <c r="H21" s="3679"/>
      <c r="I21" s="124"/>
    </row>
    <row r="22" spans="1:12" ht="20.25" customHeight="1">
      <c r="A22" s="1528"/>
      <c r="C22" s="26"/>
      <c r="D22" s="67" t="s">
        <v>1294</v>
      </c>
      <c r="E22" s="110" t="s">
        <v>1495</v>
      </c>
      <c r="F22" s="114"/>
      <c r="G22" s="1580"/>
      <c r="H22" s="114" t="s">
        <v>566</v>
      </c>
      <c r="I22" s="71" t="s">
        <v>1496</v>
      </c>
    </row>
    <row r="23" spans="1:12" ht="45" customHeight="1">
      <c r="A23" s="1528"/>
      <c r="C23" s="26"/>
      <c r="D23" s="67" t="s">
        <v>1296</v>
      </c>
      <c r="E23" s="110" t="s">
        <v>1497</v>
      </c>
      <c r="F23" s="114"/>
      <c r="G23" s="171"/>
      <c r="H23" s="129"/>
      <c r="I23" s="172" t="s">
        <v>1498</v>
      </c>
    </row>
    <row r="24" spans="1:12" ht="22.5" customHeight="1">
      <c r="A24" s="1528"/>
      <c r="B24" s="66">
        <v>3</v>
      </c>
      <c r="C24" s="26"/>
      <c r="D24" s="67">
        <v>2</v>
      </c>
      <c r="E24" s="13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14"/>
      <c r="G24" s="114" t="s">
        <v>566</v>
      </c>
      <c r="H24" s="129"/>
      <c r="I24" s="173" t="s">
        <v>1160</v>
      </c>
    </row>
    <row r="25" spans="1:12" ht="46.5" customHeight="1">
      <c r="A25" s="1528"/>
      <c r="C25" s="26"/>
      <c r="D25" s="67">
        <v>3</v>
      </c>
      <c r="E25" s="367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679"/>
      <c r="G25" s="3679"/>
      <c r="H25" s="3679"/>
      <c r="I25" s="170"/>
    </row>
    <row r="26" spans="1:12" ht="14.25" customHeight="1">
      <c r="A26" s="1528"/>
      <c r="C26" s="26"/>
      <c r="D26" s="67" t="s">
        <v>586</v>
      </c>
      <c r="E26" s="115"/>
      <c r="F26" s="114"/>
      <c r="G26" s="114" t="s">
        <v>566</v>
      </c>
      <c r="H26" s="129"/>
      <c r="I26" s="3445" t="s">
        <v>1499</v>
      </c>
    </row>
    <row r="27" spans="1:12" ht="15" customHeight="1">
      <c r="A27" s="1528" t="s">
        <v>106</v>
      </c>
      <c r="C27" s="26"/>
      <c r="D27" s="36"/>
      <c r="E27" s="119" t="s">
        <v>1484</v>
      </c>
      <c r="F27" s="120"/>
      <c r="G27" s="120"/>
      <c r="H27" s="117"/>
      <c r="I27" s="3447"/>
    </row>
    <row r="28" spans="1:12" ht="38.25" customHeight="1">
      <c r="A28" s="1528"/>
      <c r="B28" s="66">
        <v>3</v>
      </c>
      <c r="C28" s="26"/>
      <c r="D28" s="67">
        <v>4</v>
      </c>
      <c r="E28" s="367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679"/>
      <c r="G28" s="3679"/>
      <c r="H28" s="3679"/>
      <c r="I28" s="170"/>
    </row>
    <row r="29" spans="1:12" ht="20.25" customHeight="1">
      <c r="A29" s="1528"/>
      <c r="C29" s="26"/>
      <c r="D29" s="67" t="s">
        <v>1024</v>
      </c>
      <c r="E29" s="121" t="s">
        <v>1489</v>
      </c>
      <c r="F29" s="114"/>
      <c r="G29" s="171"/>
      <c r="H29" s="114" t="s">
        <v>566</v>
      </c>
      <c r="I29" s="3445" t="s">
        <v>1500</v>
      </c>
    </row>
    <row r="30" spans="1:12" ht="15" customHeight="1">
      <c r="A30" s="1528" t="s">
        <v>107</v>
      </c>
      <c r="C30" s="26"/>
      <c r="D30" s="36"/>
      <c r="E30" s="119" t="s">
        <v>1484</v>
      </c>
      <c r="F30" s="120"/>
      <c r="G30" s="120"/>
      <c r="H30" s="117"/>
      <c r="I30" s="3447"/>
    </row>
    <row r="31" spans="1:12" ht="30" customHeight="1">
      <c r="A31" s="1528"/>
      <c r="B31" s="66">
        <v>3</v>
      </c>
      <c r="C31" s="26"/>
      <c r="D31" s="67">
        <v>5</v>
      </c>
      <c r="E31" s="367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679"/>
      <c r="G31" s="3679"/>
      <c r="H31" s="3679"/>
      <c r="I31" s="170"/>
    </row>
    <row r="32" spans="1:12" ht="26.25" customHeight="1">
      <c r="A32" s="1528"/>
      <c r="C32" s="26"/>
      <c r="D32" s="67" t="s">
        <v>575</v>
      </c>
      <c r="E32" s="363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637"/>
      <c r="G32" s="3637"/>
      <c r="H32" s="3637"/>
      <c r="I32" s="170"/>
    </row>
    <row r="33" spans="1:12" ht="14.25" customHeight="1">
      <c r="A33" s="1528"/>
      <c r="C33" s="26"/>
      <c r="D33" s="67" t="s">
        <v>1501</v>
      </c>
      <c r="E33" s="122" t="s">
        <v>1490</v>
      </c>
      <c r="F33" s="114"/>
      <c r="G33" s="171"/>
      <c r="H33" s="114" t="s">
        <v>566</v>
      </c>
      <c r="I33" s="3445" t="s">
        <v>1502</v>
      </c>
    </row>
    <row r="34" spans="1:12" ht="15" customHeight="1">
      <c r="A34" s="1528" t="s">
        <v>87</v>
      </c>
      <c r="C34" s="26"/>
      <c r="D34" s="36"/>
      <c r="E34" s="120" t="s">
        <v>1484</v>
      </c>
      <c r="F34" s="116"/>
      <c r="G34" s="116"/>
      <c r="H34" s="117"/>
      <c r="I34" s="3447"/>
    </row>
    <row r="35" spans="1:12" ht="24" customHeight="1">
      <c r="A35" s="1528"/>
      <c r="C35" s="26"/>
      <c r="D35" s="67" t="s">
        <v>577</v>
      </c>
      <c r="E35" s="363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637"/>
      <c r="G35" s="3637"/>
      <c r="H35" s="3637"/>
      <c r="I35" s="170"/>
    </row>
    <row r="36" spans="1:12" ht="14.25" customHeight="1">
      <c r="A36" s="1528"/>
      <c r="C36" s="26"/>
      <c r="D36" s="67" t="s">
        <v>1503</v>
      </c>
      <c r="E36" s="122" t="s">
        <v>1491</v>
      </c>
      <c r="F36" s="114"/>
      <c r="G36" s="171"/>
      <c r="H36" s="114" t="s">
        <v>566</v>
      </c>
      <c r="I36" s="3427" t="s">
        <v>1504</v>
      </c>
    </row>
    <row r="37" spans="1:12" ht="15" customHeight="1">
      <c r="A37" s="1528" t="s">
        <v>88</v>
      </c>
      <c r="C37" s="26"/>
      <c r="D37" s="36"/>
      <c r="E37" s="120" t="s">
        <v>1484</v>
      </c>
      <c r="F37" s="116"/>
      <c r="G37" s="116"/>
      <c r="H37" s="117"/>
      <c r="I37" s="3427"/>
    </row>
    <row r="38" spans="1:12" ht="26.25" customHeight="1">
      <c r="A38" s="1528"/>
      <c r="C38" s="26"/>
      <c r="D38" s="67" t="s">
        <v>580</v>
      </c>
      <c r="E38" s="363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637"/>
      <c r="G38" s="3637"/>
      <c r="H38" s="3637"/>
      <c r="I38" s="170"/>
    </row>
    <row r="39" spans="1:12" ht="14.25" customHeight="1">
      <c r="A39" s="1528"/>
      <c r="C39" s="26"/>
      <c r="D39" s="67" t="s">
        <v>1153</v>
      </c>
      <c r="E39" s="122" t="s">
        <v>1492</v>
      </c>
      <c r="F39" s="114"/>
      <c r="G39" s="123"/>
      <c r="H39" s="114" t="s">
        <v>566</v>
      </c>
      <c r="I39" s="3445" t="s">
        <v>1505</v>
      </c>
      <c r="L39" s="73" t="s">
        <v>1493</v>
      </c>
    </row>
    <row r="40" spans="1:12" ht="15" customHeight="1">
      <c r="A40" s="1528" t="s">
        <v>108</v>
      </c>
      <c r="C40" s="26"/>
      <c r="D40" s="36"/>
      <c r="E40" s="120" t="s">
        <v>1484</v>
      </c>
      <c r="F40" s="116"/>
      <c r="G40" s="116"/>
      <c r="H40" s="117"/>
      <c r="I40" s="3447"/>
    </row>
    <row r="41" spans="1:12" s="1937" customFormat="1" ht="3" customHeight="1">
      <c r="A41" s="1528"/>
      <c r="K41" s="112"/>
      <c r="L41" s="112"/>
    </row>
    <row r="42" spans="1:12" ht="24.75" customHeight="1">
      <c r="D42" s="1526" t="s">
        <v>1075</v>
      </c>
      <c r="E42" s="352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3527"/>
      <c r="G42" s="3527"/>
      <c r="H42" s="3527"/>
      <c r="I42" s="3527"/>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C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xr:uid="{00000000-0002-0000-2C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C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C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1AE43-B675-3487-089B-8EC2CB2D7A8F}">
  <sheetPr>
    <tabColor theme="6" tint="0.39997558519241921"/>
  </sheetPr>
  <dimension ref="A1:AG316"/>
  <sheetViews>
    <sheetView showGridLines="0" topLeftCell="D13" zoomScale="90" workbookViewId="0"/>
  </sheetViews>
  <sheetFormatPr defaultColWidth="10.5703125" defaultRowHeight="14.25" customHeight="1"/>
  <cols>
    <col min="1" max="2" width="25.140625" style="1909" hidden="1" customWidth="1"/>
    <col min="3" max="3" width="9.140625" style="1905" hidden="1" customWidth="1"/>
    <col min="4" max="4" width="3.7109375" style="1906" customWidth="1"/>
    <col min="5" max="5" width="6.28515625" style="1910" customWidth="1"/>
    <col min="6" max="6" width="46.7109375" style="1910" customWidth="1"/>
    <col min="7" max="7" width="35.7109375" style="1910" customWidth="1"/>
    <col min="8" max="8" width="3.7109375" style="1910" customWidth="1"/>
    <col min="9" max="10" width="11.7109375" style="1910" customWidth="1"/>
    <col min="11" max="12" width="35.7109375" style="1910" customWidth="1"/>
    <col min="13" max="13" width="84.85546875" style="1910" customWidth="1"/>
    <col min="14" max="14" width="10.5703125" style="1910"/>
    <col min="15" max="16" width="10.5703125" style="1904"/>
    <col min="17" max="33" width="10.5703125" style="1910"/>
  </cols>
  <sheetData>
    <row r="1" spans="1:33" s="1910" customFormat="1" ht="14.25" hidden="1" customHeight="1">
      <c r="A1" s="1622"/>
      <c r="B1" s="1622"/>
      <c r="C1" s="277"/>
      <c r="D1" s="254"/>
      <c r="N1" s="1481">
        <f>IFERROR(MATCH("метод экономически обоснованных расходов (затрат)",OFFER_METHOD,0),0)</f>
        <v>0</v>
      </c>
      <c r="O1" s="1469"/>
      <c r="P1" s="1469"/>
      <c r="T1" s="712"/>
      <c r="AG1" s="169"/>
    </row>
    <row r="2" spans="1:33" s="1910" customFormat="1" ht="18.75" hidden="1" customHeight="1">
      <c r="A2" s="1623" t="s">
        <v>417</v>
      </c>
      <c r="B2" s="1623" t="s">
        <v>418</v>
      </c>
      <c r="C2" s="277"/>
      <c r="D2" s="254"/>
      <c r="E2" s="901"/>
      <c r="F2" s="901"/>
      <c r="G2" s="3651" t="str">
        <f>INDEX(PT_DIFFERENTIATION_NTAR,MATCH(B2,PT_DIFFERENTIATION_NTAR_ID,0))</f>
        <v/>
      </c>
      <c r="H2" s="1704"/>
      <c r="I2" s="1582"/>
      <c r="J2" s="1616"/>
      <c r="K2" s="1705"/>
      <c r="L2" s="1704" t="s">
        <v>566</v>
      </c>
      <c r="M2" s="1714"/>
      <c r="N2" s="245"/>
      <c r="O2" s="1469"/>
      <c r="P2" s="1469"/>
    </row>
    <row r="3" spans="1:33" s="1910" customFormat="1" ht="18.75" hidden="1" customHeight="1">
      <c r="A3" s="1623"/>
      <c r="B3" s="1623"/>
      <c r="C3" s="277" t="s">
        <v>1506</v>
      </c>
      <c r="D3" s="254"/>
      <c r="E3" s="901"/>
      <c r="F3" s="901"/>
      <c r="G3" s="3651"/>
      <c r="H3" s="1355"/>
      <c r="I3" s="543" t="s">
        <v>1507</v>
      </c>
      <c r="J3" s="468"/>
      <c r="K3" s="1355"/>
      <c r="L3" s="130"/>
      <c r="M3" s="1714"/>
      <c r="N3" s="245"/>
      <c r="O3" s="1469"/>
      <c r="P3" s="1469"/>
    </row>
    <row r="4" spans="1:33" s="1910" customFormat="1" ht="14.25" hidden="1" customHeight="1">
      <c r="A4" s="1622"/>
      <c r="B4" s="1622"/>
      <c r="C4" s="277"/>
      <c r="D4" s="254"/>
      <c r="N4" s="1481">
        <f>IFERROR(MATCH("метод экономически обоснованных расходов (затрат)",OFFER_METHOD,0),0)</f>
        <v>0</v>
      </c>
      <c r="O4" s="1469"/>
      <c r="P4" s="1469"/>
      <c r="T4" s="712"/>
      <c r="AG4" s="169"/>
    </row>
    <row r="5" spans="1:33" s="1910" customFormat="1" ht="18.75" hidden="1" customHeight="1">
      <c r="A5" s="1623" t="s">
        <v>417</v>
      </c>
      <c r="B5" s="1623" t="s">
        <v>418</v>
      </c>
      <c r="C5" s="277"/>
      <c r="D5" s="254"/>
      <c r="E5" s="901"/>
      <c r="F5" s="901"/>
      <c r="G5" s="3651" t="str">
        <f>INDEX(PT_DIFFERENTIATION_NTAR,MATCH(B5,PT_DIFFERENTIATION_NTAR_ID,0))</f>
        <v/>
      </c>
      <c r="H5" s="1704"/>
      <c r="I5" s="1582"/>
      <c r="J5" s="1616"/>
      <c r="K5" s="1621"/>
      <c r="L5" s="1704" t="s">
        <v>566</v>
      </c>
      <c r="M5" s="1714"/>
      <c r="N5" s="245"/>
      <c r="O5" s="1469"/>
      <c r="P5" s="1469"/>
    </row>
    <row r="6" spans="1:33" s="1910" customFormat="1" ht="18.75" hidden="1" customHeight="1">
      <c r="A6" s="1623"/>
      <c r="B6" s="1623"/>
      <c r="C6" s="277" t="s">
        <v>1508</v>
      </c>
      <c r="D6" s="254"/>
      <c r="E6" s="901"/>
      <c r="F6" s="901"/>
      <c r="G6" s="3651"/>
      <c r="H6" s="1355"/>
      <c r="I6" s="543" t="s">
        <v>1507</v>
      </c>
      <c r="J6" s="468"/>
      <c r="K6" s="1355"/>
      <c r="L6" s="130"/>
      <c r="M6" s="1714"/>
      <c r="N6" s="245"/>
      <c r="O6" s="1469"/>
      <c r="P6" s="1469"/>
    </row>
    <row r="7" spans="1:33" s="1910" customFormat="1" ht="14.25" hidden="1" customHeight="1">
      <c r="A7" s="1622"/>
      <c r="B7" s="1622"/>
      <c r="C7" s="277"/>
      <c r="D7" s="254"/>
      <c r="N7" s="1481">
        <f>IFERROR(MATCH("метод экономически обоснованных расходов (затрат)",OFFER_METHOD,0),0)</f>
        <v>0</v>
      </c>
      <c r="O7" s="1469"/>
      <c r="P7" s="1469"/>
      <c r="T7" s="712"/>
      <c r="AG7" s="169"/>
    </row>
    <row r="8" spans="1:33" s="1910" customFormat="1" ht="56.25" hidden="1" customHeight="1">
      <c r="A8" s="1623"/>
      <c r="B8" s="1623"/>
      <c r="C8" s="277"/>
      <c r="D8" s="254"/>
      <c r="E8" s="901"/>
      <c r="F8" s="901"/>
      <c r="G8" s="901"/>
      <c r="H8" s="1614"/>
      <c r="I8" s="1582"/>
      <c r="J8" s="1616"/>
      <c r="K8" s="1705"/>
      <c r="L8" s="1614" t="s">
        <v>566</v>
      </c>
      <c r="M8" s="1714"/>
      <c r="N8" s="245"/>
      <c r="O8" s="1469"/>
      <c r="P8" s="1469"/>
    </row>
    <row r="9" spans="1:33" ht="14.25" hidden="1" customHeight="1">
      <c r="T9" s="304"/>
      <c r="AG9" s="169"/>
    </row>
    <row r="10" spans="1:33" s="1910" customFormat="1" ht="56.25" hidden="1" customHeight="1">
      <c r="A10" s="1623"/>
      <c r="B10" s="1623"/>
      <c r="C10" s="277"/>
      <c r="D10" s="254"/>
      <c r="E10" s="901"/>
      <c r="F10" s="901"/>
      <c r="G10" s="901"/>
      <c r="H10" s="1613"/>
      <c r="I10" s="1582"/>
      <c r="J10" s="1616"/>
      <c r="K10" s="1621"/>
      <c r="L10" s="1614" t="s">
        <v>566</v>
      </c>
      <c r="M10" s="1714"/>
      <c r="N10" s="245"/>
      <c r="O10" s="1469"/>
      <c r="P10" s="1469"/>
    </row>
    <row r="11" spans="1:33" ht="14.25" hidden="1" customHeight="1"/>
    <row r="12" spans="1:33" ht="14.25" hidden="1" customHeight="1"/>
    <row r="13" spans="1:33" ht="6" customHeight="1">
      <c r="D13" s="283"/>
      <c r="E13" s="272"/>
      <c r="F13" s="272"/>
      <c r="G13" s="272"/>
      <c r="H13" s="272"/>
      <c r="I13" s="272"/>
      <c r="J13" s="272"/>
      <c r="K13" s="272"/>
      <c r="L13" s="17"/>
      <c r="M13" s="17"/>
    </row>
    <row r="14" spans="1:33" ht="14.25" customHeight="1">
      <c r="D14" s="283"/>
      <c r="E14" s="368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680"/>
      <c r="G14" s="3680"/>
      <c r="H14" s="3680"/>
      <c r="I14" s="3680"/>
      <c r="J14" s="3680"/>
      <c r="K14" s="3680"/>
      <c r="L14" s="3680"/>
      <c r="M14" s="136"/>
    </row>
    <row r="15" spans="1:33" ht="6" customHeight="1">
      <c r="D15" s="283"/>
      <c r="E15" s="272"/>
      <c r="F15" s="296"/>
      <c r="G15" s="296"/>
      <c r="H15" s="296"/>
      <c r="I15" s="296"/>
      <c r="J15" s="296"/>
      <c r="K15" s="296"/>
      <c r="L15" s="233"/>
      <c r="M15" s="109"/>
    </row>
    <row r="16" spans="1:33" ht="18.75" customHeight="1">
      <c r="D16" s="283"/>
      <c r="E16" s="272"/>
      <c r="F16" s="216" t="str">
        <f>"Дата подачи заявления об "&amp;IF(TITLE_DATE_PR_CHANGE="","утверждении","изменении")&amp;" тарифов"</f>
        <v>Дата подачи заявления об утверждении тарифов</v>
      </c>
      <c r="G16" s="3520" t="str">
        <f>IF(TITLE_DATE_PR_CHANGE="",IF(TITLE_DATE_PR="","",TITLE_DATE_PR),TITLE_DATE_PR_CHANGE)</f>
        <v/>
      </c>
      <c r="H16" s="3520"/>
      <c r="I16" s="3520"/>
      <c r="J16" s="3520"/>
      <c r="K16" s="3520"/>
      <c r="L16" s="3520"/>
      <c r="M16" s="305"/>
      <c r="N16" s="237"/>
    </row>
    <row r="17" spans="1:16" ht="18.75" customHeight="1">
      <c r="D17" s="283"/>
      <c r="E17" s="272"/>
      <c r="F17" s="216" t="str">
        <f>"Номер подачи заявления об "&amp;IF(TITLE_DATE_PR_CHANGE="","утверждении","изменении")&amp;" тарифов"</f>
        <v>Номер подачи заявления об утверждении тарифов</v>
      </c>
      <c r="G17" s="3521" t="str">
        <f>IF(TITLE_NUMBER_PR_CHANGE="",IF(TITLE_NUMBER_PR="","",TITLE_NUMBER_PR),TITLE_NUMBER_PR_CHANGE)</f>
        <v/>
      </c>
      <c r="H17" s="3521"/>
      <c r="I17" s="3521"/>
      <c r="J17" s="3521"/>
      <c r="K17" s="3521"/>
      <c r="L17" s="3521"/>
      <c r="M17" s="305"/>
      <c r="N17" s="237"/>
    </row>
    <row r="18" spans="1:16" ht="14.25" customHeight="1">
      <c r="D18" s="283"/>
      <c r="E18" s="272"/>
      <c r="F18" s="296"/>
      <c r="G18" s="296"/>
      <c r="H18" s="296"/>
      <c r="I18" s="296"/>
      <c r="J18" s="296"/>
      <c r="K18" s="296"/>
      <c r="L18" s="640"/>
      <c r="M18" s="109"/>
    </row>
    <row r="19" spans="1:16" ht="21" customHeight="1">
      <c r="D19" s="283"/>
      <c r="E19" s="3489" t="s">
        <v>560</v>
      </c>
      <c r="F19" s="3489"/>
      <c r="G19" s="3489"/>
      <c r="H19" s="3489"/>
      <c r="I19" s="3489"/>
      <c r="J19" s="3489"/>
      <c r="K19" s="3489"/>
      <c r="L19" s="3489"/>
      <c r="M19" s="3678" t="s">
        <v>561</v>
      </c>
    </row>
    <row r="20" spans="1:16" ht="21" customHeight="1">
      <c r="D20" s="283"/>
      <c r="E20" s="3545" t="s">
        <v>85</v>
      </c>
      <c r="F20" s="3495" t="s">
        <v>390</v>
      </c>
      <c r="G20" s="3495" t="s">
        <v>391</v>
      </c>
      <c r="H20" s="3653" t="s">
        <v>1509</v>
      </c>
      <c r="I20" s="3657"/>
      <c r="J20" s="3654"/>
      <c r="K20" s="3495" t="s">
        <v>563</v>
      </c>
      <c r="L20" s="3495" t="s">
        <v>652</v>
      </c>
      <c r="M20" s="3678"/>
    </row>
    <row r="21" spans="1:16" ht="21" customHeight="1">
      <c r="D21" s="283"/>
      <c r="E21" s="3547"/>
      <c r="F21" s="3496"/>
      <c r="G21" s="3496"/>
      <c r="H21" s="3494" t="s">
        <v>1510</v>
      </c>
      <c r="I21" s="3508"/>
      <c r="J21" s="35" t="s">
        <v>1511</v>
      </c>
      <c r="K21" s="3496"/>
      <c r="L21" s="3496"/>
      <c r="M21" s="3678"/>
    </row>
    <row r="22" spans="1:16" ht="12" customHeight="1">
      <c r="D22" s="283"/>
      <c r="E22" s="194"/>
      <c r="F22" s="194"/>
      <c r="G22" s="194"/>
      <c r="H22" s="3682"/>
      <c r="I22" s="3682"/>
      <c r="J22" s="194"/>
      <c r="K22" s="194"/>
      <c r="L22" s="194"/>
      <c r="M22" s="194"/>
    </row>
    <row r="23" spans="1:16" ht="18.75" customHeight="1">
      <c r="A23" s="1623"/>
      <c r="B23" s="1623"/>
      <c r="D23" s="283"/>
      <c r="E23" s="1706" t="s">
        <v>106</v>
      </c>
      <c r="F23" s="3683" t="str">
        <f>"Предлагаемый метод регулирования"&amp;IF(TEMPLATE_SPHERE="HEAT"," в сфере "&amp;TEMPLATE_SPHERE_RUS,"")</f>
        <v>Предлагаемый метод регулирования в сфере теплоснабжения</v>
      </c>
      <c r="G23" s="3683"/>
      <c r="H23" s="3679"/>
      <c r="I23" s="3679"/>
      <c r="J23" s="3679"/>
      <c r="K23" s="3683" t="s">
        <v>566</v>
      </c>
      <c r="L23" s="3679"/>
      <c r="M23" s="1612"/>
      <c r="N23" s="245"/>
    </row>
    <row r="24" spans="1:16" ht="60.75" hidden="1" customHeight="1">
      <c r="A24" s="1623" t="s">
        <v>417</v>
      </c>
      <c r="B24" s="1623" t="s">
        <v>418</v>
      </c>
      <c r="D24" s="3681"/>
      <c r="E24" s="3483"/>
      <c r="F24" s="368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651" t="str">
        <f>INDEX(PT_DIFFERENTIATION_NTAR,MATCH(B24,PT_DIFFERENTIATION_NTAR_ID,0))</f>
        <v/>
      </c>
      <c r="H24" s="1702"/>
      <c r="I24" s="1582"/>
      <c r="J24" s="1616"/>
      <c r="K24" s="1705"/>
      <c r="L24" s="1611" t="s">
        <v>566</v>
      </c>
      <c r="M24" s="34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45"/>
    </row>
    <row r="25" spans="1:16" s="1910" customFormat="1" ht="18.75" hidden="1" customHeight="1">
      <c r="A25" s="1623"/>
      <c r="B25" s="1623"/>
      <c r="C25" s="277" t="s">
        <v>1506</v>
      </c>
      <c r="D25" s="3681"/>
      <c r="E25" s="3483"/>
      <c r="F25" s="3684"/>
      <c r="G25" s="3651"/>
      <c r="H25" s="1355"/>
      <c r="I25" s="543" t="s">
        <v>1507</v>
      </c>
      <c r="J25" s="468"/>
      <c r="K25" s="1355"/>
      <c r="L25" s="130"/>
      <c r="M25" s="3446"/>
      <c r="N25" s="245"/>
      <c r="O25" s="1469"/>
      <c r="P25" s="1469"/>
    </row>
    <row r="26" spans="1:16" ht="0.75" hidden="1" customHeight="1">
      <c r="A26" s="1623"/>
      <c r="B26" s="1623"/>
      <c r="C26" s="277" t="s">
        <v>1512</v>
      </c>
      <c r="D26" s="3681"/>
      <c r="E26" s="3483"/>
      <c r="F26" s="3614"/>
      <c r="G26" s="307"/>
      <c r="H26" s="1355"/>
      <c r="I26" s="302"/>
      <c r="J26" s="258"/>
      <c r="K26" s="1355"/>
      <c r="L26" s="117"/>
      <c r="M26" s="3446"/>
      <c r="N26" s="245"/>
    </row>
    <row r="27" spans="1:16" s="1910" customFormat="1" ht="45" hidden="1" customHeight="1">
      <c r="A27" s="1623" t="s">
        <v>423</v>
      </c>
      <c r="B27" s="1623" t="s">
        <v>424</v>
      </c>
      <c r="C27" s="277"/>
      <c r="D27" s="3685"/>
      <c r="E27" s="3686"/>
      <c r="F27" s="3687"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3651" t="str">
        <f>INDEX(PT_DIFFERENTIATION_NTAR,MATCH(B27,PT_DIFFERENTIATION_NTAR_ID,0))</f>
        <v/>
      </c>
      <c r="H27" s="1702"/>
      <c r="I27" s="1582"/>
      <c r="J27" s="1616"/>
      <c r="K27" s="1705"/>
      <c r="L27" s="1702" t="s">
        <v>566</v>
      </c>
      <c r="M27" s="3446"/>
      <c r="N27" s="245"/>
      <c r="O27" s="1469"/>
      <c r="P27" s="1469"/>
    </row>
    <row r="28" spans="1:16" s="1910" customFormat="1" ht="18.75" hidden="1" customHeight="1">
      <c r="A28" s="1623"/>
      <c r="B28" s="1623"/>
      <c r="C28" s="277" t="s">
        <v>1506</v>
      </c>
      <c r="D28" s="3685"/>
      <c r="E28" s="3686"/>
      <c r="F28" s="3687"/>
      <c r="G28" s="3651"/>
      <c r="H28" s="1355"/>
      <c r="I28" s="543" t="s">
        <v>1507</v>
      </c>
      <c r="J28" s="468"/>
      <c r="K28" s="1355"/>
      <c r="L28" s="130"/>
      <c r="M28" s="3446"/>
      <c r="N28" s="245"/>
      <c r="O28" s="1469"/>
      <c r="P28" s="1469"/>
    </row>
    <row r="29" spans="1:16" s="1910" customFormat="1" ht="0.75" hidden="1" customHeight="1">
      <c r="A29" s="1623"/>
      <c r="B29" s="1623"/>
      <c r="C29" s="277" t="s">
        <v>1512</v>
      </c>
      <c r="D29" s="3685"/>
      <c r="E29" s="3483"/>
      <c r="F29" s="3614"/>
      <c r="G29" s="307"/>
      <c r="H29" s="1355"/>
      <c r="I29" s="543"/>
      <c r="J29" s="468"/>
      <c r="K29" s="1355"/>
      <c r="L29" s="130"/>
      <c r="M29" s="3446"/>
      <c r="N29" s="245"/>
      <c r="O29" s="1469"/>
      <c r="P29" s="1469"/>
    </row>
    <row r="30" spans="1:16" s="1910" customFormat="1" ht="45" hidden="1" customHeight="1">
      <c r="A30" s="1623" t="s">
        <v>429</v>
      </c>
      <c r="B30" s="1623" t="s">
        <v>430</v>
      </c>
      <c r="C30" s="277"/>
      <c r="D30" s="3685"/>
      <c r="E30" s="3483"/>
      <c r="F30" s="361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651" t="str">
        <f>INDEX(PT_DIFFERENTIATION_NTAR,MATCH(B30,PT_DIFFERENTIATION_NTAR_ID,0))</f>
        <v/>
      </c>
      <c r="H30" s="1702"/>
      <c r="I30" s="1582"/>
      <c r="J30" s="1616"/>
      <c r="K30" s="1705"/>
      <c r="L30" s="1702" t="s">
        <v>566</v>
      </c>
      <c r="M30" s="3446"/>
      <c r="N30" s="245"/>
      <c r="O30" s="1469"/>
      <c r="P30" s="1469"/>
    </row>
    <row r="31" spans="1:16" s="1910" customFormat="1" ht="18.75" hidden="1" customHeight="1">
      <c r="A31" s="1623"/>
      <c r="B31" s="1623"/>
      <c r="C31" s="277" t="s">
        <v>1506</v>
      </c>
      <c r="D31" s="3685"/>
      <c r="E31" s="3483"/>
      <c r="F31" s="3614"/>
      <c r="G31" s="3651"/>
      <c r="H31" s="1355"/>
      <c r="I31" s="543" t="s">
        <v>1507</v>
      </c>
      <c r="J31" s="468"/>
      <c r="K31" s="1355"/>
      <c r="L31" s="130"/>
      <c r="M31" s="3446"/>
      <c r="N31" s="245"/>
      <c r="O31" s="1469"/>
      <c r="P31" s="1469"/>
    </row>
    <row r="32" spans="1:16" s="1910" customFormat="1" ht="0.75" hidden="1" customHeight="1">
      <c r="A32" s="1623"/>
      <c r="B32" s="1623"/>
      <c r="C32" s="277" t="s">
        <v>1512</v>
      </c>
      <c r="D32" s="3685"/>
      <c r="E32" s="3483"/>
      <c r="F32" s="3614"/>
      <c r="G32" s="307"/>
      <c r="H32" s="1355"/>
      <c r="I32" s="543"/>
      <c r="J32" s="468"/>
      <c r="K32" s="1355"/>
      <c r="L32" s="130"/>
      <c r="M32" s="3446"/>
      <c r="N32" s="245"/>
      <c r="O32" s="1469"/>
      <c r="P32" s="1469"/>
    </row>
    <row r="33" spans="1:16" s="1910" customFormat="1" ht="45" hidden="1" customHeight="1">
      <c r="A33" s="1623" t="s">
        <v>435</v>
      </c>
      <c r="B33" s="1623" t="s">
        <v>436</v>
      </c>
      <c r="C33" s="277"/>
      <c r="D33" s="3685"/>
      <c r="E33" s="3483"/>
      <c r="F33" s="361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651" t="str">
        <f>INDEX(PT_DIFFERENTIATION_NTAR,MATCH(B33,PT_DIFFERENTIATION_NTAR_ID,0))</f>
        <v/>
      </c>
      <c r="H33" s="1702"/>
      <c r="I33" s="1582"/>
      <c r="J33" s="1616"/>
      <c r="K33" s="1705"/>
      <c r="L33" s="1702" t="s">
        <v>566</v>
      </c>
      <c r="M33" s="3446"/>
      <c r="N33" s="245"/>
      <c r="O33" s="1469"/>
      <c r="P33" s="1469"/>
    </row>
    <row r="34" spans="1:16" s="1910" customFormat="1" ht="18.75" hidden="1" customHeight="1">
      <c r="A34" s="1623"/>
      <c r="B34" s="1623"/>
      <c r="C34" s="277" t="s">
        <v>1506</v>
      </c>
      <c r="D34" s="3685"/>
      <c r="E34" s="3483"/>
      <c r="F34" s="3614"/>
      <c r="G34" s="3651"/>
      <c r="H34" s="1355"/>
      <c r="I34" s="543" t="s">
        <v>1507</v>
      </c>
      <c r="J34" s="468"/>
      <c r="K34" s="1355"/>
      <c r="L34" s="130"/>
      <c r="M34" s="3446"/>
      <c r="N34" s="245"/>
      <c r="O34" s="1469"/>
      <c r="P34" s="1469"/>
    </row>
    <row r="35" spans="1:16" s="1910" customFormat="1" ht="0.75" hidden="1" customHeight="1">
      <c r="A35" s="1623"/>
      <c r="B35" s="1623"/>
      <c r="C35" s="277" t="s">
        <v>1512</v>
      </c>
      <c r="D35" s="3685"/>
      <c r="E35" s="3483"/>
      <c r="F35" s="3614"/>
      <c r="G35" s="307"/>
      <c r="H35" s="1355"/>
      <c r="I35" s="543"/>
      <c r="J35" s="468"/>
      <c r="K35" s="1355"/>
      <c r="L35" s="130"/>
      <c r="M35" s="3446"/>
      <c r="N35" s="245"/>
      <c r="O35" s="1469"/>
      <c r="P35" s="1469"/>
    </row>
    <row r="36" spans="1:16" s="1910" customFormat="1" ht="18.75" hidden="1" customHeight="1">
      <c r="A36" s="1623" t="s">
        <v>441</v>
      </c>
      <c r="B36" s="1623" t="s">
        <v>442</v>
      </c>
      <c r="C36" s="277"/>
      <c r="D36" s="3685"/>
      <c r="E36" s="3483"/>
      <c r="F36" s="3614" t="str">
        <f>INDEX(PT_DIFFERENTIATION_VTAR,MATCH(A36,PT_DIFFERENTIATION_VTAR_ID,0))</f>
        <v>Тарифы на услуги по передаче тепловой энергии</v>
      </c>
      <c r="G36" s="3651" t="str">
        <f>INDEX(PT_DIFFERENTIATION_NTAR,MATCH(B36,PT_DIFFERENTIATION_NTAR_ID,0))</f>
        <v/>
      </c>
      <c r="H36" s="1702"/>
      <c r="I36" s="1582"/>
      <c r="J36" s="1616"/>
      <c r="K36" s="1705"/>
      <c r="L36" s="1702" t="s">
        <v>566</v>
      </c>
      <c r="M36" s="3446"/>
      <c r="N36" s="245"/>
      <c r="O36" s="1469"/>
      <c r="P36" s="1469"/>
    </row>
    <row r="37" spans="1:16" s="1910" customFormat="1" ht="18.75" hidden="1" customHeight="1">
      <c r="A37" s="1623"/>
      <c r="B37" s="1623"/>
      <c r="C37" s="277" t="s">
        <v>1506</v>
      </c>
      <c r="D37" s="3685"/>
      <c r="E37" s="3483"/>
      <c r="F37" s="3614"/>
      <c r="G37" s="3651"/>
      <c r="H37" s="1355"/>
      <c r="I37" s="543" t="s">
        <v>1507</v>
      </c>
      <c r="J37" s="468"/>
      <c r="K37" s="1355"/>
      <c r="L37" s="130"/>
      <c r="M37" s="3446"/>
      <c r="N37" s="245"/>
      <c r="O37" s="1469"/>
      <c r="P37" s="1469"/>
    </row>
    <row r="38" spans="1:16" s="1910" customFormat="1" ht="0.75" hidden="1" customHeight="1">
      <c r="A38" s="1623"/>
      <c r="B38" s="1623"/>
      <c r="C38" s="277" t="s">
        <v>1512</v>
      </c>
      <c r="D38" s="3685"/>
      <c r="E38" s="3483"/>
      <c r="F38" s="3614"/>
      <c r="G38" s="307"/>
      <c r="H38" s="1355"/>
      <c r="I38" s="543"/>
      <c r="J38" s="468"/>
      <c r="K38" s="1355"/>
      <c r="L38" s="130"/>
      <c r="M38" s="3446"/>
      <c r="N38" s="245"/>
      <c r="O38" s="1469"/>
      <c r="P38" s="1469"/>
    </row>
    <row r="39" spans="1:16" s="1910" customFormat="1" ht="18.75" hidden="1" customHeight="1">
      <c r="A39" s="1623" t="s">
        <v>447</v>
      </c>
      <c r="B39" s="1623" t="s">
        <v>448</v>
      </c>
      <c r="C39" s="277"/>
      <c r="D39" s="3685"/>
      <c r="E39" s="3483"/>
      <c r="F39" s="3614" t="str">
        <f>INDEX(PT_DIFFERENTIATION_VTAR,MATCH(A39,PT_DIFFERENTIATION_VTAR_ID,0))</f>
        <v>Тарифы на услуги по передаче теплоносителя</v>
      </c>
      <c r="G39" s="3651" t="str">
        <f>INDEX(PT_DIFFERENTIATION_NTAR,MATCH(B39,PT_DIFFERENTIATION_NTAR_ID,0))</f>
        <v/>
      </c>
      <c r="H39" s="1702"/>
      <c r="I39" s="1582"/>
      <c r="J39" s="1616"/>
      <c r="K39" s="1705"/>
      <c r="L39" s="1702" t="s">
        <v>566</v>
      </c>
      <c r="M39" s="3446"/>
      <c r="N39" s="245"/>
      <c r="O39" s="1469"/>
      <c r="P39" s="1469"/>
    </row>
    <row r="40" spans="1:16" s="1910" customFormat="1" ht="18.75" hidden="1" customHeight="1">
      <c r="A40" s="1623"/>
      <c r="B40" s="1623"/>
      <c r="C40" s="277" t="s">
        <v>1506</v>
      </c>
      <c r="D40" s="3685"/>
      <c r="E40" s="3483"/>
      <c r="F40" s="3614"/>
      <c r="G40" s="3651"/>
      <c r="H40" s="1355"/>
      <c r="I40" s="543" t="s">
        <v>1507</v>
      </c>
      <c r="J40" s="468"/>
      <c r="K40" s="1355"/>
      <c r="L40" s="130"/>
      <c r="M40" s="3446"/>
      <c r="N40" s="245"/>
      <c r="O40" s="1469"/>
      <c r="P40" s="1469"/>
    </row>
    <row r="41" spans="1:16" s="1910" customFormat="1" ht="0.75" hidden="1" customHeight="1">
      <c r="A41" s="1623"/>
      <c r="B41" s="1623"/>
      <c r="C41" s="277" t="s">
        <v>1512</v>
      </c>
      <c r="D41" s="3685"/>
      <c r="E41" s="3483"/>
      <c r="F41" s="3614"/>
      <c r="G41" s="307"/>
      <c r="H41" s="1355"/>
      <c r="I41" s="543"/>
      <c r="J41" s="468"/>
      <c r="K41" s="1355"/>
      <c r="L41" s="130"/>
      <c r="M41" s="3446"/>
      <c r="N41" s="245"/>
      <c r="O41" s="1469"/>
      <c r="P41" s="1469"/>
    </row>
    <row r="42" spans="1:16" s="1910" customFormat="1" ht="18.75" hidden="1" customHeight="1">
      <c r="A42" s="1623" t="s">
        <v>453</v>
      </c>
      <c r="B42" s="1623" t="s">
        <v>454</v>
      </c>
      <c r="C42" s="277"/>
      <c r="D42" s="3685"/>
      <c r="E42" s="3483"/>
      <c r="F42" s="3614" t="str">
        <f>INDEX(PT_DIFFERENTIATION_VTAR,MATCH(A42,PT_DIFFERENTIATION_VTAR_ID,0))</f>
        <v>Плата за услуги по поддержанию резервной тепловой мощности при отсутствии потребления тепловой энергии</v>
      </c>
      <c r="G42" s="3651" t="str">
        <f>INDEX(PT_DIFFERENTIATION_NTAR,MATCH(B42,PT_DIFFERENTIATION_NTAR_ID,0))</f>
        <v/>
      </c>
      <c r="H42" s="1702"/>
      <c r="I42" s="1582"/>
      <c r="J42" s="1616"/>
      <c r="K42" s="1705"/>
      <c r="L42" s="1702" t="s">
        <v>566</v>
      </c>
      <c r="M42" s="3446"/>
      <c r="N42" s="245"/>
      <c r="O42" s="1469"/>
      <c r="P42" s="1469"/>
    </row>
    <row r="43" spans="1:16" s="1910" customFormat="1" ht="18.75" hidden="1" customHeight="1">
      <c r="A43" s="1623"/>
      <c r="B43" s="1623"/>
      <c r="C43" s="277" t="s">
        <v>1506</v>
      </c>
      <c r="D43" s="3685"/>
      <c r="E43" s="3483"/>
      <c r="F43" s="3614"/>
      <c r="G43" s="3651"/>
      <c r="H43" s="1355"/>
      <c r="I43" s="543" t="s">
        <v>1507</v>
      </c>
      <c r="J43" s="468"/>
      <c r="K43" s="1355"/>
      <c r="L43" s="130"/>
      <c r="M43" s="3446"/>
      <c r="N43" s="245"/>
      <c r="O43" s="1469"/>
      <c r="P43" s="1469"/>
    </row>
    <row r="44" spans="1:16" s="1910" customFormat="1" ht="0.75" hidden="1" customHeight="1">
      <c r="A44" s="1623"/>
      <c r="B44" s="1623"/>
      <c r="C44" s="277" t="s">
        <v>1512</v>
      </c>
      <c r="D44" s="3685"/>
      <c r="E44" s="3483"/>
      <c r="F44" s="3614"/>
      <c r="G44" s="307"/>
      <c r="H44" s="1355"/>
      <c r="I44" s="543"/>
      <c r="J44" s="468"/>
      <c r="K44" s="1355"/>
      <c r="L44" s="130"/>
      <c r="M44" s="3446"/>
      <c r="N44" s="245"/>
      <c r="O44" s="1469"/>
      <c r="P44" s="1469"/>
    </row>
    <row r="45" spans="1:16" s="1910" customFormat="1" ht="18.75" hidden="1" customHeight="1">
      <c r="A45" s="1623" t="s">
        <v>459</v>
      </c>
      <c r="B45" s="1623" t="s">
        <v>460</v>
      </c>
      <c r="C45" s="277"/>
      <c r="D45" s="3685"/>
      <c r="E45" s="3483"/>
      <c r="F45" s="3614" t="str">
        <f>INDEX(PT_DIFFERENTIATION_VTAR,MATCH(A45,PT_DIFFERENTIATION_VTAR_ID,0))</f>
        <v>Плата за подключение (технологическое присоединение) к системе теплоснабжения</v>
      </c>
      <c r="G45" s="3651" t="str">
        <f>INDEX(PT_DIFFERENTIATION_NTAR,MATCH(B45,PT_DIFFERENTIATION_NTAR_ID,0))</f>
        <v/>
      </c>
      <c r="H45" s="1702"/>
      <c r="I45" s="1582"/>
      <c r="J45" s="1616"/>
      <c r="K45" s="1705"/>
      <c r="L45" s="1702" t="s">
        <v>566</v>
      </c>
      <c r="M45" s="3446"/>
      <c r="N45" s="245"/>
      <c r="O45" s="1469"/>
      <c r="P45" s="1469"/>
    </row>
    <row r="46" spans="1:16" s="1910" customFormat="1" ht="18.75" hidden="1" customHeight="1">
      <c r="A46" s="1623"/>
      <c r="B46" s="1623"/>
      <c r="C46" s="277" t="s">
        <v>1506</v>
      </c>
      <c r="D46" s="3685"/>
      <c r="E46" s="3483"/>
      <c r="F46" s="3614"/>
      <c r="G46" s="3651"/>
      <c r="H46" s="1355"/>
      <c r="I46" s="543" t="s">
        <v>1507</v>
      </c>
      <c r="J46" s="468"/>
      <c r="K46" s="1355"/>
      <c r="L46" s="130"/>
      <c r="M46" s="3446"/>
      <c r="N46" s="245"/>
      <c r="O46" s="1469"/>
      <c r="P46" s="1469"/>
    </row>
    <row r="47" spans="1:16" s="1910" customFormat="1" ht="0.75" hidden="1" customHeight="1">
      <c r="A47" s="1623"/>
      <c r="B47" s="1623"/>
      <c r="C47" s="277" t="s">
        <v>1512</v>
      </c>
      <c r="D47" s="3685"/>
      <c r="E47" s="3483"/>
      <c r="F47" s="3614"/>
      <c r="G47" s="307"/>
      <c r="H47" s="1355"/>
      <c r="I47" s="543"/>
      <c r="J47" s="468"/>
      <c r="K47" s="1355"/>
      <c r="L47" s="130"/>
      <c r="M47" s="3446"/>
      <c r="N47" s="245"/>
      <c r="O47" s="1469"/>
      <c r="P47" s="1469"/>
    </row>
    <row r="48" spans="1:16" s="1910" customFormat="1" ht="18.75" hidden="1" customHeight="1">
      <c r="A48" s="1623" t="s">
        <v>485</v>
      </c>
      <c r="B48" s="1623" t="s">
        <v>486</v>
      </c>
      <c r="C48" s="277"/>
      <c r="D48" s="3685"/>
      <c r="E48" s="3483"/>
      <c r="F48" s="3614" t="str">
        <f>INDEX(PT_DIFFERENTIATION_VTAR,MATCH(A48,PT_DIFFERENTIATION_VTAR_ID,0))</f>
        <v>Тариф на питьевую воду (питьевое водоснабжение)</v>
      </c>
      <c r="G48" s="3651" t="str">
        <f>INDEX(PT_DIFFERENTIATION_NTAR,MATCH(B48,PT_DIFFERENTIATION_NTAR_ID,0))</f>
        <v/>
      </c>
      <c r="H48" s="1702"/>
      <c r="I48" s="1582"/>
      <c r="J48" s="1616"/>
      <c r="K48" s="1705"/>
      <c r="L48" s="1702" t="s">
        <v>566</v>
      </c>
      <c r="M48" s="3446"/>
      <c r="N48" s="245"/>
      <c r="O48" s="1469"/>
      <c r="P48" s="1469"/>
    </row>
    <row r="49" spans="1:16" s="1910" customFormat="1" ht="18.75" hidden="1" customHeight="1">
      <c r="A49" s="1623"/>
      <c r="B49" s="1623"/>
      <c r="C49" s="277" t="s">
        <v>1506</v>
      </c>
      <c r="D49" s="3685"/>
      <c r="E49" s="3483"/>
      <c r="F49" s="3614"/>
      <c r="G49" s="3651"/>
      <c r="H49" s="1355"/>
      <c r="I49" s="543" t="s">
        <v>1507</v>
      </c>
      <c r="J49" s="468"/>
      <c r="K49" s="1355"/>
      <c r="L49" s="130"/>
      <c r="M49" s="3446"/>
      <c r="N49" s="245"/>
      <c r="O49" s="1469"/>
      <c r="P49" s="1469"/>
    </row>
    <row r="50" spans="1:16" s="1910" customFormat="1" ht="0.75" hidden="1" customHeight="1">
      <c r="A50" s="1623"/>
      <c r="B50" s="1623"/>
      <c r="C50" s="277" t="s">
        <v>1512</v>
      </c>
      <c r="D50" s="3685"/>
      <c r="E50" s="3483"/>
      <c r="F50" s="3614"/>
      <c r="G50" s="307"/>
      <c r="H50" s="1355"/>
      <c r="I50" s="543"/>
      <c r="J50" s="468"/>
      <c r="K50" s="1355"/>
      <c r="L50" s="130"/>
      <c r="M50" s="3446"/>
      <c r="N50" s="245"/>
      <c r="O50" s="1469"/>
      <c r="P50" s="1469"/>
    </row>
    <row r="51" spans="1:16" s="1910" customFormat="1" ht="18.75" hidden="1" customHeight="1">
      <c r="A51" s="1623" t="s">
        <v>490</v>
      </c>
      <c r="B51" s="1623" t="s">
        <v>491</v>
      </c>
      <c r="C51" s="277"/>
      <c r="D51" s="3685"/>
      <c r="E51" s="3483"/>
      <c r="F51" s="3614" t="str">
        <f>INDEX(PT_DIFFERENTIATION_VTAR,MATCH(A51,PT_DIFFERENTIATION_VTAR_ID,0))</f>
        <v>Тариф на техническую воду</v>
      </c>
      <c r="G51" s="3651" t="str">
        <f>INDEX(PT_DIFFERENTIATION_NTAR,MATCH(B51,PT_DIFFERENTIATION_NTAR_ID,0))</f>
        <v/>
      </c>
      <c r="H51" s="1702"/>
      <c r="I51" s="1582"/>
      <c r="J51" s="1616"/>
      <c r="K51" s="1705"/>
      <c r="L51" s="1702" t="s">
        <v>566</v>
      </c>
      <c r="M51" s="3446"/>
      <c r="N51" s="245"/>
      <c r="O51" s="1469"/>
      <c r="P51" s="1469"/>
    </row>
    <row r="52" spans="1:16" s="1910" customFormat="1" ht="18.75" hidden="1" customHeight="1">
      <c r="A52" s="1623"/>
      <c r="B52" s="1623"/>
      <c r="C52" s="277" t="s">
        <v>1506</v>
      </c>
      <c r="D52" s="3685"/>
      <c r="E52" s="3483"/>
      <c r="F52" s="3614"/>
      <c r="G52" s="3651"/>
      <c r="H52" s="1355"/>
      <c r="I52" s="543" t="s">
        <v>1507</v>
      </c>
      <c r="J52" s="468"/>
      <c r="K52" s="1355"/>
      <c r="L52" s="130"/>
      <c r="M52" s="3446"/>
      <c r="N52" s="245"/>
      <c r="O52" s="1469"/>
      <c r="P52" s="1469"/>
    </row>
    <row r="53" spans="1:16" s="1910" customFormat="1" ht="0.75" hidden="1" customHeight="1">
      <c r="A53" s="1623"/>
      <c r="B53" s="1623"/>
      <c r="C53" s="277" t="s">
        <v>1512</v>
      </c>
      <c r="D53" s="3685"/>
      <c r="E53" s="3483"/>
      <c r="F53" s="3614"/>
      <c r="G53" s="307"/>
      <c r="H53" s="1355"/>
      <c r="I53" s="543"/>
      <c r="J53" s="468"/>
      <c r="K53" s="1355"/>
      <c r="L53" s="130"/>
      <c r="M53" s="3446"/>
      <c r="N53" s="245"/>
      <c r="O53" s="1469"/>
      <c r="P53" s="1469"/>
    </row>
    <row r="54" spans="1:16" s="1910" customFormat="1" ht="18.75" hidden="1" customHeight="1">
      <c r="A54" s="1623" t="s">
        <v>495</v>
      </c>
      <c r="B54" s="1623" t="s">
        <v>496</v>
      </c>
      <c r="C54" s="277"/>
      <c r="D54" s="3685"/>
      <c r="E54" s="3483"/>
      <c r="F54" s="3614" t="str">
        <f>INDEX(PT_DIFFERENTIATION_VTAR,MATCH(A54,PT_DIFFERENTIATION_VTAR_ID,0))</f>
        <v>Тариф на транспортировку воды</v>
      </c>
      <c r="G54" s="3651" t="str">
        <f>INDEX(PT_DIFFERENTIATION_NTAR,MATCH(B54,PT_DIFFERENTIATION_NTAR_ID,0))</f>
        <v/>
      </c>
      <c r="H54" s="1702"/>
      <c r="I54" s="1582"/>
      <c r="J54" s="1616"/>
      <c r="K54" s="1705"/>
      <c r="L54" s="1702" t="s">
        <v>566</v>
      </c>
      <c r="M54" s="3446"/>
      <c r="N54" s="245"/>
      <c r="O54" s="1469"/>
      <c r="P54" s="1469"/>
    </row>
    <row r="55" spans="1:16" s="1910" customFormat="1" ht="18.75" hidden="1" customHeight="1">
      <c r="A55" s="1623"/>
      <c r="B55" s="1623"/>
      <c r="C55" s="277" t="s">
        <v>1506</v>
      </c>
      <c r="D55" s="3685"/>
      <c r="E55" s="3483"/>
      <c r="F55" s="3614"/>
      <c r="G55" s="3651"/>
      <c r="H55" s="1355"/>
      <c r="I55" s="543" t="s">
        <v>1507</v>
      </c>
      <c r="J55" s="468"/>
      <c r="K55" s="1355"/>
      <c r="L55" s="130"/>
      <c r="M55" s="3446"/>
      <c r="N55" s="245"/>
      <c r="O55" s="1469"/>
      <c r="P55" s="1469"/>
    </row>
    <row r="56" spans="1:16" s="1910" customFormat="1" ht="0.75" hidden="1" customHeight="1">
      <c r="A56" s="1623"/>
      <c r="B56" s="1623"/>
      <c r="C56" s="277" t="s">
        <v>1512</v>
      </c>
      <c r="D56" s="3685"/>
      <c r="E56" s="3483"/>
      <c r="F56" s="3614"/>
      <c r="G56" s="307"/>
      <c r="H56" s="1355"/>
      <c r="I56" s="543"/>
      <c r="J56" s="468"/>
      <c r="K56" s="1355"/>
      <c r="L56" s="130"/>
      <c r="M56" s="3446"/>
      <c r="N56" s="245"/>
      <c r="O56" s="1469"/>
      <c r="P56" s="1469"/>
    </row>
    <row r="57" spans="1:16" s="1910" customFormat="1" ht="18.75" hidden="1" customHeight="1">
      <c r="A57" s="1623" t="s">
        <v>500</v>
      </c>
      <c r="B57" s="1623" t="s">
        <v>501</v>
      </c>
      <c r="C57" s="277"/>
      <c r="D57" s="3685"/>
      <c r="E57" s="3483"/>
      <c r="F57" s="3614" t="str">
        <f>INDEX(PT_DIFFERENTIATION_VTAR,MATCH(A57,PT_DIFFERENTIATION_VTAR_ID,0))</f>
        <v>Тариф на подвоз воды</v>
      </c>
      <c r="G57" s="3651" t="str">
        <f>INDEX(PT_DIFFERENTIATION_NTAR,MATCH(B57,PT_DIFFERENTIATION_NTAR_ID,0))</f>
        <v/>
      </c>
      <c r="H57" s="1702"/>
      <c r="I57" s="1582"/>
      <c r="J57" s="1616"/>
      <c r="K57" s="1705"/>
      <c r="L57" s="1702" t="s">
        <v>566</v>
      </c>
      <c r="M57" s="3446"/>
      <c r="N57" s="245"/>
      <c r="O57" s="1469"/>
      <c r="P57" s="1469"/>
    </row>
    <row r="58" spans="1:16" s="1910" customFormat="1" ht="18.75" hidden="1" customHeight="1">
      <c r="A58" s="1623"/>
      <c r="B58" s="1623"/>
      <c r="C58" s="277" t="s">
        <v>1506</v>
      </c>
      <c r="D58" s="3685"/>
      <c r="E58" s="3483"/>
      <c r="F58" s="3614"/>
      <c r="G58" s="3651"/>
      <c r="H58" s="1355"/>
      <c r="I58" s="543" t="s">
        <v>1507</v>
      </c>
      <c r="J58" s="468"/>
      <c r="K58" s="1355"/>
      <c r="L58" s="130"/>
      <c r="M58" s="3446"/>
      <c r="N58" s="245"/>
      <c r="O58" s="1469"/>
      <c r="P58" s="1469"/>
    </row>
    <row r="59" spans="1:16" s="1910" customFormat="1" ht="0.75" hidden="1" customHeight="1">
      <c r="A59" s="1623"/>
      <c r="B59" s="1623"/>
      <c r="C59" s="277" t="s">
        <v>1512</v>
      </c>
      <c r="D59" s="3685"/>
      <c r="E59" s="3483"/>
      <c r="F59" s="3614"/>
      <c r="G59" s="307"/>
      <c r="H59" s="1355"/>
      <c r="I59" s="543"/>
      <c r="J59" s="468"/>
      <c r="K59" s="1355"/>
      <c r="L59" s="130"/>
      <c r="M59" s="3446"/>
      <c r="N59" s="245"/>
      <c r="O59" s="1469"/>
      <c r="P59" s="1469"/>
    </row>
    <row r="60" spans="1:16" s="1910" customFormat="1" ht="18.75" hidden="1" customHeight="1">
      <c r="A60" s="1623" t="s">
        <v>505</v>
      </c>
      <c r="B60" s="1623" t="s">
        <v>506</v>
      </c>
      <c r="C60" s="277"/>
      <c r="D60" s="3685"/>
      <c r="E60" s="3483"/>
      <c r="F60" s="3614" t="e">
        <f>INDEX(PT_DIFFERENTIATION_VTAR,MATCH(A60,PT_DIFFERENTIATION_VTAR_ID,0))</f>
        <v>#REF!</v>
      </c>
      <c r="G60" s="3651" t="e">
        <f>INDEX(PT_DIFFERENTIATION_NTAR,MATCH(B60,PT_DIFFERENTIATION_NTAR_ID,0))</f>
        <v>#REF!</v>
      </c>
      <c r="H60" s="1702"/>
      <c r="I60" s="1582"/>
      <c r="J60" s="1616"/>
      <c r="K60" s="1705"/>
      <c r="L60" s="1702" t="s">
        <v>566</v>
      </c>
      <c r="M60" s="3446"/>
      <c r="N60" s="245"/>
      <c r="O60" s="1469"/>
      <c r="P60" s="1469"/>
    </row>
    <row r="61" spans="1:16" s="1910" customFormat="1" ht="18.75" hidden="1" customHeight="1">
      <c r="A61" s="1623"/>
      <c r="B61" s="1623"/>
      <c r="C61" s="277" t="s">
        <v>1506</v>
      </c>
      <c r="D61" s="3685"/>
      <c r="E61" s="3483"/>
      <c r="F61" s="3614"/>
      <c r="G61" s="3651"/>
      <c r="H61" s="1355"/>
      <c r="I61" s="543" t="s">
        <v>1507</v>
      </c>
      <c r="J61" s="468"/>
      <c r="K61" s="1355"/>
      <c r="L61" s="130"/>
      <c r="M61" s="3446"/>
      <c r="N61" s="245"/>
      <c r="O61" s="1469"/>
      <c r="P61" s="1469"/>
    </row>
    <row r="62" spans="1:16" s="1910" customFormat="1" ht="0.75" hidden="1" customHeight="1">
      <c r="A62" s="1623"/>
      <c r="B62" s="1623"/>
      <c r="C62" s="277" t="s">
        <v>1512</v>
      </c>
      <c r="D62" s="3685"/>
      <c r="E62" s="3483"/>
      <c r="F62" s="3614"/>
      <c r="G62" s="307"/>
      <c r="H62" s="1355"/>
      <c r="I62" s="543"/>
      <c r="J62" s="468"/>
      <c r="K62" s="1355"/>
      <c r="L62" s="130"/>
      <c r="M62" s="3446"/>
      <c r="N62" s="245"/>
      <c r="O62" s="1469"/>
      <c r="P62" s="1469"/>
    </row>
    <row r="63" spans="1:16" s="1910" customFormat="1" ht="18.75" hidden="1" customHeight="1">
      <c r="A63" s="1623" t="s">
        <v>510</v>
      </c>
      <c r="B63" s="1623" t="s">
        <v>511</v>
      </c>
      <c r="C63" s="277"/>
      <c r="D63" s="3685"/>
      <c r="E63" s="3483"/>
      <c r="F63" s="3614" t="str">
        <f>INDEX(PT_DIFFERENTIATION_VTAR,MATCH(A63,PT_DIFFERENTIATION_VTAR_ID,0))</f>
        <v>Тариф на горячую воду (горячее водоснабжение)</v>
      </c>
      <c r="G63" s="3651" t="str">
        <f>INDEX(PT_DIFFERENTIATION_NTAR,MATCH(B63,PT_DIFFERENTIATION_NTAR_ID,0))</f>
        <v/>
      </c>
      <c r="H63" s="1702"/>
      <c r="I63" s="1582"/>
      <c r="J63" s="1616"/>
      <c r="K63" s="1705"/>
      <c r="L63" s="1702" t="s">
        <v>566</v>
      </c>
      <c r="M63" s="3446"/>
      <c r="N63" s="245"/>
      <c r="O63" s="1469"/>
      <c r="P63" s="1469"/>
    </row>
    <row r="64" spans="1:16" s="1910" customFormat="1" ht="18.75" hidden="1" customHeight="1">
      <c r="A64" s="1623"/>
      <c r="B64" s="1623"/>
      <c r="C64" s="277" t="s">
        <v>1506</v>
      </c>
      <c r="D64" s="3685"/>
      <c r="E64" s="3483"/>
      <c r="F64" s="3614"/>
      <c r="G64" s="3651"/>
      <c r="H64" s="1355"/>
      <c r="I64" s="543" t="s">
        <v>1507</v>
      </c>
      <c r="J64" s="468"/>
      <c r="K64" s="1355"/>
      <c r="L64" s="130"/>
      <c r="M64" s="3446"/>
      <c r="N64" s="245"/>
      <c r="O64" s="1469"/>
      <c r="P64" s="1469"/>
    </row>
    <row r="65" spans="1:16" s="1910" customFormat="1" ht="0.75" hidden="1" customHeight="1">
      <c r="A65" s="1623"/>
      <c r="B65" s="1623"/>
      <c r="C65" s="277" t="s">
        <v>1512</v>
      </c>
      <c r="D65" s="3685"/>
      <c r="E65" s="3483"/>
      <c r="F65" s="3614"/>
      <c r="G65" s="307"/>
      <c r="H65" s="1355"/>
      <c r="I65" s="543"/>
      <c r="J65" s="468"/>
      <c r="K65" s="1355"/>
      <c r="L65" s="130"/>
      <c r="M65" s="3446"/>
      <c r="N65" s="245"/>
      <c r="O65" s="1469"/>
      <c r="P65" s="1469"/>
    </row>
    <row r="66" spans="1:16" s="1910" customFormat="1" ht="18.75" hidden="1" customHeight="1">
      <c r="A66" s="1623" t="s">
        <v>515</v>
      </c>
      <c r="B66" s="1623" t="s">
        <v>516</v>
      </c>
      <c r="C66" s="277"/>
      <c r="D66" s="3685"/>
      <c r="E66" s="3483"/>
      <c r="F66" s="3614" t="str">
        <f>INDEX(PT_DIFFERENTIATION_VTAR,MATCH(A66,PT_DIFFERENTIATION_VTAR_ID,0))</f>
        <v>Тариф на транспортировку горячей воды</v>
      </c>
      <c r="G66" s="3651" t="str">
        <f>INDEX(PT_DIFFERENTIATION_NTAR,MATCH(B66,PT_DIFFERENTIATION_NTAR_ID,0))</f>
        <v/>
      </c>
      <c r="H66" s="1702"/>
      <c r="I66" s="1582"/>
      <c r="J66" s="1616"/>
      <c r="K66" s="1705"/>
      <c r="L66" s="1702" t="s">
        <v>566</v>
      </c>
      <c r="M66" s="3446"/>
      <c r="N66" s="245"/>
      <c r="O66" s="1469"/>
      <c r="P66" s="1469"/>
    </row>
    <row r="67" spans="1:16" s="1910" customFormat="1" ht="18.75" hidden="1" customHeight="1">
      <c r="A67" s="1623"/>
      <c r="B67" s="1623"/>
      <c r="C67" s="277" t="s">
        <v>1506</v>
      </c>
      <c r="D67" s="3685"/>
      <c r="E67" s="3483"/>
      <c r="F67" s="3614"/>
      <c r="G67" s="3651"/>
      <c r="H67" s="1355"/>
      <c r="I67" s="543" t="s">
        <v>1507</v>
      </c>
      <c r="J67" s="468"/>
      <c r="K67" s="1355"/>
      <c r="L67" s="130"/>
      <c r="M67" s="3446"/>
      <c r="N67" s="245"/>
      <c r="O67" s="1469"/>
      <c r="P67" s="1469"/>
    </row>
    <row r="68" spans="1:16" s="1910" customFormat="1" ht="0.75" hidden="1" customHeight="1">
      <c r="A68" s="1623"/>
      <c r="B68" s="1623"/>
      <c r="C68" s="277" t="s">
        <v>1512</v>
      </c>
      <c r="D68" s="3685"/>
      <c r="E68" s="3483"/>
      <c r="F68" s="3614"/>
      <c r="G68" s="307"/>
      <c r="H68" s="1355"/>
      <c r="I68" s="543"/>
      <c r="J68" s="468"/>
      <c r="K68" s="1355"/>
      <c r="L68" s="130"/>
      <c r="M68" s="3446"/>
      <c r="N68" s="245"/>
      <c r="O68" s="1469"/>
      <c r="P68" s="1469"/>
    </row>
    <row r="69" spans="1:16" s="1910" customFormat="1" ht="18.75" hidden="1" customHeight="1">
      <c r="A69" s="1623" t="s">
        <v>520</v>
      </c>
      <c r="B69" s="1623" t="s">
        <v>521</v>
      </c>
      <c r="C69" s="277"/>
      <c r="D69" s="3685"/>
      <c r="E69" s="3483"/>
      <c r="F69" s="3614" t="e">
        <f>INDEX(PT_DIFFERENTIATION_VTAR,MATCH(A69,PT_DIFFERENTIATION_VTAR_ID,0))</f>
        <v>#REF!</v>
      </c>
      <c r="G69" s="3651" t="e">
        <f>INDEX(PT_DIFFERENTIATION_NTAR,MATCH(B69,PT_DIFFERENTIATION_NTAR_ID,0))</f>
        <v>#REF!</v>
      </c>
      <c r="H69" s="1702"/>
      <c r="I69" s="1582"/>
      <c r="J69" s="1616"/>
      <c r="K69" s="1705"/>
      <c r="L69" s="1702" t="s">
        <v>566</v>
      </c>
      <c r="M69" s="3446"/>
      <c r="N69" s="245"/>
      <c r="O69" s="1469"/>
      <c r="P69" s="1469"/>
    </row>
    <row r="70" spans="1:16" s="1910" customFormat="1" ht="18.75" hidden="1" customHeight="1">
      <c r="A70" s="1623"/>
      <c r="B70" s="1623"/>
      <c r="C70" s="277" t="s">
        <v>1506</v>
      </c>
      <c r="D70" s="3685"/>
      <c r="E70" s="3483"/>
      <c r="F70" s="3614"/>
      <c r="G70" s="3651"/>
      <c r="H70" s="1355"/>
      <c r="I70" s="543" t="s">
        <v>1507</v>
      </c>
      <c r="J70" s="468"/>
      <c r="K70" s="1355"/>
      <c r="L70" s="130"/>
      <c r="M70" s="3446"/>
      <c r="N70" s="245"/>
      <c r="O70" s="1469"/>
      <c r="P70" s="1469"/>
    </row>
    <row r="71" spans="1:16" s="1910" customFormat="1" ht="0.75" hidden="1" customHeight="1">
      <c r="A71" s="1623"/>
      <c r="B71" s="1623"/>
      <c r="C71" s="277" t="s">
        <v>1512</v>
      </c>
      <c r="D71" s="3685"/>
      <c r="E71" s="3483"/>
      <c r="F71" s="3614"/>
      <c r="G71" s="307"/>
      <c r="H71" s="1355"/>
      <c r="I71" s="543"/>
      <c r="J71" s="468"/>
      <c r="K71" s="1355"/>
      <c r="L71" s="130"/>
      <c r="M71" s="3446"/>
      <c r="N71" s="245"/>
      <c r="O71" s="1469"/>
      <c r="P71" s="1469"/>
    </row>
    <row r="72" spans="1:16" s="1910" customFormat="1" ht="18.75" hidden="1" customHeight="1">
      <c r="A72" s="1623" t="s">
        <v>525</v>
      </c>
      <c r="B72" s="1623" t="s">
        <v>526</v>
      </c>
      <c r="C72" s="277"/>
      <c r="D72" s="3685"/>
      <c r="E72" s="3483"/>
      <c r="F72" s="3614" t="str">
        <f>INDEX(PT_DIFFERENTIATION_VTAR,MATCH(A72,PT_DIFFERENTIATION_VTAR_ID,0))</f>
        <v>Тариф на водоотведение</v>
      </c>
      <c r="G72" s="3651" t="str">
        <f>INDEX(PT_DIFFERENTIATION_NTAR,MATCH(B72,PT_DIFFERENTIATION_NTAR_ID,0))</f>
        <v/>
      </c>
      <c r="H72" s="1702"/>
      <c r="I72" s="1582"/>
      <c r="J72" s="1616"/>
      <c r="K72" s="1705"/>
      <c r="L72" s="1702" t="s">
        <v>566</v>
      </c>
      <c r="M72" s="3446"/>
      <c r="N72" s="245"/>
      <c r="O72" s="1469"/>
      <c r="P72" s="1469"/>
    </row>
    <row r="73" spans="1:16" s="1910" customFormat="1" ht="18.75" hidden="1" customHeight="1">
      <c r="A73" s="1623"/>
      <c r="B73" s="1623"/>
      <c r="C73" s="277" t="s">
        <v>1506</v>
      </c>
      <c r="D73" s="3685"/>
      <c r="E73" s="3483"/>
      <c r="F73" s="3614"/>
      <c r="G73" s="3651"/>
      <c r="H73" s="1355"/>
      <c r="I73" s="543" t="s">
        <v>1507</v>
      </c>
      <c r="J73" s="468"/>
      <c r="K73" s="1355"/>
      <c r="L73" s="130"/>
      <c r="M73" s="3446"/>
      <c r="N73" s="245"/>
      <c r="O73" s="1469"/>
      <c r="P73" s="1469"/>
    </row>
    <row r="74" spans="1:16" s="1910" customFormat="1" ht="0.75" hidden="1" customHeight="1">
      <c r="A74" s="1623"/>
      <c r="B74" s="1623"/>
      <c r="C74" s="277" t="s">
        <v>1512</v>
      </c>
      <c r="D74" s="3685"/>
      <c r="E74" s="3483"/>
      <c r="F74" s="3614"/>
      <c r="G74" s="307"/>
      <c r="H74" s="1355"/>
      <c r="I74" s="543"/>
      <c r="J74" s="468"/>
      <c r="K74" s="1355"/>
      <c r="L74" s="130"/>
      <c r="M74" s="3446"/>
      <c r="N74" s="245"/>
      <c r="O74" s="1469"/>
      <c r="P74" s="1469"/>
    </row>
    <row r="75" spans="1:16" s="1910" customFormat="1" ht="18.75" hidden="1" customHeight="1">
      <c r="A75" s="1623" t="s">
        <v>530</v>
      </c>
      <c r="B75" s="1623" t="s">
        <v>531</v>
      </c>
      <c r="C75" s="277"/>
      <c r="D75" s="3685"/>
      <c r="E75" s="3483"/>
      <c r="F75" s="3614" t="str">
        <f>INDEX(PT_DIFFERENTIATION_VTAR,MATCH(A75,PT_DIFFERENTIATION_VTAR_ID,0))</f>
        <v>Тариф на транспортировку сточных вод</v>
      </c>
      <c r="G75" s="3651" t="str">
        <f>INDEX(PT_DIFFERENTIATION_NTAR,MATCH(B75,PT_DIFFERENTIATION_NTAR_ID,0))</f>
        <v/>
      </c>
      <c r="H75" s="1702"/>
      <c r="I75" s="1582"/>
      <c r="J75" s="1616"/>
      <c r="K75" s="1705"/>
      <c r="L75" s="1702" t="s">
        <v>566</v>
      </c>
      <c r="M75" s="3446"/>
      <c r="N75" s="245"/>
      <c r="O75" s="1469"/>
      <c r="P75" s="1469"/>
    </row>
    <row r="76" spans="1:16" s="1910" customFormat="1" ht="18.75" hidden="1" customHeight="1">
      <c r="A76" s="1623"/>
      <c r="B76" s="1623"/>
      <c r="C76" s="277" t="s">
        <v>1506</v>
      </c>
      <c r="D76" s="3685"/>
      <c r="E76" s="3483"/>
      <c r="F76" s="3614"/>
      <c r="G76" s="3651"/>
      <c r="H76" s="1355"/>
      <c r="I76" s="543" t="s">
        <v>1507</v>
      </c>
      <c r="J76" s="468"/>
      <c r="K76" s="1355"/>
      <c r="L76" s="130"/>
      <c r="M76" s="3446"/>
      <c r="N76" s="245"/>
      <c r="O76" s="1469"/>
      <c r="P76" s="1469"/>
    </row>
    <row r="77" spans="1:16" s="1910" customFormat="1" ht="0.75" hidden="1" customHeight="1">
      <c r="A77" s="1623"/>
      <c r="B77" s="1623"/>
      <c r="C77" s="277" t="s">
        <v>1512</v>
      </c>
      <c r="D77" s="3685"/>
      <c r="E77" s="3483"/>
      <c r="F77" s="3614"/>
      <c r="G77" s="307"/>
      <c r="H77" s="1355"/>
      <c r="I77" s="543"/>
      <c r="J77" s="468"/>
      <c r="K77" s="1355"/>
      <c r="L77" s="130"/>
      <c r="M77" s="3446"/>
      <c r="N77" s="245"/>
      <c r="O77" s="1469"/>
      <c r="P77" s="1469"/>
    </row>
    <row r="78" spans="1:16" s="1910" customFormat="1" ht="18.75" hidden="1" customHeight="1">
      <c r="A78" s="1623" t="s">
        <v>535</v>
      </c>
      <c r="B78" s="1623" t="s">
        <v>536</v>
      </c>
      <c r="C78" s="277"/>
      <c r="D78" s="3685"/>
      <c r="E78" s="3483"/>
      <c r="F78" s="3614" t="e">
        <f>INDEX(PT_DIFFERENTIATION_VTAR,MATCH(A78,PT_DIFFERENTIATION_VTAR_ID,0))</f>
        <v>#REF!</v>
      </c>
      <c r="G78" s="3651" t="e">
        <f>INDEX(PT_DIFFERENTIATION_NTAR,MATCH(B78,PT_DIFFERENTIATION_NTAR_ID,0))</f>
        <v>#REF!</v>
      </c>
      <c r="H78" s="1702"/>
      <c r="I78" s="1582"/>
      <c r="J78" s="1616"/>
      <c r="K78" s="1705"/>
      <c r="L78" s="1702" t="s">
        <v>566</v>
      </c>
      <c r="M78" s="3446"/>
      <c r="N78" s="245"/>
      <c r="O78" s="1469"/>
      <c r="P78" s="1469"/>
    </row>
    <row r="79" spans="1:16" s="1910" customFormat="1" ht="18.75" hidden="1" customHeight="1">
      <c r="A79" s="1623"/>
      <c r="B79" s="1623"/>
      <c r="C79" s="277" t="s">
        <v>1506</v>
      </c>
      <c r="D79" s="3685"/>
      <c r="E79" s="3483"/>
      <c r="F79" s="3614"/>
      <c r="G79" s="3651"/>
      <c r="H79" s="1355"/>
      <c r="I79" s="543" t="s">
        <v>1507</v>
      </c>
      <c r="J79" s="468"/>
      <c r="K79" s="1355"/>
      <c r="L79" s="130"/>
      <c r="M79" s="3446"/>
      <c r="N79" s="245"/>
      <c r="O79" s="1469"/>
      <c r="P79" s="1469"/>
    </row>
    <row r="80" spans="1:16" s="1910" customFormat="1" ht="0.75" customHeight="1">
      <c r="A80" s="1623"/>
      <c r="B80" s="1623"/>
      <c r="C80" s="277" t="s">
        <v>1512</v>
      </c>
      <c r="D80" s="3685"/>
      <c r="E80" s="3483"/>
      <c r="F80" s="3614"/>
      <c r="G80" s="307"/>
      <c r="H80" s="1355"/>
      <c r="I80" s="543"/>
      <c r="J80" s="468"/>
      <c r="K80" s="1355"/>
      <c r="L80" s="130"/>
      <c r="M80" s="3446"/>
      <c r="N80" s="245"/>
      <c r="O80" s="1469"/>
      <c r="P80" s="1469"/>
    </row>
    <row r="81" spans="1:16" ht="18.75" customHeight="1">
      <c r="A81" s="1623"/>
      <c r="B81" s="1623"/>
      <c r="D81" s="283"/>
      <c r="E81" s="67" t="s">
        <v>107</v>
      </c>
      <c r="F81" s="367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1" s="3679"/>
      <c r="H81" s="3679"/>
      <c r="I81" s="3679"/>
      <c r="J81" s="3679"/>
      <c r="K81" s="3679"/>
      <c r="L81" s="3679"/>
      <c r="M81" s="208"/>
      <c r="N81" s="245"/>
    </row>
    <row r="82" spans="1:16" ht="33.75" customHeight="1">
      <c r="A82" s="1623"/>
      <c r="B82" s="1623"/>
      <c r="D82" s="283"/>
      <c r="E82" s="306"/>
      <c r="F82" s="114" t="s">
        <v>566</v>
      </c>
      <c r="G82" s="114" t="s">
        <v>566</v>
      </c>
      <c r="H82" s="3494" t="s">
        <v>566</v>
      </c>
      <c r="I82" s="3508"/>
      <c r="J82" s="114" t="s">
        <v>566</v>
      </c>
      <c r="K82" s="114" t="s">
        <v>566</v>
      </c>
      <c r="L82" s="308"/>
      <c r="M82" s="255" t="s">
        <v>1513</v>
      </c>
      <c r="N82" s="245"/>
    </row>
    <row r="83" spans="1:16" ht="18.75" customHeight="1">
      <c r="A83" s="1623"/>
      <c r="B83" s="1623"/>
      <c r="D83" s="283"/>
      <c r="E83" s="67" t="s">
        <v>87</v>
      </c>
      <c r="F83" s="3679" t="s">
        <v>1514</v>
      </c>
      <c r="G83" s="3679"/>
      <c r="H83" s="3679"/>
      <c r="I83" s="3679"/>
      <c r="J83" s="3679"/>
      <c r="K83" s="3679"/>
      <c r="L83" s="3679"/>
      <c r="M83" s="208"/>
      <c r="N83" s="245"/>
    </row>
    <row r="84" spans="1:16" s="1910" customFormat="1" ht="60.75" hidden="1" customHeight="1">
      <c r="A84" s="1623" t="s">
        <v>417</v>
      </c>
      <c r="B84" s="1623" t="s">
        <v>418</v>
      </c>
      <c r="C84" s="277"/>
      <c r="D84" s="3685"/>
      <c r="E84" s="3483"/>
      <c r="F84" s="3614"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3651" t="str">
        <f>INDEX(PT_DIFFERENTIATION_NTAR,MATCH(B84,PT_DIFFERENTIATION_NTAR_ID,0))</f>
        <v/>
      </c>
      <c r="H84" s="1702"/>
      <c r="I84" s="1582"/>
      <c r="J84" s="1616"/>
      <c r="K84" s="1621"/>
      <c r="L84" s="1702" t="s">
        <v>566</v>
      </c>
      <c r="M84" s="34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45"/>
      <c r="O84" s="1469"/>
      <c r="P84" s="1469"/>
    </row>
    <row r="85" spans="1:16" s="1910" customFormat="1" ht="18.75" hidden="1" customHeight="1">
      <c r="A85" s="1623"/>
      <c r="B85" s="1623"/>
      <c r="C85" s="277" t="s">
        <v>1508</v>
      </c>
      <c r="D85" s="3685"/>
      <c r="E85" s="3483"/>
      <c r="F85" s="3614"/>
      <c r="G85" s="3651"/>
      <c r="H85" s="1355"/>
      <c r="I85" s="543" t="s">
        <v>1507</v>
      </c>
      <c r="J85" s="468"/>
      <c r="K85" s="1355"/>
      <c r="L85" s="130"/>
      <c r="M85" s="3446"/>
      <c r="N85" s="245"/>
      <c r="O85" s="1469"/>
      <c r="P85" s="1469"/>
    </row>
    <row r="86" spans="1:16" s="1910" customFormat="1" ht="0.75" hidden="1" customHeight="1">
      <c r="A86" s="1623"/>
      <c r="B86" s="1623"/>
      <c r="C86" s="277" t="s">
        <v>1515</v>
      </c>
      <c r="D86" s="3685"/>
      <c r="E86" s="3483"/>
      <c r="F86" s="3614"/>
      <c r="G86" s="307"/>
      <c r="H86" s="1355"/>
      <c r="I86" s="543"/>
      <c r="J86" s="468"/>
      <c r="K86" s="1355"/>
      <c r="L86" s="130"/>
      <c r="M86" s="3446"/>
      <c r="N86" s="245"/>
      <c r="O86" s="1469"/>
      <c r="P86" s="1469"/>
    </row>
    <row r="87" spans="1:16" s="1910" customFormat="1" ht="45" hidden="1" customHeight="1">
      <c r="A87" s="1623" t="s">
        <v>423</v>
      </c>
      <c r="B87" s="1623" t="s">
        <v>424</v>
      </c>
      <c r="C87" s="277"/>
      <c r="D87" s="3685"/>
      <c r="E87" s="3483"/>
      <c r="F87" s="3614"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3651" t="str">
        <f>INDEX(PT_DIFFERENTIATION_NTAR,MATCH(B87,PT_DIFFERENTIATION_NTAR_ID,0))</f>
        <v/>
      </c>
      <c r="H87" s="1702"/>
      <c r="I87" s="1582"/>
      <c r="J87" s="1616"/>
      <c r="K87" s="1621"/>
      <c r="L87" s="1702" t="s">
        <v>566</v>
      </c>
      <c r="M87" s="3447"/>
      <c r="N87" s="245"/>
      <c r="O87" s="1469"/>
      <c r="P87" s="1469"/>
    </row>
    <row r="88" spans="1:16" s="1910" customFormat="1" ht="18.75" hidden="1" customHeight="1">
      <c r="A88" s="1623"/>
      <c r="B88" s="1623"/>
      <c r="C88" s="277" t="s">
        <v>1508</v>
      </c>
      <c r="D88" s="3685"/>
      <c r="E88" s="3483"/>
      <c r="F88" s="3614"/>
      <c r="G88" s="3651"/>
      <c r="H88" s="1355"/>
      <c r="I88" s="543" t="s">
        <v>1507</v>
      </c>
      <c r="J88" s="468"/>
      <c r="K88" s="1355"/>
      <c r="L88" s="130"/>
      <c r="M88" s="1701"/>
      <c r="N88" s="245"/>
      <c r="O88" s="1469"/>
      <c r="P88" s="1469"/>
    </row>
    <row r="89" spans="1:16" s="1910" customFormat="1" ht="0.75" hidden="1" customHeight="1">
      <c r="A89" s="1623"/>
      <c r="B89" s="1623"/>
      <c r="C89" s="277" t="s">
        <v>1515</v>
      </c>
      <c r="D89" s="3685"/>
      <c r="E89" s="3483"/>
      <c r="F89" s="3614"/>
      <c r="G89" s="307"/>
      <c r="H89" s="1355"/>
      <c r="I89" s="543"/>
      <c r="J89" s="468"/>
      <c r="K89" s="1355"/>
      <c r="L89" s="130"/>
      <c r="M89" s="252"/>
      <c r="N89" s="245"/>
      <c r="O89" s="1469"/>
      <c r="P89" s="1469"/>
    </row>
    <row r="90" spans="1:16" s="1910" customFormat="1" ht="45" hidden="1" customHeight="1">
      <c r="A90" s="1623" t="s">
        <v>429</v>
      </c>
      <c r="B90" s="1623" t="s">
        <v>430</v>
      </c>
      <c r="C90" s="277"/>
      <c r="D90" s="3685"/>
      <c r="E90" s="3483"/>
      <c r="F90" s="3614"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3651" t="str">
        <f>INDEX(PT_DIFFERENTIATION_NTAR,MATCH(B90,PT_DIFFERENTIATION_NTAR_ID,0))</f>
        <v/>
      </c>
      <c r="H90" s="1702"/>
      <c r="I90" s="1582"/>
      <c r="J90" s="1616"/>
      <c r="K90" s="1621"/>
      <c r="L90" s="1702" t="s">
        <v>566</v>
      </c>
      <c r="M90" s="252"/>
      <c r="N90" s="245"/>
      <c r="O90" s="1469"/>
      <c r="P90" s="1469"/>
    </row>
    <row r="91" spans="1:16" s="1910" customFormat="1" ht="18.75" hidden="1" customHeight="1">
      <c r="A91" s="1623"/>
      <c r="B91" s="1623"/>
      <c r="C91" s="277" t="s">
        <v>1508</v>
      </c>
      <c r="D91" s="3685"/>
      <c r="E91" s="3483"/>
      <c r="F91" s="3614"/>
      <c r="G91" s="3651"/>
      <c r="H91" s="1355"/>
      <c r="I91" s="543" t="s">
        <v>1507</v>
      </c>
      <c r="J91" s="468"/>
      <c r="K91" s="1355"/>
      <c r="L91" s="130"/>
      <c r="M91" s="252"/>
      <c r="N91" s="245"/>
      <c r="O91" s="1469"/>
      <c r="P91" s="1469"/>
    </row>
    <row r="92" spans="1:16" s="1910" customFormat="1" ht="0.75" hidden="1" customHeight="1">
      <c r="A92" s="1623"/>
      <c r="B92" s="1623"/>
      <c r="C92" s="277" t="s">
        <v>1515</v>
      </c>
      <c r="D92" s="3685"/>
      <c r="E92" s="3483"/>
      <c r="F92" s="3614"/>
      <c r="G92" s="307"/>
      <c r="H92" s="1355"/>
      <c r="I92" s="543"/>
      <c r="J92" s="468"/>
      <c r="K92" s="1355"/>
      <c r="L92" s="130"/>
      <c r="M92" s="252"/>
      <c r="N92" s="245"/>
      <c r="O92" s="1469"/>
      <c r="P92" s="1469"/>
    </row>
    <row r="93" spans="1:16" s="1910" customFormat="1" ht="45" hidden="1" customHeight="1">
      <c r="A93" s="1623" t="s">
        <v>435</v>
      </c>
      <c r="B93" s="1623" t="s">
        <v>436</v>
      </c>
      <c r="C93" s="277"/>
      <c r="D93" s="3685"/>
      <c r="E93" s="3483"/>
      <c r="F93" s="3614"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3651" t="str">
        <f>INDEX(PT_DIFFERENTIATION_NTAR,MATCH(B93,PT_DIFFERENTIATION_NTAR_ID,0))</f>
        <v/>
      </c>
      <c r="H93" s="1702"/>
      <c r="I93" s="1582"/>
      <c r="J93" s="1616"/>
      <c r="K93" s="1621"/>
      <c r="L93" s="1702" t="s">
        <v>566</v>
      </c>
      <c r="M93" s="252"/>
      <c r="N93" s="245"/>
      <c r="O93" s="1469"/>
      <c r="P93" s="1469"/>
    </row>
    <row r="94" spans="1:16" s="1910" customFormat="1" ht="18.75" hidden="1" customHeight="1">
      <c r="A94" s="1623"/>
      <c r="B94" s="1623"/>
      <c r="C94" s="277" t="s">
        <v>1508</v>
      </c>
      <c r="D94" s="3685"/>
      <c r="E94" s="3483"/>
      <c r="F94" s="3614"/>
      <c r="G94" s="3651"/>
      <c r="H94" s="1355"/>
      <c r="I94" s="543" t="s">
        <v>1507</v>
      </c>
      <c r="J94" s="468"/>
      <c r="K94" s="1355"/>
      <c r="L94" s="130"/>
      <c r="M94" s="252"/>
      <c r="N94" s="245"/>
      <c r="O94" s="1469"/>
      <c r="P94" s="1469"/>
    </row>
    <row r="95" spans="1:16" s="1910" customFormat="1" ht="0.75" hidden="1" customHeight="1">
      <c r="A95" s="1623"/>
      <c r="B95" s="1623"/>
      <c r="C95" s="277" t="s">
        <v>1515</v>
      </c>
      <c r="D95" s="3685"/>
      <c r="E95" s="3483"/>
      <c r="F95" s="3614"/>
      <c r="G95" s="307"/>
      <c r="H95" s="1355"/>
      <c r="I95" s="543"/>
      <c r="J95" s="468"/>
      <c r="K95" s="1355"/>
      <c r="L95" s="130"/>
      <c r="M95" s="252"/>
      <c r="N95" s="245"/>
      <c r="O95" s="1469"/>
      <c r="P95" s="1469"/>
    </row>
    <row r="96" spans="1:16" s="1910" customFormat="1" ht="18.75" hidden="1" customHeight="1">
      <c r="A96" s="1623" t="s">
        <v>441</v>
      </c>
      <c r="B96" s="1623" t="s">
        <v>442</v>
      </c>
      <c r="C96" s="277"/>
      <c r="D96" s="3685"/>
      <c r="E96" s="3483"/>
      <c r="F96" s="3614" t="str">
        <f>INDEX(PT_DIFFERENTIATION_VTAR,MATCH(A96,PT_DIFFERENTIATION_VTAR_ID,0))</f>
        <v>Тарифы на услуги по передаче тепловой энергии</v>
      </c>
      <c r="G96" s="3651" t="str">
        <f>INDEX(PT_DIFFERENTIATION_NTAR,MATCH(B96,PT_DIFFERENTIATION_NTAR_ID,0))</f>
        <v/>
      </c>
      <c r="H96" s="1702"/>
      <c r="I96" s="1582"/>
      <c r="J96" s="1616"/>
      <c r="K96" s="1621"/>
      <c r="L96" s="1702" t="s">
        <v>566</v>
      </c>
      <c r="M96" s="252"/>
      <c r="N96" s="245"/>
      <c r="O96" s="1469"/>
      <c r="P96" s="1469"/>
    </row>
    <row r="97" spans="1:16" s="1910" customFormat="1" ht="18.75" hidden="1" customHeight="1">
      <c r="A97" s="1623"/>
      <c r="B97" s="1623"/>
      <c r="C97" s="277" t="s">
        <v>1508</v>
      </c>
      <c r="D97" s="3685"/>
      <c r="E97" s="3483"/>
      <c r="F97" s="3614"/>
      <c r="G97" s="3651"/>
      <c r="H97" s="1355"/>
      <c r="I97" s="543" t="s">
        <v>1507</v>
      </c>
      <c r="J97" s="468"/>
      <c r="K97" s="1355"/>
      <c r="L97" s="130"/>
      <c r="M97" s="252"/>
      <c r="N97" s="245"/>
      <c r="O97" s="1469"/>
      <c r="P97" s="1469"/>
    </row>
    <row r="98" spans="1:16" s="1910" customFormat="1" ht="0.75" hidden="1" customHeight="1">
      <c r="A98" s="1623"/>
      <c r="B98" s="1623"/>
      <c r="C98" s="277" t="s">
        <v>1515</v>
      </c>
      <c r="D98" s="3685"/>
      <c r="E98" s="3483"/>
      <c r="F98" s="3614"/>
      <c r="G98" s="307"/>
      <c r="H98" s="1355"/>
      <c r="I98" s="543"/>
      <c r="J98" s="468"/>
      <c r="K98" s="1355"/>
      <c r="L98" s="130"/>
      <c r="M98" s="252"/>
      <c r="N98" s="245"/>
      <c r="O98" s="1469"/>
      <c r="P98" s="1469"/>
    </row>
    <row r="99" spans="1:16" s="1910" customFormat="1" ht="18.75" hidden="1" customHeight="1">
      <c r="A99" s="1623" t="s">
        <v>447</v>
      </c>
      <c r="B99" s="1623" t="s">
        <v>448</v>
      </c>
      <c r="C99" s="277"/>
      <c r="D99" s="3685"/>
      <c r="E99" s="3483"/>
      <c r="F99" s="3614" t="str">
        <f>INDEX(PT_DIFFERENTIATION_VTAR,MATCH(A99,PT_DIFFERENTIATION_VTAR_ID,0))</f>
        <v>Тарифы на услуги по передаче теплоносителя</v>
      </c>
      <c r="G99" s="3651" t="str">
        <f>INDEX(PT_DIFFERENTIATION_NTAR,MATCH(B99,PT_DIFFERENTIATION_NTAR_ID,0))</f>
        <v/>
      </c>
      <c r="H99" s="1702"/>
      <c r="I99" s="1582"/>
      <c r="J99" s="1616"/>
      <c r="K99" s="1621"/>
      <c r="L99" s="1702" t="s">
        <v>566</v>
      </c>
      <c r="M99" s="252"/>
      <c r="N99" s="245"/>
      <c r="O99" s="1469"/>
      <c r="P99" s="1469"/>
    </row>
    <row r="100" spans="1:16" s="1910" customFormat="1" ht="18.75" hidden="1" customHeight="1">
      <c r="A100" s="1623"/>
      <c r="B100" s="1623"/>
      <c r="C100" s="277" t="s">
        <v>1508</v>
      </c>
      <c r="D100" s="3685"/>
      <c r="E100" s="3483"/>
      <c r="F100" s="3614"/>
      <c r="G100" s="3651"/>
      <c r="H100" s="1355"/>
      <c r="I100" s="543" t="s">
        <v>1507</v>
      </c>
      <c r="J100" s="468"/>
      <c r="K100" s="1355"/>
      <c r="L100" s="130"/>
      <c r="M100" s="252"/>
      <c r="N100" s="245"/>
      <c r="O100" s="1469"/>
      <c r="P100" s="1469"/>
    </row>
    <row r="101" spans="1:16" s="1910" customFormat="1" ht="0.75" hidden="1" customHeight="1">
      <c r="A101" s="1623"/>
      <c r="B101" s="1623"/>
      <c r="C101" s="277" t="s">
        <v>1515</v>
      </c>
      <c r="D101" s="3685"/>
      <c r="E101" s="3483"/>
      <c r="F101" s="3614"/>
      <c r="G101" s="307"/>
      <c r="H101" s="1355"/>
      <c r="I101" s="543"/>
      <c r="J101" s="468"/>
      <c r="K101" s="1355"/>
      <c r="L101" s="130"/>
      <c r="M101" s="252"/>
      <c r="N101" s="245"/>
      <c r="O101" s="1469"/>
      <c r="P101" s="1469"/>
    </row>
    <row r="102" spans="1:16" s="1910" customFormat="1" ht="18.75" hidden="1" customHeight="1">
      <c r="A102" s="1623" t="s">
        <v>453</v>
      </c>
      <c r="B102" s="1623" t="s">
        <v>454</v>
      </c>
      <c r="C102" s="277"/>
      <c r="D102" s="3685"/>
      <c r="E102" s="3483"/>
      <c r="F102" s="3614" t="str">
        <f>INDEX(PT_DIFFERENTIATION_VTAR,MATCH(A102,PT_DIFFERENTIATION_VTAR_ID,0))</f>
        <v>Плата за услуги по поддержанию резервной тепловой мощности при отсутствии потребления тепловой энергии</v>
      </c>
      <c r="G102" s="3651" t="str">
        <f>INDEX(PT_DIFFERENTIATION_NTAR,MATCH(B102,PT_DIFFERENTIATION_NTAR_ID,0))</f>
        <v/>
      </c>
      <c r="H102" s="1702"/>
      <c r="I102" s="1582"/>
      <c r="J102" s="1616"/>
      <c r="K102" s="1621"/>
      <c r="L102" s="1702" t="s">
        <v>566</v>
      </c>
      <c r="M102" s="252"/>
      <c r="N102" s="245"/>
      <c r="O102" s="1469"/>
      <c r="P102" s="1469"/>
    </row>
    <row r="103" spans="1:16" s="1910" customFormat="1" ht="18.75" hidden="1" customHeight="1">
      <c r="A103" s="1623"/>
      <c r="B103" s="1623"/>
      <c r="C103" s="277" t="s">
        <v>1508</v>
      </c>
      <c r="D103" s="3685"/>
      <c r="E103" s="3483"/>
      <c r="F103" s="3614"/>
      <c r="G103" s="3651"/>
      <c r="H103" s="1355"/>
      <c r="I103" s="543" t="s">
        <v>1507</v>
      </c>
      <c r="J103" s="468"/>
      <c r="K103" s="1355"/>
      <c r="L103" s="130"/>
      <c r="M103" s="252"/>
      <c r="N103" s="245"/>
      <c r="O103" s="1469"/>
      <c r="P103" s="1469"/>
    </row>
    <row r="104" spans="1:16" s="1910" customFormat="1" ht="0.75" hidden="1" customHeight="1">
      <c r="A104" s="1623"/>
      <c r="B104" s="1623"/>
      <c r="C104" s="277" t="s">
        <v>1515</v>
      </c>
      <c r="D104" s="3685"/>
      <c r="E104" s="3483"/>
      <c r="F104" s="3614"/>
      <c r="G104" s="307"/>
      <c r="H104" s="1355"/>
      <c r="I104" s="543"/>
      <c r="J104" s="468"/>
      <c r="K104" s="1355"/>
      <c r="L104" s="130"/>
      <c r="M104" s="252"/>
      <c r="N104" s="245"/>
      <c r="O104" s="1469"/>
      <c r="P104" s="1469"/>
    </row>
    <row r="105" spans="1:16" s="1910" customFormat="1" ht="18.75" hidden="1" customHeight="1">
      <c r="A105" s="1623" t="s">
        <v>459</v>
      </c>
      <c r="B105" s="1623" t="s">
        <v>460</v>
      </c>
      <c r="C105" s="277"/>
      <c r="D105" s="3685"/>
      <c r="E105" s="3483"/>
      <c r="F105" s="3614" t="str">
        <f>INDEX(PT_DIFFERENTIATION_VTAR,MATCH(A105,PT_DIFFERENTIATION_VTAR_ID,0))</f>
        <v>Плата за подключение (технологическое присоединение) к системе теплоснабжения</v>
      </c>
      <c r="G105" s="3651" t="str">
        <f>INDEX(PT_DIFFERENTIATION_NTAR,MATCH(B105,PT_DIFFERENTIATION_NTAR_ID,0))</f>
        <v/>
      </c>
      <c r="H105" s="1702"/>
      <c r="I105" s="1582"/>
      <c r="J105" s="1616"/>
      <c r="K105" s="1621"/>
      <c r="L105" s="1702" t="s">
        <v>566</v>
      </c>
      <c r="M105" s="252"/>
      <c r="N105" s="245"/>
      <c r="O105" s="1469"/>
      <c r="P105" s="1469"/>
    </row>
    <row r="106" spans="1:16" s="1910" customFormat="1" ht="18.75" hidden="1" customHeight="1">
      <c r="A106" s="1623"/>
      <c r="B106" s="1623"/>
      <c r="C106" s="277" t="s">
        <v>1508</v>
      </c>
      <c r="D106" s="3685"/>
      <c r="E106" s="3483"/>
      <c r="F106" s="3614"/>
      <c r="G106" s="3651"/>
      <c r="H106" s="1355"/>
      <c r="I106" s="543" t="s">
        <v>1507</v>
      </c>
      <c r="J106" s="468"/>
      <c r="K106" s="1355"/>
      <c r="L106" s="130"/>
      <c r="M106" s="252"/>
      <c r="N106" s="245"/>
      <c r="O106" s="1469"/>
      <c r="P106" s="1469"/>
    </row>
    <row r="107" spans="1:16" s="1910" customFormat="1" ht="0.75" hidden="1" customHeight="1">
      <c r="A107" s="1623"/>
      <c r="B107" s="1623"/>
      <c r="C107" s="277" t="s">
        <v>1515</v>
      </c>
      <c r="D107" s="3685"/>
      <c r="E107" s="3483"/>
      <c r="F107" s="3614"/>
      <c r="G107" s="307"/>
      <c r="H107" s="1355"/>
      <c r="I107" s="543"/>
      <c r="J107" s="468"/>
      <c r="K107" s="1355"/>
      <c r="L107" s="130"/>
      <c r="M107" s="252"/>
      <c r="N107" s="245"/>
      <c r="O107" s="1469"/>
      <c r="P107" s="1469"/>
    </row>
    <row r="108" spans="1:16" s="1910" customFormat="1" ht="18.75" hidden="1" customHeight="1">
      <c r="A108" s="1623" t="s">
        <v>485</v>
      </c>
      <c r="B108" s="1623" t="s">
        <v>486</v>
      </c>
      <c r="C108" s="277"/>
      <c r="D108" s="3685"/>
      <c r="E108" s="3483"/>
      <c r="F108" s="3614" t="str">
        <f>INDEX(PT_DIFFERENTIATION_VTAR,MATCH(A108,PT_DIFFERENTIATION_VTAR_ID,0))</f>
        <v>Тариф на питьевую воду (питьевое водоснабжение)</v>
      </c>
      <c r="G108" s="3651" t="str">
        <f>INDEX(PT_DIFFERENTIATION_NTAR,MATCH(B108,PT_DIFFERENTIATION_NTAR_ID,0))</f>
        <v/>
      </c>
      <c r="H108" s="1702"/>
      <c r="I108" s="1582"/>
      <c r="J108" s="1616"/>
      <c r="K108" s="1621"/>
      <c r="L108" s="1702" t="s">
        <v>566</v>
      </c>
      <c r="M108" s="252"/>
      <c r="N108" s="245"/>
      <c r="O108" s="1469"/>
      <c r="P108" s="1469"/>
    </row>
    <row r="109" spans="1:16" s="1910" customFormat="1" ht="18.75" hidden="1" customHeight="1">
      <c r="A109" s="1623"/>
      <c r="B109" s="1623"/>
      <c r="C109" s="277" t="s">
        <v>1508</v>
      </c>
      <c r="D109" s="3685"/>
      <c r="E109" s="3483"/>
      <c r="F109" s="3614"/>
      <c r="G109" s="3651"/>
      <c r="H109" s="1355"/>
      <c r="I109" s="543" t="s">
        <v>1507</v>
      </c>
      <c r="J109" s="468"/>
      <c r="K109" s="1355"/>
      <c r="L109" s="130"/>
      <c r="M109" s="252"/>
      <c r="N109" s="245"/>
      <c r="O109" s="1469"/>
      <c r="P109" s="1469"/>
    </row>
    <row r="110" spans="1:16" s="1910" customFormat="1" ht="0.75" hidden="1" customHeight="1">
      <c r="A110" s="1623"/>
      <c r="B110" s="1623"/>
      <c r="C110" s="277" t="s">
        <v>1515</v>
      </c>
      <c r="D110" s="3685"/>
      <c r="E110" s="3483"/>
      <c r="F110" s="3614"/>
      <c r="G110" s="307"/>
      <c r="H110" s="1355"/>
      <c r="I110" s="543"/>
      <c r="J110" s="468"/>
      <c r="K110" s="1355"/>
      <c r="L110" s="130"/>
      <c r="M110" s="252"/>
      <c r="N110" s="245"/>
      <c r="O110" s="1469"/>
      <c r="P110" s="1469"/>
    </row>
    <row r="111" spans="1:16" s="1910" customFormat="1" ht="18.75" hidden="1" customHeight="1">
      <c r="A111" s="1623" t="s">
        <v>490</v>
      </c>
      <c r="B111" s="1623" t="s">
        <v>491</v>
      </c>
      <c r="C111" s="277"/>
      <c r="D111" s="3685"/>
      <c r="E111" s="3483"/>
      <c r="F111" s="3614" t="str">
        <f>INDEX(PT_DIFFERENTIATION_VTAR,MATCH(A111,PT_DIFFERENTIATION_VTAR_ID,0))</f>
        <v>Тариф на техническую воду</v>
      </c>
      <c r="G111" s="3651" t="str">
        <f>INDEX(PT_DIFFERENTIATION_NTAR,MATCH(B111,PT_DIFFERENTIATION_NTAR_ID,0))</f>
        <v/>
      </c>
      <c r="H111" s="1702"/>
      <c r="I111" s="1582"/>
      <c r="J111" s="1616"/>
      <c r="K111" s="1621"/>
      <c r="L111" s="1702" t="s">
        <v>566</v>
      </c>
      <c r="M111" s="252"/>
      <c r="N111" s="245"/>
      <c r="O111" s="1469"/>
      <c r="P111" s="1469"/>
    </row>
    <row r="112" spans="1:16" s="1910" customFormat="1" ht="18.75" hidden="1" customHeight="1">
      <c r="A112" s="1623"/>
      <c r="B112" s="1623"/>
      <c r="C112" s="277" t="s">
        <v>1508</v>
      </c>
      <c r="D112" s="3685"/>
      <c r="E112" s="3483"/>
      <c r="F112" s="3614"/>
      <c r="G112" s="3651"/>
      <c r="H112" s="1355"/>
      <c r="I112" s="543" t="s">
        <v>1507</v>
      </c>
      <c r="J112" s="468"/>
      <c r="K112" s="1355"/>
      <c r="L112" s="130"/>
      <c r="M112" s="252"/>
      <c r="N112" s="245"/>
      <c r="O112" s="1469"/>
      <c r="P112" s="1469"/>
    </row>
    <row r="113" spans="1:16" s="1910" customFormat="1" ht="0.75" hidden="1" customHeight="1">
      <c r="A113" s="1623"/>
      <c r="B113" s="1623"/>
      <c r="C113" s="277" t="s">
        <v>1515</v>
      </c>
      <c r="D113" s="3685"/>
      <c r="E113" s="3483"/>
      <c r="F113" s="3614"/>
      <c r="G113" s="307"/>
      <c r="H113" s="1355"/>
      <c r="I113" s="543"/>
      <c r="J113" s="468"/>
      <c r="K113" s="1355"/>
      <c r="L113" s="130"/>
      <c r="M113" s="252"/>
      <c r="N113" s="245"/>
      <c r="O113" s="1469"/>
      <c r="P113" s="1469"/>
    </row>
    <row r="114" spans="1:16" s="1910" customFormat="1" ht="18.75" hidden="1" customHeight="1">
      <c r="A114" s="1623" t="s">
        <v>495</v>
      </c>
      <c r="B114" s="1623" t="s">
        <v>496</v>
      </c>
      <c r="C114" s="277"/>
      <c r="D114" s="3685"/>
      <c r="E114" s="3483"/>
      <c r="F114" s="3614" t="str">
        <f>INDEX(PT_DIFFERENTIATION_VTAR,MATCH(A114,PT_DIFFERENTIATION_VTAR_ID,0))</f>
        <v>Тариф на транспортировку воды</v>
      </c>
      <c r="G114" s="3651" t="str">
        <f>INDEX(PT_DIFFERENTIATION_NTAR,MATCH(B114,PT_DIFFERENTIATION_NTAR_ID,0))</f>
        <v/>
      </c>
      <c r="H114" s="1702"/>
      <c r="I114" s="1582"/>
      <c r="J114" s="1616"/>
      <c r="K114" s="1621"/>
      <c r="L114" s="1702" t="s">
        <v>566</v>
      </c>
      <c r="M114" s="252"/>
      <c r="N114" s="245"/>
      <c r="O114" s="1469"/>
      <c r="P114" s="1469"/>
    </row>
    <row r="115" spans="1:16" s="1910" customFormat="1" ht="18.75" hidden="1" customHeight="1">
      <c r="A115" s="1623"/>
      <c r="B115" s="1623"/>
      <c r="C115" s="277" t="s">
        <v>1508</v>
      </c>
      <c r="D115" s="3685"/>
      <c r="E115" s="3483"/>
      <c r="F115" s="3614"/>
      <c r="G115" s="3651"/>
      <c r="H115" s="1355"/>
      <c r="I115" s="543" t="s">
        <v>1507</v>
      </c>
      <c r="J115" s="468"/>
      <c r="K115" s="1355"/>
      <c r="L115" s="130"/>
      <c r="M115" s="252"/>
      <c r="N115" s="245"/>
      <c r="O115" s="1469"/>
      <c r="P115" s="1469"/>
    </row>
    <row r="116" spans="1:16" s="1910" customFormat="1" ht="0.75" hidden="1" customHeight="1">
      <c r="A116" s="1623"/>
      <c r="B116" s="1623"/>
      <c r="C116" s="277" t="s">
        <v>1515</v>
      </c>
      <c r="D116" s="3685"/>
      <c r="E116" s="3483"/>
      <c r="F116" s="3614"/>
      <c r="G116" s="307"/>
      <c r="H116" s="1355"/>
      <c r="I116" s="543"/>
      <c r="J116" s="468"/>
      <c r="K116" s="1355"/>
      <c r="L116" s="130"/>
      <c r="M116" s="252"/>
      <c r="N116" s="245"/>
      <c r="O116" s="1469"/>
      <c r="P116" s="1469"/>
    </row>
    <row r="117" spans="1:16" s="1910" customFormat="1" ht="18.75" hidden="1" customHeight="1">
      <c r="A117" s="1623" t="s">
        <v>500</v>
      </c>
      <c r="B117" s="1623" t="s">
        <v>501</v>
      </c>
      <c r="C117" s="277"/>
      <c r="D117" s="3685"/>
      <c r="E117" s="3483"/>
      <c r="F117" s="3614" t="str">
        <f>INDEX(PT_DIFFERENTIATION_VTAR,MATCH(A117,PT_DIFFERENTIATION_VTAR_ID,0))</f>
        <v>Тариф на подвоз воды</v>
      </c>
      <c r="G117" s="3651" t="str">
        <f>INDEX(PT_DIFFERENTIATION_NTAR,MATCH(B117,PT_DIFFERENTIATION_NTAR_ID,0))</f>
        <v/>
      </c>
      <c r="H117" s="1702"/>
      <c r="I117" s="1582"/>
      <c r="J117" s="1616"/>
      <c r="K117" s="1621"/>
      <c r="L117" s="1702" t="s">
        <v>566</v>
      </c>
      <c r="M117" s="252"/>
      <c r="N117" s="245"/>
      <c r="O117" s="1469"/>
      <c r="P117" s="1469"/>
    </row>
    <row r="118" spans="1:16" s="1910" customFormat="1" ht="18.75" hidden="1" customHeight="1">
      <c r="A118" s="1623"/>
      <c r="B118" s="1623"/>
      <c r="C118" s="277" t="s">
        <v>1508</v>
      </c>
      <c r="D118" s="3685"/>
      <c r="E118" s="3483"/>
      <c r="F118" s="3614"/>
      <c r="G118" s="3651"/>
      <c r="H118" s="1355"/>
      <c r="I118" s="543" t="s">
        <v>1507</v>
      </c>
      <c r="J118" s="468"/>
      <c r="K118" s="1355"/>
      <c r="L118" s="130"/>
      <c r="M118" s="252"/>
      <c r="N118" s="245"/>
      <c r="O118" s="1469"/>
      <c r="P118" s="1469"/>
    </row>
    <row r="119" spans="1:16" s="1910" customFormat="1" ht="0.75" hidden="1" customHeight="1">
      <c r="A119" s="1623"/>
      <c r="B119" s="1623"/>
      <c r="C119" s="277" t="s">
        <v>1515</v>
      </c>
      <c r="D119" s="3685"/>
      <c r="E119" s="3483"/>
      <c r="F119" s="3614"/>
      <c r="G119" s="307"/>
      <c r="H119" s="1355"/>
      <c r="I119" s="543"/>
      <c r="J119" s="468"/>
      <c r="K119" s="1355"/>
      <c r="L119" s="130"/>
      <c r="M119" s="252"/>
      <c r="N119" s="245"/>
      <c r="O119" s="1469"/>
      <c r="P119" s="1469"/>
    </row>
    <row r="120" spans="1:16" s="1910" customFormat="1" ht="18.75" hidden="1" customHeight="1">
      <c r="A120" s="1623" t="s">
        <v>505</v>
      </c>
      <c r="B120" s="1623" t="s">
        <v>506</v>
      </c>
      <c r="C120" s="277"/>
      <c r="D120" s="3685"/>
      <c r="E120" s="3483"/>
      <c r="F120" s="3614" t="e">
        <f>INDEX(PT_DIFFERENTIATION_VTAR,MATCH(A120,PT_DIFFERENTIATION_VTAR_ID,0))</f>
        <v>#REF!</v>
      </c>
      <c r="G120" s="3651" t="e">
        <f>INDEX(PT_DIFFERENTIATION_NTAR,MATCH(B120,PT_DIFFERENTIATION_NTAR_ID,0))</f>
        <v>#REF!</v>
      </c>
      <c r="H120" s="1702"/>
      <c r="I120" s="1582"/>
      <c r="J120" s="1616"/>
      <c r="K120" s="1621"/>
      <c r="L120" s="1702" t="s">
        <v>566</v>
      </c>
      <c r="M120" s="252"/>
      <c r="N120" s="245"/>
      <c r="O120" s="1469"/>
      <c r="P120" s="1469"/>
    </row>
    <row r="121" spans="1:16" s="1910" customFormat="1" ht="18.75" hidden="1" customHeight="1">
      <c r="A121" s="1623"/>
      <c r="B121" s="1623"/>
      <c r="C121" s="277" t="s">
        <v>1508</v>
      </c>
      <c r="D121" s="3685"/>
      <c r="E121" s="3483"/>
      <c r="F121" s="3614"/>
      <c r="G121" s="3651"/>
      <c r="H121" s="1355"/>
      <c r="I121" s="543" t="s">
        <v>1507</v>
      </c>
      <c r="J121" s="468"/>
      <c r="K121" s="1355"/>
      <c r="L121" s="130"/>
      <c r="M121" s="252"/>
      <c r="N121" s="245"/>
      <c r="O121" s="1469"/>
      <c r="P121" s="1469"/>
    </row>
    <row r="122" spans="1:16" s="1910" customFormat="1" ht="0.75" hidden="1" customHeight="1">
      <c r="A122" s="1623"/>
      <c r="B122" s="1623"/>
      <c r="C122" s="277" t="s">
        <v>1515</v>
      </c>
      <c r="D122" s="3685"/>
      <c r="E122" s="3483"/>
      <c r="F122" s="3614"/>
      <c r="G122" s="307"/>
      <c r="H122" s="1355"/>
      <c r="I122" s="543"/>
      <c r="J122" s="468"/>
      <c r="K122" s="1355"/>
      <c r="L122" s="130"/>
      <c r="M122" s="252"/>
      <c r="N122" s="245"/>
      <c r="O122" s="1469"/>
      <c r="P122" s="1469"/>
    </row>
    <row r="123" spans="1:16" s="1910" customFormat="1" ht="18.75" hidden="1" customHeight="1">
      <c r="A123" s="1623" t="s">
        <v>510</v>
      </c>
      <c r="B123" s="1623" t="s">
        <v>511</v>
      </c>
      <c r="C123" s="277"/>
      <c r="D123" s="3685"/>
      <c r="E123" s="3483"/>
      <c r="F123" s="3614" t="str">
        <f>INDEX(PT_DIFFERENTIATION_VTAR,MATCH(A123,PT_DIFFERENTIATION_VTAR_ID,0))</f>
        <v>Тариф на горячую воду (горячее водоснабжение)</v>
      </c>
      <c r="G123" s="3651" t="str">
        <f>INDEX(PT_DIFFERENTIATION_NTAR,MATCH(B123,PT_DIFFERENTIATION_NTAR_ID,0))</f>
        <v/>
      </c>
      <c r="H123" s="1702"/>
      <c r="I123" s="1582"/>
      <c r="J123" s="1616"/>
      <c r="K123" s="1621"/>
      <c r="L123" s="1702" t="s">
        <v>566</v>
      </c>
      <c r="M123" s="252"/>
      <c r="N123" s="245"/>
      <c r="O123" s="1469"/>
      <c r="P123" s="1469"/>
    </row>
    <row r="124" spans="1:16" s="1910" customFormat="1" ht="18.75" hidden="1" customHeight="1">
      <c r="A124" s="1623"/>
      <c r="B124" s="1623"/>
      <c r="C124" s="277" t="s">
        <v>1508</v>
      </c>
      <c r="D124" s="3685"/>
      <c r="E124" s="3483"/>
      <c r="F124" s="3614"/>
      <c r="G124" s="3651"/>
      <c r="H124" s="1355"/>
      <c r="I124" s="543" t="s">
        <v>1507</v>
      </c>
      <c r="J124" s="468"/>
      <c r="K124" s="1355"/>
      <c r="L124" s="130"/>
      <c r="M124" s="252"/>
      <c r="N124" s="245"/>
      <c r="O124" s="1469"/>
      <c r="P124" s="1469"/>
    </row>
    <row r="125" spans="1:16" s="1910" customFormat="1" ht="0.75" hidden="1" customHeight="1">
      <c r="A125" s="1623"/>
      <c r="B125" s="1623"/>
      <c r="C125" s="277" t="s">
        <v>1515</v>
      </c>
      <c r="D125" s="3685"/>
      <c r="E125" s="3483"/>
      <c r="F125" s="3614"/>
      <c r="G125" s="307"/>
      <c r="H125" s="1355"/>
      <c r="I125" s="543"/>
      <c r="J125" s="468"/>
      <c r="K125" s="1355"/>
      <c r="L125" s="130"/>
      <c r="M125" s="252"/>
      <c r="N125" s="245"/>
      <c r="O125" s="1469"/>
      <c r="P125" s="1469"/>
    </row>
    <row r="126" spans="1:16" s="1910" customFormat="1" ht="18.75" hidden="1" customHeight="1">
      <c r="A126" s="1623" t="s">
        <v>515</v>
      </c>
      <c r="B126" s="1623" t="s">
        <v>516</v>
      </c>
      <c r="C126" s="277"/>
      <c r="D126" s="3685"/>
      <c r="E126" s="3483"/>
      <c r="F126" s="3614" t="str">
        <f>INDEX(PT_DIFFERENTIATION_VTAR,MATCH(A126,PT_DIFFERENTIATION_VTAR_ID,0))</f>
        <v>Тариф на транспортировку горячей воды</v>
      </c>
      <c r="G126" s="3651" t="str">
        <f>INDEX(PT_DIFFERENTIATION_NTAR,MATCH(B126,PT_DIFFERENTIATION_NTAR_ID,0))</f>
        <v/>
      </c>
      <c r="H126" s="1702"/>
      <c r="I126" s="1582"/>
      <c r="J126" s="1616"/>
      <c r="K126" s="1621"/>
      <c r="L126" s="1702" t="s">
        <v>566</v>
      </c>
      <c r="M126" s="252"/>
      <c r="N126" s="245"/>
      <c r="O126" s="1469"/>
      <c r="P126" s="1469"/>
    </row>
    <row r="127" spans="1:16" s="1910" customFormat="1" ht="18.75" hidden="1" customHeight="1">
      <c r="A127" s="1623"/>
      <c r="B127" s="1623"/>
      <c r="C127" s="277" t="s">
        <v>1508</v>
      </c>
      <c r="D127" s="3685"/>
      <c r="E127" s="3483"/>
      <c r="F127" s="3614"/>
      <c r="G127" s="3651"/>
      <c r="H127" s="1355"/>
      <c r="I127" s="543" t="s">
        <v>1507</v>
      </c>
      <c r="J127" s="468"/>
      <c r="K127" s="1355"/>
      <c r="L127" s="130"/>
      <c r="M127" s="252"/>
      <c r="N127" s="245"/>
      <c r="O127" s="1469"/>
      <c r="P127" s="1469"/>
    </row>
    <row r="128" spans="1:16" s="1910" customFormat="1" ht="0.75" hidden="1" customHeight="1">
      <c r="A128" s="1623"/>
      <c r="B128" s="1623"/>
      <c r="C128" s="277" t="s">
        <v>1515</v>
      </c>
      <c r="D128" s="3685"/>
      <c r="E128" s="3483"/>
      <c r="F128" s="3614"/>
      <c r="G128" s="307"/>
      <c r="H128" s="1355"/>
      <c r="I128" s="543"/>
      <c r="J128" s="468"/>
      <c r="K128" s="1355"/>
      <c r="L128" s="130"/>
      <c r="M128" s="252"/>
      <c r="N128" s="245"/>
      <c r="O128" s="1469"/>
      <c r="P128" s="1469"/>
    </row>
    <row r="129" spans="1:16" s="1910" customFormat="1" ht="18.75" hidden="1" customHeight="1">
      <c r="A129" s="1623" t="s">
        <v>520</v>
      </c>
      <c r="B129" s="1623" t="s">
        <v>521</v>
      </c>
      <c r="C129" s="277"/>
      <c r="D129" s="3685"/>
      <c r="E129" s="3483"/>
      <c r="F129" s="3614" t="e">
        <f>INDEX(PT_DIFFERENTIATION_VTAR,MATCH(A129,PT_DIFFERENTIATION_VTAR_ID,0))</f>
        <v>#REF!</v>
      </c>
      <c r="G129" s="3651" t="e">
        <f>INDEX(PT_DIFFERENTIATION_NTAR,MATCH(B129,PT_DIFFERENTIATION_NTAR_ID,0))</f>
        <v>#REF!</v>
      </c>
      <c r="H129" s="1702"/>
      <c r="I129" s="1582"/>
      <c r="J129" s="1616"/>
      <c r="K129" s="1621"/>
      <c r="L129" s="1702" t="s">
        <v>566</v>
      </c>
      <c r="M129" s="252"/>
      <c r="N129" s="245"/>
      <c r="O129" s="1469"/>
      <c r="P129" s="1469"/>
    </row>
    <row r="130" spans="1:16" s="1910" customFormat="1" ht="18.75" hidden="1" customHeight="1">
      <c r="A130" s="1623"/>
      <c r="B130" s="1623"/>
      <c r="C130" s="277" t="s">
        <v>1508</v>
      </c>
      <c r="D130" s="3685"/>
      <c r="E130" s="3483"/>
      <c r="F130" s="3614"/>
      <c r="G130" s="3651"/>
      <c r="H130" s="1355"/>
      <c r="I130" s="543" t="s">
        <v>1507</v>
      </c>
      <c r="J130" s="468"/>
      <c r="K130" s="1355"/>
      <c r="L130" s="130"/>
      <c r="M130" s="252"/>
      <c r="N130" s="245"/>
      <c r="O130" s="1469"/>
      <c r="P130" s="1469"/>
    </row>
    <row r="131" spans="1:16" s="1910" customFormat="1" ht="0.75" hidden="1" customHeight="1">
      <c r="A131" s="1623"/>
      <c r="B131" s="1623"/>
      <c r="C131" s="277" t="s">
        <v>1515</v>
      </c>
      <c r="D131" s="3685"/>
      <c r="E131" s="3483"/>
      <c r="F131" s="3614"/>
      <c r="G131" s="307"/>
      <c r="H131" s="1355"/>
      <c r="I131" s="543"/>
      <c r="J131" s="468"/>
      <c r="K131" s="1355"/>
      <c r="L131" s="130"/>
      <c r="M131" s="252"/>
      <c r="N131" s="245"/>
      <c r="O131" s="1469"/>
      <c r="P131" s="1469"/>
    </row>
    <row r="132" spans="1:16" s="1910" customFormat="1" ht="18.75" hidden="1" customHeight="1">
      <c r="A132" s="1623" t="s">
        <v>525</v>
      </c>
      <c r="B132" s="1623" t="s">
        <v>526</v>
      </c>
      <c r="C132" s="277"/>
      <c r="D132" s="3685"/>
      <c r="E132" s="3483"/>
      <c r="F132" s="3614" t="str">
        <f>INDEX(PT_DIFFERENTIATION_VTAR,MATCH(A132,PT_DIFFERENTIATION_VTAR_ID,0))</f>
        <v>Тариф на водоотведение</v>
      </c>
      <c r="G132" s="3651" t="str">
        <f>INDEX(PT_DIFFERENTIATION_NTAR,MATCH(B132,PT_DIFFERENTIATION_NTAR_ID,0))</f>
        <v/>
      </c>
      <c r="H132" s="1702"/>
      <c r="I132" s="1582"/>
      <c r="J132" s="1616"/>
      <c r="K132" s="1621"/>
      <c r="L132" s="1702" t="s">
        <v>566</v>
      </c>
      <c r="M132" s="252"/>
      <c r="N132" s="245"/>
      <c r="O132" s="1469"/>
      <c r="P132" s="1469"/>
    </row>
    <row r="133" spans="1:16" s="1910" customFormat="1" ht="18.75" hidden="1" customHeight="1">
      <c r="A133" s="1623"/>
      <c r="B133" s="1623"/>
      <c r="C133" s="277" t="s">
        <v>1508</v>
      </c>
      <c r="D133" s="3685"/>
      <c r="E133" s="3483"/>
      <c r="F133" s="3614"/>
      <c r="G133" s="3651"/>
      <c r="H133" s="1355"/>
      <c r="I133" s="543" t="s">
        <v>1507</v>
      </c>
      <c r="J133" s="468"/>
      <c r="K133" s="1355"/>
      <c r="L133" s="130"/>
      <c r="M133" s="252"/>
      <c r="N133" s="245"/>
      <c r="O133" s="1469"/>
      <c r="P133" s="1469"/>
    </row>
    <row r="134" spans="1:16" s="1910" customFormat="1" ht="0.75" hidden="1" customHeight="1">
      <c r="A134" s="1623"/>
      <c r="B134" s="1623"/>
      <c r="C134" s="277" t="s">
        <v>1515</v>
      </c>
      <c r="D134" s="3685"/>
      <c r="E134" s="3483"/>
      <c r="F134" s="3614"/>
      <c r="G134" s="307"/>
      <c r="H134" s="1355"/>
      <c r="I134" s="543"/>
      <c r="J134" s="468"/>
      <c r="K134" s="1355"/>
      <c r="L134" s="130"/>
      <c r="M134" s="252"/>
      <c r="N134" s="245"/>
      <c r="O134" s="1469"/>
      <c r="P134" s="1469"/>
    </row>
    <row r="135" spans="1:16" s="1910" customFormat="1" ht="18.75" hidden="1" customHeight="1">
      <c r="A135" s="1623" t="s">
        <v>530</v>
      </c>
      <c r="B135" s="1623" t="s">
        <v>531</v>
      </c>
      <c r="C135" s="277"/>
      <c r="D135" s="3685"/>
      <c r="E135" s="3483"/>
      <c r="F135" s="3614" t="str">
        <f>INDEX(PT_DIFFERENTIATION_VTAR,MATCH(A135,PT_DIFFERENTIATION_VTAR_ID,0))</f>
        <v>Тариф на транспортировку сточных вод</v>
      </c>
      <c r="G135" s="3651" t="str">
        <f>INDEX(PT_DIFFERENTIATION_NTAR,MATCH(B135,PT_DIFFERENTIATION_NTAR_ID,0))</f>
        <v/>
      </c>
      <c r="H135" s="1702"/>
      <c r="I135" s="1582"/>
      <c r="J135" s="1616"/>
      <c r="K135" s="1621"/>
      <c r="L135" s="1702" t="s">
        <v>566</v>
      </c>
      <c r="M135" s="252"/>
      <c r="N135" s="245"/>
      <c r="O135" s="1469"/>
      <c r="P135" s="1469"/>
    </row>
    <row r="136" spans="1:16" s="1910" customFormat="1" ht="18.75" hidden="1" customHeight="1">
      <c r="A136" s="1623"/>
      <c r="B136" s="1623"/>
      <c r="C136" s="277" t="s">
        <v>1508</v>
      </c>
      <c r="D136" s="3685"/>
      <c r="E136" s="3483"/>
      <c r="F136" s="3614"/>
      <c r="G136" s="3651"/>
      <c r="H136" s="1355"/>
      <c r="I136" s="543" t="s">
        <v>1507</v>
      </c>
      <c r="J136" s="468"/>
      <c r="K136" s="1355"/>
      <c r="L136" s="130"/>
      <c r="M136" s="252"/>
      <c r="N136" s="245"/>
      <c r="O136" s="1469"/>
      <c r="P136" s="1469"/>
    </row>
    <row r="137" spans="1:16" s="1910" customFormat="1" ht="0.75" hidden="1" customHeight="1">
      <c r="A137" s="1623"/>
      <c r="B137" s="1623"/>
      <c r="C137" s="277" t="s">
        <v>1515</v>
      </c>
      <c r="D137" s="3685"/>
      <c r="E137" s="3483"/>
      <c r="F137" s="3614"/>
      <c r="G137" s="307"/>
      <c r="H137" s="1355"/>
      <c r="I137" s="543"/>
      <c r="J137" s="468"/>
      <c r="K137" s="1355"/>
      <c r="L137" s="130"/>
      <c r="M137" s="252"/>
      <c r="N137" s="245"/>
      <c r="O137" s="1469"/>
      <c r="P137" s="1469"/>
    </row>
    <row r="138" spans="1:16" s="1910" customFormat="1" ht="18.75" hidden="1" customHeight="1">
      <c r="A138" s="1623" t="s">
        <v>535</v>
      </c>
      <c r="B138" s="1623" t="s">
        <v>536</v>
      </c>
      <c r="C138" s="277"/>
      <c r="D138" s="3685"/>
      <c r="E138" s="3483"/>
      <c r="F138" s="3614" t="e">
        <f>INDEX(PT_DIFFERENTIATION_VTAR,MATCH(A138,PT_DIFFERENTIATION_VTAR_ID,0))</f>
        <v>#REF!</v>
      </c>
      <c r="G138" s="3651" t="e">
        <f>INDEX(PT_DIFFERENTIATION_NTAR,MATCH(B138,PT_DIFFERENTIATION_NTAR_ID,0))</f>
        <v>#REF!</v>
      </c>
      <c r="H138" s="1702"/>
      <c r="I138" s="1582"/>
      <c r="J138" s="1616"/>
      <c r="K138" s="1621"/>
      <c r="L138" s="1702" t="s">
        <v>566</v>
      </c>
      <c r="M138" s="252"/>
      <c r="N138" s="245"/>
      <c r="O138" s="1469"/>
      <c r="P138" s="1469"/>
    </row>
    <row r="139" spans="1:16" s="1910" customFormat="1" ht="18.75" hidden="1" customHeight="1">
      <c r="A139" s="1623"/>
      <c r="B139" s="1623"/>
      <c r="C139" s="277" t="s">
        <v>1508</v>
      </c>
      <c r="D139" s="3685"/>
      <c r="E139" s="3483"/>
      <c r="F139" s="3614"/>
      <c r="G139" s="3651"/>
      <c r="H139" s="1355"/>
      <c r="I139" s="543" t="s">
        <v>1507</v>
      </c>
      <c r="J139" s="468"/>
      <c r="K139" s="1355"/>
      <c r="L139" s="130"/>
      <c r="M139" s="252"/>
      <c r="N139" s="245"/>
      <c r="O139" s="1469"/>
      <c r="P139" s="1469"/>
    </row>
    <row r="140" spans="1:16" s="1910" customFormat="1" ht="0.75" customHeight="1">
      <c r="A140" s="1623"/>
      <c r="B140" s="1623"/>
      <c r="C140" s="277" t="s">
        <v>1515</v>
      </c>
      <c r="D140" s="3685"/>
      <c r="E140" s="3483"/>
      <c r="F140" s="3614"/>
      <c r="G140" s="307"/>
      <c r="H140" s="1355"/>
      <c r="I140" s="543"/>
      <c r="J140" s="468"/>
      <c r="K140" s="1355"/>
      <c r="L140" s="130"/>
      <c r="M140" s="252"/>
      <c r="N140" s="245"/>
      <c r="O140" s="1469"/>
      <c r="P140" s="1469"/>
    </row>
    <row r="141" spans="1:16" ht="18.75" customHeight="1">
      <c r="A141" s="1623"/>
      <c r="B141" s="1623"/>
      <c r="D141" s="283"/>
      <c r="E141" s="67" t="s">
        <v>88</v>
      </c>
      <c r="F141" s="367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1" s="3679"/>
      <c r="H141" s="3679"/>
      <c r="I141" s="3679"/>
      <c r="J141" s="3679"/>
      <c r="K141" s="3679"/>
      <c r="L141" s="3679"/>
      <c r="M141" s="208"/>
      <c r="N141" s="245"/>
    </row>
    <row r="142" spans="1:16" s="1910" customFormat="1" ht="60.75" hidden="1" customHeight="1">
      <c r="A142" s="1623" t="s">
        <v>417</v>
      </c>
      <c r="B142" s="1623" t="s">
        <v>418</v>
      </c>
      <c r="C142" s="277"/>
      <c r="D142" s="3685"/>
      <c r="E142" s="3483"/>
      <c r="F142" s="3614"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3651" t="str">
        <f>INDEX(PT_DIFFERENTIATION_NTAR,MATCH(B142,PT_DIFFERENTIATION_NTAR_ID,0))</f>
        <v/>
      </c>
      <c r="H142" s="1702"/>
      <c r="I142" s="1582"/>
      <c r="J142" s="1616"/>
      <c r="K142" s="1621"/>
      <c r="L142" s="1702" t="s">
        <v>566</v>
      </c>
      <c r="M142" s="34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2" s="245"/>
      <c r="O142" s="1469"/>
      <c r="P142" s="1469"/>
    </row>
    <row r="143" spans="1:16" s="1910" customFormat="1" ht="18.75" hidden="1" customHeight="1">
      <c r="A143" s="1623"/>
      <c r="B143" s="1623"/>
      <c r="C143" s="277" t="s">
        <v>1508</v>
      </c>
      <c r="D143" s="3685"/>
      <c r="E143" s="3483"/>
      <c r="F143" s="3614"/>
      <c r="G143" s="3651"/>
      <c r="H143" s="1355"/>
      <c r="I143" s="543" t="s">
        <v>1507</v>
      </c>
      <c r="J143" s="468"/>
      <c r="K143" s="1355"/>
      <c r="L143" s="130"/>
      <c r="M143" s="3446"/>
      <c r="N143" s="245"/>
      <c r="O143" s="1469"/>
      <c r="P143" s="1469"/>
    </row>
    <row r="144" spans="1:16" s="1910" customFormat="1" ht="0.75" hidden="1" customHeight="1">
      <c r="A144" s="1623"/>
      <c r="B144" s="1623"/>
      <c r="C144" s="277" t="s">
        <v>1515</v>
      </c>
      <c r="D144" s="3685"/>
      <c r="E144" s="3483"/>
      <c r="F144" s="3614"/>
      <c r="G144" s="307"/>
      <c r="H144" s="1355"/>
      <c r="I144" s="543"/>
      <c r="J144" s="468"/>
      <c r="K144" s="1355"/>
      <c r="L144" s="130"/>
      <c r="M144" s="3446"/>
      <c r="N144" s="245"/>
      <c r="O144" s="1469"/>
      <c r="P144" s="1469"/>
    </row>
    <row r="145" spans="1:16" s="1910" customFormat="1" ht="45" hidden="1" customHeight="1">
      <c r="A145" s="1623" t="s">
        <v>423</v>
      </c>
      <c r="B145" s="1623" t="s">
        <v>424</v>
      </c>
      <c r="C145" s="277"/>
      <c r="D145" s="3685"/>
      <c r="E145" s="3483"/>
      <c r="F145" s="3614"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3651" t="str">
        <f>INDEX(PT_DIFFERENTIATION_NTAR,MATCH(B145,PT_DIFFERENTIATION_NTAR_ID,0))</f>
        <v/>
      </c>
      <c r="H145" s="1702"/>
      <c r="I145" s="1582"/>
      <c r="J145" s="1616"/>
      <c r="K145" s="1621"/>
      <c r="L145" s="1702" t="s">
        <v>566</v>
      </c>
      <c r="M145" s="3447"/>
      <c r="N145" s="245"/>
      <c r="O145" s="1469"/>
      <c r="P145" s="1469"/>
    </row>
    <row r="146" spans="1:16" s="1910" customFormat="1" ht="18.75" hidden="1" customHeight="1">
      <c r="A146" s="1623"/>
      <c r="B146" s="1623"/>
      <c r="C146" s="277" t="s">
        <v>1508</v>
      </c>
      <c r="D146" s="3685"/>
      <c r="E146" s="3483"/>
      <c r="F146" s="3614"/>
      <c r="G146" s="3651"/>
      <c r="H146" s="1355"/>
      <c r="I146" s="543" t="s">
        <v>1507</v>
      </c>
      <c r="J146" s="468"/>
      <c r="K146" s="1355"/>
      <c r="L146" s="130"/>
      <c r="M146" s="1701"/>
      <c r="N146" s="245"/>
      <c r="O146" s="1469"/>
      <c r="P146" s="1469"/>
    </row>
    <row r="147" spans="1:16" s="1910" customFormat="1" ht="0.75" hidden="1" customHeight="1">
      <c r="A147" s="1623"/>
      <c r="B147" s="1623"/>
      <c r="C147" s="277" t="s">
        <v>1515</v>
      </c>
      <c r="D147" s="3685"/>
      <c r="E147" s="3483"/>
      <c r="F147" s="3614"/>
      <c r="G147" s="307"/>
      <c r="H147" s="1355"/>
      <c r="I147" s="543"/>
      <c r="J147" s="468"/>
      <c r="K147" s="1355"/>
      <c r="L147" s="130"/>
      <c r="M147" s="252"/>
      <c r="N147" s="245"/>
      <c r="O147" s="1469"/>
      <c r="P147" s="1469"/>
    </row>
    <row r="148" spans="1:16" s="1910" customFormat="1" ht="45" hidden="1" customHeight="1">
      <c r="A148" s="1623" t="s">
        <v>429</v>
      </c>
      <c r="B148" s="1623" t="s">
        <v>430</v>
      </c>
      <c r="C148" s="277"/>
      <c r="D148" s="3685"/>
      <c r="E148" s="3483"/>
      <c r="F148" s="3614"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3651" t="str">
        <f>INDEX(PT_DIFFERENTIATION_NTAR,MATCH(B148,PT_DIFFERENTIATION_NTAR_ID,0))</f>
        <v/>
      </c>
      <c r="H148" s="1702"/>
      <c r="I148" s="1582"/>
      <c r="J148" s="1616"/>
      <c r="K148" s="1621"/>
      <c r="L148" s="1702" t="s">
        <v>566</v>
      </c>
      <c r="M148" s="252"/>
      <c r="N148" s="245"/>
      <c r="O148" s="1469"/>
      <c r="P148" s="1469"/>
    </row>
    <row r="149" spans="1:16" s="1910" customFormat="1" ht="18.75" hidden="1" customHeight="1">
      <c r="A149" s="1623"/>
      <c r="B149" s="1623"/>
      <c r="C149" s="277" t="s">
        <v>1508</v>
      </c>
      <c r="D149" s="3685"/>
      <c r="E149" s="3483"/>
      <c r="F149" s="3614"/>
      <c r="G149" s="3651"/>
      <c r="H149" s="1355"/>
      <c r="I149" s="543" t="s">
        <v>1507</v>
      </c>
      <c r="J149" s="468"/>
      <c r="K149" s="1355"/>
      <c r="L149" s="130"/>
      <c r="M149" s="252"/>
      <c r="N149" s="245"/>
      <c r="O149" s="1469"/>
      <c r="P149" s="1469"/>
    </row>
    <row r="150" spans="1:16" s="1910" customFormat="1" ht="0.75" hidden="1" customHeight="1">
      <c r="A150" s="1623"/>
      <c r="B150" s="1623"/>
      <c r="C150" s="277" t="s">
        <v>1515</v>
      </c>
      <c r="D150" s="3685"/>
      <c r="E150" s="3483"/>
      <c r="F150" s="3614"/>
      <c r="G150" s="307"/>
      <c r="H150" s="1355"/>
      <c r="I150" s="543"/>
      <c r="J150" s="468"/>
      <c r="K150" s="1355"/>
      <c r="L150" s="130"/>
      <c r="M150" s="252"/>
      <c r="N150" s="245"/>
      <c r="O150" s="1469"/>
      <c r="P150" s="1469"/>
    </row>
    <row r="151" spans="1:16" s="1910" customFormat="1" ht="45" hidden="1" customHeight="1">
      <c r="A151" s="1623" t="s">
        <v>435</v>
      </c>
      <c r="B151" s="1623" t="s">
        <v>436</v>
      </c>
      <c r="C151" s="277"/>
      <c r="D151" s="3685"/>
      <c r="E151" s="3483"/>
      <c r="F151" s="3614"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3651" t="str">
        <f>INDEX(PT_DIFFERENTIATION_NTAR,MATCH(B151,PT_DIFFERENTIATION_NTAR_ID,0))</f>
        <v/>
      </c>
      <c r="H151" s="1702"/>
      <c r="I151" s="1582"/>
      <c r="J151" s="1616"/>
      <c r="K151" s="1621"/>
      <c r="L151" s="1702" t="s">
        <v>566</v>
      </c>
      <c r="M151" s="252"/>
      <c r="N151" s="245"/>
      <c r="O151" s="1469"/>
      <c r="P151" s="1469"/>
    </row>
    <row r="152" spans="1:16" s="1910" customFormat="1" ht="18.75" hidden="1" customHeight="1">
      <c r="A152" s="1623"/>
      <c r="B152" s="1623"/>
      <c r="C152" s="277" t="s">
        <v>1508</v>
      </c>
      <c r="D152" s="3685"/>
      <c r="E152" s="3483"/>
      <c r="F152" s="3614"/>
      <c r="G152" s="3651"/>
      <c r="H152" s="1355"/>
      <c r="I152" s="543" t="s">
        <v>1507</v>
      </c>
      <c r="J152" s="468"/>
      <c r="K152" s="1355"/>
      <c r="L152" s="130"/>
      <c r="M152" s="252"/>
      <c r="N152" s="245"/>
      <c r="O152" s="1469"/>
      <c r="P152" s="1469"/>
    </row>
    <row r="153" spans="1:16" s="1910" customFormat="1" ht="0.75" hidden="1" customHeight="1">
      <c r="A153" s="1623"/>
      <c r="B153" s="1623"/>
      <c r="C153" s="277" t="s">
        <v>1515</v>
      </c>
      <c r="D153" s="3685"/>
      <c r="E153" s="3483"/>
      <c r="F153" s="3614"/>
      <c r="G153" s="307"/>
      <c r="H153" s="1355"/>
      <c r="I153" s="543"/>
      <c r="J153" s="468"/>
      <c r="K153" s="1355"/>
      <c r="L153" s="130"/>
      <c r="M153" s="252"/>
      <c r="N153" s="245"/>
      <c r="O153" s="1469"/>
      <c r="P153" s="1469"/>
    </row>
    <row r="154" spans="1:16" s="1910" customFormat="1" ht="18.75" hidden="1" customHeight="1">
      <c r="A154" s="1623" t="s">
        <v>441</v>
      </c>
      <c r="B154" s="1623" t="s">
        <v>442</v>
      </c>
      <c r="C154" s="277"/>
      <c r="D154" s="3685"/>
      <c r="E154" s="3483"/>
      <c r="F154" s="3614" t="str">
        <f>INDEX(PT_DIFFERENTIATION_VTAR,MATCH(A154,PT_DIFFERENTIATION_VTAR_ID,0))</f>
        <v>Тарифы на услуги по передаче тепловой энергии</v>
      </c>
      <c r="G154" s="3651" t="str">
        <f>INDEX(PT_DIFFERENTIATION_NTAR,MATCH(B154,PT_DIFFERENTIATION_NTAR_ID,0))</f>
        <v/>
      </c>
      <c r="H154" s="1702"/>
      <c r="I154" s="1582"/>
      <c r="J154" s="1616"/>
      <c r="K154" s="1621"/>
      <c r="L154" s="1702" t="s">
        <v>566</v>
      </c>
      <c r="M154" s="252"/>
      <c r="N154" s="245"/>
      <c r="O154" s="1469"/>
      <c r="P154" s="1469"/>
    </row>
    <row r="155" spans="1:16" s="1910" customFormat="1" ht="18.75" hidden="1" customHeight="1">
      <c r="A155" s="1623"/>
      <c r="B155" s="1623"/>
      <c r="C155" s="277" t="s">
        <v>1508</v>
      </c>
      <c r="D155" s="3685"/>
      <c r="E155" s="3483"/>
      <c r="F155" s="3614"/>
      <c r="G155" s="3651"/>
      <c r="H155" s="1355"/>
      <c r="I155" s="543" t="s">
        <v>1507</v>
      </c>
      <c r="J155" s="468"/>
      <c r="K155" s="1355"/>
      <c r="L155" s="130"/>
      <c r="M155" s="252"/>
      <c r="N155" s="245"/>
      <c r="O155" s="1469"/>
      <c r="P155" s="1469"/>
    </row>
    <row r="156" spans="1:16" s="1910" customFormat="1" ht="0.75" hidden="1" customHeight="1">
      <c r="A156" s="1623"/>
      <c r="B156" s="1623"/>
      <c r="C156" s="277" t="s">
        <v>1515</v>
      </c>
      <c r="D156" s="3685"/>
      <c r="E156" s="3483"/>
      <c r="F156" s="3614"/>
      <c r="G156" s="307"/>
      <c r="H156" s="1355"/>
      <c r="I156" s="543"/>
      <c r="J156" s="468"/>
      <c r="K156" s="1355"/>
      <c r="L156" s="130"/>
      <c r="M156" s="252"/>
      <c r="N156" s="245"/>
      <c r="O156" s="1469"/>
      <c r="P156" s="1469"/>
    </row>
    <row r="157" spans="1:16" s="1910" customFormat="1" ht="18.75" hidden="1" customHeight="1">
      <c r="A157" s="1623" t="s">
        <v>447</v>
      </c>
      <c r="B157" s="1623" t="s">
        <v>448</v>
      </c>
      <c r="C157" s="277"/>
      <c r="D157" s="3685"/>
      <c r="E157" s="3483"/>
      <c r="F157" s="3614" t="str">
        <f>INDEX(PT_DIFFERENTIATION_VTAR,MATCH(A157,PT_DIFFERENTIATION_VTAR_ID,0))</f>
        <v>Тарифы на услуги по передаче теплоносителя</v>
      </c>
      <c r="G157" s="3651" t="str">
        <f>INDEX(PT_DIFFERENTIATION_NTAR,MATCH(B157,PT_DIFFERENTIATION_NTAR_ID,0))</f>
        <v/>
      </c>
      <c r="H157" s="1702"/>
      <c r="I157" s="1582"/>
      <c r="J157" s="1616"/>
      <c r="K157" s="1621"/>
      <c r="L157" s="1702" t="s">
        <v>566</v>
      </c>
      <c r="M157" s="252"/>
      <c r="N157" s="245"/>
      <c r="O157" s="1469"/>
      <c r="P157" s="1469"/>
    </row>
    <row r="158" spans="1:16" s="1910" customFormat="1" ht="18.75" hidden="1" customHeight="1">
      <c r="A158" s="1623"/>
      <c r="B158" s="1623"/>
      <c r="C158" s="277" t="s">
        <v>1508</v>
      </c>
      <c r="D158" s="3685"/>
      <c r="E158" s="3483"/>
      <c r="F158" s="3614"/>
      <c r="G158" s="3651"/>
      <c r="H158" s="1355"/>
      <c r="I158" s="543" t="s">
        <v>1507</v>
      </c>
      <c r="J158" s="468"/>
      <c r="K158" s="1355"/>
      <c r="L158" s="130"/>
      <c r="M158" s="252"/>
      <c r="N158" s="245"/>
      <c r="O158" s="1469"/>
      <c r="P158" s="1469"/>
    </row>
    <row r="159" spans="1:16" s="1910" customFormat="1" ht="0.75" hidden="1" customHeight="1">
      <c r="A159" s="1623"/>
      <c r="B159" s="1623"/>
      <c r="C159" s="277" t="s">
        <v>1515</v>
      </c>
      <c r="D159" s="3685"/>
      <c r="E159" s="3483"/>
      <c r="F159" s="3614"/>
      <c r="G159" s="307"/>
      <c r="H159" s="1355"/>
      <c r="I159" s="543"/>
      <c r="J159" s="468"/>
      <c r="K159" s="1355"/>
      <c r="L159" s="130"/>
      <c r="M159" s="252"/>
      <c r="N159" s="245"/>
      <c r="O159" s="1469"/>
      <c r="P159" s="1469"/>
    </row>
    <row r="160" spans="1:16" s="1910" customFormat="1" ht="18.75" hidden="1" customHeight="1">
      <c r="A160" s="1623" t="s">
        <v>453</v>
      </c>
      <c r="B160" s="1623" t="s">
        <v>454</v>
      </c>
      <c r="C160" s="277"/>
      <c r="D160" s="3685"/>
      <c r="E160" s="3483"/>
      <c r="F160" s="3614" t="str">
        <f>INDEX(PT_DIFFERENTIATION_VTAR,MATCH(A160,PT_DIFFERENTIATION_VTAR_ID,0))</f>
        <v>Плата за услуги по поддержанию резервной тепловой мощности при отсутствии потребления тепловой энергии</v>
      </c>
      <c r="G160" s="3651" t="str">
        <f>INDEX(PT_DIFFERENTIATION_NTAR,MATCH(B160,PT_DIFFERENTIATION_NTAR_ID,0))</f>
        <v/>
      </c>
      <c r="H160" s="1702"/>
      <c r="I160" s="1582"/>
      <c r="J160" s="1616"/>
      <c r="K160" s="1621"/>
      <c r="L160" s="1702" t="s">
        <v>566</v>
      </c>
      <c r="M160" s="252"/>
      <c r="N160" s="245"/>
      <c r="O160" s="1469"/>
      <c r="P160" s="1469"/>
    </row>
    <row r="161" spans="1:16" s="1910" customFormat="1" ht="18.75" hidden="1" customHeight="1">
      <c r="A161" s="1623"/>
      <c r="B161" s="1623"/>
      <c r="C161" s="277" t="s">
        <v>1508</v>
      </c>
      <c r="D161" s="3685"/>
      <c r="E161" s="3483"/>
      <c r="F161" s="3614"/>
      <c r="G161" s="3651"/>
      <c r="H161" s="1355"/>
      <c r="I161" s="543" t="s">
        <v>1507</v>
      </c>
      <c r="J161" s="468"/>
      <c r="K161" s="1355"/>
      <c r="L161" s="130"/>
      <c r="M161" s="252"/>
      <c r="N161" s="245"/>
      <c r="O161" s="1469"/>
      <c r="P161" s="1469"/>
    </row>
    <row r="162" spans="1:16" s="1910" customFormat="1" ht="0.75" hidden="1" customHeight="1">
      <c r="A162" s="1623"/>
      <c r="B162" s="1623"/>
      <c r="C162" s="277" t="s">
        <v>1515</v>
      </c>
      <c r="D162" s="3685"/>
      <c r="E162" s="3483"/>
      <c r="F162" s="3614"/>
      <c r="G162" s="307"/>
      <c r="H162" s="1355"/>
      <c r="I162" s="543"/>
      <c r="J162" s="468"/>
      <c r="K162" s="1355"/>
      <c r="L162" s="130"/>
      <c r="M162" s="252"/>
      <c r="N162" s="245"/>
      <c r="O162" s="1469"/>
      <c r="P162" s="1469"/>
    </row>
    <row r="163" spans="1:16" s="1910" customFormat="1" ht="18.75" hidden="1" customHeight="1">
      <c r="A163" s="1623" t="s">
        <v>459</v>
      </c>
      <c r="B163" s="1623" t="s">
        <v>460</v>
      </c>
      <c r="C163" s="277"/>
      <c r="D163" s="3685"/>
      <c r="E163" s="3483"/>
      <c r="F163" s="3614" t="str">
        <f>INDEX(PT_DIFFERENTIATION_VTAR,MATCH(A163,PT_DIFFERENTIATION_VTAR_ID,0))</f>
        <v>Плата за подключение (технологическое присоединение) к системе теплоснабжения</v>
      </c>
      <c r="G163" s="3651" t="str">
        <f>INDEX(PT_DIFFERENTIATION_NTAR,MATCH(B163,PT_DIFFERENTIATION_NTAR_ID,0))</f>
        <v/>
      </c>
      <c r="H163" s="1702"/>
      <c r="I163" s="1582"/>
      <c r="J163" s="1616"/>
      <c r="K163" s="1621"/>
      <c r="L163" s="1702" t="s">
        <v>566</v>
      </c>
      <c r="M163" s="252"/>
      <c r="N163" s="245"/>
      <c r="O163" s="1469"/>
      <c r="P163" s="1469"/>
    </row>
    <row r="164" spans="1:16" s="1910" customFormat="1" ht="18.75" hidden="1" customHeight="1">
      <c r="A164" s="1623"/>
      <c r="B164" s="1623"/>
      <c r="C164" s="277" t="s">
        <v>1508</v>
      </c>
      <c r="D164" s="3685"/>
      <c r="E164" s="3483"/>
      <c r="F164" s="3614"/>
      <c r="G164" s="3651"/>
      <c r="H164" s="1355"/>
      <c r="I164" s="543" t="s">
        <v>1507</v>
      </c>
      <c r="J164" s="468"/>
      <c r="K164" s="1355"/>
      <c r="L164" s="130"/>
      <c r="M164" s="252"/>
      <c r="N164" s="245"/>
      <c r="O164" s="1469"/>
      <c r="P164" s="1469"/>
    </row>
    <row r="165" spans="1:16" s="1910" customFormat="1" ht="0.75" hidden="1" customHeight="1">
      <c r="A165" s="1623"/>
      <c r="B165" s="1623"/>
      <c r="C165" s="277" t="s">
        <v>1515</v>
      </c>
      <c r="D165" s="3685"/>
      <c r="E165" s="3483"/>
      <c r="F165" s="3614"/>
      <c r="G165" s="307"/>
      <c r="H165" s="1355"/>
      <c r="I165" s="543"/>
      <c r="J165" s="468"/>
      <c r="K165" s="1355"/>
      <c r="L165" s="130"/>
      <c r="M165" s="252"/>
      <c r="N165" s="245"/>
      <c r="O165" s="1469"/>
      <c r="P165" s="1469"/>
    </row>
    <row r="166" spans="1:16" s="1910" customFormat="1" ht="18.75" hidden="1" customHeight="1">
      <c r="A166" s="1623" t="s">
        <v>485</v>
      </c>
      <c r="B166" s="1623" t="s">
        <v>486</v>
      </c>
      <c r="C166" s="277"/>
      <c r="D166" s="3685"/>
      <c r="E166" s="3483"/>
      <c r="F166" s="3614" t="str">
        <f>INDEX(PT_DIFFERENTIATION_VTAR,MATCH(A166,PT_DIFFERENTIATION_VTAR_ID,0))</f>
        <v>Тариф на питьевую воду (питьевое водоснабжение)</v>
      </c>
      <c r="G166" s="3651" t="str">
        <f>INDEX(PT_DIFFERENTIATION_NTAR,MATCH(B166,PT_DIFFERENTIATION_NTAR_ID,0))</f>
        <v/>
      </c>
      <c r="H166" s="1702"/>
      <c r="I166" s="1582"/>
      <c r="J166" s="1616"/>
      <c r="K166" s="1621"/>
      <c r="L166" s="1702" t="s">
        <v>566</v>
      </c>
      <c r="M166" s="252"/>
      <c r="N166" s="245"/>
      <c r="O166" s="1469"/>
      <c r="P166" s="1469"/>
    </row>
    <row r="167" spans="1:16" s="1910" customFormat="1" ht="18.75" hidden="1" customHeight="1">
      <c r="A167" s="1623"/>
      <c r="B167" s="1623"/>
      <c r="C167" s="277" t="s">
        <v>1508</v>
      </c>
      <c r="D167" s="3685"/>
      <c r="E167" s="3483"/>
      <c r="F167" s="3614"/>
      <c r="G167" s="3651"/>
      <c r="H167" s="1355"/>
      <c r="I167" s="543" t="s">
        <v>1507</v>
      </c>
      <c r="J167" s="468"/>
      <c r="K167" s="1355"/>
      <c r="L167" s="130"/>
      <c r="M167" s="252"/>
      <c r="N167" s="245"/>
      <c r="O167" s="1469"/>
      <c r="P167" s="1469"/>
    </row>
    <row r="168" spans="1:16" s="1910" customFormat="1" ht="0.75" hidden="1" customHeight="1">
      <c r="A168" s="1623"/>
      <c r="B168" s="1623"/>
      <c r="C168" s="277" t="s">
        <v>1515</v>
      </c>
      <c r="D168" s="3685"/>
      <c r="E168" s="3483"/>
      <c r="F168" s="3614"/>
      <c r="G168" s="307"/>
      <c r="H168" s="1355"/>
      <c r="I168" s="543"/>
      <c r="J168" s="468"/>
      <c r="K168" s="1355"/>
      <c r="L168" s="130"/>
      <c r="M168" s="252"/>
      <c r="N168" s="245"/>
      <c r="O168" s="1469"/>
      <c r="P168" s="1469"/>
    </row>
    <row r="169" spans="1:16" s="1910" customFormat="1" ht="18.75" hidden="1" customHeight="1">
      <c r="A169" s="1623" t="s">
        <v>490</v>
      </c>
      <c r="B169" s="1623" t="s">
        <v>491</v>
      </c>
      <c r="C169" s="277"/>
      <c r="D169" s="3685"/>
      <c r="E169" s="3483"/>
      <c r="F169" s="3614" t="str">
        <f>INDEX(PT_DIFFERENTIATION_VTAR,MATCH(A169,PT_DIFFERENTIATION_VTAR_ID,0))</f>
        <v>Тариф на техническую воду</v>
      </c>
      <c r="G169" s="3651" t="str">
        <f>INDEX(PT_DIFFERENTIATION_NTAR,MATCH(B169,PT_DIFFERENTIATION_NTAR_ID,0))</f>
        <v/>
      </c>
      <c r="H169" s="1702"/>
      <c r="I169" s="1582"/>
      <c r="J169" s="1616"/>
      <c r="K169" s="1621"/>
      <c r="L169" s="1702" t="s">
        <v>566</v>
      </c>
      <c r="M169" s="252"/>
      <c r="N169" s="245"/>
      <c r="O169" s="1469"/>
      <c r="P169" s="1469"/>
    </row>
    <row r="170" spans="1:16" s="1910" customFormat="1" ht="18.75" hidden="1" customHeight="1">
      <c r="A170" s="1623"/>
      <c r="B170" s="1623"/>
      <c r="C170" s="277" t="s">
        <v>1508</v>
      </c>
      <c r="D170" s="3685"/>
      <c r="E170" s="3483"/>
      <c r="F170" s="3614"/>
      <c r="G170" s="3651"/>
      <c r="H170" s="1355"/>
      <c r="I170" s="543" t="s">
        <v>1507</v>
      </c>
      <c r="J170" s="468"/>
      <c r="K170" s="1355"/>
      <c r="L170" s="130"/>
      <c r="M170" s="252"/>
      <c r="N170" s="245"/>
      <c r="O170" s="1469"/>
      <c r="P170" s="1469"/>
    </row>
    <row r="171" spans="1:16" s="1910" customFormat="1" ht="0.75" hidden="1" customHeight="1">
      <c r="A171" s="1623"/>
      <c r="B171" s="1623"/>
      <c r="C171" s="277" t="s">
        <v>1515</v>
      </c>
      <c r="D171" s="3685"/>
      <c r="E171" s="3483"/>
      <c r="F171" s="3614"/>
      <c r="G171" s="307"/>
      <c r="H171" s="1355"/>
      <c r="I171" s="543"/>
      <c r="J171" s="468"/>
      <c r="K171" s="1355"/>
      <c r="L171" s="130"/>
      <c r="M171" s="252"/>
      <c r="N171" s="245"/>
      <c r="O171" s="1469"/>
      <c r="P171" s="1469"/>
    </row>
    <row r="172" spans="1:16" s="1910" customFormat="1" ht="18.75" hidden="1" customHeight="1">
      <c r="A172" s="1623" t="s">
        <v>495</v>
      </c>
      <c r="B172" s="1623" t="s">
        <v>496</v>
      </c>
      <c r="C172" s="277"/>
      <c r="D172" s="3685"/>
      <c r="E172" s="3483"/>
      <c r="F172" s="3614" t="str">
        <f>INDEX(PT_DIFFERENTIATION_VTAR,MATCH(A172,PT_DIFFERENTIATION_VTAR_ID,0))</f>
        <v>Тариф на транспортировку воды</v>
      </c>
      <c r="G172" s="3651" t="str">
        <f>INDEX(PT_DIFFERENTIATION_NTAR,MATCH(B172,PT_DIFFERENTIATION_NTAR_ID,0))</f>
        <v/>
      </c>
      <c r="H172" s="1702"/>
      <c r="I172" s="1582"/>
      <c r="J172" s="1616"/>
      <c r="K172" s="1621"/>
      <c r="L172" s="1702" t="s">
        <v>566</v>
      </c>
      <c r="M172" s="252"/>
      <c r="N172" s="245"/>
      <c r="O172" s="1469"/>
      <c r="P172" s="1469"/>
    </row>
    <row r="173" spans="1:16" s="1910" customFormat="1" ht="18.75" hidden="1" customHeight="1">
      <c r="A173" s="1623"/>
      <c r="B173" s="1623"/>
      <c r="C173" s="277" t="s">
        <v>1508</v>
      </c>
      <c r="D173" s="3685"/>
      <c r="E173" s="3483"/>
      <c r="F173" s="3614"/>
      <c r="G173" s="3651"/>
      <c r="H173" s="1355"/>
      <c r="I173" s="543" t="s">
        <v>1507</v>
      </c>
      <c r="J173" s="468"/>
      <c r="K173" s="1355"/>
      <c r="L173" s="130"/>
      <c r="M173" s="252"/>
      <c r="N173" s="245"/>
      <c r="O173" s="1469"/>
      <c r="P173" s="1469"/>
    </row>
    <row r="174" spans="1:16" s="1910" customFormat="1" ht="0.75" hidden="1" customHeight="1">
      <c r="A174" s="1623"/>
      <c r="B174" s="1623"/>
      <c r="C174" s="277" t="s">
        <v>1515</v>
      </c>
      <c r="D174" s="3685"/>
      <c r="E174" s="3483"/>
      <c r="F174" s="3614"/>
      <c r="G174" s="307"/>
      <c r="H174" s="1355"/>
      <c r="I174" s="543"/>
      <c r="J174" s="468"/>
      <c r="K174" s="1355"/>
      <c r="L174" s="130"/>
      <c r="M174" s="252"/>
      <c r="N174" s="245"/>
      <c r="O174" s="1469"/>
      <c r="P174" s="1469"/>
    </row>
    <row r="175" spans="1:16" s="1910" customFormat="1" ht="18.75" hidden="1" customHeight="1">
      <c r="A175" s="1623" t="s">
        <v>500</v>
      </c>
      <c r="B175" s="1623" t="s">
        <v>501</v>
      </c>
      <c r="C175" s="277"/>
      <c r="D175" s="3685"/>
      <c r="E175" s="3483"/>
      <c r="F175" s="3614" t="str">
        <f>INDEX(PT_DIFFERENTIATION_VTAR,MATCH(A175,PT_DIFFERENTIATION_VTAR_ID,0))</f>
        <v>Тариф на подвоз воды</v>
      </c>
      <c r="G175" s="3651" t="str">
        <f>INDEX(PT_DIFFERENTIATION_NTAR,MATCH(B175,PT_DIFFERENTIATION_NTAR_ID,0))</f>
        <v/>
      </c>
      <c r="H175" s="1702"/>
      <c r="I175" s="1582"/>
      <c r="J175" s="1616"/>
      <c r="K175" s="1621"/>
      <c r="L175" s="1702" t="s">
        <v>566</v>
      </c>
      <c r="M175" s="252"/>
      <c r="N175" s="245"/>
      <c r="O175" s="1469"/>
      <c r="P175" s="1469"/>
    </row>
    <row r="176" spans="1:16" s="1910" customFormat="1" ht="18.75" hidden="1" customHeight="1">
      <c r="A176" s="1623"/>
      <c r="B176" s="1623"/>
      <c r="C176" s="277" t="s">
        <v>1508</v>
      </c>
      <c r="D176" s="3685"/>
      <c r="E176" s="3483"/>
      <c r="F176" s="3614"/>
      <c r="G176" s="3651"/>
      <c r="H176" s="1355"/>
      <c r="I176" s="543" t="s">
        <v>1507</v>
      </c>
      <c r="J176" s="468"/>
      <c r="K176" s="1355"/>
      <c r="L176" s="130"/>
      <c r="M176" s="252"/>
      <c r="N176" s="245"/>
      <c r="O176" s="1469"/>
      <c r="P176" s="1469"/>
    </row>
    <row r="177" spans="1:16" s="1910" customFormat="1" ht="0.75" hidden="1" customHeight="1">
      <c r="A177" s="1623"/>
      <c r="B177" s="1623"/>
      <c r="C177" s="277" t="s">
        <v>1515</v>
      </c>
      <c r="D177" s="3685"/>
      <c r="E177" s="3483"/>
      <c r="F177" s="3614"/>
      <c r="G177" s="307"/>
      <c r="H177" s="1355"/>
      <c r="I177" s="543"/>
      <c r="J177" s="468"/>
      <c r="K177" s="1355"/>
      <c r="L177" s="130"/>
      <c r="M177" s="252"/>
      <c r="N177" s="245"/>
      <c r="O177" s="1469"/>
      <c r="P177" s="1469"/>
    </row>
    <row r="178" spans="1:16" s="1910" customFormat="1" ht="18.75" hidden="1" customHeight="1">
      <c r="A178" s="1623" t="s">
        <v>505</v>
      </c>
      <c r="B178" s="1623" t="s">
        <v>506</v>
      </c>
      <c r="C178" s="277"/>
      <c r="D178" s="3685"/>
      <c r="E178" s="3483"/>
      <c r="F178" s="3614" t="e">
        <f>INDEX(PT_DIFFERENTIATION_VTAR,MATCH(A178,PT_DIFFERENTIATION_VTAR_ID,0))</f>
        <v>#REF!</v>
      </c>
      <c r="G178" s="3651" t="e">
        <f>INDEX(PT_DIFFERENTIATION_NTAR,MATCH(B178,PT_DIFFERENTIATION_NTAR_ID,0))</f>
        <v>#REF!</v>
      </c>
      <c r="H178" s="1702"/>
      <c r="I178" s="1582"/>
      <c r="J178" s="1616"/>
      <c r="K178" s="1621"/>
      <c r="L178" s="1702" t="s">
        <v>566</v>
      </c>
      <c r="M178" s="252"/>
      <c r="N178" s="245"/>
      <c r="O178" s="1469"/>
      <c r="P178" s="1469"/>
    </row>
    <row r="179" spans="1:16" s="1910" customFormat="1" ht="18.75" hidden="1" customHeight="1">
      <c r="A179" s="1623"/>
      <c r="B179" s="1623"/>
      <c r="C179" s="277" t="s">
        <v>1508</v>
      </c>
      <c r="D179" s="3685"/>
      <c r="E179" s="3483"/>
      <c r="F179" s="3614"/>
      <c r="G179" s="3651"/>
      <c r="H179" s="1355"/>
      <c r="I179" s="543" t="s">
        <v>1507</v>
      </c>
      <c r="J179" s="468"/>
      <c r="K179" s="1355"/>
      <c r="L179" s="130"/>
      <c r="M179" s="252"/>
      <c r="N179" s="245"/>
      <c r="O179" s="1469"/>
      <c r="P179" s="1469"/>
    </row>
    <row r="180" spans="1:16" s="1910" customFormat="1" ht="0.75" hidden="1" customHeight="1">
      <c r="A180" s="1623"/>
      <c r="B180" s="1623"/>
      <c r="C180" s="277" t="s">
        <v>1515</v>
      </c>
      <c r="D180" s="3685"/>
      <c r="E180" s="3483"/>
      <c r="F180" s="3614"/>
      <c r="G180" s="307"/>
      <c r="H180" s="1355"/>
      <c r="I180" s="543"/>
      <c r="J180" s="468"/>
      <c r="K180" s="1355"/>
      <c r="L180" s="130"/>
      <c r="M180" s="252"/>
      <c r="N180" s="245"/>
      <c r="O180" s="1469"/>
      <c r="P180" s="1469"/>
    </row>
    <row r="181" spans="1:16" s="1910" customFormat="1" ht="18.75" hidden="1" customHeight="1">
      <c r="A181" s="1623" t="s">
        <v>510</v>
      </c>
      <c r="B181" s="1623" t="s">
        <v>511</v>
      </c>
      <c r="C181" s="277"/>
      <c r="D181" s="3685"/>
      <c r="E181" s="3483"/>
      <c r="F181" s="3614" t="str">
        <f>INDEX(PT_DIFFERENTIATION_VTAR,MATCH(A181,PT_DIFFERENTIATION_VTAR_ID,0))</f>
        <v>Тариф на горячую воду (горячее водоснабжение)</v>
      </c>
      <c r="G181" s="3651" t="str">
        <f>INDEX(PT_DIFFERENTIATION_NTAR,MATCH(B181,PT_DIFFERENTIATION_NTAR_ID,0))</f>
        <v/>
      </c>
      <c r="H181" s="1702"/>
      <c r="I181" s="1582"/>
      <c r="J181" s="1616"/>
      <c r="K181" s="1621"/>
      <c r="L181" s="1702" t="s">
        <v>566</v>
      </c>
      <c r="M181" s="252"/>
      <c r="N181" s="245"/>
      <c r="O181" s="1469"/>
      <c r="P181" s="1469"/>
    </row>
    <row r="182" spans="1:16" s="1910" customFormat="1" ht="18.75" hidden="1" customHeight="1">
      <c r="A182" s="1623"/>
      <c r="B182" s="1623"/>
      <c r="C182" s="277" t="s">
        <v>1508</v>
      </c>
      <c r="D182" s="3685"/>
      <c r="E182" s="3483"/>
      <c r="F182" s="3614"/>
      <c r="G182" s="3651"/>
      <c r="H182" s="1355"/>
      <c r="I182" s="543" t="s">
        <v>1507</v>
      </c>
      <c r="J182" s="468"/>
      <c r="K182" s="1355"/>
      <c r="L182" s="130"/>
      <c r="M182" s="252"/>
      <c r="N182" s="245"/>
      <c r="O182" s="1469"/>
      <c r="P182" s="1469"/>
    </row>
    <row r="183" spans="1:16" s="1910" customFormat="1" ht="0.75" hidden="1" customHeight="1">
      <c r="A183" s="1623"/>
      <c r="B183" s="1623"/>
      <c r="C183" s="277" t="s">
        <v>1515</v>
      </c>
      <c r="D183" s="3685"/>
      <c r="E183" s="3483"/>
      <c r="F183" s="3614"/>
      <c r="G183" s="307"/>
      <c r="H183" s="1355"/>
      <c r="I183" s="543"/>
      <c r="J183" s="468"/>
      <c r="K183" s="1355"/>
      <c r="L183" s="130"/>
      <c r="M183" s="252"/>
      <c r="N183" s="245"/>
      <c r="O183" s="1469"/>
      <c r="P183" s="1469"/>
    </row>
    <row r="184" spans="1:16" s="1910" customFormat="1" ht="18.75" hidden="1" customHeight="1">
      <c r="A184" s="1623" t="s">
        <v>515</v>
      </c>
      <c r="B184" s="1623" t="s">
        <v>516</v>
      </c>
      <c r="C184" s="277"/>
      <c r="D184" s="3685"/>
      <c r="E184" s="3483"/>
      <c r="F184" s="3614" t="str">
        <f>INDEX(PT_DIFFERENTIATION_VTAR,MATCH(A184,PT_DIFFERENTIATION_VTAR_ID,0))</f>
        <v>Тариф на транспортировку горячей воды</v>
      </c>
      <c r="G184" s="3651" t="str">
        <f>INDEX(PT_DIFFERENTIATION_NTAR,MATCH(B184,PT_DIFFERENTIATION_NTAR_ID,0))</f>
        <v/>
      </c>
      <c r="H184" s="1702"/>
      <c r="I184" s="1582"/>
      <c r="J184" s="1616"/>
      <c r="K184" s="1621"/>
      <c r="L184" s="1702" t="s">
        <v>566</v>
      </c>
      <c r="M184" s="252"/>
      <c r="N184" s="245"/>
      <c r="O184" s="1469"/>
      <c r="P184" s="1469"/>
    </row>
    <row r="185" spans="1:16" s="1910" customFormat="1" ht="18.75" hidden="1" customHeight="1">
      <c r="A185" s="1623"/>
      <c r="B185" s="1623"/>
      <c r="C185" s="277" t="s">
        <v>1508</v>
      </c>
      <c r="D185" s="3685"/>
      <c r="E185" s="3483"/>
      <c r="F185" s="3614"/>
      <c r="G185" s="3651"/>
      <c r="H185" s="1355"/>
      <c r="I185" s="543" t="s">
        <v>1507</v>
      </c>
      <c r="J185" s="468"/>
      <c r="K185" s="1355"/>
      <c r="L185" s="130"/>
      <c r="M185" s="252"/>
      <c r="N185" s="245"/>
      <c r="O185" s="1469"/>
      <c r="P185" s="1469"/>
    </row>
    <row r="186" spans="1:16" s="1910" customFormat="1" ht="0.75" hidden="1" customHeight="1">
      <c r="A186" s="1623"/>
      <c r="B186" s="1623"/>
      <c r="C186" s="277" t="s">
        <v>1515</v>
      </c>
      <c r="D186" s="3685"/>
      <c r="E186" s="3483"/>
      <c r="F186" s="3614"/>
      <c r="G186" s="307"/>
      <c r="H186" s="1355"/>
      <c r="I186" s="543"/>
      <c r="J186" s="468"/>
      <c r="K186" s="1355"/>
      <c r="L186" s="130"/>
      <c r="M186" s="252"/>
      <c r="N186" s="245"/>
      <c r="O186" s="1469"/>
      <c r="P186" s="1469"/>
    </row>
    <row r="187" spans="1:16" s="1910" customFormat="1" ht="18.75" hidden="1" customHeight="1">
      <c r="A187" s="1623" t="s">
        <v>520</v>
      </c>
      <c r="B187" s="1623" t="s">
        <v>521</v>
      </c>
      <c r="C187" s="277"/>
      <c r="D187" s="3685"/>
      <c r="E187" s="3483"/>
      <c r="F187" s="3614" t="e">
        <f>INDEX(PT_DIFFERENTIATION_VTAR,MATCH(A187,PT_DIFFERENTIATION_VTAR_ID,0))</f>
        <v>#REF!</v>
      </c>
      <c r="G187" s="3651" t="e">
        <f>INDEX(PT_DIFFERENTIATION_NTAR,MATCH(B187,PT_DIFFERENTIATION_NTAR_ID,0))</f>
        <v>#REF!</v>
      </c>
      <c r="H187" s="1702"/>
      <c r="I187" s="1582"/>
      <c r="J187" s="1616"/>
      <c r="K187" s="1621"/>
      <c r="L187" s="1702" t="s">
        <v>566</v>
      </c>
      <c r="M187" s="252"/>
      <c r="N187" s="245"/>
      <c r="O187" s="1469"/>
      <c r="P187" s="1469"/>
    </row>
    <row r="188" spans="1:16" s="1910" customFormat="1" ht="18.75" hidden="1" customHeight="1">
      <c r="A188" s="1623"/>
      <c r="B188" s="1623"/>
      <c r="C188" s="277" t="s">
        <v>1508</v>
      </c>
      <c r="D188" s="3685"/>
      <c r="E188" s="3483"/>
      <c r="F188" s="3614"/>
      <c r="G188" s="3651"/>
      <c r="H188" s="1355"/>
      <c r="I188" s="543" t="s">
        <v>1507</v>
      </c>
      <c r="J188" s="468"/>
      <c r="K188" s="1355"/>
      <c r="L188" s="130"/>
      <c r="M188" s="252"/>
      <c r="N188" s="245"/>
      <c r="O188" s="1469"/>
      <c r="P188" s="1469"/>
    </row>
    <row r="189" spans="1:16" s="1910" customFormat="1" ht="0.75" hidden="1" customHeight="1">
      <c r="A189" s="1623"/>
      <c r="B189" s="1623"/>
      <c r="C189" s="277" t="s">
        <v>1515</v>
      </c>
      <c r="D189" s="3685"/>
      <c r="E189" s="3483"/>
      <c r="F189" s="3614"/>
      <c r="G189" s="307"/>
      <c r="H189" s="1355"/>
      <c r="I189" s="543"/>
      <c r="J189" s="468"/>
      <c r="K189" s="1355"/>
      <c r="L189" s="130"/>
      <c r="M189" s="252"/>
      <c r="N189" s="245"/>
      <c r="O189" s="1469"/>
      <c r="P189" s="1469"/>
    </row>
    <row r="190" spans="1:16" s="1910" customFormat="1" ht="18.75" hidden="1" customHeight="1">
      <c r="A190" s="1623" t="s">
        <v>525</v>
      </c>
      <c r="B190" s="1623" t="s">
        <v>526</v>
      </c>
      <c r="C190" s="277"/>
      <c r="D190" s="3685"/>
      <c r="E190" s="3483"/>
      <c r="F190" s="3614" t="str">
        <f>INDEX(PT_DIFFERENTIATION_VTAR,MATCH(A190,PT_DIFFERENTIATION_VTAR_ID,0))</f>
        <v>Тариф на водоотведение</v>
      </c>
      <c r="G190" s="3651" t="str">
        <f>INDEX(PT_DIFFERENTIATION_NTAR,MATCH(B190,PT_DIFFERENTIATION_NTAR_ID,0))</f>
        <v/>
      </c>
      <c r="H190" s="1702"/>
      <c r="I190" s="1582"/>
      <c r="J190" s="1616"/>
      <c r="K190" s="1621"/>
      <c r="L190" s="1702" t="s">
        <v>566</v>
      </c>
      <c r="M190" s="252"/>
      <c r="N190" s="245"/>
      <c r="O190" s="1469"/>
      <c r="P190" s="1469"/>
    </row>
    <row r="191" spans="1:16" s="1910" customFormat="1" ht="18.75" hidden="1" customHeight="1">
      <c r="A191" s="1623"/>
      <c r="B191" s="1623"/>
      <c r="C191" s="277" t="s">
        <v>1508</v>
      </c>
      <c r="D191" s="3685"/>
      <c r="E191" s="3483"/>
      <c r="F191" s="3614"/>
      <c r="G191" s="3651"/>
      <c r="H191" s="1355"/>
      <c r="I191" s="543" t="s">
        <v>1507</v>
      </c>
      <c r="J191" s="468"/>
      <c r="K191" s="1355"/>
      <c r="L191" s="130"/>
      <c r="M191" s="252"/>
      <c r="N191" s="245"/>
      <c r="O191" s="1469"/>
      <c r="P191" s="1469"/>
    </row>
    <row r="192" spans="1:16" s="1910" customFormat="1" ht="0.75" hidden="1" customHeight="1">
      <c r="A192" s="1623"/>
      <c r="B192" s="1623"/>
      <c r="C192" s="277" t="s">
        <v>1515</v>
      </c>
      <c r="D192" s="3685"/>
      <c r="E192" s="3483"/>
      <c r="F192" s="3614"/>
      <c r="G192" s="307"/>
      <c r="H192" s="1355"/>
      <c r="I192" s="543"/>
      <c r="J192" s="468"/>
      <c r="K192" s="1355"/>
      <c r="L192" s="130"/>
      <c r="M192" s="252"/>
      <c r="N192" s="245"/>
      <c r="O192" s="1469"/>
      <c r="P192" s="1469"/>
    </row>
    <row r="193" spans="1:16" s="1910" customFormat="1" ht="18.75" hidden="1" customHeight="1">
      <c r="A193" s="1623" t="s">
        <v>530</v>
      </c>
      <c r="B193" s="1623" t="s">
        <v>531</v>
      </c>
      <c r="C193" s="277"/>
      <c r="D193" s="3685"/>
      <c r="E193" s="3483"/>
      <c r="F193" s="3614" t="str">
        <f>INDEX(PT_DIFFERENTIATION_VTAR,MATCH(A193,PT_DIFFERENTIATION_VTAR_ID,0))</f>
        <v>Тариф на транспортировку сточных вод</v>
      </c>
      <c r="G193" s="3651" t="str">
        <f>INDEX(PT_DIFFERENTIATION_NTAR,MATCH(B193,PT_DIFFERENTIATION_NTAR_ID,0))</f>
        <v/>
      </c>
      <c r="H193" s="1702"/>
      <c r="I193" s="1582"/>
      <c r="J193" s="1616"/>
      <c r="K193" s="1621"/>
      <c r="L193" s="1702" t="s">
        <v>566</v>
      </c>
      <c r="M193" s="252"/>
      <c r="N193" s="245"/>
      <c r="O193" s="1469"/>
      <c r="P193" s="1469"/>
    </row>
    <row r="194" spans="1:16" s="1910" customFormat="1" ht="18.75" hidden="1" customHeight="1">
      <c r="A194" s="1623"/>
      <c r="B194" s="1623"/>
      <c r="C194" s="277" t="s">
        <v>1508</v>
      </c>
      <c r="D194" s="3685"/>
      <c r="E194" s="3483"/>
      <c r="F194" s="3614"/>
      <c r="G194" s="3651"/>
      <c r="H194" s="1355"/>
      <c r="I194" s="543" t="s">
        <v>1507</v>
      </c>
      <c r="J194" s="468"/>
      <c r="K194" s="1355"/>
      <c r="L194" s="130"/>
      <c r="M194" s="252"/>
      <c r="N194" s="245"/>
      <c r="O194" s="1469"/>
      <c r="P194" s="1469"/>
    </row>
    <row r="195" spans="1:16" s="1910" customFormat="1" ht="0.75" hidden="1" customHeight="1">
      <c r="A195" s="1623"/>
      <c r="B195" s="1623"/>
      <c r="C195" s="277" t="s">
        <v>1515</v>
      </c>
      <c r="D195" s="3685"/>
      <c r="E195" s="3483"/>
      <c r="F195" s="3614"/>
      <c r="G195" s="307"/>
      <c r="H195" s="1355"/>
      <c r="I195" s="543"/>
      <c r="J195" s="468"/>
      <c r="K195" s="1355"/>
      <c r="L195" s="130"/>
      <c r="M195" s="252"/>
      <c r="N195" s="245"/>
      <c r="O195" s="1469"/>
      <c r="P195" s="1469"/>
    </row>
    <row r="196" spans="1:16" s="1910" customFormat="1" ht="18.75" hidden="1" customHeight="1">
      <c r="A196" s="1623" t="s">
        <v>535</v>
      </c>
      <c r="B196" s="1623" t="s">
        <v>536</v>
      </c>
      <c r="C196" s="277"/>
      <c r="D196" s="3685"/>
      <c r="E196" s="3483"/>
      <c r="F196" s="3614" t="e">
        <f>INDEX(PT_DIFFERENTIATION_VTAR,MATCH(A196,PT_DIFFERENTIATION_VTAR_ID,0))</f>
        <v>#REF!</v>
      </c>
      <c r="G196" s="3651" t="e">
        <f>INDEX(PT_DIFFERENTIATION_NTAR,MATCH(B196,PT_DIFFERENTIATION_NTAR_ID,0))</f>
        <v>#REF!</v>
      </c>
      <c r="H196" s="1702"/>
      <c r="I196" s="1582"/>
      <c r="J196" s="1616"/>
      <c r="K196" s="1621"/>
      <c r="L196" s="1702" t="s">
        <v>566</v>
      </c>
      <c r="M196" s="252"/>
      <c r="N196" s="245"/>
      <c r="O196" s="1469"/>
      <c r="P196" s="1469"/>
    </row>
    <row r="197" spans="1:16" s="1910" customFormat="1" ht="18.75" hidden="1" customHeight="1">
      <c r="A197" s="1623"/>
      <c r="B197" s="1623"/>
      <c r="C197" s="277" t="s">
        <v>1508</v>
      </c>
      <c r="D197" s="3685"/>
      <c r="E197" s="3483"/>
      <c r="F197" s="3614"/>
      <c r="G197" s="3651"/>
      <c r="H197" s="1355"/>
      <c r="I197" s="543" t="s">
        <v>1507</v>
      </c>
      <c r="J197" s="468"/>
      <c r="K197" s="1355"/>
      <c r="L197" s="130"/>
      <c r="M197" s="252"/>
      <c r="N197" s="245"/>
      <c r="O197" s="1469"/>
      <c r="P197" s="1469"/>
    </row>
    <row r="198" spans="1:16" s="1910" customFormat="1" ht="0.75" customHeight="1">
      <c r="A198" s="1623"/>
      <c r="B198" s="1623"/>
      <c r="C198" s="277" t="s">
        <v>1515</v>
      </c>
      <c r="D198" s="3685"/>
      <c r="E198" s="3483"/>
      <c r="F198" s="3614"/>
      <c r="G198" s="307"/>
      <c r="H198" s="1355"/>
      <c r="I198" s="543"/>
      <c r="J198" s="468"/>
      <c r="K198" s="1355"/>
      <c r="L198" s="130"/>
      <c r="M198" s="252"/>
      <c r="N198" s="245"/>
      <c r="O198" s="1469"/>
      <c r="P198" s="1469"/>
    </row>
    <row r="199" spans="1:16" ht="26.25" customHeight="1">
      <c r="A199" s="1623"/>
      <c r="B199" s="1623"/>
      <c r="D199" s="283"/>
      <c r="E199" s="67" t="s">
        <v>108</v>
      </c>
      <c r="F199" s="367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199" s="3679"/>
      <c r="H199" s="3679"/>
      <c r="I199" s="3679"/>
      <c r="J199" s="3679"/>
      <c r="K199" s="3679"/>
      <c r="L199" s="3679"/>
      <c r="M199" s="208"/>
      <c r="N199" s="245"/>
    </row>
    <row r="200" spans="1:16" s="1910" customFormat="1" ht="60.75" hidden="1" customHeight="1">
      <c r="A200" s="1623" t="s">
        <v>417</v>
      </c>
      <c r="B200" s="1623" t="s">
        <v>418</v>
      </c>
      <c r="C200" s="277"/>
      <c r="D200" s="3685"/>
      <c r="E200" s="3483"/>
      <c r="F200" s="3614"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3651" t="str">
        <f>INDEX(PT_DIFFERENTIATION_NTAR,MATCH(B200,PT_DIFFERENTIATION_NTAR_ID,0))</f>
        <v/>
      </c>
      <c r="H200" s="1702"/>
      <c r="I200" s="1582"/>
      <c r="J200" s="1616"/>
      <c r="K200" s="1621"/>
      <c r="L200" s="1702" t="s">
        <v>566</v>
      </c>
      <c r="M200" s="34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0" s="245"/>
      <c r="O200" s="1469"/>
      <c r="P200" s="1469"/>
    </row>
    <row r="201" spans="1:16" s="1910" customFormat="1" ht="18.75" hidden="1" customHeight="1">
      <c r="A201" s="1623"/>
      <c r="B201" s="1623"/>
      <c r="C201" s="277" t="s">
        <v>1508</v>
      </c>
      <c r="D201" s="3685"/>
      <c r="E201" s="3483"/>
      <c r="F201" s="3614"/>
      <c r="G201" s="3651"/>
      <c r="H201" s="1355"/>
      <c r="I201" s="543" t="s">
        <v>1507</v>
      </c>
      <c r="J201" s="468"/>
      <c r="K201" s="1355"/>
      <c r="L201" s="130"/>
      <c r="M201" s="3446"/>
      <c r="N201" s="245"/>
      <c r="O201" s="1469"/>
      <c r="P201" s="1469"/>
    </row>
    <row r="202" spans="1:16" s="1910" customFormat="1" ht="0.75" hidden="1" customHeight="1">
      <c r="A202" s="1623"/>
      <c r="B202" s="1623"/>
      <c r="C202" s="277" t="s">
        <v>1515</v>
      </c>
      <c r="D202" s="3685"/>
      <c r="E202" s="3483"/>
      <c r="F202" s="3614"/>
      <c r="G202" s="307"/>
      <c r="H202" s="1355"/>
      <c r="I202" s="543"/>
      <c r="J202" s="468"/>
      <c r="K202" s="1355"/>
      <c r="L202" s="130"/>
      <c r="M202" s="3446"/>
      <c r="N202" s="245"/>
      <c r="O202" s="1469"/>
      <c r="P202" s="1469"/>
    </row>
    <row r="203" spans="1:16" s="1910" customFormat="1" ht="45" hidden="1" customHeight="1">
      <c r="A203" s="1623" t="s">
        <v>423</v>
      </c>
      <c r="B203" s="1623" t="s">
        <v>424</v>
      </c>
      <c r="C203" s="277"/>
      <c r="D203" s="3685"/>
      <c r="E203" s="3483"/>
      <c r="F203" s="3614"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3651" t="str">
        <f>INDEX(PT_DIFFERENTIATION_NTAR,MATCH(B203,PT_DIFFERENTIATION_NTAR_ID,0))</f>
        <v/>
      </c>
      <c r="H203" s="1702"/>
      <c r="I203" s="1582"/>
      <c r="J203" s="1616"/>
      <c r="K203" s="1621"/>
      <c r="L203" s="1702" t="s">
        <v>566</v>
      </c>
      <c r="M203" s="3447"/>
      <c r="N203" s="245"/>
      <c r="O203" s="1469"/>
      <c r="P203" s="1469"/>
    </row>
    <row r="204" spans="1:16" s="1910" customFormat="1" ht="18.75" hidden="1" customHeight="1">
      <c r="A204" s="1623"/>
      <c r="B204" s="1623"/>
      <c r="C204" s="277" t="s">
        <v>1508</v>
      </c>
      <c r="D204" s="3685"/>
      <c r="E204" s="3483"/>
      <c r="F204" s="3614"/>
      <c r="G204" s="3651"/>
      <c r="H204" s="1355"/>
      <c r="I204" s="543" t="s">
        <v>1507</v>
      </c>
      <c r="J204" s="468"/>
      <c r="K204" s="1355"/>
      <c r="L204" s="130"/>
      <c r="M204" s="1701"/>
      <c r="N204" s="245"/>
      <c r="O204" s="1469"/>
      <c r="P204" s="1469"/>
    </row>
    <row r="205" spans="1:16" s="1910" customFormat="1" ht="0.75" hidden="1" customHeight="1">
      <c r="A205" s="1623"/>
      <c r="B205" s="1623"/>
      <c r="C205" s="277" t="s">
        <v>1515</v>
      </c>
      <c r="D205" s="3685"/>
      <c r="E205" s="3483"/>
      <c r="F205" s="3614"/>
      <c r="G205" s="307"/>
      <c r="H205" s="1355"/>
      <c r="I205" s="543"/>
      <c r="J205" s="468"/>
      <c r="K205" s="1355"/>
      <c r="L205" s="130"/>
      <c r="M205" s="252"/>
      <c r="N205" s="245"/>
      <c r="O205" s="1469"/>
      <c r="P205" s="1469"/>
    </row>
    <row r="206" spans="1:16" s="1910" customFormat="1" ht="45" hidden="1" customHeight="1">
      <c r="A206" s="1623" t="s">
        <v>429</v>
      </c>
      <c r="B206" s="1623" t="s">
        <v>430</v>
      </c>
      <c r="C206" s="277"/>
      <c r="D206" s="3685"/>
      <c r="E206" s="3483"/>
      <c r="F206" s="3614"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3651" t="str">
        <f>INDEX(PT_DIFFERENTIATION_NTAR,MATCH(B206,PT_DIFFERENTIATION_NTAR_ID,0))</f>
        <v/>
      </c>
      <c r="H206" s="1702"/>
      <c r="I206" s="1582"/>
      <c r="J206" s="1616"/>
      <c r="K206" s="1621"/>
      <c r="L206" s="1702" t="s">
        <v>566</v>
      </c>
      <c r="M206" s="252"/>
      <c r="N206" s="245"/>
      <c r="O206" s="1469"/>
      <c r="P206" s="1469"/>
    </row>
    <row r="207" spans="1:16" s="1910" customFormat="1" ht="18.75" hidden="1" customHeight="1">
      <c r="A207" s="1623"/>
      <c r="B207" s="1623"/>
      <c r="C207" s="277" t="s">
        <v>1508</v>
      </c>
      <c r="D207" s="3685"/>
      <c r="E207" s="3483"/>
      <c r="F207" s="3614"/>
      <c r="G207" s="3651"/>
      <c r="H207" s="1355"/>
      <c r="I207" s="543" t="s">
        <v>1507</v>
      </c>
      <c r="J207" s="468"/>
      <c r="K207" s="1355"/>
      <c r="L207" s="130"/>
      <c r="M207" s="252"/>
      <c r="N207" s="245"/>
      <c r="O207" s="1469"/>
      <c r="P207" s="1469"/>
    </row>
    <row r="208" spans="1:16" s="1910" customFormat="1" ht="0.75" hidden="1" customHeight="1">
      <c r="A208" s="1623"/>
      <c r="B208" s="1623"/>
      <c r="C208" s="277" t="s">
        <v>1515</v>
      </c>
      <c r="D208" s="3685"/>
      <c r="E208" s="3483"/>
      <c r="F208" s="3614"/>
      <c r="G208" s="307"/>
      <c r="H208" s="1355"/>
      <c r="I208" s="543"/>
      <c r="J208" s="468"/>
      <c r="K208" s="1355"/>
      <c r="L208" s="130"/>
      <c r="M208" s="252"/>
      <c r="N208" s="245"/>
      <c r="O208" s="1469"/>
      <c r="P208" s="1469"/>
    </row>
    <row r="209" spans="1:16" s="1910" customFormat="1" ht="45" hidden="1" customHeight="1">
      <c r="A209" s="1623" t="s">
        <v>435</v>
      </c>
      <c r="B209" s="1623" t="s">
        <v>436</v>
      </c>
      <c r="C209" s="277"/>
      <c r="D209" s="3685"/>
      <c r="E209" s="3483"/>
      <c r="F209" s="3614"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3651" t="str">
        <f>INDEX(PT_DIFFERENTIATION_NTAR,MATCH(B209,PT_DIFFERENTIATION_NTAR_ID,0))</f>
        <v/>
      </c>
      <c r="H209" s="1702"/>
      <c r="I209" s="1582"/>
      <c r="J209" s="1616"/>
      <c r="K209" s="1621"/>
      <c r="L209" s="1702" t="s">
        <v>566</v>
      </c>
      <c r="M209" s="252"/>
      <c r="N209" s="245"/>
      <c r="O209" s="1469"/>
      <c r="P209" s="1469"/>
    </row>
    <row r="210" spans="1:16" s="1910" customFormat="1" ht="18.75" hidden="1" customHeight="1">
      <c r="A210" s="1623"/>
      <c r="B210" s="1623"/>
      <c r="C210" s="277" t="s">
        <v>1508</v>
      </c>
      <c r="D210" s="3685"/>
      <c r="E210" s="3483"/>
      <c r="F210" s="3614"/>
      <c r="G210" s="3651"/>
      <c r="H210" s="1355"/>
      <c r="I210" s="543" t="s">
        <v>1507</v>
      </c>
      <c r="J210" s="468"/>
      <c r="K210" s="1355"/>
      <c r="L210" s="130"/>
      <c r="M210" s="252"/>
      <c r="N210" s="245"/>
      <c r="O210" s="1469"/>
      <c r="P210" s="1469"/>
    </row>
    <row r="211" spans="1:16" s="1910" customFormat="1" ht="0.75" hidden="1" customHeight="1">
      <c r="A211" s="1623"/>
      <c r="B211" s="1623"/>
      <c r="C211" s="277" t="s">
        <v>1515</v>
      </c>
      <c r="D211" s="3685"/>
      <c r="E211" s="3483"/>
      <c r="F211" s="3614"/>
      <c r="G211" s="307"/>
      <c r="H211" s="1355"/>
      <c r="I211" s="543"/>
      <c r="J211" s="468"/>
      <c r="K211" s="1355"/>
      <c r="L211" s="130"/>
      <c r="M211" s="252"/>
      <c r="N211" s="245"/>
      <c r="O211" s="1469"/>
      <c r="P211" s="1469"/>
    </row>
    <row r="212" spans="1:16" s="1910" customFormat="1" ht="18.75" hidden="1" customHeight="1">
      <c r="A212" s="1623" t="s">
        <v>441</v>
      </c>
      <c r="B212" s="1623" t="s">
        <v>442</v>
      </c>
      <c r="C212" s="277"/>
      <c r="D212" s="3685"/>
      <c r="E212" s="3483"/>
      <c r="F212" s="3614" t="str">
        <f>INDEX(PT_DIFFERENTIATION_VTAR,MATCH(A212,PT_DIFFERENTIATION_VTAR_ID,0))</f>
        <v>Тарифы на услуги по передаче тепловой энергии</v>
      </c>
      <c r="G212" s="3651" t="str">
        <f>INDEX(PT_DIFFERENTIATION_NTAR,MATCH(B212,PT_DIFFERENTIATION_NTAR_ID,0))</f>
        <v/>
      </c>
      <c r="H212" s="1702"/>
      <c r="I212" s="1582"/>
      <c r="J212" s="1616"/>
      <c r="K212" s="1621"/>
      <c r="L212" s="1702" t="s">
        <v>566</v>
      </c>
      <c r="M212" s="252"/>
      <c r="N212" s="245"/>
      <c r="O212" s="1469"/>
      <c r="P212" s="1469"/>
    </row>
    <row r="213" spans="1:16" s="1910" customFormat="1" ht="18.75" hidden="1" customHeight="1">
      <c r="A213" s="1623"/>
      <c r="B213" s="1623"/>
      <c r="C213" s="277" t="s">
        <v>1508</v>
      </c>
      <c r="D213" s="3685"/>
      <c r="E213" s="3483"/>
      <c r="F213" s="3614"/>
      <c r="G213" s="3651"/>
      <c r="H213" s="1355"/>
      <c r="I213" s="543" t="s">
        <v>1507</v>
      </c>
      <c r="J213" s="468"/>
      <c r="K213" s="1355"/>
      <c r="L213" s="130"/>
      <c r="M213" s="252"/>
      <c r="N213" s="245"/>
      <c r="O213" s="1469"/>
      <c r="P213" s="1469"/>
    </row>
    <row r="214" spans="1:16" s="1910" customFormat="1" ht="0.75" hidden="1" customHeight="1">
      <c r="A214" s="1623"/>
      <c r="B214" s="1623"/>
      <c r="C214" s="277" t="s">
        <v>1515</v>
      </c>
      <c r="D214" s="3685"/>
      <c r="E214" s="3483"/>
      <c r="F214" s="3614"/>
      <c r="G214" s="307"/>
      <c r="H214" s="1355"/>
      <c r="I214" s="543"/>
      <c r="J214" s="468"/>
      <c r="K214" s="1355"/>
      <c r="L214" s="130"/>
      <c r="M214" s="252"/>
      <c r="N214" s="245"/>
      <c r="O214" s="1469"/>
      <c r="P214" s="1469"/>
    </row>
    <row r="215" spans="1:16" s="1910" customFormat="1" ht="18.75" hidden="1" customHeight="1">
      <c r="A215" s="1623" t="s">
        <v>447</v>
      </c>
      <c r="B215" s="1623" t="s">
        <v>448</v>
      </c>
      <c r="C215" s="277"/>
      <c r="D215" s="3685"/>
      <c r="E215" s="3483"/>
      <c r="F215" s="3614" t="str">
        <f>INDEX(PT_DIFFERENTIATION_VTAR,MATCH(A215,PT_DIFFERENTIATION_VTAR_ID,0))</f>
        <v>Тарифы на услуги по передаче теплоносителя</v>
      </c>
      <c r="G215" s="3651" t="str">
        <f>INDEX(PT_DIFFERENTIATION_NTAR,MATCH(B215,PT_DIFFERENTIATION_NTAR_ID,0))</f>
        <v/>
      </c>
      <c r="H215" s="1702"/>
      <c r="I215" s="1582"/>
      <c r="J215" s="1616"/>
      <c r="K215" s="1621"/>
      <c r="L215" s="1702" t="s">
        <v>566</v>
      </c>
      <c r="M215" s="252"/>
      <c r="N215" s="245"/>
      <c r="O215" s="1469"/>
      <c r="P215" s="1469"/>
    </row>
    <row r="216" spans="1:16" s="1910" customFormat="1" ht="18.75" hidden="1" customHeight="1">
      <c r="A216" s="1623"/>
      <c r="B216" s="1623"/>
      <c r="C216" s="277" t="s">
        <v>1508</v>
      </c>
      <c r="D216" s="3685"/>
      <c r="E216" s="3483"/>
      <c r="F216" s="3614"/>
      <c r="G216" s="3651"/>
      <c r="H216" s="1355"/>
      <c r="I216" s="543" t="s">
        <v>1507</v>
      </c>
      <c r="J216" s="468"/>
      <c r="K216" s="1355"/>
      <c r="L216" s="130"/>
      <c r="M216" s="252"/>
      <c r="N216" s="245"/>
      <c r="O216" s="1469"/>
      <c r="P216" s="1469"/>
    </row>
    <row r="217" spans="1:16" s="1910" customFormat="1" ht="0.75" hidden="1" customHeight="1">
      <c r="A217" s="1623"/>
      <c r="B217" s="1623"/>
      <c r="C217" s="277" t="s">
        <v>1515</v>
      </c>
      <c r="D217" s="3685"/>
      <c r="E217" s="3483"/>
      <c r="F217" s="3614"/>
      <c r="G217" s="307"/>
      <c r="H217" s="1355"/>
      <c r="I217" s="543"/>
      <c r="J217" s="468"/>
      <c r="K217" s="1355"/>
      <c r="L217" s="130"/>
      <c r="M217" s="252"/>
      <c r="N217" s="245"/>
      <c r="O217" s="1469"/>
      <c r="P217" s="1469"/>
    </row>
    <row r="218" spans="1:16" s="1910" customFormat="1" ht="18.75" hidden="1" customHeight="1">
      <c r="A218" s="1623" t="s">
        <v>453</v>
      </c>
      <c r="B218" s="1623" t="s">
        <v>454</v>
      </c>
      <c r="C218" s="277"/>
      <c r="D218" s="3685"/>
      <c r="E218" s="3483"/>
      <c r="F218" s="3614" t="str">
        <f>INDEX(PT_DIFFERENTIATION_VTAR,MATCH(A218,PT_DIFFERENTIATION_VTAR_ID,0))</f>
        <v>Плата за услуги по поддержанию резервной тепловой мощности при отсутствии потребления тепловой энергии</v>
      </c>
      <c r="G218" s="3651" t="str">
        <f>INDEX(PT_DIFFERENTIATION_NTAR,MATCH(B218,PT_DIFFERENTIATION_NTAR_ID,0))</f>
        <v/>
      </c>
      <c r="H218" s="1702"/>
      <c r="I218" s="1582"/>
      <c r="J218" s="1616"/>
      <c r="K218" s="1621"/>
      <c r="L218" s="1702" t="s">
        <v>566</v>
      </c>
      <c r="M218" s="252"/>
      <c r="N218" s="245"/>
      <c r="O218" s="1469"/>
      <c r="P218" s="1469"/>
    </row>
    <row r="219" spans="1:16" s="1910" customFormat="1" ht="18.75" hidden="1" customHeight="1">
      <c r="A219" s="1623"/>
      <c r="B219" s="1623"/>
      <c r="C219" s="277" t="s">
        <v>1508</v>
      </c>
      <c r="D219" s="3685"/>
      <c r="E219" s="3483"/>
      <c r="F219" s="3614"/>
      <c r="G219" s="3651"/>
      <c r="H219" s="1355"/>
      <c r="I219" s="543" t="s">
        <v>1507</v>
      </c>
      <c r="J219" s="468"/>
      <c r="K219" s="1355"/>
      <c r="L219" s="130"/>
      <c r="M219" s="252"/>
      <c r="N219" s="245"/>
      <c r="O219" s="1469"/>
      <c r="P219" s="1469"/>
    </row>
    <row r="220" spans="1:16" s="1910" customFormat="1" ht="0.75" hidden="1" customHeight="1">
      <c r="A220" s="1623"/>
      <c r="B220" s="1623"/>
      <c r="C220" s="277" t="s">
        <v>1515</v>
      </c>
      <c r="D220" s="3685"/>
      <c r="E220" s="3483"/>
      <c r="F220" s="3614"/>
      <c r="G220" s="307"/>
      <c r="H220" s="1355"/>
      <c r="I220" s="543"/>
      <c r="J220" s="468"/>
      <c r="K220" s="1355"/>
      <c r="L220" s="130"/>
      <c r="M220" s="252"/>
      <c r="N220" s="245"/>
      <c r="O220" s="1469"/>
      <c r="P220" s="1469"/>
    </row>
    <row r="221" spans="1:16" s="1910" customFormat="1" ht="18.75" hidden="1" customHeight="1">
      <c r="A221" s="1623" t="s">
        <v>459</v>
      </c>
      <c r="B221" s="1623" t="s">
        <v>460</v>
      </c>
      <c r="C221" s="277"/>
      <c r="D221" s="3685"/>
      <c r="E221" s="3483"/>
      <c r="F221" s="3614" t="str">
        <f>INDEX(PT_DIFFERENTIATION_VTAR,MATCH(A221,PT_DIFFERENTIATION_VTAR_ID,0))</f>
        <v>Плата за подключение (технологическое присоединение) к системе теплоснабжения</v>
      </c>
      <c r="G221" s="3651" t="str">
        <f>INDEX(PT_DIFFERENTIATION_NTAR,MATCH(B221,PT_DIFFERENTIATION_NTAR_ID,0))</f>
        <v/>
      </c>
      <c r="H221" s="1702"/>
      <c r="I221" s="1582"/>
      <c r="J221" s="1616"/>
      <c r="K221" s="1621"/>
      <c r="L221" s="1702" t="s">
        <v>566</v>
      </c>
      <c r="M221" s="252"/>
      <c r="N221" s="245"/>
      <c r="O221" s="1469"/>
      <c r="P221" s="1469"/>
    </row>
    <row r="222" spans="1:16" s="1910" customFormat="1" ht="18.75" hidden="1" customHeight="1">
      <c r="A222" s="1623"/>
      <c r="B222" s="1623"/>
      <c r="C222" s="277" t="s">
        <v>1508</v>
      </c>
      <c r="D222" s="3685"/>
      <c r="E222" s="3483"/>
      <c r="F222" s="3614"/>
      <c r="G222" s="3651"/>
      <c r="H222" s="1355"/>
      <c r="I222" s="543" t="s">
        <v>1507</v>
      </c>
      <c r="J222" s="468"/>
      <c r="K222" s="1355"/>
      <c r="L222" s="130"/>
      <c r="M222" s="252"/>
      <c r="N222" s="245"/>
      <c r="O222" s="1469"/>
      <c r="P222" s="1469"/>
    </row>
    <row r="223" spans="1:16" s="1910" customFormat="1" ht="0.75" hidden="1" customHeight="1">
      <c r="A223" s="1623"/>
      <c r="B223" s="1623"/>
      <c r="C223" s="277" t="s">
        <v>1515</v>
      </c>
      <c r="D223" s="3685"/>
      <c r="E223" s="3483"/>
      <c r="F223" s="3614"/>
      <c r="G223" s="307"/>
      <c r="H223" s="1355"/>
      <c r="I223" s="543"/>
      <c r="J223" s="468"/>
      <c r="K223" s="1355"/>
      <c r="L223" s="130"/>
      <c r="M223" s="252"/>
      <c r="N223" s="245"/>
      <c r="O223" s="1469"/>
      <c r="P223" s="1469"/>
    </row>
    <row r="224" spans="1:16" s="1910" customFormat="1" ht="18.75" hidden="1" customHeight="1">
      <c r="A224" s="1623" t="s">
        <v>485</v>
      </c>
      <c r="B224" s="1623" t="s">
        <v>486</v>
      </c>
      <c r="C224" s="277"/>
      <c r="D224" s="3685"/>
      <c r="E224" s="3483"/>
      <c r="F224" s="3614" t="str">
        <f>INDEX(PT_DIFFERENTIATION_VTAR,MATCH(A224,PT_DIFFERENTIATION_VTAR_ID,0))</f>
        <v>Тариф на питьевую воду (питьевое водоснабжение)</v>
      </c>
      <c r="G224" s="3651" t="str">
        <f>INDEX(PT_DIFFERENTIATION_NTAR,MATCH(B224,PT_DIFFERENTIATION_NTAR_ID,0))</f>
        <v/>
      </c>
      <c r="H224" s="1702"/>
      <c r="I224" s="1582"/>
      <c r="J224" s="1616"/>
      <c r="K224" s="1621"/>
      <c r="L224" s="1702" t="s">
        <v>566</v>
      </c>
      <c r="M224" s="252"/>
      <c r="N224" s="245"/>
      <c r="O224" s="1469"/>
      <c r="P224" s="1469"/>
    </row>
    <row r="225" spans="1:16" s="1910" customFormat="1" ht="18.75" hidden="1" customHeight="1">
      <c r="A225" s="1623"/>
      <c r="B225" s="1623"/>
      <c r="C225" s="277" t="s">
        <v>1508</v>
      </c>
      <c r="D225" s="3685"/>
      <c r="E225" s="3483"/>
      <c r="F225" s="3614"/>
      <c r="G225" s="3651"/>
      <c r="H225" s="1355"/>
      <c r="I225" s="543" t="s">
        <v>1507</v>
      </c>
      <c r="J225" s="468"/>
      <c r="K225" s="1355"/>
      <c r="L225" s="130"/>
      <c r="M225" s="252"/>
      <c r="N225" s="245"/>
      <c r="O225" s="1469"/>
      <c r="P225" s="1469"/>
    </row>
    <row r="226" spans="1:16" s="1910" customFormat="1" ht="0.75" hidden="1" customHeight="1">
      <c r="A226" s="1623"/>
      <c r="B226" s="1623"/>
      <c r="C226" s="277" t="s">
        <v>1515</v>
      </c>
      <c r="D226" s="3685"/>
      <c r="E226" s="3483"/>
      <c r="F226" s="3614"/>
      <c r="G226" s="307"/>
      <c r="H226" s="1355"/>
      <c r="I226" s="543"/>
      <c r="J226" s="468"/>
      <c r="K226" s="1355"/>
      <c r="L226" s="130"/>
      <c r="M226" s="252"/>
      <c r="N226" s="245"/>
      <c r="O226" s="1469"/>
      <c r="P226" s="1469"/>
    </row>
    <row r="227" spans="1:16" s="1910" customFormat="1" ht="18.75" hidden="1" customHeight="1">
      <c r="A227" s="1623" t="s">
        <v>490</v>
      </c>
      <c r="B227" s="1623" t="s">
        <v>491</v>
      </c>
      <c r="C227" s="277"/>
      <c r="D227" s="3685"/>
      <c r="E227" s="3483"/>
      <c r="F227" s="3614" t="str">
        <f>INDEX(PT_DIFFERENTIATION_VTAR,MATCH(A227,PT_DIFFERENTIATION_VTAR_ID,0))</f>
        <v>Тариф на техническую воду</v>
      </c>
      <c r="G227" s="3651" t="str">
        <f>INDEX(PT_DIFFERENTIATION_NTAR,MATCH(B227,PT_DIFFERENTIATION_NTAR_ID,0))</f>
        <v/>
      </c>
      <c r="H227" s="1702"/>
      <c r="I227" s="1582"/>
      <c r="J227" s="1616"/>
      <c r="K227" s="1621"/>
      <c r="L227" s="1702" t="s">
        <v>566</v>
      </c>
      <c r="M227" s="252"/>
      <c r="N227" s="245"/>
      <c r="O227" s="1469"/>
      <c r="P227" s="1469"/>
    </row>
    <row r="228" spans="1:16" s="1910" customFormat="1" ht="18.75" hidden="1" customHeight="1">
      <c r="A228" s="1623"/>
      <c r="B228" s="1623"/>
      <c r="C228" s="277" t="s">
        <v>1508</v>
      </c>
      <c r="D228" s="3685"/>
      <c r="E228" s="3483"/>
      <c r="F228" s="3614"/>
      <c r="G228" s="3651"/>
      <c r="H228" s="1355"/>
      <c r="I228" s="543" t="s">
        <v>1507</v>
      </c>
      <c r="J228" s="468"/>
      <c r="K228" s="1355"/>
      <c r="L228" s="130"/>
      <c r="M228" s="252"/>
      <c r="N228" s="245"/>
      <c r="O228" s="1469"/>
      <c r="P228" s="1469"/>
    </row>
    <row r="229" spans="1:16" s="1910" customFormat="1" ht="0.75" hidden="1" customHeight="1">
      <c r="A229" s="1623"/>
      <c r="B229" s="1623"/>
      <c r="C229" s="277" t="s">
        <v>1515</v>
      </c>
      <c r="D229" s="3685"/>
      <c r="E229" s="3483"/>
      <c r="F229" s="3614"/>
      <c r="G229" s="307"/>
      <c r="H229" s="1355"/>
      <c r="I229" s="543"/>
      <c r="J229" s="468"/>
      <c r="K229" s="1355"/>
      <c r="L229" s="130"/>
      <c r="M229" s="252"/>
      <c r="N229" s="245"/>
      <c r="O229" s="1469"/>
      <c r="P229" s="1469"/>
    </row>
    <row r="230" spans="1:16" s="1910" customFormat="1" ht="18.75" hidden="1" customHeight="1">
      <c r="A230" s="1623" t="s">
        <v>495</v>
      </c>
      <c r="B230" s="1623" t="s">
        <v>496</v>
      </c>
      <c r="C230" s="277"/>
      <c r="D230" s="3685"/>
      <c r="E230" s="3483"/>
      <c r="F230" s="3614" t="str">
        <f>INDEX(PT_DIFFERENTIATION_VTAR,MATCH(A230,PT_DIFFERENTIATION_VTAR_ID,0))</f>
        <v>Тариф на транспортировку воды</v>
      </c>
      <c r="G230" s="3651" t="str">
        <f>INDEX(PT_DIFFERENTIATION_NTAR,MATCH(B230,PT_DIFFERENTIATION_NTAR_ID,0))</f>
        <v/>
      </c>
      <c r="H230" s="1702"/>
      <c r="I230" s="1582"/>
      <c r="J230" s="1616"/>
      <c r="K230" s="1621"/>
      <c r="L230" s="1702" t="s">
        <v>566</v>
      </c>
      <c r="M230" s="252"/>
      <c r="N230" s="245"/>
      <c r="O230" s="1469"/>
      <c r="P230" s="1469"/>
    </row>
    <row r="231" spans="1:16" s="1910" customFormat="1" ht="18.75" hidden="1" customHeight="1">
      <c r="A231" s="1623"/>
      <c r="B231" s="1623"/>
      <c r="C231" s="277" t="s">
        <v>1508</v>
      </c>
      <c r="D231" s="3685"/>
      <c r="E231" s="3483"/>
      <c r="F231" s="3614"/>
      <c r="G231" s="3651"/>
      <c r="H231" s="1355"/>
      <c r="I231" s="543" t="s">
        <v>1507</v>
      </c>
      <c r="J231" s="468"/>
      <c r="K231" s="1355"/>
      <c r="L231" s="130"/>
      <c r="M231" s="252"/>
      <c r="N231" s="245"/>
      <c r="O231" s="1469"/>
      <c r="P231" s="1469"/>
    </row>
    <row r="232" spans="1:16" s="1910" customFormat="1" ht="0.75" hidden="1" customHeight="1">
      <c r="A232" s="1623"/>
      <c r="B232" s="1623"/>
      <c r="C232" s="277" t="s">
        <v>1515</v>
      </c>
      <c r="D232" s="3685"/>
      <c r="E232" s="3483"/>
      <c r="F232" s="3614"/>
      <c r="G232" s="307"/>
      <c r="H232" s="1355"/>
      <c r="I232" s="543"/>
      <c r="J232" s="468"/>
      <c r="K232" s="1355"/>
      <c r="L232" s="130"/>
      <c r="M232" s="252"/>
      <c r="N232" s="245"/>
      <c r="O232" s="1469"/>
      <c r="P232" s="1469"/>
    </row>
    <row r="233" spans="1:16" s="1910" customFormat="1" ht="18.75" hidden="1" customHeight="1">
      <c r="A233" s="1623" t="s">
        <v>500</v>
      </c>
      <c r="B233" s="1623" t="s">
        <v>501</v>
      </c>
      <c r="C233" s="277"/>
      <c r="D233" s="3685"/>
      <c r="E233" s="3483"/>
      <c r="F233" s="3614" t="str">
        <f>INDEX(PT_DIFFERENTIATION_VTAR,MATCH(A233,PT_DIFFERENTIATION_VTAR_ID,0))</f>
        <v>Тариф на подвоз воды</v>
      </c>
      <c r="G233" s="3651" t="str">
        <f>INDEX(PT_DIFFERENTIATION_NTAR,MATCH(B233,PT_DIFFERENTIATION_NTAR_ID,0))</f>
        <v/>
      </c>
      <c r="H233" s="1702"/>
      <c r="I233" s="1582"/>
      <c r="J233" s="1616"/>
      <c r="K233" s="1621"/>
      <c r="L233" s="1702" t="s">
        <v>566</v>
      </c>
      <c r="M233" s="252"/>
      <c r="N233" s="245"/>
      <c r="O233" s="1469"/>
      <c r="P233" s="1469"/>
    </row>
    <row r="234" spans="1:16" s="1910" customFormat="1" ht="18.75" hidden="1" customHeight="1">
      <c r="A234" s="1623"/>
      <c r="B234" s="1623"/>
      <c r="C234" s="277" t="s">
        <v>1508</v>
      </c>
      <c r="D234" s="3685"/>
      <c r="E234" s="3483"/>
      <c r="F234" s="3614"/>
      <c r="G234" s="3651"/>
      <c r="H234" s="1355"/>
      <c r="I234" s="543" t="s">
        <v>1507</v>
      </c>
      <c r="J234" s="468"/>
      <c r="K234" s="1355"/>
      <c r="L234" s="130"/>
      <c r="M234" s="252"/>
      <c r="N234" s="245"/>
      <c r="O234" s="1469"/>
      <c r="P234" s="1469"/>
    </row>
    <row r="235" spans="1:16" s="1910" customFormat="1" ht="0.75" hidden="1" customHeight="1">
      <c r="A235" s="1623"/>
      <c r="B235" s="1623"/>
      <c r="C235" s="277" t="s">
        <v>1515</v>
      </c>
      <c r="D235" s="3685"/>
      <c r="E235" s="3483"/>
      <c r="F235" s="3614"/>
      <c r="G235" s="307"/>
      <c r="H235" s="1355"/>
      <c r="I235" s="543"/>
      <c r="J235" s="468"/>
      <c r="K235" s="1355"/>
      <c r="L235" s="130"/>
      <c r="M235" s="252"/>
      <c r="N235" s="245"/>
      <c r="O235" s="1469"/>
      <c r="P235" s="1469"/>
    </row>
    <row r="236" spans="1:16" s="1910" customFormat="1" ht="18.75" hidden="1" customHeight="1">
      <c r="A236" s="1623" t="s">
        <v>505</v>
      </c>
      <c r="B236" s="1623" t="s">
        <v>506</v>
      </c>
      <c r="C236" s="277"/>
      <c r="D236" s="3685"/>
      <c r="E236" s="3483"/>
      <c r="F236" s="3614" t="e">
        <f>INDEX(PT_DIFFERENTIATION_VTAR,MATCH(A236,PT_DIFFERENTIATION_VTAR_ID,0))</f>
        <v>#REF!</v>
      </c>
      <c r="G236" s="3651" t="e">
        <f>INDEX(PT_DIFFERENTIATION_NTAR,MATCH(B236,PT_DIFFERENTIATION_NTAR_ID,0))</f>
        <v>#REF!</v>
      </c>
      <c r="H236" s="1702"/>
      <c r="I236" s="1582"/>
      <c r="J236" s="1616"/>
      <c r="K236" s="1621"/>
      <c r="L236" s="1702" t="s">
        <v>566</v>
      </c>
      <c r="M236" s="252"/>
      <c r="N236" s="245"/>
      <c r="O236" s="1469"/>
      <c r="P236" s="1469"/>
    </row>
    <row r="237" spans="1:16" s="1910" customFormat="1" ht="18.75" hidden="1" customHeight="1">
      <c r="A237" s="1623"/>
      <c r="B237" s="1623"/>
      <c r="C237" s="277" t="s">
        <v>1508</v>
      </c>
      <c r="D237" s="3685"/>
      <c r="E237" s="3483"/>
      <c r="F237" s="3614"/>
      <c r="G237" s="3651"/>
      <c r="H237" s="1355"/>
      <c r="I237" s="543" t="s">
        <v>1507</v>
      </c>
      <c r="J237" s="468"/>
      <c r="K237" s="1355"/>
      <c r="L237" s="130"/>
      <c r="M237" s="252"/>
      <c r="N237" s="245"/>
      <c r="O237" s="1469"/>
      <c r="P237" s="1469"/>
    </row>
    <row r="238" spans="1:16" s="1910" customFormat="1" ht="0.75" hidden="1" customHeight="1">
      <c r="A238" s="1623"/>
      <c r="B238" s="1623"/>
      <c r="C238" s="277" t="s">
        <v>1515</v>
      </c>
      <c r="D238" s="3685"/>
      <c r="E238" s="3483"/>
      <c r="F238" s="3614"/>
      <c r="G238" s="307"/>
      <c r="H238" s="1355"/>
      <c r="I238" s="543"/>
      <c r="J238" s="468"/>
      <c r="K238" s="1355"/>
      <c r="L238" s="130"/>
      <c r="M238" s="252"/>
      <c r="N238" s="245"/>
      <c r="O238" s="1469"/>
      <c r="P238" s="1469"/>
    </row>
    <row r="239" spans="1:16" s="1910" customFormat="1" ht="18.75" hidden="1" customHeight="1">
      <c r="A239" s="1623" t="s">
        <v>510</v>
      </c>
      <c r="B239" s="1623" t="s">
        <v>511</v>
      </c>
      <c r="C239" s="277"/>
      <c r="D239" s="3685"/>
      <c r="E239" s="3483"/>
      <c r="F239" s="3614" t="str">
        <f>INDEX(PT_DIFFERENTIATION_VTAR,MATCH(A239,PT_DIFFERENTIATION_VTAR_ID,0))</f>
        <v>Тариф на горячую воду (горячее водоснабжение)</v>
      </c>
      <c r="G239" s="3651" t="str">
        <f>INDEX(PT_DIFFERENTIATION_NTAR,MATCH(B239,PT_DIFFERENTIATION_NTAR_ID,0))</f>
        <v/>
      </c>
      <c r="H239" s="1702"/>
      <c r="I239" s="1582"/>
      <c r="J239" s="1616"/>
      <c r="K239" s="1621"/>
      <c r="L239" s="1702" t="s">
        <v>566</v>
      </c>
      <c r="M239" s="252"/>
      <c r="N239" s="245"/>
      <c r="O239" s="1469"/>
      <c r="P239" s="1469"/>
    </row>
    <row r="240" spans="1:16" s="1910" customFormat="1" ht="18.75" hidden="1" customHeight="1">
      <c r="A240" s="1623"/>
      <c r="B240" s="1623"/>
      <c r="C240" s="277" t="s">
        <v>1508</v>
      </c>
      <c r="D240" s="3685"/>
      <c r="E240" s="3483"/>
      <c r="F240" s="3614"/>
      <c r="G240" s="3651"/>
      <c r="H240" s="1355"/>
      <c r="I240" s="543" t="s">
        <v>1507</v>
      </c>
      <c r="J240" s="468"/>
      <c r="K240" s="1355"/>
      <c r="L240" s="130"/>
      <c r="M240" s="252"/>
      <c r="N240" s="245"/>
      <c r="O240" s="1469"/>
      <c r="P240" s="1469"/>
    </row>
    <row r="241" spans="1:16" s="1910" customFormat="1" ht="0.75" hidden="1" customHeight="1">
      <c r="A241" s="1623"/>
      <c r="B241" s="1623"/>
      <c r="C241" s="277" t="s">
        <v>1515</v>
      </c>
      <c r="D241" s="3685"/>
      <c r="E241" s="3483"/>
      <c r="F241" s="3614"/>
      <c r="G241" s="307"/>
      <c r="H241" s="1355"/>
      <c r="I241" s="543"/>
      <c r="J241" s="468"/>
      <c r="K241" s="1355"/>
      <c r="L241" s="130"/>
      <c r="M241" s="252"/>
      <c r="N241" s="245"/>
      <c r="O241" s="1469"/>
      <c r="P241" s="1469"/>
    </row>
    <row r="242" spans="1:16" s="1910" customFormat="1" ht="18.75" hidden="1" customHeight="1">
      <c r="A242" s="1623" t="s">
        <v>515</v>
      </c>
      <c r="B242" s="1623" t="s">
        <v>516</v>
      </c>
      <c r="C242" s="277"/>
      <c r="D242" s="3685"/>
      <c r="E242" s="3483"/>
      <c r="F242" s="3614" t="str">
        <f>INDEX(PT_DIFFERENTIATION_VTAR,MATCH(A242,PT_DIFFERENTIATION_VTAR_ID,0))</f>
        <v>Тариф на транспортировку горячей воды</v>
      </c>
      <c r="G242" s="3651" t="str">
        <f>INDEX(PT_DIFFERENTIATION_NTAR,MATCH(B242,PT_DIFFERENTIATION_NTAR_ID,0))</f>
        <v/>
      </c>
      <c r="H242" s="1702"/>
      <c r="I242" s="1582"/>
      <c r="J242" s="1616"/>
      <c r="K242" s="1621"/>
      <c r="L242" s="1702" t="s">
        <v>566</v>
      </c>
      <c r="M242" s="252"/>
      <c r="N242" s="245"/>
      <c r="O242" s="1469"/>
      <c r="P242" s="1469"/>
    </row>
    <row r="243" spans="1:16" s="1910" customFormat="1" ht="18.75" hidden="1" customHeight="1">
      <c r="A243" s="1623"/>
      <c r="B243" s="1623"/>
      <c r="C243" s="277" t="s">
        <v>1508</v>
      </c>
      <c r="D243" s="3685"/>
      <c r="E243" s="3483"/>
      <c r="F243" s="3614"/>
      <c r="G243" s="3651"/>
      <c r="H243" s="1355"/>
      <c r="I243" s="543" t="s">
        <v>1507</v>
      </c>
      <c r="J243" s="468"/>
      <c r="K243" s="1355"/>
      <c r="L243" s="130"/>
      <c r="M243" s="252"/>
      <c r="N243" s="245"/>
      <c r="O243" s="1469"/>
      <c r="P243" s="1469"/>
    </row>
    <row r="244" spans="1:16" s="1910" customFormat="1" ht="0.75" hidden="1" customHeight="1">
      <c r="A244" s="1623"/>
      <c r="B244" s="1623"/>
      <c r="C244" s="277" t="s">
        <v>1515</v>
      </c>
      <c r="D244" s="3685"/>
      <c r="E244" s="3483"/>
      <c r="F244" s="3614"/>
      <c r="G244" s="307"/>
      <c r="H244" s="1355"/>
      <c r="I244" s="543"/>
      <c r="J244" s="468"/>
      <c r="K244" s="1355"/>
      <c r="L244" s="130"/>
      <c r="M244" s="252"/>
      <c r="N244" s="245"/>
      <c r="O244" s="1469"/>
      <c r="P244" s="1469"/>
    </row>
    <row r="245" spans="1:16" s="1910" customFormat="1" ht="18.75" hidden="1" customHeight="1">
      <c r="A245" s="1623" t="s">
        <v>520</v>
      </c>
      <c r="B245" s="1623" t="s">
        <v>521</v>
      </c>
      <c r="C245" s="277"/>
      <c r="D245" s="3685"/>
      <c r="E245" s="3483"/>
      <c r="F245" s="3614" t="e">
        <f>INDEX(PT_DIFFERENTIATION_VTAR,MATCH(A245,PT_DIFFERENTIATION_VTAR_ID,0))</f>
        <v>#REF!</v>
      </c>
      <c r="G245" s="3651" t="e">
        <f>INDEX(PT_DIFFERENTIATION_NTAR,MATCH(B245,PT_DIFFERENTIATION_NTAR_ID,0))</f>
        <v>#REF!</v>
      </c>
      <c r="H245" s="1702"/>
      <c r="I245" s="1582"/>
      <c r="J245" s="1616"/>
      <c r="K245" s="1621"/>
      <c r="L245" s="1702" t="s">
        <v>566</v>
      </c>
      <c r="M245" s="252"/>
      <c r="N245" s="245"/>
      <c r="O245" s="1469"/>
      <c r="P245" s="1469"/>
    </row>
    <row r="246" spans="1:16" s="1910" customFormat="1" ht="18.75" hidden="1" customHeight="1">
      <c r="A246" s="1623"/>
      <c r="B246" s="1623"/>
      <c r="C246" s="277" t="s">
        <v>1508</v>
      </c>
      <c r="D246" s="3685"/>
      <c r="E246" s="3483"/>
      <c r="F246" s="3614"/>
      <c r="G246" s="3651"/>
      <c r="H246" s="1355"/>
      <c r="I246" s="543" t="s">
        <v>1507</v>
      </c>
      <c r="J246" s="468"/>
      <c r="K246" s="1355"/>
      <c r="L246" s="130"/>
      <c r="M246" s="252"/>
      <c r="N246" s="245"/>
      <c r="O246" s="1469"/>
      <c r="P246" s="1469"/>
    </row>
    <row r="247" spans="1:16" s="1910" customFormat="1" ht="0.75" hidden="1" customHeight="1">
      <c r="A247" s="1623"/>
      <c r="B247" s="1623"/>
      <c r="C247" s="277" t="s">
        <v>1515</v>
      </c>
      <c r="D247" s="3685"/>
      <c r="E247" s="3483"/>
      <c r="F247" s="3614"/>
      <c r="G247" s="307"/>
      <c r="H247" s="1355"/>
      <c r="I247" s="543"/>
      <c r="J247" s="468"/>
      <c r="K247" s="1355"/>
      <c r="L247" s="130"/>
      <c r="M247" s="252"/>
      <c r="N247" s="245"/>
      <c r="O247" s="1469"/>
      <c r="P247" s="1469"/>
    </row>
    <row r="248" spans="1:16" s="1910" customFormat="1" ht="18.75" hidden="1" customHeight="1">
      <c r="A248" s="1623" t="s">
        <v>525</v>
      </c>
      <c r="B248" s="1623" t="s">
        <v>526</v>
      </c>
      <c r="C248" s="277"/>
      <c r="D248" s="3685"/>
      <c r="E248" s="3483"/>
      <c r="F248" s="3614" t="str">
        <f>INDEX(PT_DIFFERENTIATION_VTAR,MATCH(A248,PT_DIFFERENTIATION_VTAR_ID,0))</f>
        <v>Тариф на водоотведение</v>
      </c>
      <c r="G248" s="3651" t="str">
        <f>INDEX(PT_DIFFERENTIATION_NTAR,MATCH(B248,PT_DIFFERENTIATION_NTAR_ID,0))</f>
        <v/>
      </c>
      <c r="H248" s="1702"/>
      <c r="I248" s="1582"/>
      <c r="J248" s="1616"/>
      <c r="K248" s="1621"/>
      <c r="L248" s="1702" t="s">
        <v>566</v>
      </c>
      <c r="M248" s="252"/>
      <c r="N248" s="245"/>
      <c r="O248" s="1469"/>
      <c r="P248" s="1469"/>
    </row>
    <row r="249" spans="1:16" s="1910" customFormat="1" ht="18.75" hidden="1" customHeight="1">
      <c r="A249" s="1623"/>
      <c r="B249" s="1623"/>
      <c r="C249" s="277" t="s">
        <v>1508</v>
      </c>
      <c r="D249" s="3685"/>
      <c r="E249" s="3483"/>
      <c r="F249" s="3614"/>
      <c r="G249" s="3651"/>
      <c r="H249" s="1355"/>
      <c r="I249" s="543" t="s">
        <v>1507</v>
      </c>
      <c r="J249" s="468"/>
      <c r="K249" s="1355"/>
      <c r="L249" s="130"/>
      <c r="M249" s="252"/>
      <c r="N249" s="245"/>
      <c r="O249" s="1469"/>
      <c r="P249" s="1469"/>
    </row>
    <row r="250" spans="1:16" s="1910" customFormat="1" ht="0.75" hidden="1" customHeight="1">
      <c r="A250" s="1623"/>
      <c r="B250" s="1623"/>
      <c r="C250" s="277" t="s">
        <v>1515</v>
      </c>
      <c r="D250" s="3685"/>
      <c r="E250" s="3483"/>
      <c r="F250" s="3614"/>
      <c r="G250" s="307"/>
      <c r="H250" s="1355"/>
      <c r="I250" s="543"/>
      <c r="J250" s="468"/>
      <c r="K250" s="1355"/>
      <c r="L250" s="130"/>
      <c r="M250" s="252"/>
      <c r="N250" s="245"/>
      <c r="O250" s="1469"/>
      <c r="P250" s="1469"/>
    </row>
    <row r="251" spans="1:16" s="1910" customFormat="1" ht="18.75" hidden="1" customHeight="1">
      <c r="A251" s="1623" t="s">
        <v>530</v>
      </c>
      <c r="B251" s="1623" t="s">
        <v>531</v>
      </c>
      <c r="C251" s="277"/>
      <c r="D251" s="3685"/>
      <c r="E251" s="3483"/>
      <c r="F251" s="3614" t="str">
        <f>INDEX(PT_DIFFERENTIATION_VTAR,MATCH(A251,PT_DIFFERENTIATION_VTAR_ID,0))</f>
        <v>Тариф на транспортировку сточных вод</v>
      </c>
      <c r="G251" s="3651" t="str">
        <f>INDEX(PT_DIFFERENTIATION_NTAR,MATCH(B251,PT_DIFFERENTIATION_NTAR_ID,0))</f>
        <v/>
      </c>
      <c r="H251" s="1702"/>
      <c r="I251" s="1582"/>
      <c r="J251" s="1616"/>
      <c r="K251" s="1621"/>
      <c r="L251" s="1702" t="s">
        <v>566</v>
      </c>
      <c r="M251" s="252"/>
      <c r="N251" s="245"/>
      <c r="O251" s="1469"/>
      <c r="P251" s="1469"/>
    </row>
    <row r="252" spans="1:16" s="1910" customFormat="1" ht="18.75" hidden="1" customHeight="1">
      <c r="A252" s="1623"/>
      <c r="B252" s="1623"/>
      <c r="C252" s="277" t="s">
        <v>1508</v>
      </c>
      <c r="D252" s="3685"/>
      <c r="E252" s="3483"/>
      <c r="F252" s="3614"/>
      <c r="G252" s="3651"/>
      <c r="H252" s="1355"/>
      <c r="I252" s="543" t="s">
        <v>1507</v>
      </c>
      <c r="J252" s="468"/>
      <c r="K252" s="1355"/>
      <c r="L252" s="130"/>
      <c r="M252" s="252"/>
      <c r="N252" s="245"/>
      <c r="O252" s="1469"/>
      <c r="P252" s="1469"/>
    </row>
    <row r="253" spans="1:16" s="1910" customFormat="1" ht="0.75" hidden="1" customHeight="1">
      <c r="A253" s="1623"/>
      <c r="B253" s="1623"/>
      <c r="C253" s="277" t="s">
        <v>1515</v>
      </c>
      <c r="D253" s="3685"/>
      <c r="E253" s="3483"/>
      <c r="F253" s="3614"/>
      <c r="G253" s="307"/>
      <c r="H253" s="1355"/>
      <c r="I253" s="543"/>
      <c r="J253" s="468"/>
      <c r="K253" s="1355"/>
      <c r="L253" s="130"/>
      <c r="M253" s="252"/>
      <c r="N253" s="245"/>
      <c r="O253" s="1469"/>
      <c r="P253" s="1469"/>
    </row>
    <row r="254" spans="1:16" s="1910" customFormat="1" ht="18.75" hidden="1" customHeight="1">
      <c r="A254" s="1623" t="s">
        <v>535</v>
      </c>
      <c r="B254" s="1623" t="s">
        <v>536</v>
      </c>
      <c r="C254" s="277"/>
      <c r="D254" s="3685"/>
      <c r="E254" s="3483"/>
      <c r="F254" s="3614" t="e">
        <f>INDEX(PT_DIFFERENTIATION_VTAR,MATCH(A254,PT_DIFFERENTIATION_VTAR_ID,0))</f>
        <v>#REF!</v>
      </c>
      <c r="G254" s="3651" t="e">
        <f>INDEX(PT_DIFFERENTIATION_NTAR,MATCH(B254,PT_DIFFERENTIATION_NTAR_ID,0))</f>
        <v>#REF!</v>
      </c>
      <c r="H254" s="1702"/>
      <c r="I254" s="1582"/>
      <c r="J254" s="1616"/>
      <c r="K254" s="1621"/>
      <c r="L254" s="1702" t="s">
        <v>566</v>
      </c>
      <c r="M254" s="252"/>
      <c r="N254" s="245"/>
      <c r="O254" s="1469"/>
      <c r="P254" s="1469"/>
    </row>
    <row r="255" spans="1:16" s="1910" customFormat="1" ht="18.75" hidden="1" customHeight="1">
      <c r="A255" s="1623"/>
      <c r="B255" s="1623"/>
      <c r="C255" s="277" t="s">
        <v>1508</v>
      </c>
      <c r="D255" s="3685"/>
      <c r="E255" s="3483"/>
      <c r="F255" s="3614"/>
      <c r="G255" s="3651"/>
      <c r="H255" s="1355"/>
      <c r="I255" s="543" t="s">
        <v>1507</v>
      </c>
      <c r="J255" s="468"/>
      <c r="K255" s="1355"/>
      <c r="L255" s="130"/>
      <c r="M255" s="252"/>
      <c r="N255" s="245"/>
      <c r="O255" s="1469"/>
      <c r="P255" s="1469"/>
    </row>
    <row r="256" spans="1:16" s="1910" customFormat="1" ht="0.75" customHeight="1">
      <c r="A256" s="1623"/>
      <c r="B256" s="1623"/>
      <c r="C256" s="277" t="s">
        <v>1515</v>
      </c>
      <c r="D256" s="3685"/>
      <c r="E256" s="3483"/>
      <c r="F256" s="3614"/>
      <c r="G256" s="307"/>
      <c r="H256" s="1355"/>
      <c r="I256" s="543"/>
      <c r="J256" s="468"/>
      <c r="K256" s="1355"/>
      <c r="L256" s="130"/>
      <c r="M256" s="252"/>
      <c r="N256" s="245"/>
      <c r="O256" s="1469"/>
      <c r="P256" s="1469"/>
    </row>
    <row r="257" spans="1:16" ht="25.5" customHeight="1">
      <c r="A257" s="1623"/>
      <c r="B257" s="1623"/>
      <c r="D257" s="283"/>
      <c r="E257" s="67" t="s">
        <v>89</v>
      </c>
      <c r="F257" s="367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57" s="3679"/>
      <c r="H257" s="3679"/>
      <c r="I257" s="3679"/>
      <c r="J257" s="3679"/>
      <c r="K257" s="3679"/>
      <c r="L257" s="3679"/>
      <c r="M257" s="208"/>
      <c r="N257" s="245"/>
    </row>
    <row r="258" spans="1:16" s="1910" customFormat="1" ht="60.75" hidden="1" customHeight="1">
      <c r="A258" s="1623" t="s">
        <v>417</v>
      </c>
      <c r="B258" s="1623" t="s">
        <v>418</v>
      </c>
      <c r="C258" s="277"/>
      <c r="D258" s="3685"/>
      <c r="E258" s="3483"/>
      <c r="F258" s="3614"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3651" t="str">
        <f>INDEX(PT_DIFFERENTIATION_NTAR,MATCH(B258,PT_DIFFERENTIATION_NTAR_ID,0))</f>
        <v/>
      </c>
      <c r="H258" s="1702"/>
      <c r="I258" s="1582"/>
      <c r="J258" s="1616"/>
      <c r="K258" s="1621"/>
      <c r="L258" s="1702" t="s">
        <v>566</v>
      </c>
      <c r="M258" s="34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45"/>
      <c r="O258" s="1469"/>
      <c r="P258" s="1469"/>
    </row>
    <row r="259" spans="1:16" s="1910" customFormat="1" ht="18.75" hidden="1" customHeight="1">
      <c r="A259" s="1623"/>
      <c r="B259" s="1623"/>
      <c r="C259" s="277" t="s">
        <v>1508</v>
      </c>
      <c r="D259" s="3685"/>
      <c r="E259" s="3483"/>
      <c r="F259" s="3614"/>
      <c r="G259" s="3651"/>
      <c r="H259" s="1355"/>
      <c r="I259" s="543" t="s">
        <v>1507</v>
      </c>
      <c r="J259" s="468"/>
      <c r="K259" s="1355"/>
      <c r="L259" s="130"/>
      <c r="M259" s="3446"/>
      <c r="N259" s="245"/>
      <c r="O259" s="1469"/>
      <c r="P259" s="1469"/>
    </row>
    <row r="260" spans="1:16" s="1910" customFormat="1" ht="0.75" hidden="1" customHeight="1">
      <c r="A260" s="1623"/>
      <c r="B260" s="1623"/>
      <c r="C260" s="277" t="s">
        <v>1515</v>
      </c>
      <c r="D260" s="3685"/>
      <c r="E260" s="3483"/>
      <c r="F260" s="3614"/>
      <c r="G260" s="307"/>
      <c r="H260" s="1355"/>
      <c r="I260" s="543"/>
      <c r="J260" s="468"/>
      <c r="K260" s="1355"/>
      <c r="L260" s="130"/>
      <c r="M260" s="3446"/>
      <c r="N260" s="245"/>
      <c r="O260" s="1469"/>
      <c r="P260" s="1469"/>
    </row>
    <row r="261" spans="1:16" s="1910" customFormat="1" ht="45" hidden="1" customHeight="1">
      <c r="A261" s="1623" t="s">
        <v>423</v>
      </c>
      <c r="B261" s="1623" t="s">
        <v>424</v>
      </c>
      <c r="C261" s="277"/>
      <c r="D261" s="3685"/>
      <c r="E261" s="3483"/>
      <c r="F261" s="3614"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3651" t="str">
        <f>INDEX(PT_DIFFERENTIATION_NTAR,MATCH(B261,PT_DIFFERENTIATION_NTAR_ID,0))</f>
        <v/>
      </c>
      <c r="H261" s="1702"/>
      <c r="I261" s="1582"/>
      <c r="J261" s="1616"/>
      <c r="K261" s="1621"/>
      <c r="L261" s="1702" t="s">
        <v>566</v>
      </c>
      <c r="M261" s="3447"/>
      <c r="N261" s="245"/>
      <c r="O261" s="1469"/>
      <c r="P261" s="1469"/>
    </row>
    <row r="262" spans="1:16" s="1910" customFormat="1" ht="18.75" hidden="1" customHeight="1">
      <c r="A262" s="1623"/>
      <c r="B262" s="1623"/>
      <c r="C262" s="277" t="s">
        <v>1508</v>
      </c>
      <c r="D262" s="3685"/>
      <c r="E262" s="3483"/>
      <c r="F262" s="3614"/>
      <c r="G262" s="3651"/>
      <c r="H262" s="1355"/>
      <c r="I262" s="543" t="s">
        <v>1507</v>
      </c>
      <c r="J262" s="468"/>
      <c r="K262" s="1355"/>
      <c r="L262" s="130"/>
      <c r="M262" s="1701"/>
      <c r="N262" s="245"/>
      <c r="O262" s="1469"/>
      <c r="P262" s="1469"/>
    </row>
    <row r="263" spans="1:16" s="1910" customFormat="1" ht="0.75" hidden="1" customHeight="1">
      <c r="A263" s="1623"/>
      <c r="B263" s="1623"/>
      <c r="C263" s="277" t="s">
        <v>1515</v>
      </c>
      <c r="D263" s="3685"/>
      <c r="E263" s="3483"/>
      <c r="F263" s="3614"/>
      <c r="G263" s="307"/>
      <c r="H263" s="1355"/>
      <c r="I263" s="543"/>
      <c r="J263" s="468"/>
      <c r="K263" s="1355"/>
      <c r="L263" s="130"/>
      <c r="M263" s="252"/>
      <c r="N263" s="245"/>
      <c r="O263" s="1469"/>
      <c r="P263" s="1469"/>
    </row>
    <row r="264" spans="1:16" s="1910" customFormat="1" ht="45" hidden="1" customHeight="1">
      <c r="A264" s="1623" t="s">
        <v>429</v>
      </c>
      <c r="B264" s="1623" t="s">
        <v>430</v>
      </c>
      <c r="C264" s="277"/>
      <c r="D264" s="3685"/>
      <c r="E264" s="3483"/>
      <c r="F264" s="3614"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3651" t="str">
        <f>INDEX(PT_DIFFERENTIATION_NTAR,MATCH(B264,PT_DIFFERENTIATION_NTAR_ID,0))</f>
        <v/>
      </c>
      <c r="H264" s="1702"/>
      <c r="I264" s="1582"/>
      <c r="J264" s="1616"/>
      <c r="K264" s="1621"/>
      <c r="L264" s="1702" t="s">
        <v>566</v>
      </c>
      <c r="M264" s="252"/>
      <c r="N264" s="245"/>
      <c r="O264" s="1469"/>
      <c r="P264" s="1469"/>
    </row>
    <row r="265" spans="1:16" s="1910" customFormat="1" ht="18.75" hidden="1" customHeight="1">
      <c r="A265" s="1623"/>
      <c r="B265" s="1623"/>
      <c r="C265" s="277" t="s">
        <v>1508</v>
      </c>
      <c r="D265" s="3685"/>
      <c r="E265" s="3483"/>
      <c r="F265" s="3614"/>
      <c r="G265" s="3651"/>
      <c r="H265" s="1355"/>
      <c r="I265" s="543" t="s">
        <v>1507</v>
      </c>
      <c r="J265" s="468"/>
      <c r="K265" s="1355"/>
      <c r="L265" s="130"/>
      <c r="M265" s="252"/>
      <c r="N265" s="245"/>
      <c r="O265" s="1469"/>
      <c r="P265" s="1469"/>
    </row>
    <row r="266" spans="1:16" s="1910" customFormat="1" ht="0.75" hidden="1" customHeight="1">
      <c r="A266" s="1623"/>
      <c r="B266" s="1623"/>
      <c r="C266" s="277" t="s">
        <v>1515</v>
      </c>
      <c r="D266" s="3685"/>
      <c r="E266" s="3483"/>
      <c r="F266" s="3614"/>
      <c r="G266" s="307"/>
      <c r="H266" s="1355"/>
      <c r="I266" s="543"/>
      <c r="J266" s="468"/>
      <c r="K266" s="1355"/>
      <c r="L266" s="130"/>
      <c r="M266" s="252"/>
      <c r="N266" s="245"/>
      <c r="O266" s="1469"/>
      <c r="P266" s="1469"/>
    </row>
    <row r="267" spans="1:16" s="1910" customFormat="1" ht="45" hidden="1" customHeight="1">
      <c r="A267" s="1623" t="s">
        <v>435</v>
      </c>
      <c r="B267" s="1623" t="s">
        <v>436</v>
      </c>
      <c r="C267" s="277"/>
      <c r="D267" s="3685"/>
      <c r="E267" s="3483"/>
      <c r="F267" s="3614"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3651" t="str">
        <f>INDEX(PT_DIFFERENTIATION_NTAR,MATCH(B267,PT_DIFFERENTIATION_NTAR_ID,0))</f>
        <v/>
      </c>
      <c r="H267" s="1702"/>
      <c r="I267" s="1582"/>
      <c r="J267" s="1616"/>
      <c r="K267" s="1621"/>
      <c r="L267" s="1702" t="s">
        <v>566</v>
      </c>
      <c r="M267" s="252"/>
      <c r="N267" s="245"/>
      <c r="O267" s="1469"/>
      <c r="P267" s="1469"/>
    </row>
    <row r="268" spans="1:16" s="1910" customFormat="1" ht="18.75" hidden="1" customHeight="1">
      <c r="A268" s="1623"/>
      <c r="B268" s="1623"/>
      <c r="C268" s="277" t="s">
        <v>1508</v>
      </c>
      <c r="D268" s="3685"/>
      <c r="E268" s="3483"/>
      <c r="F268" s="3614"/>
      <c r="G268" s="3651"/>
      <c r="H268" s="1355"/>
      <c r="I268" s="543" t="s">
        <v>1507</v>
      </c>
      <c r="J268" s="468"/>
      <c r="K268" s="1355"/>
      <c r="L268" s="130"/>
      <c r="M268" s="252"/>
      <c r="N268" s="245"/>
      <c r="O268" s="1469"/>
      <c r="P268" s="1469"/>
    </row>
    <row r="269" spans="1:16" s="1910" customFormat="1" ht="0.75" hidden="1" customHeight="1">
      <c r="A269" s="1623"/>
      <c r="B269" s="1623"/>
      <c r="C269" s="277" t="s">
        <v>1515</v>
      </c>
      <c r="D269" s="3685"/>
      <c r="E269" s="3483"/>
      <c r="F269" s="3614"/>
      <c r="G269" s="307"/>
      <c r="H269" s="1355"/>
      <c r="I269" s="543"/>
      <c r="J269" s="468"/>
      <c r="K269" s="1355"/>
      <c r="L269" s="130"/>
      <c r="M269" s="252"/>
      <c r="N269" s="245"/>
      <c r="O269" s="1469"/>
      <c r="P269" s="1469"/>
    </row>
    <row r="270" spans="1:16" s="1910" customFormat="1" ht="18.75" hidden="1" customHeight="1">
      <c r="A270" s="1623" t="s">
        <v>441</v>
      </c>
      <c r="B270" s="1623" t="s">
        <v>442</v>
      </c>
      <c r="C270" s="277"/>
      <c r="D270" s="3685"/>
      <c r="E270" s="3483"/>
      <c r="F270" s="3614" t="str">
        <f>INDEX(PT_DIFFERENTIATION_VTAR,MATCH(A270,PT_DIFFERENTIATION_VTAR_ID,0))</f>
        <v>Тарифы на услуги по передаче тепловой энергии</v>
      </c>
      <c r="G270" s="3651" t="str">
        <f>INDEX(PT_DIFFERENTIATION_NTAR,MATCH(B270,PT_DIFFERENTIATION_NTAR_ID,0))</f>
        <v/>
      </c>
      <c r="H270" s="1702"/>
      <c r="I270" s="1582"/>
      <c r="J270" s="1616"/>
      <c r="K270" s="1621"/>
      <c r="L270" s="1702" t="s">
        <v>566</v>
      </c>
      <c r="M270" s="252"/>
      <c r="N270" s="245"/>
      <c r="O270" s="1469"/>
      <c r="P270" s="1469"/>
    </row>
    <row r="271" spans="1:16" s="1910" customFormat="1" ht="18.75" hidden="1" customHeight="1">
      <c r="A271" s="1623"/>
      <c r="B271" s="1623"/>
      <c r="C271" s="277" t="s">
        <v>1508</v>
      </c>
      <c r="D271" s="3685"/>
      <c r="E271" s="3483"/>
      <c r="F271" s="3614"/>
      <c r="G271" s="3651"/>
      <c r="H271" s="1355"/>
      <c r="I271" s="543" t="s">
        <v>1507</v>
      </c>
      <c r="J271" s="468"/>
      <c r="K271" s="1355"/>
      <c r="L271" s="130"/>
      <c r="M271" s="252"/>
      <c r="N271" s="245"/>
      <c r="O271" s="1469"/>
      <c r="P271" s="1469"/>
    </row>
    <row r="272" spans="1:16" s="1910" customFormat="1" ht="0.75" hidden="1" customHeight="1">
      <c r="A272" s="1623"/>
      <c r="B272" s="1623"/>
      <c r="C272" s="277" t="s">
        <v>1515</v>
      </c>
      <c r="D272" s="3685"/>
      <c r="E272" s="3483"/>
      <c r="F272" s="3614"/>
      <c r="G272" s="307"/>
      <c r="H272" s="1355"/>
      <c r="I272" s="543"/>
      <c r="J272" s="468"/>
      <c r="K272" s="1355"/>
      <c r="L272" s="130"/>
      <c r="M272" s="252"/>
      <c r="N272" s="245"/>
      <c r="O272" s="1469"/>
      <c r="P272" s="1469"/>
    </row>
    <row r="273" spans="1:16" s="1910" customFormat="1" ht="18.75" hidden="1" customHeight="1">
      <c r="A273" s="1623" t="s">
        <v>447</v>
      </c>
      <c r="B273" s="1623" t="s">
        <v>448</v>
      </c>
      <c r="C273" s="277"/>
      <c r="D273" s="3685"/>
      <c r="E273" s="3483"/>
      <c r="F273" s="3614" t="str">
        <f>INDEX(PT_DIFFERENTIATION_VTAR,MATCH(A273,PT_DIFFERENTIATION_VTAR_ID,0))</f>
        <v>Тарифы на услуги по передаче теплоносителя</v>
      </c>
      <c r="G273" s="3651" t="str">
        <f>INDEX(PT_DIFFERENTIATION_NTAR,MATCH(B273,PT_DIFFERENTIATION_NTAR_ID,0))</f>
        <v/>
      </c>
      <c r="H273" s="1702"/>
      <c r="I273" s="1582"/>
      <c r="J273" s="1616"/>
      <c r="K273" s="1621"/>
      <c r="L273" s="1702" t="s">
        <v>566</v>
      </c>
      <c r="M273" s="252"/>
      <c r="N273" s="245"/>
      <c r="O273" s="1469"/>
      <c r="P273" s="1469"/>
    </row>
    <row r="274" spans="1:16" s="1910" customFormat="1" ht="18.75" hidden="1" customHeight="1">
      <c r="A274" s="1623"/>
      <c r="B274" s="1623"/>
      <c r="C274" s="277" t="s">
        <v>1508</v>
      </c>
      <c r="D274" s="3685"/>
      <c r="E274" s="3483"/>
      <c r="F274" s="3614"/>
      <c r="G274" s="3651"/>
      <c r="H274" s="1355"/>
      <c r="I274" s="543" t="s">
        <v>1507</v>
      </c>
      <c r="J274" s="468"/>
      <c r="K274" s="1355"/>
      <c r="L274" s="130"/>
      <c r="M274" s="252"/>
      <c r="N274" s="245"/>
      <c r="O274" s="1469"/>
      <c r="P274" s="1469"/>
    </row>
    <row r="275" spans="1:16" s="1910" customFormat="1" ht="0.75" hidden="1" customHeight="1">
      <c r="A275" s="1623"/>
      <c r="B275" s="1623"/>
      <c r="C275" s="277" t="s">
        <v>1515</v>
      </c>
      <c r="D275" s="3685"/>
      <c r="E275" s="3483"/>
      <c r="F275" s="3614"/>
      <c r="G275" s="307"/>
      <c r="H275" s="1355"/>
      <c r="I275" s="543"/>
      <c r="J275" s="468"/>
      <c r="K275" s="1355"/>
      <c r="L275" s="130"/>
      <c r="M275" s="252"/>
      <c r="N275" s="245"/>
      <c r="O275" s="1469"/>
      <c r="P275" s="1469"/>
    </row>
    <row r="276" spans="1:16" s="1910" customFormat="1" ht="18.75" hidden="1" customHeight="1">
      <c r="A276" s="1623" t="s">
        <v>453</v>
      </c>
      <c r="B276" s="1623" t="s">
        <v>454</v>
      </c>
      <c r="C276" s="277"/>
      <c r="D276" s="3685"/>
      <c r="E276" s="3483"/>
      <c r="F276" s="3614" t="str">
        <f>INDEX(PT_DIFFERENTIATION_VTAR,MATCH(A276,PT_DIFFERENTIATION_VTAR_ID,0))</f>
        <v>Плата за услуги по поддержанию резервной тепловой мощности при отсутствии потребления тепловой энергии</v>
      </c>
      <c r="G276" s="3651" t="str">
        <f>INDEX(PT_DIFFERENTIATION_NTAR,MATCH(B276,PT_DIFFERENTIATION_NTAR_ID,0))</f>
        <v/>
      </c>
      <c r="H276" s="1702"/>
      <c r="I276" s="1582"/>
      <c r="J276" s="1616"/>
      <c r="K276" s="1621"/>
      <c r="L276" s="1702" t="s">
        <v>566</v>
      </c>
      <c r="M276" s="252"/>
      <c r="N276" s="245"/>
      <c r="O276" s="1469"/>
      <c r="P276" s="1469"/>
    </row>
    <row r="277" spans="1:16" s="1910" customFormat="1" ht="18.75" hidden="1" customHeight="1">
      <c r="A277" s="1623"/>
      <c r="B277" s="1623"/>
      <c r="C277" s="277" t="s">
        <v>1508</v>
      </c>
      <c r="D277" s="3685"/>
      <c r="E277" s="3483"/>
      <c r="F277" s="3614"/>
      <c r="G277" s="3651"/>
      <c r="H277" s="1355"/>
      <c r="I277" s="543" t="s">
        <v>1507</v>
      </c>
      <c r="J277" s="468"/>
      <c r="K277" s="1355"/>
      <c r="L277" s="130"/>
      <c r="M277" s="252"/>
      <c r="N277" s="245"/>
      <c r="O277" s="1469"/>
      <c r="P277" s="1469"/>
    </row>
    <row r="278" spans="1:16" s="1910" customFormat="1" ht="0.75" hidden="1" customHeight="1">
      <c r="A278" s="1623"/>
      <c r="B278" s="1623"/>
      <c r="C278" s="277" t="s">
        <v>1515</v>
      </c>
      <c r="D278" s="3685"/>
      <c r="E278" s="3483"/>
      <c r="F278" s="3614"/>
      <c r="G278" s="307"/>
      <c r="H278" s="1355"/>
      <c r="I278" s="543"/>
      <c r="J278" s="468"/>
      <c r="K278" s="1355"/>
      <c r="L278" s="130"/>
      <c r="M278" s="252"/>
      <c r="N278" s="245"/>
      <c r="O278" s="1469"/>
      <c r="P278" s="1469"/>
    </row>
    <row r="279" spans="1:16" s="1910" customFormat="1" ht="18.75" hidden="1" customHeight="1">
      <c r="A279" s="1623" t="s">
        <v>459</v>
      </c>
      <c r="B279" s="1623" t="s">
        <v>460</v>
      </c>
      <c r="C279" s="277"/>
      <c r="D279" s="3685"/>
      <c r="E279" s="3483"/>
      <c r="F279" s="3614" t="str">
        <f>INDEX(PT_DIFFERENTIATION_VTAR,MATCH(A279,PT_DIFFERENTIATION_VTAR_ID,0))</f>
        <v>Плата за подключение (технологическое присоединение) к системе теплоснабжения</v>
      </c>
      <c r="G279" s="3651" t="str">
        <f>INDEX(PT_DIFFERENTIATION_NTAR,MATCH(B279,PT_DIFFERENTIATION_NTAR_ID,0))</f>
        <v/>
      </c>
      <c r="H279" s="1702"/>
      <c r="I279" s="1582"/>
      <c r="J279" s="1616"/>
      <c r="K279" s="1621"/>
      <c r="L279" s="1702" t="s">
        <v>566</v>
      </c>
      <c r="M279" s="252"/>
      <c r="N279" s="245"/>
      <c r="O279" s="1469"/>
      <c r="P279" s="1469"/>
    </row>
    <row r="280" spans="1:16" s="1910" customFormat="1" ht="18.75" hidden="1" customHeight="1">
      <c r="A280" s="1623"/>
      <c r="B280" s="1623"/>
      <c r="C280" s="277" t="s">
        <v>1508</v>
      </c>
      <c r="D280" s="3685"/>
      <c r="E280" s="3483"/>
      <c r="F280" s="3614"/>
      <c r="G280" s="3651"/>
      <c r="H280" s="1355"/>
      <c r="I280" s="543" t="s">
        <v>1507</v>
      </c>
      <c r="J280" s="468"/>
      <c r="K280" s="1355"/>
      <c r="L280" s="130"/>
      <c r="M280" s="252"/>
      <c r="N280" s="245"/>
      <c r="O280" s="1469"/>
      <c r="P280" s="1469"/>
    </row>
    <row r="281" spans="1:16" s="1910" customFormat="1" ht="0.75" hidden="1" customHeight="1">
      <c r="A281" s="1623"/>
      <c r="B281" s="1623"/>
      <c r="C281" s="277" t="s">
        <v>1515</v>
      </c>
      <c r="D281" s="3685"/>
      <c r="E281" s="3483"/>
      <c r="F281" s="3614"/>
      <c r="G281" s="307"/>
      <c r="H281" s="1355"/>
      <c r="I281" s="543"/>
      <c r="J281" s="468"/>
      <c r="K281" s="1355"/>
      <c r="L281" s="130"/>
      <c r="M281" s="252"/>
      <c r="N281" s="245"/>
      <c r="O281" s="1469"/>
      <c r="P281" s="1469"/>
    </row>
    <row r="282" spans="1:16" s="1910" customFormat="1" ht="18.75" hidden="1" customHeight="1">
      <c r="A282" s="1623" t="s">
        <v>485</v>
      </c>
      <c r="B282" s="1623" t="s">
        <v>486</v>
      </c>
      <c r="C282" s="277"/>
      <c r="D282" s="3685"/>
      <c r="E282" s="3483"/>
      <c r="F282" s="3614" t="str">
        <f>INDEX(PT_DIFFERENTIATION_VTAR,MATCH(A282,PT_DIFFERENTIATION_VTAR_ID,0))</f>
        <v>Тариф на питьевую воду (питьевое водоснабжение)</v>
      </c>
      <c r="G282" s="3651" t="str">
        <f>INDEX(PT_DIFFERENTIATION_NTAR,MATCH(B282,PT_DIFFERENTIATION_NTAR_ID,0))</f>
        <v/>
      </c>
      <c r="H282" s="1702"/>
      <c r="I282" s="1582"/>
      <c r="J282" s="1616"/>
      <c r="K282" s="1621"/>
      <c r="L282" s="1702" t="s">
        <v>566</v>
      </c>
      <c r="M282" s="252"/>
      <c r="N282" s="245"/>
      <c r="O282" s="1469"/>
      <c r="P282" s="1469"/>
    </row>
    <row r="283" spans="1:16" s="1910" customFormat="1" ht="18.75" hidden="1" customHeight="1">
      <c r="A283" s="1623"/>
      <c r="B283" s="1623"/>
      <c r="C283" s="277" t="s">
        <v>1508</v>
      </c>
      <c r="D283" s="3685"/>
      <c r="E283" s="3483"/>
      <c r="F283" s="3614"/>
      <c r="G283" s="3651"/>
      <c r="H283" s="1355"/>
      <c r="I283" s="543" t="s">
        <v>1507</v>
      </c>
      <c r="J283" s="468"/>
      <c r="K283" s="1355"/>
      <c r="L283" s="130"/>
      <c r="M283" s="252"/>
      <c r="N283" s="245"/>
      <c r="O283" s="1469"/>
      <c r="P283" s="1469"/>
    </row>
    <row r="284" spans="1:16" s="1910" customFormat="1" ht="0.75" hidden="1" customHeight="1">
      <c r="A284" s="1623"/>
      <c r="B284" s="1623"/>
      <c r="C284" s="277" t="s">
        <v>1515</v>
      </c>
      <c r="D284" s="3685"/>
      <c r="E284" s="3483"/>
      <c r="F284" s="3614"/>
      <c r="G284" s="307"/>
      <c r="H284" s="1355"/>
      <c r="I284" s="543"/>
      <c r="J284" s="468"/>
      <c r="K284" s="1355"/>
      <c r="L284" s="130"/>
      <c r="M284" s="252"/>
      <c r="N284" s="245"/>
      <c r="O284" s="1469"/>
      <c r="P284" s="1469"/>
    </row>
    <row r="285" spans="1:16" s="1910" customFormat="1" ht="18.75" hidden="1" customHeight="1">
      <c r="A285" s="1623" t="s">
        <v>490</v>
      </c>
      <c r="B285" s="1623" t="s">
        <v>491</v>
      </c>
      <c r="C285" s="277"/>
      <c r="D285" s="3685"/>
      <c r="E285" s="3483"/>
      <c r="F285" s="3614" t="str">
        <f>INDEX(PT_DIFFERENTIATION_VTAR,MATCH(A285,PT_DIFFERENTIATION_VTAR_ID,0))</f>
        <v>Тариф на техническую воду</v>
      </c>
      <c r="G285" s="3651" t="str">
        <f>INDEX(PT_DIFFERENTIATION_NTAR,MATCH(B285,PT_DIFFERENTIATION_NTAR_ID,0))</f>
        <v/>
      </c>
      <c r="H285" s="1702"/>
      <c r="I285" s="1582"/>
      <c r="J285" s="1616"/>
      <c r="K285" s="1621"/>
      <c r="L285" s="1702" t="s">
        <v>566</v>
      </c>
      <c r="M285" s="252"/>
      <c r="N285" s="245"/>
      <c r="O285" s="1469"/>
      <c r="P285" s="1469"/>
    </row>
    <row r="286" spans="1:16" s="1910" customFormat="1" ht="18.75" hidden="1" customHeight="1">
      <c r="A286" s="1623"/>
      <c r="B286" s="1623"/>
      <c r="C286" s="277" t="s">
        <v>1508</v>
      </c>
      <c r="D286" s="3685"/>
      <c r="E286" s="3483"/>
      <c r="F286" s="3614"/>
      <c r="G286" s="3651"/>
      <c r="H286" s="1355"/>
      <c r="I286" s="543" t="s">
        <v>1507</v>
      </c>
      <c r="J286" s="468"/>
      <c r="K286" s="1355"/>
      <c r="L286" s="130"/>
      <c r="M286" s="252"/>
      <c r="N286" s="245"/>
      <c r="O286" s="1469"/>
      <c r="P286" s="1469"/>
    </row>
    <row r="287" spans="1:16" s="1910" customFormat="1" ht="0.75" hidden="1" customHeight="1">
      <c r="A287" s="1623"/>
      <c r="B287" s="1623"/>
      <c r="C287" s="277" t="s">
        <v>1515</v>
      </c>
      <c r="D287" s="3685"/>
      <c r="E287" s="3483"/>
      <c r="F287" s="3614"/>
      <c r="G287" s="307"/>
      <c r="H287" s="1355"/>
      <c r="I287" s="543"/>
      <c r="J287" s="468"/>
      <c r="K287" s="1355"/>
      <c r="L287" s="130"/>
      <c r="M287" s="252"/>
      <c r="N287" s="245"/>
      <c r="O287" s="1469"/>
      <c r="P287" s="1469"/>
    </row>
    <row r="288" spans="1:16" s="1910" customFormat="1" ht="18.75" hidden="1" customHeight="1">
      <c r="A288" s="1623" t="s">
        <v>495</v>
      </c>
      <c r="B288" s="1623" t="s">
        <v>496</v>
      </c>
      <c r="C288" s="277"/>
      <c r="D288" s="3685"/>
      <c r="E288" s="3483"/>
      <c r="F288" s="3614" t="str">
        <f>INDEX(PT_DIFFERENTIATION_VTAR,MATCH(A288,PT_DIFFERENTIATION_VTAR_ID,0))</f>
        <v>Тариф на транспортировку воды</v>
      </c>
      <c r="G288" s="3651" t="str">
        <f>INDEX(PT_DIFFERENTIATION_NTAR,MATCH(B288,PT_DIFFERENTIATION_NTAR_ID,0))</f>
        <v/>
      </c>
      <c r="H288" s="1702"/>
      <c r="I288" s="1582"/>
      <c r="J288" s="1616"/>
      <c r="K288" s="1621"/>
      <c r="L288" s="1702" t="s">
        <v>566</v>
      </c>
      <c r="M288" s="252"/>
      <c r="N288" s="245"/>
      <c r="O288" s="1469"/>
      <c r="P288" s="1469"/>
    </row>
    <row r="289" spans="1:16" s="1910" customFormat="1" ht="18.75" hidden="1" customHeight="1">
      <c r="A289" s="1623"/>
      <c r="B289" s="1623"/>
      <c r="C289" s="277" t="s">
        <v>1508</v>
      </c>
      <c r="D289" s="3685"/>
      <c r="E289" s="3483"/>
      <c r="F289" s="3614"/>
      <c r="G289" s="3651"/>
      <c r="H289" s="1355"/>
      <c r="I289" s="543" t="s">
        <v>1507</v>
      </c>
      <c r="J289" s="468"/>
      <c r="K289" s="1355"/>
      <c r="L289" s="130"/>
      <c r="M289" s="252"/>
      <c r="N289" s="245"/>
      <c r="O289" s="1469"/>
      <c r="P289" s="1469"/>
    </row>
    <row r="290" spans="1:16" s="1910" customFormat="1" ht="0.75" hidden="1" customHeight="1">
      <c r="A290" s="1623"/>
      <c r="B290" s="1623"/>
      <c r="C290" s="277" t="s">
        <v>1515</v>
      </c>
      <c r="D290" s="3685"/>
      <c r="E290" s="3483"/>
      <c r="F290" s="3614"/>
      <c r="G290" s="307"/>
      <c r="H290" s="1355"/>
      <c r="I290" s="543"/>
      <c r="J290" s="468"/>
      <c r="K290" s="1355"/>
      <c r="L290" s="130"/>
      <c r="M290" s="252"/>
      <c r="N290" s="245"/>
      <c r="O290" s="1469"/>
      <c r="P290" s="1469"/>
    </row>
    <row r="291" spans="1:16" s="1910" customFormat="1" ht="18.75" hidden="1" customHeight="1">
      <c r="A291" s="1623" t="s">
        <v>500</v>
      </c>
      <c r="B291" s="1623" t="s">
        <v>501</v>
      </c>
      <c r="C291" s="277"/>
      <c r="D291" s="3685"/>
      <c r="E291" s="3483"/>
      <c r="F291" s="3614" t="str">
        <f>INDEX(PT_DIFFERENTIATION_VTAR,MATCH(A291,PT_DIFFERENTIATION_VTAR_ID,0))</f>
        <v>Тариф на подвоз воды</v>
      </c>
      <c r="G291" s="3651" t="str">
        <f>INDEX(PT_DIFFERENTIATION_NTAR,MATCH(B291,PT_DIFFERENTIATION_NTAR_ID,0))</f>
        <v/>
      </c>
      <c r="H291" s="1702"/>
      <c r="I291" s="1582"/>
      <c r="J291" s="1616"/>
      <c r="K291" s="1621"/>
      <c r="L291" s="1702" t="s">
        <v>566</v>
      </c>
      <c r="M291" s="252"/>
      <c r="N291" s="245"/>
      <c r="O291" s="1469"/>
      <c r="P291" s="1469"/>
    </row>
    <row r="292" spans="1:16" s="1910" customFormat="1" ht="18.75" hidden="1" customHeight="1">
      <c r="A292" s="1623"/>
      <c r="B292" s="1623"/>
      <c r="C292" s="277" t="s">
        <v>1508</v>
      </c>
      <c r="D292" s="3685"/>
      <c r="E292" s="3483"/>
      <c r="F292" s="3614"/>
      <c r="G292" s="3651"/>
      <c r="H292" s="1355"/>
      <c r="I292" s="543" t="s">
        <v>1507</v>
      </c>
      <c r="J292" s="468"/>
      <c r="K292" s="1355"/>
      <c r="L292" s="130"/>
      <c r="M292" s="252"/>
      <c r="N292" s="245"/>
      <c r="O292" s="1469"/>
      <c r="P292" s="1469"/>
    </row>
    <row r="293" spans="1:16" s="1910" customFormat="1" ht="0.75" hidden="1" customHeight="1">
      <c r="A293" s="1623"/>
      <c r="B293" s="1623"/>
      <c r="C293" s="277" t="s">
        <v>1515</v>
      </c>
      <c r="D293" s="3685"/>
      <c r="E293" s="3483"/>
      <c r="F293" s="3614"/>
      <c r="G293" s="307"/>
      <c r="H293" s="1355"/>
      <c r="I293" s="543"/>
      <c r="J293" s="468"/>
      <c r="K293" s="1355"/>
      <c r="L293" s="130"/>
      <c r="M293" s="252"/>
      <c r="N293" s="245"/>
      <c r="O293" s="1469"/>
      <c r="P293" s="1469"/>
    </row>
    <row r="294" spans="1:16" s="1910" customFormat="1" ht="18.75" hidden="1" customHeight="1">
      <c r="A294" s="1623" t="s">
        <v>505</v>
      </c>
      <c r="B294" s="1623" t="s">
        <v>506</v>
      </c>
      <c r="C294" s="277"/>
      <c r="D294" s="3685"/>
      <c r="E294" s="3483"/>
      <c r="F294" s="3614" t="e">
        <f>INDEX(PT_DIFFERENTIATION_VTAR,MATCH(A294,PT_DIFFERENTIATION_VTAR_ID,0))</f>
        <v>#REF!</v>
      </c>
      <c r="G294" s="3651" t="e">
        <f>INDEX(PT_DIFFERENTIATION_NTAR,MATCH(B294,PT_DIFFERENTIATION_NTAR_ID,0))</f>
        <v>#REF!</v>
      </c>
      <c r="H294" s="1702"/>
      <c r="I294" s="1582"/>
      <c r="J294" s="1616"/>
      <c r="K294" s="1621"/>
      <c r="L294" s="1702" t="s">
        <v>566</v>
      </c>
      <c r="M294" s="252"/>
      <c r="N294" s="245"/>
      <c r="O294" s="1469"/>
      <c r="P294" s="1469"/>
    </row>
    <row r="295" spans="1:16" s="1910" customFormat="1" ht="18.75" hidden="1" customHeight="1">
      <c r="A295" s="1623"/>
      <c r="B295" s="1623"/>
      <c r="C295" s="277" t="s">
        <v>1508</v>
      </c>
      <c r="D295" s="3685"/>
      <c r="E295" s="3483"/>
      <c r="F295" s="3614"/>
      <c r="G295" s="3651"/>
      <c r="H295" s="1355"/>
      <c r="I295" s="543" t="s">
        <v>1507</v>
      </c>
      <c r="J295" s="468"/>
      <c r="K295" s="1355"/>
      <c r="L295" s="130"/>
      <c r="M295" s="252"/>
      <c r="N295" s="245"/>
      <c r="O295" s="1469"/>
      <c r="P295" s="1469"/>
    </row>
    <row r="296" spans="1:16" s="1910" customFormat="1" ht="0.75" hidden="1" customHeight="1">
      <c r="A296" s="1623"/>
      <c r="B296" s="1623"/>
      <c r="C296" s="277" t="s">
        <v>1515</v>
      </c>
      <c r="D296" s="3685"/>
      <c r="E296" s="3483"/>
      <c r="F296" s="3614"/>
      <c r="G296" s="307"/>
      <c r="H296" s="1355"/>
      <c r="I296" s="543"/>
      <c r="J296" s="468"/>
      <c r="K296" s="1355"/>
      <c r="L296" s="130"/>
      <c r="M296" s="252"/>
      <c r="N296" s="245"/>
      <c r="O296" s="1469"/>
      <c r="P296" s="1469"/>
    </row>
    <row r="297" spans="1:16" s="1910" customFormat="1" ht="18.75" hidden="1" customHeight="1">
      <c r="A297" s="1623" t="s">
        <v>510</v>
      </c>
      <c r="B297" s="1623" t="s">
        <v>511</v>
      </c>
      <c r="C297" s="277"/>
      <c r="D297" s="3685"/>
      <c r="E297" s="3483"/>
      <c r="F297" s="3614" t="str">
        <f>INDEX(PT_DIFFERENTIATION_VTAR,MATCH(A297,PT_DIFFERENTIATION_VTAR_ID,0))</f>
        <v>Тариф на горячую воду (горячее водоснабжение)</v>
      </c>
      <c r="G297" s="3651" t="str">
        <f>INDEX(PT_DIFFERENTIATION_NTAR,MATCH(B297,PT_DIFFERENTIATION_NTAR_ID,0))</f>
        <v/>
      </c>
      <c r="H297" s="1702"/>
      <c r="I297" s="1582"/>
      <c r="J297" s="1616"/>
      <c r="K297" s="1621"/>
      <c r="L297" s="1702" t="s">
        <v>566</v>
      </c>
      <c r="M297" s="252"/>
      <c r="N297" s="245"/>
      <c r="O297" s="1469"/>
      <c r="P297" s="1469"/>
    </row>
    <row r="298" spans="1:16" s="1910" customFormat="1" ht="18.75" hidden="1" customHeight="1">
      <c r="A298" s="1623"/>
      <c r="B298" s="1623"/>
      <c r="C298" s="277" t="s">
        <v>1508</v>
      </c>
      <c r="D298" s="3685"/>
      <c r="E298" s="3483"/>
      <c r="F298" s="3614"/>
      <c r="G298" s="3651"/>
      <c r="H298" s="1355"/>
      <c r="I298" s="543" t="s">
        <v>1507</v>
      </c>
      <c r="J298" s="468"/>
      <c r="K298" s="1355"/>
      <c r="L298" s="130"/>
      <c r="M298" s="252"/>
      <c r="N298" s="245"/>
      <c r="O298" s="1469"/>
      <c r="P298" s="1469"/>
    </row>
    <row r="299" spans="1:16" s="1910" customFormat="1" ht="0.75" hidden="1" customHeight="1">
      <c r="A299" s="1623"/>
      <c r="B299" s="1623"/>
      <c r="C299" s="277" t="s">
        <v>1515</v>
      </c>
      <c r="D299" s="3685"/>
      <c r="E299" s="3483"/>
      <c r="F299" s="3614"/>
      <c r="G299" s="307"/>
      <c r="H299" s="1355"/>
      <c r="I299" s="543"/>
      <c r="J299" s="468"/>
      <c r="K299" s="1355"/>
      <c r="L299" s="130"/>
      <c r="M299" s="252"/>
      <c r="N299" s="245"/>
      <c r="O299" s="1469"/>
      <c r="P299" s="1469"/>
    </row>
    <row r="300" spans="1:16" s="1910" customFormat="1" ht="18.75" hidden="1" customHeight="1">
      <c r="A300" s="1623" t="s">
        <v>515</v>
      </c>
      <c r="B300" s="1623" t="s">
        <v>516</v>
      </c>
      <c r="C300" s="277"/>
      <c r="D300" s="3685"/>
      <c r="E300" s="3483"/>
      <c r="F300" s="3614" t="str">
        <f>INDEX(PT_DIFFERENTIATION_VTAR,MATCH(A300,PT_DIFFERENTIATION_VTAR_ID,0))</f>
        <v>Тариф на транспортировку горячей воды</v>
      </c>
      <c r="G300" s="3651" t="str">
        <f>INDEX(PT_DIFFERENTIATION_NTAR,MATCH(B300,PT_DIFFERENTIATION_NTAR_ID,0))</f>
        <v/>
      </c>
      <c r="H300" s="1702"/>
      <c r="I300" s="1582"/>
      <c r="J300" s="1616"/>
      <c r="K300" s="1621"/>
      <c r="L300" s="1702" t="s">
        <v>566</v>
      </c>
      <c r="M300" s="252"/>
      <c r="N300" s="245"/>
      <c r="O300" s="1469"/>
      <c r="P300" s="1469"/>
    </row>
    <row r="301" spans="1:16" s="1910" customFormat="1" ht="18.75" hidden="1" customHeight="1">
      <c r="A301" s="1623"/>
      <c r="B301" s="1623"/>
      <c r="C301" s="277" t="s">
        <v>1508</v>
      </c>
      <c r="D301" s="3685"/>
      <c r="E301" s="3483"/>
      <c r="F301" s="3614"/>
      <c r="G301" s="3651"/>
      <c r="H301" s="1355"/>
      <c r="I301" s="543" t="s">
        <v>1507</v>
      </c>
      <c r="J301" s="468"/>
      <c r="K301" s="1355"/>
      <c r="L301" s="130"/>
      <c r="M301" s="252"/>
      <c r="N301" s="245"/>
      <c r="O301" s="1469"/>
      <c r="P301" s="1469"/>
    </row>
    <row r="302" spans="1:16" s="1910" customFormat="1" ht="0.75" hidden="1" customHeight="1">
      <c r="A302" s="1623"/>
      <c r="B302" s="1623"/>
      <c r="C302" s="277" t="s">
        <v>1515</v>
      </c>
      <c r="D302" s="3685"/>
      <c r="E302" s="3483"/>
      <c r="F302" s="3614"/>
      <c r="G302" s="307"/>
      <c r="H302" s="1355"/>
      <c r="I302" s="543"/>
      <c r="J302" s="468"/>
      <c r="K302" s="1355"/>
      <c r="L302" s="130"/>
      <c r="M302" s="252"/>
      <c r="N302" s="245"/>
      <c r="O302" s="1469"/>
      <c r="P302" s="1469"/>
    </row>
    <row r="303" spans="1:16" s="1910" customFormat="1" ht="18.75" hidden="1" customHeight="1">
      <c r="A303" s="1623" t="s">
        <v>520</v>
      </c>
      <c r="B303" s="1623" t="s">
        <v>521</v>
      </c>
      <c r="C303" s="277"/>
      <c r="D303" s="3685"/>
      <c r="E303" s="3483"/>
      <c r="F303" s="3614" t="e">
        <f>INDEX(PT_DIFFERENTIATION_VTAR,MATCH(A303,PT_DIFFERENTIATION_VTAR_ID,0))</f>
        <v>#REF!</v>
      </c>
      <c r="G303" s="3651" t="e">
        <f>INDEX(PT_DIFFERENTIATION_NTAR,MATCH(B303,PT_DIFFERENTIATION_NTAR_ID,0))</f>
        <v>#REF!</v>
      </c>
      <c r="H303" s="1702"/>
      <c r="I303" s="1582"/>
      <c r="J303" s="1616"/>
      <c r="K303" s="1621"/>
      <c r="L303" s="1702" t="s">
        <v>566</v>
      </c>
      <c r="M303" s="252"/>
      <c r="N303" s="245"/>
      <c r="O303" s="1469"/>
      <c r="P303" s="1469"/>
    </row>
    <row r="304" spans="1:16" s="1910" customFormat="1" ht="18.75" hidden="1" customHeight="1">
      <c r="A304" s="1623"/>
      <c r="B304" s="1623"/>
      <c r="C304" s="277" t="s">
        <v>1508</v>
      </c>
      <c r="D304" s="3685"/>
      <c r="E304" s="3483"/>
      <c r="F304" s="3614"/>
      <c r="G304" s="3651"/>
      <c r="H304" s="1355"/>
      <c r="I304" s="543" t="s">
        <v>1507</v>
      </c>
      <c r="J304" s="468"/>
      <c r="K304" s="1355"/>
      <c r="L304" s="130"/>
      <c r="M304" s="252"/>
      <c r="N304" s="245"/>
      <c r="O304" s="1469"/>
      <c r="P304" s="1469"/>
    </row>
    <row r="305" spans="1:16" s="1910" customFormat="1" ht="0.75" hidden="1" customHeight="1">
      <c r="A305" s="1623"/>
      <c r="B305" s="1623"/>
      <c r="C305" s="277" t="s">
        <v>1515</v>
      </c>
      <c r="D305" s="3685"/>
      <c r="E305" s="3483"/>
      <c r="F305" s="3614"/>
      <c r="G305" s="307"/>
      <c r="H305" s="1355"/>
      <c r="I305" s="543"/>
      <c r="J305" s="468"/>
      <c r="K305" s="1355"/>
      <c r="L305" s="130"/>
      <c r="M305" s="252"/>
      <c r="N305" s="245"/>
      <c r="O305" s="1469"/>
      <c r="P305" s="1469"/>
    </row>
    <row r="306" spans="1:16" s="1910" customFormat="1" ht="18.75" hidden="1" customHeight="1">
      <c r="A306" s="1623" t="s">
        <v>525</v>
      </c>
      <c r="B306" s="1623" t="s">
        <v>526</v>
      </c>
      <c r="C306" s="277"/>
      <c r="D306" s="3685"/>
      <c r="E306" s="3483"/>
      <c r="F306" s="3614" t="str">
        <f>INDEX(PT_DIFFERENTIATION_VTAR,MATCH(A306,PT_DIFFERENTIATION_VTAR_ID,0))</f>
        <v>Тариф на водоотведение</v>
      </c>
      <c r="G306" s="3651" t="str">
        <f>INDEX(PT_DIFFERENTIATION_NTAR,MATCH(B306,PT_DIFFERENTIATION_NTAR_ID,0))</f>
        <v/>
      </c>
      <c r="H306" s="1702"/>
      <c r="I306" s="1582"/>
      <c r="J306" s="1616"/>
      <c r="K306" s="1621"/>
      <c r="L306" s="1702" t="s">
        <v>566</v>
      </c>
      <c r="M306" s="252"/>
      <c r="N306" s="245"/>
      <c r="O306" s="1469"/>
      <c r="P306" s="1469"/>
    </row>
    <row r="307" spans="1:16" s="1910" customFormat="1" ht="18.75" hidden="1" customHeight="1">
      <c r="A307" s="1623"/>
      <c r="B307" s="1623"/>
      <c r="C307" s="277" t="s">
        <v>1508</v>
      </c>
      <c r="D307" s="3685"/>
      <c r="E307" s="3483"/>
      <c r="F307" s="3614"/>
      <c r="G307" s="3651"/>
      <c r="H307" s="1355"/>
      <c r="I307" s="543" t="s">
        <v>1507</v>
      </c>
      <c r="J307" s="468"/>
      <c r="K307" s="1355"/>
      <c r="L307" s="130"/>
      <c r="M307" s="252"/>
      <c r="N307" s="245"/>
      <c r="O307" s="1469"/>
      <c r="P307" s="1469"/>
    </row>
    <row r="308" spans="1:16" s="1910" customFormat="1" ht="0.75" hidden="1" customHeight="1">
      <c r="A308" s="1623"/>
      <c r="B308" s="1623"/>
      <c r="C308" s="277" t="s">
        <v>1515</v>
      </c>
      <c r="D308" s="3685"/>
      <c r="E308" s="3483"/>
      <c r="F308" s="3614"/>
      <c r="G308" s="307"/>
      <c r="H308" s="1355"/>
      <c r="I308" s="543"/>
      <c r="J308" s="468"/>
      <c r="K308" s="1355"/>
      <c r="L308" s="130"/>
      <c r="M308" s="252"/>
      <c r="N308" s="245"/>
      <c r="O308" s="1469"/>
      <c r="P308" s="1469"/>
    </row>
    <row r="309" spans="1:16" s="1910" customFormat="1" ht="18.75" hidden="1" customHeight="1">
      <c r="A309" s="1623" t="s">
        <v>530</v>
      </c>
      <c r="B309" s="1623" t="s">
        <v>531</v>
      </c>
      <c r="C309" s="277"/>
      <c r="D309" s="3685"/>
      <c r="E309" s="3483"/>
      <c r="F309" s="3614" t="str">
        <f>INDEX(PT_DIFFERENTIATION_VTAR,MATCH(A309,PT_DIFFERENTIATION_VTAR_ID,0))</f>
        <v>Тариф на транспортировку сточных вод</v>
      </c>
      <c r="G309" s="3651" t="str">
        <f>INDEX(PT_DIFFERENTIATION_NTAR,MATCH(B309,PT_DIFFERENTIATION_NTAR_ID,0))</f>
        <v/>
      </c>
      <c r="H309" s="1702"/>
      <c r="I309" s="1582"/>
      <c r="J309" s="1616"/>
      <c r="K309" s="1621"/>
      <c r="L309" s="1702" t="s">
        <v>566</v>
      </c>
      <c r="M309" s="252"/>
      <c r="N309" s="245"/>
      <c r="O309" s="1469"/>
      <c r="P309" s="1469"/>
    </row>
    <row r="310" spans="1:16" s="1910" customFormat="1" ht="18.75" hidden="1" customHeight="1">
      <c r="A310" s="1623"/>
      <c r="B310" s="1623"/>
      <c r="C310" s="277" t="s">
        <v>1508</v>
      </c>
      <c r="D310" s="3685"/>
      <c r="E310" s="3483"/>
      <c r="F310" s="3614"/>
      <c r="G310" s="3651"/>
      <c r="H310" s="1355"/>
      <c r="I310" s="543" t="s">
        <v>1507</v>
      </c>
      <c r="J310" s="468"/>
      <c r="K310" s="1355"/>
      <c r="L310" s="130"/>
      <c r="M310" s="252"/>
      <c r="N310" s="245"/>
      <c r="O310" s="1469"/>
      <c r="P310" s="1469"/>
    </row>
    <row r="311" spans="1:16" s="1910" customFormat="1" ht="0.75" hidden="1" customHeight="1">
      <c r="A311" s="1623"/>
      <c r="B311" s="1623"/>
      <c r="C311" s="277" t="s">
        <v>1515</v>
      </c>
      <c r="D311" s="3685"/>
      <c r="E311" s="3483"/>
      <c r="F311" s="3614"/>
      <c r="G311" s="307"/>
      <c r="H311" s="1355"/>
      <c r="I311" s="543"/>
      <c r="J311" s="468"/>
      <c r="K311" s="1355"/>
      <c r="L311" s="130"/>
      <c r="M311" s="252"/>
      <c r="N311" s="245"/>
      <c r="O311" s="1469"/>
      <c r="P311" s="1469"/>
    </row>
    <row r="312" spans="1:16" s="1910" customFormat="1" ht="18.75" hidden="1" customHeight="1">
      <c r="A312" s="1623" t="s">
        <v>535</v>
      </c>
      <c r="B312" s="1623" t="s">
        <v>536</v>
      </c>
      <c r="C312" s="277"/>
      <c r="D312" s="3685"/>
      <c r="E312" s="3483"/>
      <c r="F312" s="3614" t="e">
        <f>INDEX(PT_DIFFERENTIATION_VTAR,MATCH(A312,PT_DIFFERENTIATION_VTAR_ID,0))</f>
        <v>#REF!</v>
      </c>
      <c r="G312" s="3651" t="e">
        <f>INDEX(PT_DIFFERENTIATION_NTAR,MATCH(B312,PT_DIFFERENTIATION_NTAR_ID,0))</f>
        <v>#REF!</v>
      </c>
      <c r="H312" s="1702"/>
      <c r="I312" s="1582"/>
      <c r="J312" s="1616"/>
      <c r="K312" s="1621"/>
      <c r="L312" s="1702" t="s">
        <v>566</v>
      </c>
      <c r="M312" s="252"/>
      <c r="N312" s="245"/>
      <c r="O312" s="1469"/>
      <c r="P312" s="1469"/>
    </row>
    <row r="313" spans="1:16" s="1910" customFormat="1" ht="18.75" hidden="1" customHeight="1">
      <c r="A313" s="1623"/>
      <c r="B313" s="1623"/>
      <c r="C313" s="277" t="s">
        <v>1508</v>
      </c>
      <c r="D313" s="3685"/>
      <c r="E313" s="3483"/>
      <c r="F313" s="3614"/>
      <c r="G313" s="3651"/>
      <c r="H313" s="1355"/>
      <c r="I313" s="543" t="s">
        <v>1507</v>
      </c>
      <c r="J313" s="468"/>
      <c r="K313" s="1355"/>
      <c r="L313" s="130"/>
      <c r="M313" s="252"/>
      <c r="N313" s="245"/>
      <c r="O313" s="1469"/>
      <c r="P313" s="1469"/>
    </row>
    <row r="314" spans="1:16" s="1910" customFormat="1" ht="0.75" customHeight="1">
      <c r="A314" s="1623"/>
      <c r="B314" s="1623"/>
      <c r="C314" s="277" t="s">
        <v>1515</v>
      </c>
      <c r="D314" s="3685"/>
      <c r="E314" s="3483"/>
      <c r="F314" s="3614"/>
      <c r="G314" s="307"/>
      <c r="H314" s="1355"/>
      <c r="I314" s="543"/>
      <c r="J314" s="468"/>
      <c r="K314" s="1355"/>
      <c r="L314" s="130"/>
      <c r="M314" s="252"/>
      <c r="N314" s="245"/>
      <c r="O314" s="1469"/>
      <c r="P314" s="1469"/>
    </row>
    <row r="315" spans="1:16" s="1937" customFormat="1" ht="3" customHeight="1">
      <c r="A315" s="1623"/>
      <c r="B315" s="1623"/>
      <c r="C315" s="1624"/>
      <c r="E315" s="309"/>
      <c r="F315" s="309"/>
      <c r="G315" s="309"/>
      <c r="H315" s="309"/>
      <c r="I315" s="309"/>
      <c r="J315" s="309"/>
      <c r="K315" s="309"/>
      <c r="L315" s="309"/>
      <c r="M315" s="309"/>
      <c r="O315" s="112"/>
      <c r="P315" s="112"/>
    </row>
    <row r="316" spans="1:16" ht="24.75" customHeight="1">
      <c r="E316" s="118"/>
      <c r="F316" s="3527"/>
      <c r="G316" s="3527"/>
      <c r="H316" s="3527"/>
      <c r="I316" s="3527"/>
      <c r="J316" s="3527"/>
      <c r="K316" s="3527"/>
      <c r="L316" s="3527"/>
      <c r="M316" s="3527"/>
    </row>
  </sheetData>
  <sheetProtection formatColumns="0" formatRows="0" insertRows="0" deleteColumns="0" deleteRows="0" sort="0" autoFilter="0"/>
  <mergeCells count="408">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 ref="G87:G88"/>
    <mergeCell ref="G90:G91"/>
    <mergeCell ref="G93:G94"/>
    <mergeCell ref="G96:G97"/>
    <mergeCell ref="G99:G100"/>
    <mergeCell ref="G102:G103"/>
    <mergeCell ref="G105:G106"/>
    <mergeCell ref="G108:G109"/>
    <mergeCell ref="G111:G112"/>
    <mergeCell ref="G57:G58"/>
    <mergeCell ref="G60:G61"/>
    <mergeCell ref="G63:G64"/>
    <mergeCell ref="G66:G67"/>
    <mergeCell ref="G69:G70"/>
    <mergeCell ref="G72:G73"/>
    <mergeCell ref="G75:G76"/>
    <mergeCell ref="G78:G79"/>
    <mergeCell ref="G84:G85"/>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D233:D235"/>
    <mergeCell ref="E233:E235"/>
    <mergeCell ref="F233:F235"/>
    <mergeCell ref="D236:D238"/>
    <mergeCell ref="E236:E238"/>
    <mergeCell ref="F236:F238"/>
    <mergeCell ref="G233:G234"/>
    <mergeCell ref="G236:G237"/>
    <mergeCell ref="G239:G240"/>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09:D211"/>
    <mergeCell ref="E209:E211"/>
    <mergeCell ref="F209:F211"/>
    <mergeCell ref="D212:D214"/>
    <mergeCell ref="E212:E214"/>
    <mergeCell ref="F212:F214"/>
    <mergeCell ref="G209:G210"/>
    <mergeCell ref="G212:G213"/>
    <mergeCell ref="G215:G216"/>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E175:E177"/>
    <mergeCell ref="F175:F177"/>
    <mergeCell ref="D184:D186"/>
    <mergeCell ref="E184:E186"/>
    <mergeCell ref="F184:F186"/>
    <mergeCell ref="D187:D189"/>
    <mergeCell ref="E187:E189"/>
    <mergeCell ref="F187:F189"/>
    <mergeCell ref="G184:G185"/>
    <mergeCell ref="G187:G188"/>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48:E150"/>
    <mergeCell ref="F148:F150"/>
    <mergeCell ref="D151:D153"/>
    <mergeCell ref="E151:E153"/>
    <mergeCell ref="F151:F153"/>
    <mergeCell ref="D160:D162"/>
    <mergeCell ref="E160:E162"/>
    <mergeCell ref="F160:F162"/>
    <mergeCell ref="D163:D165"/>
    <mergeCell ref="E163:E165"/>
    <mergeCell ref="F163:F165"/>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D129:D131"/>
    <mergeCell ref="E129:E131"/>
    <mergeCell ref="F129:F131"/>
    <mergeCell ref="D132:D134"/>
    <mergeCell ref="E132:E134"/>
    <mergeCell ref="F132:F134"/>
    <mergeCell ref="D123:D125"/>
    <mergeCell ref="E123:E125"/>
    <mergeCell ref="F123:F125"/>
    <mergeCell ref="D126:D128"/>
    <mergeCell ref="E126:E128"/>
    <mergeCell ref="F126:F128"/>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05:D107"/>
    <mergeCell ref="E105:E107"/>
    <mergeCell ref="F105:F107"/>
    <mergeCell ref="D108:D110"/>
    <mergeCell ref="E108:E110"/>
    <mergeCell ref="F108:F110"/>
    <mergeCell ref="D99:D101"/>
    <mergeCell ref="E99:E101"/>
    <mergeCell ref="F99:F101"/>
    <mergeCell ref="D102:D104"/>
    <mergeCell ref="E102:E104"/>
    <mergeCell ref="F102:F104"/>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xr:uid="{00000000-0002-0000-2D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xr:uid="{00000000-0002-0000-2D00-000001000000}">
      <formula1>900</formula1>
    </dataValidation>
    <dataValidation type="textLength" operator="lessThanOrEqual" allowBlank="1" showInputMessage="1" showErrorMessage="1" errorTitle="Ошибка" error="Допускается ввод не более 900 символов!" sqref="M142:M143 M200:M201 M23 M84:M85 M258:M259" xr:uid="{00000000-0002-0000-2D00-000002000000}">
      <formula1>900</formula1>
    </dataValidation>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xr:uid="{00000000-0002-0000-2D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71DC7-B7D8-4634-5419-54F0DBBCF602}">
  <sheetPr>
    <tabColor theme="6" tint="0.39997558519241921"/>
  </sheetPr>
  <dimension ref="A1:Q16"/>
  <sheetViews>
    <sheetView showGridLines="0" topLeftCell="C4" zoomScale="90" workbookViewId="0"/>
  </sheetViews>
  <sheetFormatPr defaultColWidth="10.5703125" defaultRowHeight="14.25" customHeight="1"/>
  <cols>
    <col min="1" max="1" width="9.140625" style="1957" hidden="1" customWidth="1"/>
    <col min="2" max="2" width="9.140625" style="1903" hidden="1" customWidth="1"/>
    <col min="3" max="3" width="3.7109375" style="1906" customWidth="1"/>
    <col min="4" max="4" width="6.28515625" style="1910" customWidth="1"/>
    <col min="5" max="5" width="53.85546875" style="1910" customWidth="1"/>
    <col min="6" max="7" width="35.7109375" style="1910" customWidth="1"/>
    <col min="8" max="8" width="89.5703125" style="1910" customWidth="1"/>
    <col min="9" max="9" width="10.5703125" style="1910"/>
    <col min="10" max="11" width="10.5703125" style="1904"/>
    <col min="12" max="17" width="10.5703125" style="1910"/>
  </cols>
  <sheetData>
    <row r="1" spans="1:17" ht="14.25" hidden="1" customHeight="1">
      <c r="N1" s="169"/>
      <c r="O1" s="169"/>
      <c r="Q1" s="169"/>
    </row>
    <row r="2" spans="1:17" s="1910" customFormat="1" ht="18.75" hidden="1" customHeight="1">
      <c r="A2" s="30"/>
      <c r="B2" s="1023"/>
      <c r="C2" s="1573" t="s">
        <v>118</v>
      </c>
      <c r="D2" s="1518"/>
      <c r="E2" s="1527"/>
      <c r="F2" s="171"/>
      <c r="G2" s="1024"/>
      <c r="H2" s="281"/>
      <c r="I2" s="1469"/>
      <c r="J2" s="1469"/>
    </row>
    <row r="3" spans="1:17" ht="14.25" hidden="1" customHeight="1"/>
    <row r="4" spans="1:17" ht="6" customHeight="1">
      <c r="C4" s="283"/>
      <c r="D4" s="272"/>
      <c r="E4" s="272"/>
      <c r="F4" s="272"/>
      <c r="G4" s="17"/>
      <c r="H4" s="17"/>
    </row>
    <row r="5" spans="1:17" ht="33" customHeight="1">
      <c r="C5" s="283"/>
      <c r="D5" s="344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450"/>
      <c r="F5" s="3450"/>
      <c r="G5" s="3451"/>
      <c r="H5" s="180"/>
    </row>
    <row r="6" spans="1:17" s="1910" customFormat="1" ht="17.25" customHeight="1">
      <c r="A6" s="1514"/>
      <c r="B6" s="1023"/>
      <c r="C6" s="283"/>
      <c r="D6" s="3503" t="str">
        <f>IF(org=0,"Не определено",org)</f>
        <v>АО "Орелгортеплоэнерго"</v>
      </c>
      <c r="E6" s="3504"/>
      <c r="F6" s="3504"/>
      <c r="G6" s="3505"/>
      <c r="H6" s="180"/>
      <c r="J6" s="1469"/>
      <c r="K6" s="1469"/>
    </row>
    <row r="7" spans="1:17" ht="14.25" customHeight="1">
      <c r="C7" s="283"/>
      <c r="D7" s="272"/>
      <c r="E7" s="296"/>
      <c r="F7" s="296"/>
      <c r="G7" s="640"/>
      <c r="H7" s="109"/>
    </row>
    <row r="8" spans="1:17" ht="14.25" customHeight="1">
      <c r="C8" s="283"/>
      <c r="D8" s="3489" t="s">
        <v>560</v>
      </c>
      <c r="E8" s="3489"/>
      <c r="F8" s="3489"/>
      <c r="G8" s="3489"/>
      <c r="H8" s="3678" t="s">
        <v>561</v>
      </c>
    </row>
    <row r="9" spans="1:17" ht="14.25" customHeight="1">
      <c r="C9" s="283"/>
      <c r="D9" s="293" t="s">
        <v>85</v>
      </c>
      <c r="E9" s="35" t="s">
        <v>562</v>
      </c>
      <c r="F9" s="35" t="s">
        <v>563</v>
      </c>
      <c r="G9" s="35" t="s">
        <v>652</v>
      </c>
      <c r="H9" s="3678"/>
    </row>
    <row r="10" spans="1:17" ht="33.75" customHeight="1">
      <c r="A10" s="253"/>
      <c r="C10" s="283"/>
      <c r="D10" s="67" t="s">
        <v>106</v>
      </c>
      <c r="E10" s="172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1"/>
      <c r="G10" s="129"/>
      <c r="H10" s="3445" t="s">
        <v>1516</v>
      </c>
    </row>
    <row r="11" spans="1:17" ht="33.75" customHeight="1">
      <c r="A11" s="253"/>
      <c r="C11" s="283"/>
      <c r="D11" s="67" t="s">
        <v>107</v>
      </c>
      <c r="E11" s="172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1"/>
      <c r="G11" s="129"/>
      <c r="H11" s="3446"/>
    </row>
    <row r="12" spans="1:17" ht="14.25" customHeight="1">
      <c r="A12" s="30"/>
      <c r="C12" s="294"/>
      <c r="D12" s="67" t="s">
        <v>87</v>
      </c>
      <c r="E12" s="295" t="str">
        <f>"Сведения о планировании закупочных процедур"&amp;IF(TEMPLATE_SPHERE="TKO"," &lt;1&gt;","")</f>
        <v>Сведения о планировании закупочных процедур</v>
      </c>
      <c r="F12" s="171"/>
      <c r="G12" s="129"/>
      <c r="H12" s="344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59"/>
      <c r="K12" s="281"/>
    </row>
    <row r="13" spans="1:17" ht="14.25" customHeight="1">
      <c r="A13" s="30"/>
      <c r="C13" s="294"/>
      <c r="D13" s="67" t="s">
        <v>88</v>
      </c>
      <c r="E13" s="295" t="str">
        <f>"Сведения о результатах проведения закупочных процедур"&amp;IF(TEMPLATE_SPHERE="TKO"," &lt;1&gt;","")</f>
        <v>Сведения о результатах проведения закупочных процедур</v>
      </c>
      <c r="F13" s="171"/>
      <c r="G13" s="129"/>
      <c r="H13" s="3446"/>
      <c r="I13" s="259"/>
      <c r="K13" s="281"/>
    </row>
    <row r="14" spans="1:17" ht="14.25" customHeight="1">
      <c r="A14" s="253"/>
      <c r="C14" s="283"/>
      <c r="D14" s="257"/>
      <c r="E14" s="302" t="s">
        <v>1484</v>
      </c>
      <c r="F14" s="258"/>
      <c r="G14" s="117"/>
      <c r="H14" s="3447"/>
    </row>
    <row r="15" spans="1:17" s="1910" customFormat="1" ht="14.25" customHeight="1">
      <c r="A15" s="253"/>
      <c r="B15" s="1023"/>
      <c r="C15" s="283"/>
      <c r="D15" s="303"/>
      <c r="E15" s="1522"/>
      <c r="F15" s="1523"/>
      <c r="G15" s="1524"/>
      <c r="H15" s="1525"/>
      <c r="J15" s="1469"/>
      <c r="K15" s="1469"/>
    </row>
    <row r="16" spans="1:17" ht="14.25" customHeight="1">
      <c r="D16" s="1526"/>
      <c r="E16" s="3527"/>
      <c r="F16" s="3527"/>
      <c r="G16" s="3527"/>
      <c r="H16" s="3527"/>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xr:uid="{00000000-0002-0000-2E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2E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13451-EAF7-B114-ADB7-B9EA2B5154EE}">
  <sheetPr>
    <tabColor theme="2" tint="-9.9978637043366805E-2"/>
  </sheetPr>
  <dimension ref="A1:GW29"/>
  <sheetViews>
    <sheetView showGridLines="0" topLeftCell="C4" zoomScale="90" workbookViewId="0">
      <selection activeCell="GK8" sqref="GK8"/>
    </sheetView>
  </sheetViews>
  <sheetFormatPr defaultColWidth="10.5703125" defaultRowHeight="15" customHeight="1"/>
  <cols>
    <col min="1" max="1" width="9.140625" style="1926" hidden="1" customWidth="1"/>
    <col min="2" max="2" width="9.140625" style="1910" hidden="1" customWidth="1"/>
    <col min="3" max="3" width="4.7109375" style="1921" customWidth="1"/>
    <col min="4" max="4" width="6.28515625" style="1910" customWidth="1"/>
    <col min="5" max="5" width="47.85546875" style="1910" customWidth="1"/>
    <col min="6" max="6" width="9.5703125" style="1910" customWidth="1"/>
    <col min="7" max="7" width="25.7109375" style="1910" hidden="1" customWidth="1"/>
    <col min="8" max="8" width="34" style="1910" hidden="1" customWidth="1"/>
    <col min="9" max="9" width="25.7109375" style="1910" customWidth="1"/>
    <col min="10" max="10" width="34" style="1910" customWidth="1"/>
    <col min="11" max="11" width="25.7109375" style="1910" customWidth="1"/>
    <col min="12" max="12" width="34" style="1910" customWidth="1"/>
    <col min="13" max="13" width="25.7109375" style="1910" customWidth="1"/>
    <col min="14" max="14" width="34" style="1910" customWidth="1"/>
    <col min="15" max="15" width="25.7109375" style="1910" customWidth="1"/>
    <col min="16" max="16" width="34" style="1910" customWidth="1"/>
    <col min="17" max="17" width="25.7109375" style="1910" customWidth="1"/>
    <col min="18" max="18" width="34" style="1910" customWidth="1"/>
    <col min="19" max="19" width="25.7109375" style="1910" customWidth="1"/>
    <col min="20" max="20" width="34" style="1910" customWidth="1"/>
    <col min="21" max="21" width="25.7109375" style="1910" customWidth="1"/>
    <col min="22" max="22" width="34" style="1910" customWidth="1"/>
    <col min="23" max="23" width="25.7109375" style="1910" customWidth="1"/>
    <col min="24" max="24" width="34" style="1910" customWidth="1"/>
    <col min="25" max="25" width="25.7109375" style="1910" customWidth="1"/>
    <col min="26" max="26" width="34" style="1910" customWidth="1"/>
    <col min="27" max="27" width="25.7109375" style="1910" customWidth="1"/>
    <col min="28" max="28" width="34" style="1910" customWidth="1"/>
    <col min="29" max="29" width="25.7109375" style="1910" customWidth="1"/>
    <col min="30" max="30" width="34" style="1910" customWidth="1"/>
    <col min="31" max="31" width="25.7109375" style="1910" customWidth="1"/>
    <col min="32" max="32" width="34" style="1910" customWidth="1"/>
    <col min="33" max="33" width="25.7109375" style="1910" customWidth="1"/>
    <col min="34" max="34" width="34" style="1910" customWidth="1"/>
    <col min="35" max="35" width="25.7109375" style="1910" customWidth="1"/>
    <col min="36" max="36" width="34" style="1910" customWidth="1"/>
    <col min="37" max="37" width="25.7109375" style="1910" customWidth="1"/>
    <col min="38" max="38" width="34" style="1910" customWidth="1"/>
    <col min="39" max="39" width="25.7109375" style="1910" customWidth="1"/>
    <col min="40" max="40" width="34" style="1910" customWidth="1"/>
    <col min="41" max="41" width="25.7109375" style="1910" customWidth="1"/>
    <col min="42" max="42" width="34" style="1910" customWidth="1"/>
    <col min="43" max="43" width="25.7109375" style="1910" customWidth="1"/>
    <col min="44" max="44" width="34" style="1910" customWidth="1"/>
    <col min="45" max="45" width="25.7109375" style="1910" customWidth="1"/>
    <col min="46" max="46" width="34" style="1910" customWidth="1"/>
    <col min="47" max="47" width="25.7109375" style="1910" customWidth="1"/>
    <col min="48" max="48" width="34" style="1910" customWidth="1"/>
    <col min="49" max="49" width="25.7109375" style="1910" customWidth="1"/>
    <col min="50" max="50" width="34" style="1910" customWidth="1"/>
    <col min="51" max="51" width="25.7109375" style="1910" customWidth="1"/>
    <col min="52" max="52" width="34" style="1910" customWidth="1"/>
    <col min="53" max="53" width="25.7109375" style="1910" customWidth="1"/>
    <col min="54" max="54" width="34" style="1910" customWidth="1"/>
    <col min="55" max="55" width="25.7109375" style="1910" customWidth="1"/>
    <col min="56" max="56" width="34" style="1910" customWidth="1"/>
    <col min="57" max="57" width="25.7109375" style="1910" customWidth="1"/>
    <col min="58" max="58" width="34" style="1910" customWidth="1"/>
    <col min="59" max="59" width="25.7109375" style="1910" customWidth="1"/>
    <col min="60" max="60" width="34" style="1910" customWidth="1"/>
    <col min="61" max="61" width="25.7109375" style="1910" customWidth="1"/>
    <col min="62" max="62" width="34" style="1910" customWidth="1"/>
    <col min="63" max="63" width="25.7109375" style="1910" customWidth="1"/>
    <col min="64" max="64" width="34" style="1910" customWidth="1"/>
    <col min="65" max="65" width="25.7109375" style="1910" customWidth="1"/>
    <col min="66" max="66" width="34" style="1910" customWidth="1"/>
    <col min="67" max="67" width="25.7109375" style="1910" customWidth="1"/>
    <col min="68" max="68" width="34" style="1910" customWidth="1"/>
    <col min="69" max="69" width="25.7109375" style="1910" customWidth="1"/>
    <col min="70" max="70" width="34" style="1910" customWidth="1"/>
    <col min="71" max="71" width="25.7109375" style="1910" customWidth="1"/>
    <col min="72" max="72" width="34" style="1910" customWidth="1"/>
    <col min="73" max="73" width="25.7109375" style="1910" customWidth="1"/>
    <col min="74" max="74" width="34" style="1910" customWidth="1"/>
    <col min="75" max="75" width="25.7109375" style="1910" customWidth="1"/>
    <col min="76" max="76" width="34" style="1910" customWidth="1"/>
    <col min="77" max="77" width="25.7109375" style="1910" customWidth="1"/>
    <col min="78" max="78" width="34" style="1910" customWidth="1"/>
    <col min="79" max="79" width="25.7109375" style="1910" customWidth="1"/>
    <col min="80" max="80" width="34" style="1910" customWidth="1"/>
    <col min="81" max="81" width="25.7109375" style="1910" customWidth="1"/>
    <col min="82" max="82" width="34" style="1910" customWidth="1"/>
    <col min="83" max="83" width="25.7109375" style="1910" customWidth="1"/>
    <col min="84" max="84" width="34" style="1910" customWidth="1"/>
    <col min="85" max="85" width="25.7109375" style="1910" customWidth="1"/>
    <col min="86" max="86" width="34" style="1910" customWidth="1"/>
    <col min="87" max="87" width="25.7109375" style="1910" customWidth="1"/>
    <col min="88" max="88" width="34" style="1910" customWidth="1"/>
    <col min="89" max="89" width="25.7109375" style="1910" customWidth="1"/>
    <col min="90" max="90" width="34" style="1910" customWidth="1"/>
    <col min="91" max="91" width="25.7109375" style="1910" customWidth="1"/>
    <col min="92" max="92" width="34" style="1910" customWidth="1"/>
    <col min="93" max="93" width="25.7109375" style="1910" customWidth="1"/>
    <col min="94" max="94" width="34" style="1910" customWidth="1"/>
    <col min="95" max="95" width="25.7109375" style="1910" customWidth="1"/>
    <col min="96" max="96" width="34" style="1910" customWidth="1"/>
    <col min="97" max="97" width="25.7109375" style="1910" customWidth="1"/>
    <col min="98" max="98" width="34" style="1910" customWidth="1"/>
    <col min="99" max="99" width="25.7109375" style="1910" customWidth="1"/>
    <col min="100" max="100" width="34" style="1910" customWidth="1"/>
    <col min="101" max="101" width="25.7109375" style="1910" customWidth="1"/>
    <col min="102" max="102" width="34" style="1910" customWidth="1"/>
    <col min="103" max="103" width="25.7109375" style="1910" customWidth="1"/>
    <col min="104" max="104" width="34" style="1910" customWidth="1"/>
    <col min="105" max="105" width="25.7109375" style="1910" customWidth="1"/>
    <col min="106" max="106" width="34" style="1910" customWidth="1"/>
    <col min="107" max="107" width="25.7109375" style="1910" customWidth="1"/>
    <col min="108" max="108" width="34" style="1910" customWidth="1"/>
    <col min="109" max="109" width="25.7109375" style="1910" customWidth="1"/>
    <col min="110" max="110" width="34" style="1910" customWidth="1"/>
    <col min="111" max="111" width="25.7109375" style="1910" customWidth="1"/>
    <col min="112" max="112" width="34" style="1910" customWidth="1"/>
    <col min="113" max="113" width="25.7109375" style="1910" customWidth="1"/>
    <col min="114" max="114" width="34" style="1910" customWidth="1"/>
    <col min="115" max="115" width="25.7109375" style="1910" customWidth="1"/>
    <col min="116" max="116" width="34" style="1910" customWidth="1"/>
    <col min="117" max="117" width="25.7109375" style="1910" customWidth="1"/>
    <col min="118" max="118" width="34" style="1910" customWidth="1"/>
    <col min="119" max="119" width="25.7109375" style="1910" customWidth="1"/>
    <col min="120" max="120" width="34" style="1910" customWidth="1"/>
    <col min="121" max="121" width="25.7109375" style="1910" customWidth="1"/>
    <col min="122" max="122" width="34" style="1910" customWidth="1"/>
    <col min="123" max="123" width="25.7109375" style="1910" customWidth="1"/>
    <col min="124" max="124" width="34" style="1910" customWidth="1"/>
    <col min="125" max="125" width="25.7109375" style="1910" customWidth="1"/>
    <col min="126" max="126" width="34" style="1910" customWidth="1"/>
    <col min="127" max="127" width="25.7109375" style="1910" customWidth="1"/>
    <col min="128" max="128" width="34" style="1910" customWidth="1"/>
    <col min="129" max="129" width="25.7109375" style="1910" customWidth="1"/>
    <col min="130" max="130" width="34" style="1910" customWidth="1"/>
    <col min="131" max="131" width="25.7109375" style="1910" customWidth="1"/>
    <col min="132" max="132" width="34" style="1910" customWidth="1"/>
    <col min="133" max="133" width="25.7109375" style="1910" customWidth="1"/>
    <col min="134" max="134" width="34" style="1910" customWidth="1"/>
    <col min="135" max="135" width="25.7109375" style="1910" customWidth="1"/>
    <col min="136" max="136" width="34" style="1910" customWidth="1"/>
    <col min="137" max="137" width="25.7109375" style="1910" customWidth="1"/>
    <col min="138" max="138" width="34" style="1910" customWidth="1"/>
    <col min="139" max="139" width="25.7109375" style="1910" customWidth="1"/>
    <col min="140" max="140" width="34" style="1910" customWidth="1"/>
    <col min="141" max="141" width="25.7109375" style="1910" customWidth="1"/>
    <col min="142" max="142" width="34" style="1910" customWidth="1"/>
    <col min="143" max="143" width="25.7109375" style="1910" customWidth="1"/>
    <col min="144" max="144" width="34" style="1910" customWidth="1"/>
    <col min="145" max="145" width="25.7109375" style="1910" customWidth="1"/>
    <col min="146" max="146" width="34" style="1910" customWidth="1"/>
    <col min="147" max="147" width="25.7109375" style="1910" customWidth="1"/>
    <col min="148" max="148" width="34" style="1910" customWidth="1"/>
    <col min="149" max="149" width="25.7109375" style="1910" customWidth="1"/>
    <col min="150" max="150" width="34" style="1910" customWidth="1"/>
    <col min="151" max="151" width="25.7109375" style="1910" customWidth="1"/>
    <col min="152" max="152" width="34" style="1910" customWidth="1"/>
    <col min="153" max="153" width="25.7109375" style="1910" customWidth="1"/>
    <col min="154" max="154" width="34" style="1910" customWidth="1"/>
    <col min="155" max="155" width="25.7109375" style="1910" customWidth="1"/>
    <col min="156" max="156" width="34" style="1910" customWidth="1"/>
    <col min="157" max="157" width="25.7109375" style="1910" customWidth="1"/>
    <col min="158" max="158" width="34" style="1910" customWidth="1"/>
    <col min="159" max="159" width="25.7109375" style="1910" customWidth="1"/>
    <col min="160" max="160" width="34" style="1910" customWidth="1"/>
    <col min="161" max="161" width="25.7109375" style="1910" customWidth="1"/>
    <col min="162" max="162" width="34" style="1910" customWidth="1"/>
    <col min="163" max="163" width="25.7109375" style="1910" customWidth="1"/>
    <col min="164" max="164" width="34" style="1910" customWidth="1"/>
    <col min="165" max="165" width="25.7109375" style="1910" customWidth="1"/>
    <col min="166" max="166" width="34" style="1910" customWidth="1"/>
    <col min="167" max="167" width="25.7109375" style="1910" customWidth="1"/>
    <col min="168" max="168" width="34" style="1910" customWidth="1"/>
    <col min="169" max="169" width="25.7109375" style="1910" customWidth="1"/>
    <col min="170" max="170" width="34" style="1910" customWidth="1"/>
    <col min="171" max="171" width="25.7109375" style="1910" customWidth="1"/>
    <col min="172" max="172" width="34" style="1910" customWidth="1"/>
    <col min="173" max="173" width="25.7109375" style="1910" customWidth="1"/>
    <col min="174" max="174" width="34" style="1910" customWidth="1"/>
    <col min="175" max="175" width="25.7109375" style="1910" customWidth="1"/>
    <col min="176" max="176" width="34" style="1910" customWidth="1"/>
    <col min="177" max="177" width="25.7109375" style="1910" customWidth="1"/>
    <col min="178" max="178" width="34" style="1910" customWidth="1"/>
    <col min="179" max="179" width="25.7109375" style="1910" customWidth="1"/>
    <col min="180" max="180" width="34" style="1910" customWidth="1"/>
    <col min="181" max="181" width="25.7109375" style="1910" customWidth="1"/>
    <col min="182" max="182" width="34" style="1910" customWidth="1"/>
    <col min="183" max="183" width="25.7109375" style="1910" customWidth="1"/>
    <col min="184" max="184" width="34" style="1910" customWidth="1"/>
    <col min="185" max="185" width="25.7109375" style="1910" customWidth="1"/>
    <col min="186" max="186" width="34" style="1910" customWidth="1"/>
    <col min="187" max="187" width="25.7109375" style="1910" customWidth="1"/>
    <col min="188" max="188" width="34" style="1910" customWidth="1"/>
    <col min="189" max="189" width="25.7109375" style="1910" customWidth="1"/>
    <col min="190" max="190" width="34" style="1910" customWidth="1"/>
    <col min="191" max="191" width="25.7109375" style="1910" customWidth="1"/>
    <col min="192" max="192" width="34" style="1910" customWidth="1"/>
    <col min="193" max="193" width="25.7109375" style="1910" customWidth="1"/>
    <col min="194" max="194" width="34" style="1910" customWidth="1"/>
    <col min="195" max="195" width="50.85546875" style="1903" customWidth="1"/>
    <col min="196" max="204" width="10.5703125" style="1910"/>
    <col min="205" max="205" width="10.5703125" style="1911"/>
  </cols>
  <sheetData>
    <row r="1" spans="1:205" s="1903" customFormat="1" ht="15" hidden="1" customHeight="1">
      <c r="C1" s="564"/>
      <c r="G1" s="324">
        <v>4</v>
      </c>
      <c r="I1" s="324">
        <v>4</v>
      </c>
      <c r="K1" s="1903">
        <v>4</v>
      </c>
      <c r="M1" s="1903">
        <v>4</v>
      </c>
      <c r="O1" s="1903">
        <v>4</v>
      </c>
      <c r="Q1" s="1903">
        <v>4</v>
      </c>
      <c r="S1" s="1903">
        <v>4</v>
      </c>
      <c r="U1" s="1903">
        <v>4</v>
      </c>
      <c r="W1" s="1903">
        <v>4</v>
      </c>
      <c r="Y1" s="1903">
        <v>4</v>
      </c>
      <c r="AA1" s="1903">
        <v>4</v>
      </c>
      <c r="AC1" s="1903">
        <v>4</v>
      </c>
      <c r="AE1" s="1903">
        <v>4</v>
      </c>
      <c r="AG1" s="1903">
        <v>4</v>
      </c>
      <c r="AI1" s="1903">
        <v>4</v>
      </c>
      <c r="AK1" s="1903">
        <v>4</v>
      </c>
      <c r="AM1" s="1903">
        <v>4</v>
      </c>
      <c r="AO1" s="1903">
        <v>4</v>
      </c>
      <c r="AQ1" s="1903">
        <v>4</v>
      </c>
      <c r="AS1" s="1903">
        <v>4</v>
      </c>
      <c r="AU1" s="1903">
        <v>4</v>
      </c>
      <c r="AW1" s="1903">
        <v>4</v>
      </c>
      <c r="AY1" s="1903">
        <v>4</v>
      </c>
      <c r="BA1" s="1903">
        <v>4</v>
      </c>
      <c r="BC1" s="1903">
        <v>4</v>
      </c>
      <c r="BE1" s="1903">
        <v>4</v>
      </c>
      <c r="BG1" s="1903">
        <v>4</v>
      </c>
      <c r="BI1" s="1903">
        <v>4</v>
      </c>
      <c r="BK1" s="1903">
        <v>4</v>
      </c>
      <c r="BM1" s="1903">
        <v>4</v>
      </c>
      <c r="BO1" s="1903">
        <v>4</v>
      </c>
      <c r="BQ1" s="1903">
        <v>4</v>
      </c>
      <c r="BS1" s="1903">
        <v>4</v>
      </c>
      <c r="BU1" s="1903">
        <v>4</v>
      </c>
      <c r="BW1" s="1903">
        <v>4</v>
      </c>
      <c r="BY1" s="1903">
        <v>4</v>
      </c>
      <c r="CA1" s="1903">
        <v>4</v>
      </c>
      <c r="CC1" s="1903">
        <v>4</v>
      </c>
      <c r="CE1" s="1903">
        <v>4</v>
      </c>
      <c r="CG1" s="1903">
        <v>4</v>
      </c>
      <c r="CI1" s="1903">
        <v>4</v>
      </c>
      <c r="CK1" s="1903">
        <v>4</v>
      </c>
      <c r="CM1" s="1903">
        <v>4</v>
      </c>
      <c r="CO1" s="1903">
        <v>4</v>
      </c>
      <c r="CQ1" s="1903">
        <v>4</v>
      </c>
      <c r="CS1" s="1903">
        <v>4</v>
      </c>
      <c r="CU1" s="1903">
        <v>4</v>
      </c>
      <c r="CW1" s="1903">
        <v>4</v>
      </c>
      <c r="CY1" s="1903">
        <v>4</v>
      </c>
      <c r="DA1" s="1903">
        <v>4</v>
      </c>
      <c r="DC1" s="1903">
        <v>4</v>
      </c>
      <c r="DE1" s="1903">
        <v>4</v>
      </c>
      <c r="DG1" s="1903">
        <v>4</v>
      </c>
      <c r="DI1" s="1903">
        <v>4</v>
      </c>
      <c r="DK1" s="1903">
        <v>4</v>
      </c>
      <c r="DM1" s="1903">
        <v>4</v>
      </c>
      <c r="DO1" s="1903">
        <v>4</v>
      </c>
      <c r="DQ1" s="1903">
        <v>4</v>
      </c>
      <c r="DS1" s="1903">
        <v>4</v>
      </c>
      <c r="DU1" s="1903">
        <v>4</v>
      </c>
      <c r="DW1" s="1903">
        <v>4</v>
      </c>
      <c r="DY1" s="1903">
        <v>4</v>
      </c>
      <c r="EA1" s="1903">
        <v>4</v>
      </c>
      <c r="EC1" s="1903">
        <v>4</v>
      </c>
      <c r="EE1" s="1903">
        <v>4</v>
      </c>
      <c r="EG1" s="1903">
        <v>4</v>
      </c>
      <c r="EI1" s="1903">
        <v>4</v>
      </c>
      <c r="EK1" s="1903">
        <v>4</v>
      </c>
      <c r="EM1" s="1903">
        <v>4</v>
      </c>
      <c r="EO1" s="1903">
        <v>4</v>
      </c>
      <c r="EQ1" s="1903">
        <v>4</v>
      </c>
      <c r="ES1" s="1903">
        <v>4</v>
      </c>
      <c r="EU1" s="1903">
        <v>4</v>
      </c>
      <c r="EW1" s="1903">
        <v>4</v>
      </c>
      <c r="EY1" s="1903">
        <v>4</v>
      </c>
      <c r="FA1" s="1903">
        <v>4</v>
      </c>
      <c r="FC1" s="1903">
        <v>4</v>
      </c>
      <c r="FE1" s="1903">
        <v>4</v>
      </c>
      <c r="FG1" s="1903">
        <v>4</v>
      </c>
      <c r="FI1" s="1903">
        <v>4</v>
      </c>
      <c r="FK1" s="1903">
        <v>4</v>
      </c>
      <c r="FM1" s="1903">
        <v>4</v>
      </c>
      <c r="FO1" s="1903">
        <v>4</v>
      </c>
      <c r="FQ1" s="1903">
        <v>4</v>
      </c>
      <c r="FS1" s="1903">
        <v>4</v>
      </c>
      <c r="FU1" s="1903">
        <v>4</v>
      </c>
      <c r="FW1" s="1903">
        <v>4</v>
      </c>
      <c r="FY1" s="1903">
        <v>4</v>
      </c>
      <c r="GA1" s="1903">
        <v>4</v>
      </c>
      <c r="GC1" s="1903">
        <v>4</v>
      </c>
      <c r="GE1" s="1903">
        <v>4</v>
      </c>
      <c r="GG1" s="1903">
        <v>4</v>
      </c>
      <c r="GI1" s="1903">
        <v>4</v>
      </c>
      <c r="GK1" s="1903">
        <v>4</v>
      </c>
      <c r="GW1" s="326"/>
    </row>
    <row r="2" spans="1:205" s="1910" customFormat="1" ht="15" hidden="1" customHeight="1">
      <c r="A2" s="271"/>
      <c r="C2" s="93"/>
      <c r="D2" s="256"/>
      <c r="E2" s="565"/>
      <c r="F2" s="420"/>
      <c r="G2" s="509"/>
      <c r="H2" s="509"/>
      <c r="I2" s="509"/>
      <c r="J2" s="509"/>
      <c r="K2" s="1865"/>
      <c r="L2" s="1865"/>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c r="AM2" s="1865"/>
      <c r="AN2" s="1865"/>
      <c r="AO2" s="1865"/>
      <c r="AP2" s="1865"/>
      <c r="AQ2" s="1865"/>
      <c r="AR2" s="1865"/>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c r="BP2" s="1865"/>
      <c r="BQ2" s="1865"/>
      <c r="BR2" s="1865"/>
      <c r="BS2" s="1865"/>
      <c r="BT2" s="1865"/>
      <c r="BU2" s="1865"/>
      <c r="BV2" s="1865"/>
      <c r="BW2" s="1865"/>
      <c r="BX2" s="1865"/>
      <c r="BY2" s="1865"/>
      <c r="BZ2" s="1865"/>
      <c r="CA2" s="1865"/>
      <c r="CB2" s="1865"/>
      <c r="CC2" s="1865"/>
      <c r="CD2" s="1865"/>
      <c r="CE2" s="1865"/>
      <c r="CF2" s="1865"/>
      <c r="CG2" s="1865"/>
      <c r="CH2" s="1865"/>
      <c r="CI2" s="1865"/>
      <c r="CJ2" s="1865"/>
      <c r="CK2" s="1865"/>
      <c r="CL2" s="1865"/>
      <c r="CM2" s="1865"/>
      <c r="CN2" s="1865"/>
      <c r="CO2" s="1865"/>
      <c r="CP2" s="1865"/>
      <c r="CQ2" s="1865"/>
      <c r="CR2" s="1865"/>
      <c r="CS2" s="1865"/>
      <c r="CT2" s="1865"/>
      <c r="CU2" s="1865"/>
      <c r="CV2" s="1865"/>
      <c r="CW2" s="1865"/>
      <c r="CX2" s="1865"/>
      <c r="CY2" s="1865"/>
      <c r="CZ2" s="1865"/>
      <c r="DA2" s="1865"/>
      <c r="DB2" s="1865"/>
      <c r="DC2" s="1865"/>
      <c r="DD2" s="1865"/>
      <c r="DE2" s="1865"/>
      <c r="DF2" s="1865"/>
      <c r="DG2" s="1865"/>
      <c r="DH2" s="1865"/>
      <c r="DI2" s="1865"/>
      <c r="DJ2" s="1865"/>
      <c r="DK2" s="1865"/>
      <c r="DL2" s="1865"/>
      <c r="DM2" s="1865"/>
      <c r="DN2" s="1865"/>
      <c r="DO2" s="1865"/>
      <c r="DP2" s="1865"/>
      <c r="DQ2" s="1865"/>
      <c r="DR2" s="1865"/>
      <c r="DS2" s="1865"/>
      <c r="DT2" s="1865"/>
      <c r="DU2" s="1865"/>
      <c r="DV2" s="1865"/>
      <c r="DW2" s="1865"/>
      <c r="DX2" s="1865"/>
      <c r="DY2" s="1865"/>
      <c r="DZ2" s="1865"/>
      <c r="EA2" s="1865"/>
      <c r="EB2" s="1865"/>
      <c r="EC2" s="1865"/>
      <c r="ED2" s="1865"/>
      <c r="EE2" s="1865"/>
      <c r="EF2" s="1865"/>
      <c r="EG2" s="1865"/>
      <c r="EH2" s="1865"/>
      <c r="EI2" s="1865"/>
      <c r="EJ2" s="1865"/>
      <c r="EK2" s="1865"/>
      <c r="EL2" s="1865"/>
      <c r="EM2" s="1865"/>
      <c r="EN2" s="1865"/>
      <c r="EO2" s="1865"/>
      <c r="EP2" s="1865"/>
      <c r="EQ2" s="1865"/>
      <c r="ER2" s="1865"/>
      <c r="ES2" s="1865"/>
      <c r="ET2" s="1865"/>
      <c r="EU2" s="1865"/>
      <c r="EV2" s="1865"/>
      <c r="EW2" s="1865"/>
      <c r="EX2" s="1865"/>
      <c r="EY2" s="1865"/>
      <c r="EZ2" s="1865"/>
      <c r="FA2" s="1865"/>
      <c r="FB2" s="1865"/>
      <c r="FC2" s="1865"/>
      <c r="FD2" s="1865"/>
      <c r="FE2" s="1865"/>
      <c r="FF2" s="1865"/>
      <c r="FG2" s="1865"/>
      <c r="FH2" s="1865"/>
      <c r="FI2" s="1865"/>
      <c r="FJ2" s="1865"/>
      <c r="FK2" s="1865"/>
      <c r="FL2" s="1865"/>
      <c r="FM2" s="1865"/>
      <c r="FN2" s="1865"/>
      <c r="FO2" s="1865"/>
      <c r="FP2" s="1865"/>
      <c r="FQ2" s="1865"/>
      <c r="FR2" s="1865"/>
      <c r="FS2" s="1865"/>
      <c r="FT2" s="1865"/>
      <c r="FU2" s="1865"/>
      <c r="FV2" s="1865"/>
      <c r="FW2" s="1865"/>
      <c r="FX2" s="1865"/>
      <c r="FY2" s="1865"/>
      <c r="FZ2" s="1865"/>
      <c r="GA2" s="1865"/>
      <c r="GB2" s="1865"/>
      <c r="GC2" s="1865"/>
      <c r="GD2" s="1865"/>
      <c r="GE2" s="1865"/>
      <c r="GF2" s="1865"/>
      <c r="GG2" s="1865"/>
      <c r="GH2" s="1865"/>
      <c r="GI2" s="1865"/>
      <c r="GJ2" s="1865"/>
      <c r="GK2" s="1865"/>
      <c r="GL2" s="1865"/>
      <c r="GW2" s="566"/>
    </row>
    <row r="3" spans="1:205" s="1903" customFormat="1" ht="15" hidden="1" customHeight="1">
      <c r="C3" s="564"/>
      <c r="GW3" s="326"/>
    </row>
    <row r="4" spans="1:205" ht="15" customHeight="1">
      <c r="C4" s="93"/>
      <c r="D4" s="407"/>
      <c r="E4" s="407"/>
      <c r="F4" s="407"/>
      <c r="G4" s="407"/>
      <c r="H4" s="407"/>
      <c r="I4" s="407"/>
      <c r="J4" s="407"/>
    </row>
    <row r="5" spans="1:205" ht="63" customHeight="1">
      <c r="C5" s="93"/>
      <c r="D5" s="3509" t="s">
        <v>1517</v>
      </c>
      <c r="E5" s="3509"/>
      <c r="F5" s="3509"/>
      <c r="G5" s="3509"/>
      <c r="H5" s="3509"/>
      <c r="I5" s="3509"/>
      <c r="J5" s="3509"/>
      <c r="K5" s="1835"/>
      <c r="L5" s="1835"/>
      <c r="M5" s="1835"/>
      <c r="N5" s="1835"/>
      <c r="O5" s="1835"/>
      <c r="P5" s="1835"/>
      <c r="Q5" s="1835"/>
      <c r="R5" s="1835"/>
      <c r="S5" s="1835"/>
      <c r="T5" s="1835"/>
      <c r="U5" s="1835"/>
      <c r="V5" s="1835"/>
      <c r="W5" s="1835"/>
      <c r="X5" s="1835"/>
      <c r="Y5" s="1835"/>
      <c r="Z5" s="1835"/>
      <c r="AA5" s="1835"/>
      <c r="AB5" s="1835"/>
      <c r="AC5" s="1835"/>
      <c r="AD5" s="1835"/>
      <c r="AE5" s="1835"/>
      <c r="AF5" s="1835"/>
      <c r="AG5" s="1835"/>
      <c r="AH5" s="1835"/>
      <c r="AI5" s="1835"/>
      <c r="AJ5" s="1835"/>
      <c r="AK5" s="1835"/>
      <c r="AL5" s="1835"/>
      <c r="AM5" s="1835"/>
      <c r="AN5" s="1835"/>
      <c r="AO5" s="1835"/>
      <c r="AP5" s="1835"/>
      <c r="AQ5" s="1835"/>
      <c r="AR5" s="1835"/>
      <c r="AS5" s="1835"/>
      <c r="AT5" s="1835"/>
      <c r="AU5" s="1835"/>
      <c r="AV5" s="1835"/>
      <c r="AW5" s="1835"/>
      <c r="AX5" s="1835"/>
      <c r="AY5" s="1835"/>
      <c r="AZ5" s="1835"/>
      <c r="BA5" s="1835"/>
      <c r="BB5" s="1835"/>
      <c r="BC5" s="1835"/>
      <c r="BD5" s="1835"/>
      <c r="BE5" s="1835"/>
      <c r="BF5" s="1835"/>
      <c r="BG5" s="1835"/>
      <c r="BH5" s="1835"/>
      <c r="BI5" s="1835"/>
      <c r="BJ5" s="1835"/>
      <c r="BK5" s="1835"/>
      <c r="BL5" s="1835"/>
      <c r="BM5" s="1835"/>
      <c r="BN5" s="1835"/>
      <c r="BO5" s="1835"/>
      <c r="BP5" s="1835"/>
      <c r="BQ5" s="1835"/>
      <c r="BR5" s="1835"/>
      <c r="BS5" s="1835"/>
      <c r="BT5" s="1835"/>
      <c r="BU5" s="1835"/>
      <c r="BV5" s="1835"/>
      <c r="BW5" s="1835"/>
      <c r="BX5" s="1835"/>
      <c r="BY5" s="1835"/>
      <c r="BZ5" s="1835"/>
      <c r="CA5" s="1835"/>
      <c r="CB5" s="1835"/>
      <c r="CC5" s="1835"/>
      <c r="CD5" s="1835"/>
      <c r="CE5" s="1835"/>
      <c r="CF5" s="1835"/>
      <c r="CG5" s="1835"/>
      <c r="CH5" s="1835"/>
      <c r="CI5" s="1835"/>
      <c r="CJ5" s="1835"/>
      <c r="CK5" s="1835"/>
      <c r="CL5" s="1835"/>
      <c r="CM5" s="1835"/>
      <c r="CN5" s="1835"/>
      <c r="CO5" s="1835"/>
      <c r="CP5" s="1835"/>
      <c r="CQ5" s="1835"/>
      <c r="CR5" s="1835"/>
      <c r="CS5" s="1835"/>
      <c r="CT5" s="1835"/>
      <c r="CU5" s="1835"/>
      <c r="CV5" s="1835"/>
      <c r="CW5" s="1835"/>
      <c r="CX5" s="1835"/>
      <c r="CY5" s="1835"/>
      <c r="CZ5" s="1835"/>
      <c r="DA5" s="1835"/>
      <c r="DB5" s="1835"/>
      <c r="DC5" s="1835"/>
      <c r="DD5" s="1835"/>
      <c r="DE5" s="1835"/>
      <c r="DF5" s="1835"/>
      <c r="DG5" s="1835"/>
      <c r="DH5" s="1835"/>
      <c r="DI5" s="1835"/>
      <c r="DJ5" s="1835"/>
      <c r="DK5" s="1835"/>
      <c r="DL5" s="1835"/>
      <c r="DM5" s="1835"/>
      <c r="DN5" s="1835"/>
      <c r="DO5" s="1835"/>
      <c r="DP5" s="1835"/>
      <c r="DQ5" s="1835"/>
      <c r="DR5" s="1835"/>
      <c r="DS5" s="1835"/>
      <c r="DT5" s="1835"/>
      <c r="DU5" s="1835"/>
      <c r="DV5" s="1835"/>
      <c r="DW5" s="1835"/>
      <c r="DX5" s="1835"/>
      <c r="DY5" s="1835"/>
      <c r="DZ5" s="1835"/>
      <c r="EA5" s="1835"/>
      <c r="EB5" s="1835"/>
      <c r="EC5" s="1835"/>
      <c r="ED5" s="1835"/>
      <c r="EE5" s="1835"/>
      <c r="EF5" s="1835"/>
      <c r="EG5" s="1835"/>
      <c r="EH5" s="1835"/>
      <c r="EI5" s="1835"/>
      <c r="EJ5" s="1835"/>
      <c r="EK5" s="1835"/>
      <c r="EL5" s="1835"/>
      <c r="EM5" s="1835"/>
      <c r="EN5" s="1835"/>
      <c r="EO5" s="1835"/>
      <c r="EP5" s="1835"/>
      <c r="EQ5" s="1835"/>
      <c r="ER5" s="1835"/>
      <c r="ES5" s="1835"/>
      <c r="ET5" s="1835"/>
      <c r="EU5" s="1835"/>
      <c r="EV5" s="1835"/>
      <c r="EW5" s="1835"/>
      <c r="EX5" s="1835"/>
      <c r="EY5" s="1835"/>
      <c r="EZ5" s="1835"/>
      <c r="FA5" s="1835"/>
      <c r="FB5" s="1835"/>
      <c r="FC5" s="1835"/>
      <c r="FD5" s="1835"/>
      <c r="FE5" s="1835"/>
      <c r="FF5" s="1835"/>
      <c r="FG5" s="1835"/>
      <c r="FH5" s="1835"/>
      <c r="FI5" s="1835"/>
      <c r="FJ5" s="1835"/>
      <c r="FK5" s="1835"/>
      <c r="FL5" s="1835"/>
      <c r="FM5" s="1835"/>
      <c r="FN5" s="1835"/>
      <c r="FO5" s="1835"/>
      <c r="FP5" s="1835"/>
      <c r="FQ5" s="1835"/>
      <c r="FR5" s="1835"/>
      <c r="FS5" s="1835"/>
      <c r="FT5" s="1835"/>
      <c r="FU5" s="1835"/>
      <c r="FV5" s="1835"/>
      <c r="FW5" s="1835"/>
      <c r="FX5" s="1835"/>
      <c r="FY5" s="1835"/>
      <c r="FZ5" s="1835"/>
      <c r="GA5" s="1835"/>
      <c r="GB5" s="1835"/>
      <c r="GC5" s="1835"/>
      <c r="GD5" s="1835"/>
      <c r="GE5" s="1835"/>
      <c r="GF5" s="1835"/>
      <c r="GG5" s="1835"/>
      <c r="GH5" s="1835"/>
      <c r="GI5" s="1835"/>
      <c r="GJ5" s="1835"/>
      <c r="GK5" s="1835"/>
      <c r="GL5" s="1835"/>
    </row>
    <row r="6" spans="1:205" ht="15" customHeight="1">
      <c r="C6" s="93"/>
      <c r="D6" s="3480" t="str">
        <f>IF(org=0,"Не определено",org)</f>
        <v>АО "Орелгортеплоэнерго"</v>
      </c>
      <c r="E6" s="3480"/>
      <c r="F6" s="3480"/>
      <c r="G6" s="3480"/>
      <c r="H6" s="3480"/>
      <c r="I6" s="3480"/>
      <c r="J6" s="3480"/>
      <c r="K6" s="1836"/>
      <c r="L6" s="1836"/>
      <c r="M6" s="1836"/>
      <c r="N6" s="1836"/>
      <c r="O6" s="1836"/>
      <c r="P6" s="1836"/>
      <c r="Q6" s="1836"/>
      <c r="R6" s="1836"/>
      <c r="S6" s="1836"/>
      <c r="T6" s="1836"/>
      <c r="U6" s="1836"/>
      <c r="V6" s="1836"/>
      <c r="W6" s="1836"/>
      <c r="X6" s="1836"/>
      <c r="Y6" s="1836"/>
      <c r="Z6" s="1836"/>
      <c r="AA6" s="1836"/>
      <c r="AB6" s="1836"/>
      <c r="AC6" s="1836"/>
      <c r="AD6" s="1836"/>
      <c r="AE6" s="1836"/>
      <c r="AF6" s="1836"/>
      <c r="AG6" s="1836"/>
      <c r="AH6" s="1836"/>
      <c r="AI6" s="1836"/>
      <c r="AJ6" s="1836"/>
      <c r="AK6" s="1836"/>
      <c r="AL6" s="1836"/>
      <c r="AM6" s="1836"/>
      <c r="AN6" s="1836"/>
      <c r="AO6" s="1836"/>
      <c r="AP6" s="1836"/>
      <c r="AQ6" s="1836"/>
      <c r="AR6" s="1836"/>
      <c r="AS6" s="1836"/>
      <c r="AT6" s="1836"/>
      <c r="AU6" s="1836"/>
      <c r="AV6" s="1836"/>
      <c r="AW6" s="1836"/>
      <c r="AX6" s="1836"/>
      <c r="AY6" s="1836"/>
      <c r="AZ6" s="1836"/>
      <c r="BA6" s="1836"/>
      <c r="BB6" s="1836"/>
      <c r="BC6" s="1836"/>
      <c r="BD6" s="1836"/>
      <c r="BE6" s="1836"/>
      <c r="BF6" s="1836"/>
      <c r="BG6" s="1836"/>
      <c r="BH6" s="1836"/>
      <c r="BI6" s="1836"/>
      <c r="BJ6" s="1836"/>
      <c r="BK6" s="1836"/>
      <c r="BL6" s="1836"/>
      <c r="BM6" s="1836"/>
      <c r="BN6" s="1836"/>
      <c r="BO6" s="1836"/>
      <c r="BP6" s="1836"/>
      <c r="BQ6" s="1836"/>
      <c r="BR6" s="1836"/>
      <c r="BS6" s="1836"/>
      <c r="BT6" s="1836"/>
      <c r="BU6" s="1836"/>
      <c r="BV6" s="1836"/>
      <c r="BW6" s="1836"/>
      <c r="BX6" s="1836"/>
      <c r="BY6" s="1836"/>
      <c r="BZ6" s="1836"/>
      <c r="CA6" s="1836"/>
      <c r="CB6" s="1836"/>
      <c r="CC6" s="1836"/>
      <c r="CD6" s="1836"/>
      <c r="CE6" s="1836"/>
      <c r="CF6" s="1836"/>
      <c r="CG6" s="1836"/>
      <c r="CH6" s="1836"/>
      <c r="CI6" s="1836"/>
      <c r="CJ6" s="1836"/>
      <c r="CK6" s="1836"/>
      <c r="CL6" s="1836"/>
      <c r="CM6" s="1836"/>
      <c r="CN6" s="1836"/>
      <c r="CO6" s="1836"/>
      <c r="CP6" s="1836"/>
      <c r="CQ6" s="1836"/>
      <c r="CR6" s="1836"/>
      <c r="CS6" s="1836"/>
      <c r="CT6" s="1836"/>
      <c r="CU6" s="1836"/>
      <c r="CV6" s="1836"/>
      <c r="CW6" s="1836"/>
      <c r="CX6" s="1836"/>
      <c r="CY6" s="1836"/>
      <c r="CZ6" s="1836"/>
      <c r="DA6" s="1836"/>
      <c r="DB6" s="1836"/>
      <c r="DC6" s="1836"/>
      <c r="DD6" s="1836"/>
      <c r="DE6" s="1836"/>
      <c r="DF6" s="1836"/>
      <c r="DG6" s="1836"/>
      <c r="DH6" s="1836"/>
      <c r="DI6" s="1836"/>
      <c r="DJ6" s="1836"/>
      <c r="DK6" s="1836"/>
      <c r="DL6" s="1836"/>
      <c r="DM6" s="1836"/>
      <c r="DN6" s="1836"/>
      <c r="DO6" s="1836"/>
      <c r="DP6" s="1836"/>
      <c r="DQ6" s="1836"/>
      <c r="DR6" s="1836"/>
      <c r="DS6" s="1836"/>
      <c r="DT6" s="1836"/>
      <c r="DU6" s="1836"/>
      <c r="DV6" s="1836"/>
      <c r="DW6" s="1836"/>
      <c r="DX6" s="1836"/>
      <c r="DY6" s="1836"/>
      <c r="DZ6" s="1836"/>
      <c r="EA6" s="1836"/>
      <c r="EB6" s="1836"/>
      <c r="EC6" s="1836"/>
      <c r="ED6" s="1836"/>
      <c r="EE6" s="1836"/>
      <c r="EF6" s="1836"/>
      <c r="EG6" s="1836"/>
      <c r="EH6" s="1836"/>
      <c r="EI6" s="1836"/>
      <c r="EJ6" s="1836"/>
      <c r="EK6" s="1836"/>
      <c r="EL6" s="1836"/>
      <c r="EM6" s="1836"/>
      <c r="EN6" s="1836"/>
      <c r="EO6" s="1836"/>
      <c r="EP6" s="1836"/>
      <c r="EQ6" s="1836"/>
      <c r="ER6" s="1836"/>
      <c r="ES6" s="1836"/>
      <c r="ET6" s="1836"/>
      <c r="EU6" s="1836"/>
      <c r="EV6" s="1836"/>
      <c r="EW6" s="1836"/>
      <c r="EX6" s="1836"/>
      <c r="EY6" s="1836"/>
      <c r="EZ6" s="1836"/>
      <c r="FA6" s="1836"/>
      <c r="FB6" s="1836"/>
      <c r="FC6" s="1836"/>
      <c r="FD6" s="1836"/>
      <c r="FE6" s="1836"/>
      <c r="FF6" s="1836"/>
      <c r="FG6" s="1836"/>
      <c r="FH6" s="1836"/>
      <c r="FI6" s="1836"/>
      <c r="FJ6" s="1836"/>
      <c r="FK6" s="1836"/>
      <c r="FL6" s="1836"/>
      <c r="FM6" s="1836"/>
      <c r="FN6" s="1836"/>
      <c r="FO6" s="1836"/>
      <c r="FP6" s="1836"/>
      <c r="FQ6" s="1836"/>
      <c r="FR6" s="1836"/>
      <c r="FS6" s="1836"/>
      <c r="FT6" s="1836"/>
      <c r="FU6" s="1836"/>
      <c r="FV6" s="1836"/>
      <c r="FW6" s="1836"/>
      <c r="FX6" s="1836"/>
      <c r="FY6" s="1836"/>
      <c r="FZ6" s="1836"/>
      <c r="GA6" s="1836"/>
      <c r="GB6" s="1836"/>
      <c r="GC6" s="1836"/>
      <c r="GD6" s="1836"/>
      <c r="GE6" s="1836"/>
      <c r="GF6" s="1836"/>
      <c r="GG6" s="1836"/>
      <c r="GH6" s="1836"/>
      <c r="GI6" s="1836"/>
      <c r="GJ6" s="1836"/>
      <c r="GK6" s="1836"/>
      <c r="GL6" s="1836"/>
      <c r="GM6" s="434"/>
    </row>
    <row r="7" spans="1:205" ht="15" customHeight="1">
      <c r="C7" s="93"/>
      <c r="D7" s="640"/>
      <c r="E7" s="407"/>
      <c r="F7" s="407"/>
      <c r="G7" s="434">
        <v>22</v>
      </c>
      <c r="I7" s="434">
        <v>1</v>
      </c>
      <c r="J7" s="640"/>
      <c r="K7" s="1903" t="s">
        <v>18</v>
      </c>
      <c r="M7" s="1903" t="s">
        <v>18</v>
      </c>
      <c r="O7" s="1903" t="s">
        <v>18</v>
      </c>
      <c r="Q7" s="1903" t="s">
        <v>18</v>
      </c>
      <c r="S7" s="1903" t="s">
        <v>18</v>
      </c>
      <c r="U7" s="1903" t="s">
        <v>18</v>
      </c>
      <c r="W7" s="1903" t="s">
        <v>18</v>
      </c>
      <c r="Y7" s="1903" t="s">
        <v>18</v>
      </c>
      <c r="AA7" s="1903" t="s">
        <v>18</v>
      </c>
      <c r="AC7" s="1903" t="s">
        <v>18</v>
      </c>
      <c r="AE7" s="1903" t="s">
        <v>18</v>
      </c>
      <c r="AG7" s="1903" t="s">
        <v>18</v>
      </c>
      <c r="AI7" s="1903" t="s">
        <v>18</v>
      </c>
      <c r="AK7" s="1903" t="s">
        <v>18</v>
      </c>
      <c r="AM7" s="1903" t="s">
        <v>18</v>
      </c>
      <c r="AO7" s="1903" t="s">
        <v>18</v>
      </c>
      <c r="AQ7" s="1903" t="s">
        <v>18</v>
      </c>
      <c r="AS7" s="1903" t="s">
        <v>18</v>
      </c>
      <c r="AU7" s="1903" t="s">
        <v>18</v>
      </c>
      <c r="AW7" s="1903" t="s">
        <v>18</v>
      </c>
      <c r="AY7" s="1903" t="s">
        <v>18</v>
      </c>
      <c r="BA7" s="1903" t="s">
        <v>18</v>
      </c>
      <c r="BC7" s="1903" t="s">
        <v>18</v>
      </c>
      <c r="BE7" s="1903" t="s">
        <v>18</v>
      </c>
      <c r="BG7" s="1903" t="s">
        <v>18</v>
      </c>
      <c r="BI7" s="1903" t="s">
        <v>18</v>
      </c>
      <c r="BK7" s="1903" t="s">
        <v>18</v>
      </c>
      <c r="BM7" s="1903" t="s">
        <v>18</v>
      </c>
      <c r="BO7" s="1903" t="s">
        <v>18</v>
      </c>
      <c r="BQ7" s="1903" t="s">
        <v>18</v>
      </c>
      <c r="BS7" s="1903" t="s">
        <v>18</v>
      </c>
      <c r="BU7" s="1903" t="s">
        <v>18</v>
      </c>
      <c r="BW7" s="1903" t="s">
        <v>18</v>
      </c>
      <c r="BY7" s="1903" t="s">
        <v>18</v>
      </c>
      <c r="CA7" s="1903" t="s">
        <v>18</v>
      </c>
      <c r="CC7" s="1903" t="s">
        <v>18</v>
      </c>
      <c r="CE7" s="1903" t="s">
        <v>18</v>
      </c>
      <c r="CG7" s="1903" t="s">
        <v>18</v>
      </c>
      <c r="CI7" s="1903" t="s">
        <v>18</v>
      </c>
      <c r="CK7" s="1903" t="s">
        <v>18</v>
      </c>
      <c r="CM7" s="1903" t="s">
        <v>18</v>
      </c>
      <c r="CO7" s="1903" t="s">
        <v>18</v>
      </c>
      <c r="CQ7" s="1903" t="s">
        <v>18</v>
      </c>
      <c r="CS7" s="1903" t="s">
        <v>18</v>
      </c>
      <c r="CU7" s="1903" t="s">
        <v>18</v>
      </c>
      <c r="CW7" s="1903" t="s">
        <v>18</v>
      </c>
      <c r="CY7" s="1903" t="s">
        <v>18</v>
      </c>
      <c r="DA7" s="1903" t="s">
        <v>18</v>
      </c>
      <c r="DC7" s="1903" t="s">
        <v>18</v>
      </c>
      <c r="DE7" s="1903" t="s">
        <v>18</v>
      </c>
      <c r="DG7" s="1903" t="s">
        <v>18</v>
      </c>
      <c r="DI7" s="1903" t="s">
        <v>18</v>
      </c>
      <c r="DK7" s="1903" t="s">
        <v>18</v>
      </c>
      <c r="DM7" s="1903" t="s">
        <v>18</v>
      </c>
      <c r="DO7" s="1903" t="s">
        <v>18</v>
      </c>
      <c r="DQ7" s="1903" t="s">
        <v>18</v>
      </c>
      <c r="DS7" s="1903" t="s">
        <v>18</v>
      </c>
      <c r="DU7" s="1903" t="s">
        <v>18</v>
      </c>
      <c r="DW7" s="1903" t="s">
        <v>18</v>
      </c>
      <c r="DY7" s="1903" t="s">
        <v>18</v>
      </c>
      <c r="EA7" s="1903" t="s">
        <v>18</v>
      </c>
      <c r="EC7" s="1903" t="s">
        <v>18</v>
      </c>
      <c r="EE7" s="1903" t="s">
        <v>18</v>
      </c>
      <c r="EG7" s="1903" t="s">
        <v>18</v>
      </c>
      <c r="EI7" s="1903" t="s">
        <v>18</v>
      </c>
      <c r="EK7" s="1903" t="s">
        <v>18</v>
      </c>
      <c r="EM7" s="1903" t="s">
        <v>18</v>
      </c>
      <c r="EO7" s="1903" t="s">
        <v>18</v>
      </c>
      <c r="EQ7" s="1903" t="s">
        <v>18</v>
      </c>
      <c r="ES7" s="1903" t="s">
        <v>18</v>
      </c>
      <c r="EU7" s="1903" t="s">
        <v>18</v>
      </c>
      <c r="EW7" s="1903" t="s">
        <v>18</v>
      </c>
      <c r="EY7" s="1903" t="s">
        <v>18</v>
      </c>
      <c r="FA7" s="1903" t="s">
        <v>18</v>
      </c>
      <c r="FC7" s="1903" t="s">
        <v>18</v>
      </c>
      <c r="FE7" s="1903" t="s">
        <v>18</v>
      </c>
      <c r="FG7" s="1903" t="s">
        <v>18</v>
      </c>
      <c r="FI7" s="1903" t="s">
        <v>18</v>
      </c>
      <c r="FK7" s="1903" t="s">
        <v>18</v>
      </c>
      <c r="FM7" s="1903" t="s">
        <v>18</v>
      </c>
      <c r="FO7" s="1903" t="s">
        <v>18</v>
      </c>
      <c r="FQ7" s="1903" t="s">
        <v>18</v>
      </c>
      <c r="FS7" s="1903" t="s">
        <v>18</v>
      </c>
      <c r="FU7" s="1903" t="s">
        <v>18</v>
      </c>
      <c r="FW7" s="1903" t="s">
        <v>18</v>
      </c>
      <c r="FY7" s="1903" t="s">
        <v>18</v>
      </c>
      <c r="GA7" s="1903" t="s">
        <v>18</v>
      </c>
      <c r="GC7" s="1903" t="s">
        <v>18</v>
      </c>
      <c r="GE7" s="1903" t="s">
        <v>18</v>
      </c>
      <c r="GG7" s="1903" t="s">
        <v>18</v>
      </c>
      <c r="GI7" s="1903" t="s">
        <v>18</v>
      </c>
      <c r="GK7" s="1903" t="s">
        <v>18</v>
      </c>
    </row>
    <row r="8" spans="1:205" s="1910" customFormat="1" ht="0.75" customHeight="1">
      <c r="A8" s="645"/>
      <c r="C8" s="93"/>
      <c r="D8" s="407"/>
      <c r="E8" s="407"/>
      <c r="F8" s="407"/>
      <c r="G8" s="434"/>
      <c r="H8" s="640"/>
      <c r="I8" s="434" t="s">
        <v>115</v>
      </c>
      <c r="J8" s="640"/>
      <c r="K8" s="1903" t="s">
        <v>120</v>
      </c>
      <c r="L8" s="1826"/>
      <c r="M8" s="1903" t="s">
        <v>122</v>
      </c>
      <c r="N8" s="1826"/>
      <c r="O8" s="1903" t="s">
        <v>124</v>
      </c>
      <c r="P8" s="1826"/>
      <c r="Q8" s="1903" t="s">
        <v>126</v>
      </c>
      <c r="R8" s="1826"/>
      <c r="S8" s="1903" t="s">
        <v>128</v>
      </c>
      <c r="T8" s="1826"/>
      <c r="U8" s="1903" t="s">
        <v>130</v>
      </c>
      <c r="V8" s="1826"/>
      <c r="W8" s="1903" t="s">
        <v>132</v>
      </c>
      <c r="X8" s="1826"/>
      <c r="Y8" s="1903" t="s">
        <v>135</v>
      </c>
      <c r="Z8" s="1826"/>
      <c r="AA8" s="1903" t="s">
        <v>138</v>
      </c>
      <c r="AB8" s="1826"/>
      <c r="AC8" s="1903" t="s">
        <v>141</v>
      </c>
      <c r="AD8" s="1826"/>
      <c r="AE8" s="1903" t="s">
        <v>144</v>
      </c>
      <c r="AF8" s="1826"/>
      <c r="AG8" s="1903" t="s">
        <v>147</v>
      </c>
      <c r="AH8" s="1826"/>
      <c r="AI8" s="1903" t="s">
        <v>150</v>
      </c>
      <c r="AJ8" s="1826"/>
      <c r="AK8" s="1903" t="s">
        <v>153</v>
      </c>
      <c r="AL8" s="1826"/>
      <c r="AM8" s="1903" t="s">
        <v>156</v>
      </c>
      <c r="AN8" s="1826"/>
      <c r="AO8" s="1903" t="s">
        <v>159</v>
      </c>
      <c r="AP8" s="1826"/>
      <c r="AQ8" s="1903" t="s">
        <v>162</v>
      </c>
      <c r="AR8" s="1826"/>
      <c r="AS8" s="1903" t="s">
        <v>165</v>
      </c>
      <c r="AT8" s="1826"/>
      <c r="AU8" s="1903" t="s">
        <v>168</v>
      </c>
      <c r="AV8" s="1826"/>
      <c r="AW8" s="1903" t="s">
        <v>171</v>
      </c>
      <c r="AX8" s="1826"/>
      <c r="AY8" s="1903" t="s">
        <v>174</v>
      </c>
      <c r="AZ8" s="1826"/>
      <c r="BA8" s="1903" t="s">
        <v>177</v>
      </c>
      <c r="BB8" s="1826"/>
      <c r="BC8" s="1903" t="s">
        <v>180</v>
      </c>
      <c r="BD8" s="1826"/>
      <c r="BE8" s="1903" t="s">
        <v>183</v>
      </c>
      <c r="BF8" s="1826"/>
      <c r="BG8" s="1903" t="s">
        <v>186</v>
      </c>
      <c r="BH8" s="1826"/>
      <c r="BI8" s="1903" t="s">
        <v>189</v>
      </c>
      <c r="BJ8" s="1826"/>
      <c r="BK8" s="1903" t="s">
        <v>192</v>
      </c>
      <c r="BL8" s="1826"/>
      <c r="BM8" s="1903" t="s">
        <v>195</v>
      </c>
      <c r="BN8" s="1826"/>
      <c r="BO8" s="1903" t="s">
        <v>198</v>
      </c>
      <c r="BP8" s="1826"/>
      <c r="BQ8" s="1903" t="s">
        <v>201</v>
      </c>
      <c r="BR8" s="1826"/>
      <c r="BS8" s="1903" t="s">
        <v>204</v>
      </c>
      <c r="BT8" s="1826"/>
      <c r="BU8" s="1903" t="s">
        <v>207</v>
      </c>
      <c r="BV8" s="1826"/>
      <c r="BW8" s="1903" t="s">
        <v>210</v>
      </c>
      <c r="BX8" s="1826"/>
      <c r="BY8" s="1903" t="s">
        <v>213</v>
      </c>
      <c r="BZ8" s="1826"/>
      <c r="CA8" s="1903" t="s">
        <v>216</v>
      </c>
      <c r="CB8" s="1826"/>
      <c r="CC8" s="1903" t="s">
        <v>219</v>
      </c>
      <c r="CD8" s="1826"/>
      <c r="CE8" s="1903" t="s">
        <v>222</v>
      </c>
      <c r="CF8" s="1826"/>
      <c r="CG8" s="1903" t="s">
        <v>224</v>
      </c>
      <c r="CH8" s="1826"/>
      <c r="CI8" s="1903" t="s">
        <v>227</v>
      </c>
      <c r="CJ8" s="1826"/>
      <c r="CK8" s="1903" t="s">
        <v>230</v>
      </c>
      <c r="CL8" s="1826"/>
      <c r="CM8" s="1903" t="s">
        <v>233</v>
      </c>
      <c r="CN8" s="1826"/>
      <c r="CO8" s="1903" t="s">
        <v>236</v>
      </c>
      <c r="CP8" s="1826"/>
      <c r="CQ8" s="1903" t="s">
        <v>239</v>
      </c>
      <c r="CR8" s="1826"/>
      <c r="CS8" s="1903" t="s">
        <v>242</v>
      </c>
      <c r="CT8" s="1826"/>
      <c r="CU8" s="1903" t="s">
        <v>245</v>
      </c>
      <c r="CV8" s="1826"/>
      <c r="CW8" s="1903" t="s">
        <v>248</v>
      </c>
      <c r="CX8" s="1826"/>
      <c r="CY8" s="1903" t="s">
        <v>251</v>
      </c>
      <c r="CZ8" s="1826"/>
      <c r="DA8" s="1903" t="s">
        <v>254</v>
      </c>
      <c r="DB8" s="1826"/>
      <c r="DC8" s="1903" t="s">
        <v>257</v>
      </c>
      <c r="DD8" s="1826"/>
      <c r="DE8" s="1903" t="s">
        <v>260</v>
      </c>
      <c r="DF8" s="1826"/>
      <c r="DG8" s="1903" t="s">
        <v>263</v>
      </c>
      <c r="DH8" s="1826"/>
      <c r="DI8" s="1903" t="s">
        <v>266</v>
      </c>
      <c r="DJ8" s="1826"/>
      <c r="DK8" s="1903" t="s">
        <v>269</v>
      </c>
      <c r="DL8" s="1826"/>
      <c r="DM8" s="1903" t="s">
        <v>272</v>
      </c>
      <c r="DN8" s="1826"/>
      <c r="DO8" s="1903" t="s">
        <v>275</v>
      </c>
      <c r="DP8" s="1826"/>
      <c r="DQ8" s="1903" t="s">
        <v>278</v>
      </c>
      <c r="DR8" s="1826"/>
      <c r="DS8" s="1903" t="s">
        <v>281</v>
      </c>
      <c r="DT8" s="1826"/>
      <c r="DU8" s="1903" t="s">
        <v>284</v>
      </c>
      <c r="DV8" s="1826"/>
      <c r="DW8" s="1903" t="s">
        <v>287</v>
      </c>
      <c r="DX8" s="1826"/>
      <c r="DY8" s="1903" t="s">
        <v>290</v>
      </c>
      <c r="DZ8" s="1826"/>
      <c r="EA8" s="1903" t="s">
        <v>293</v>
      </c>
      <c r="EB8" s="1826"/>
      <c r="EC8" s="1903" t="s">
        <v>296</v>
      </c>
      <c r="ED8" s="1826"/>
      <c r="EE8" s="1903" t="s">
        <v>299</v>
      </c>
      <c r="EF8" s="1826"/>
      <c r="EG8" s="1903" t="s">
        <v>302</v>
      </c>
      <c r="EH8" s="1826"/>
      <c r="EI8" s="1903" t="s">
        <v>305</v>
      </c>
      <c r="EJ8" s="1826"/>
      <c r="EK8" s="1903" t="s">
        <v>308</v>
      </c>
      <c r="EL8" s="1826"/>
      <c r="EM8" s="1903" t="s">
        <v>311</v>
      </c>
      <c r="EN8" s="1826"/>
      <c r="EO8" s="1903" t="s">
        <v>314</v>
      </c>
      <c r="EP8" s="1826"/>
      <c r="EQ8" s="1903" t="s">
        <v>317</v>
      </c>
      <c r="ER8" s="1826"/>
      <c r="ES8" s="1903" t="s">
        <v>320</v>
      </c>
      <c r="ET8" s="1826"/>
      <c r="EU8" s="1903" t="s">
        <v>323</v>
      </c>
      <c r="EV8" s="1826"/>
      <c r="EW8" s="1903" t="s">
        <v>326</v>
      </c>
      <c r="EX8" s="1826"/>
      <c r="EY8" s="1903" t="s">
        <v>329</v>
      </c>
      <c r="EZ8" s="1826"/>
      <c r="FA8" s="1903" t="s">
        <v>332</v>
      </c>
      <c r="FB8" s="1826"/>
      <c r="FC8" s="1903" t="s">
        <v>335</v>
      </c>
      <c r="FD8" s="1826"/>
      <c r="FE8" s="1903" t="s">
        <v>338</v>
      </c>
      <c r="FF8" s="1826"/>
      <c r="FG8" s="1903" t="s">
        <v>341</v>
      </c>
      <c r="FH8" s="1826"/>
      <c r="FI8" s="1903" t="s">
        <v>344</v>
      </c>
      <c r="FJ8" s="1826"/>
      <c r="FK8" s="1903" t="s">
        <v>347</v>
      </c>
      <c r="FL8" s="1826"/>
      <c r="FM8" s="1903" t="s">
        <v>350</v>
      </c>
      <c r="FN8" s="1826"/>
      <c r="FO8" s="1903" t="s">
        <v>353</v>
      </c>
      <c r="FP8" s="1826"/>
      <c r="FQ8" s="1903" t="s">
        <v>356</v>
      </c>
      <c r="FR8" s="1826"/>
      <c r="FS8" s="1903" t="s">
        <v>359</v>
      </c>
      <c r="FT8" s="1826"/>
      <c r="FU8" s="1903" t="s">
        <v>362</v>
      </c>
      <c r="FV8" s="1826"/>
      <c r="FW8" s="1903" t="s">
        <v>365</v>
      </c>
      <c r="FX8" s="1826"/>
      <c r="FY8" s="1903" t="s">
        <v>368</v>
      </c>
      <c r="FZ8" s="1826"/>
      <c r="GA8" s="1903" t="s">
        <v>371</v>
      </c>
      <c r="GB8" s="1826"/>
      <c r="GC8" s="1903" t="s">
        <v>374</v>
      </c>
      <c r="GD8" s="1826"/>
      <c r="GE8" s="1903" t="s">
        <v>377</v>
      </c>
      <c r="GF8" s="1826"/>
      <c r="GG8" s="1903" t="s">
        <v>380</v>
      </c>
      <c r="GH8" s="1826"/>
      <c r="GI8" s="1903" t="s">
        <v>383</v>
      </c>
      <c r="GJ8" s="1826"/>
      <c r="GK8" s="1903" t="s">
        <v>386</v>
      </c>
      <c r="GL8" s="1826"/>
      <c r="GM8" s="324"/>
      <c r="GW8" s="567"/>
    </row>
    <row r="9" spans="1:205" ht="15" customHeight="1">
      <c r="C9" s="93"/>
      <c r="D9" s="601"/>
      <c r="E9" s="3607" t="s">
        <v>102</v>
      </c>
      <c r="F9" s="3608"/>
      <c r="G9" s="3631" t="str">
        <f>IF(G8="","",INDEX(DIFFERENTIATION_UNMERGE_VD,MATCH(G8,DIFFERENTIATION_ID_DIFF,0)))</f>
        <v/>
      </c>
      <c r="H9" s="3632"/>
      <c r="I9" s="3631" t="str">
        <f>IF(I8="","",INDEX(DIFFERENTIATION_UNMERGE_VD,MATCH(I8,DIFFERENTIATION_ID_DIFF,0)))</f>
        <v>Производство тепловой энергии. Некомбинированная выработка</v>
      </c>
      <c r="J9" s="3632"/>
      <c r="K9" s="3631" t="str">
        <f>IF(K8="","",INDEX(DIFFERENTIATION_UNMERGE_VD,MATCH(K8,DIFFERENTIATION_ID_DIFF,0)))</f>
        <v>Производство тепловой энергии. Некомбинированная выработка</v>
      </c>
      <c r="L9" s="3632"/>
      <c r="M9" s="3631" t="str">
        <f>IF(M8="","",INDEX(DIFFERENTIATION_UNMERGE_VD,MATCH(M8,DIFFERENTIATION_ID_DIFF,0)))</f>
        <v>Производство тепловой энергии. Некомбинированная выработка</v>
      </c>
      <c r="N9" s="3632"/>
      <c r="O9" s="3631" t="str">
        <f>IF(O8="","",INDEX(DIFFERENTIATION_UNMERGE_VD,MATCH(O8,DIFFERENTIATION_ID_DIFF,0)))</f>
        <v>Производство тепловой энергии. Некомбинированная выработка</v>
      </c>
      <c r="P9" s="3632"/>
      <c r="Q9" s="3631" t="str">
        <f>IF(Q8="","",INDEX(DIFFERENTIATION_UNMERGE_VD,MATCH(Q8,DIFFERENTIATION_ID_DIFF,0)))</f>
        <v>Производство тепловой энергии. Некомбинированная выработка</v>
      </c>
      <c r="R9" s="3632"/>
      <c r="S9" s="3631" t="str">
        <f>IF(S8="","",INDEX(DIFFERENTIATION_UNMERGE_VD,MATCH(S8,DIFFERENTIATION_ID_DIFF,0)))</f>
        <v>Производство тепловой энергии. Некомбинированная выработка</v>
      </c>
      <c r="T9" s="3632"/>
      <c r="U9" s="3631" t="str">
        <f>IF(U8="","",INDEX(DIFFERENTIATION_UNMERGE_VD,MATCH(U8,DIFFERENTIATION_ID_DIFF,0)))</f>
        <v>Производство тепловой энергии. Некомбинированная выработка</v>
      </c>
      <c r="V9" s="3632"/>
      <c r="W9" s="3631" t="str">
        <f>IF(W8="","",INDEX(DIFFERENTIATION_UNMERGE_VD,MATCH(W8,DIFFERENTIATION_ID_DIFF,0)))</f>
        <v>Производство тепловой энергии. Некомбинированная выработка</v>
      </c>
      <c r="X9" s="3632"/>
      <c r="Y9" s="3631" t="str">
        <f>IF(Y8="","",INDEX(DIFFERENTIATION_UNMERGE_VD,MATCH(Y8,DIFFERENTIATION_ID_DIFF,0)))</f>
        <v>Производство тепловой энергии. Некомбинированная выработка</v>
      </c>
      <c r="Z9" s="3632"/>
      <c r="AA9" s="3631" t="str">
        <f>IF(AA8="","",INDEX(DIFFERENTIATION_UNMERGE_VD,MATCH(AA8,DIFFERENTIATION_ID_DIFF,0)))</f>
        <v>Производство тепловой энергии. Некомбинированная выработка</v>
      </c>
      <c r="AB9" s="3632"/>
      <c r="AC9" s="3631" t="str">
        <f>IF(AC8="","",INDEX(DIFFERENTIATION_UNMERGE_VD,MATCH(AC8,DIFFERENTIATION_ID_DIFF,0)))</f>
        <v>Производство тепловой энергии. Некомбинированная выработка</v>
      </c>
      <c r="AD9" s="3632"/>
      <c r="AE9" s="3631" t="str">
        <f>IF(AE8="","",INDEX(DIFFERENTIATION_UNMERGE_VD,MATCH(AE8,DIFFERENTIATION_ID_DIFF,0)))</f>
        <v>Производство тепловой энергии. Некомбинированная выработка</v>
      </c>
      <c r="AF9" s="3632"/>
      <c r="AG9" s="3631" t="str">
        <f>IF(AG8="","",INDEX(DIFFERENTIATION_UNMERGE_VD,MATCH(AG8,DIFFERENTIATION_ID_DIFF,0)))</f>
        <v>Производство тепловой энергии. Некомбинированная выработка</v>
      </c>
      <c r="AH9" s="3632"/>
      <c r="AI9" s="3631" t="str">
        <f>IF(AI8="","",INDEX(DIFFERENTIATION_UNMERGE_VD,MATCH(AI8,DIFFERENTIATION_ID_DIFF,0)))</f>
        <v>Производство тепловой энергии. Некомбинированная выработка</v>
      </c>
      <c r="AJ9" s="3632"/>
      <c r="AK9" s="3631" t="str">
        <f>IF(AK8="","",INDEX(DIFFERENTIATION_UNMERGE_VD,MATCH(AK8,DIFFERENTIATION_ID_DIFF,0)))</f>
        <v>Производство тепловой энергии. Некомбинированная выработка</v>
      </c>
      <c r="AL9" s="3632"/>
      <c r="AM9" s="3631" t="str">
        <f>IF(AM8="","",INDEX(DIFFERENTIATION_UNMERGE_VD,MATCH(AM8,DIFFERENTIATION_ID_DIFF,0)))</f>
        <v>Производство тепловой энергии. Некомбинированная выработка</v>
      </c>
      <c r="AN9" s="3632"/>
      <c r="AO9" s="3631" t="str">
        <f>IF(AO8="","",INDEX(DIFFERENTIATION_UNMERGE_VD,MATCH(AO8,DIFFERENTIATION_ID_DIFF,0)))</f>
        <v>Производство тепловой энергии. Некомбинированная выработка</v>
      </c>
      <c r="AP9" s="3632"/>
      <c r="AQ9" s="3631" t="str">
        <f>IF(AQ8="","",INDEX(DIFFERENTIATION_UNMERGE_VD,MATCH(AQ8,DIFFERENTIATION_ID_DIFF,0)))</f>
        <v>Производство тепловой энергии. Некомбинированная выработка</v>
      </c>
      <c r="AR9" s="3632"/>
      <c r="AS9" s="3631" t="str">
        <f>IF(AS8="","",INDEX(DIFFERENTIATION_UNMERGE_VD,MATCH(AS8,DIFFERENTIATION_ID_DIFF,0)))</f>
        <v>Производство тепловой энергии. Некомбинированная выработка</v>
      </c>
      <c r="AT9" s="3632"/>
      <c r="AU9" s="3631" t="str">
        <f>IF(AU8="","",INDEX(DIFFERENTIATION_UNMERGE_VD,MATCH(AU8,DIFFERENTIATION_ID_DIFF,0)))</f>
        <v>Производство тепловой энергии. Некомбинированная выработка</v>
      </c>
      <c r="AV9" s="3632"/>
      <c r="AW9" s="3631" t="str">
        <f>IF(AW8="","",INDEX(DIFFERENTIATION_UNMERGE_VD,MATCH(AW8,DIFFERENTIATION_ID_DIFF,0)))</f>
        <v>Производство тепловой энергии. Некомбинированная выработка</v>
      </c>
      <c r="AX9" s="3632"/>
      <c r="AY9" s="3631" t="str">
        <f>IF(AY8="","",INDEX(DIFFERENTIATION_UNMERGE_VD,MATCH(AY8,DIFFERENTIATION_ID_DIFF,0)))</f>
        <v>Производство тепловой энергии. Некомбинированная выработка</v>
      </c>
      <c r="AZ9" s="3632"/>
      <c r="BA9" s="3631" t="str">
        <f>IF(BA8="","",INDEX(DIFFERENTIATION_UNMERGE_VD,MATCH(BA8,DIFFERENTIATION_ID_DIFF,0)))</f>
        <v>Производство тепловой энергии. Некомбинированная выработка</v>
      </c>
      <c r="BB9" s="3632"/>
      <c r="BC9" s="3631" t="str">
        <f>IF(BC8="","",INDEX(DIFFERENTIATION_UNMERGE_VD,MATCH(BC8,DIFFERENTIATION_ID_DIFF,0)))</f>
        <v>Производство тепловой энергии. Некомбинированная выработка</v>
      </c>
      <c r="BD9" s="3632"/>
      <c r="BE9" s="3631" t="str">
        <f>IF(BE8="","",INDEX(DIFFERENTIATION_UNMERGE_VD,MATCH(BE8,DIFFERENTIATION_ID_DIFF,0)))</f>
        <v>Производство тепловой энергии. Некомбинированная выработка</v>
      </c>
      <c r="BF9" s="3632"/>
      <c r="BG9" s="3631" t="str">
        <f>IF(BG8="","",INDEX(DIFFERENTIATION_UNMERGE_VD,MATCH(BG8,DIFFERENTIATION_ID_DIFF,0)))</f>
        <v>Производство тепловой энергии. Некомбинированная выработка</v>
      </c>
      <c r="BH9" s="3632"/>
      <c r="BI9" s="3631" t="str">
        <f>IF(BI8="","",INDEX(DIFFERENTIATION_UNMERGE_VD,MATCH(BI8,DIFFERENTIATION_ID_DIFF,0)))</f>
        <v>Производство тепловой энергии. Некомбинированная выработка</v>
      </c>
      <c r="BJ9" s="3632"/>
      <c r="BK9" s="3631" t="str">
        <f>IF(BK8="","",INDEX(DIFFERENTIATION_UNMERGE_VD,MATCH(BK8,DIFFERENTIATION_ID_DIFF,0)))</f>
        <v>Производство тепловой энергии. Некомбинированная выработка</v>
      </c>
      <c r="BL9" s="3632"/>
      <c r="BM9" s="3631" t="str">
        <f>IF(BM8="","",INDEX(DIFFERENTIATION_UNMERGE_VD,MATCH(BM8,DIFFERENTIATION_ID_DIFF,0)))</f>
        <v>Производство тепловой энергии. Некомбинированная выработка</v>
      </c>
      <c r="BN9" s="3632"/>
      <c r="BO9" s="3631" t="str">
        <f>IF(BO8="","",INDEX(DIFFERENTIATION_UNMERGE_VD,MATCH(BO8,DIFFERENTIATION_ID_DIFF,0)))</f>
        <v>Производство тепловой энергии. Некомбинированная выработка</v>
      </c>
      <c r="BP9" s="3632"/>
      <c r="BQ9" s="3631" t="str">
        <f>IF(BQ8="","",INDEX(DIFFERENTIATION_UNMERGE_VD,MATCH(BQ8,DIFFERENTIATION_ID_DIFF,0)))</f>
        <v>Производство тепловой энергии. Некомбинированная выработка</v>
      </c>
      <c r="BR9" s="3632"/>
      <c r="BS9" s="3631" t="str">
        <f>IF(BS8="","",INDEX(DIFFERENTIATION_UNMERGE_VD,MATCH(BS8,DIFFERENTIATION_ID_DIFF,0)))</f>
        <v>Производство тепловой энергии. Некомбинированная выработка</v>
      </c>
      <c r="BT9" s="3632"/>
      <c r="BU9" s="3631" t="str">
        <f>IF(BU8="","",INDEX(DIFFERENTIATION_UNMERGE_VD,MATCH(BU8,DIFFERENTIATION_ID_DIFF,0)))</f>
        <v>Производство тепловой энергии. Некомбинированная выработка</v>
      </c>
      <c r="BV9" s="3632"/>
      <c r="BW9" s="3631" t="str">
        <f>IF(BW8="","",INDEX(DIFFERENTIATION_UNMERGE_VD,MATCH(BW8,DIFFERENTIATION_ID_DIFF,0)))</f>
        <v>Производство тепловой энергии. Некомбинированная выработка</v>
      </c>
      <c r="BX9" s="3632"/>
      <c r="BY9" s="3631" t="str">
        <f>IF(BY8="","",INDEX(DIFFERENTIATION_UNMERGE_VD,MATCH(BY8,DIFFERENTIATION_ID_DIFF,0)))</f>
        <v>Производство тепловой энергии. Некомбинированная выработка</v>
      </c>
      <c r="BZ9" s="3632"/>
      <c r="CA9" s="3631" t="str">
        <f>IF(CA8="","",INDEX(DIFFERENTIATION_UNMERGE_VD,MATCH(CA8,DIFFERENTIATION_ID_DIFF,0)))</f>
        <v>Производство тепловой энергии. Некомбинированная выработка</v>
      </c>
      <c r="CB9" s="3632"/>
      <c r="CC9" s="3631" t="str">
        <f>IF(CC8="","",INDEX(DIFFERENTIATION_UNMERGE_VD,MATCH(CC8,DIFFERENTIATION_ID_DIFF,0)))</f>
        <v>Производство тепловой энергии. Некомбинированная выработка</v>
      </c>
      <c r="CD9" s="3632"/>
      <c r="CE9" s="3631" t="str">
        <f>IF(CE8="","",INDEX(DIFFERENTIATION_UNMERGE_VD,MATCH(CE8,DIFFERENTIATION_ID_DIFF,0)))</f>
        <v>Производство тепловой энергии. Некомбинированная выработка</v>
      </c>
      <c r="CF9" s="3632"/>
      <c r="CG9" s="3631" t="str">
        <f>IF(CG8="","",INDEX(DIFFERENTIATION_UNMERGE_VD,MATCH(CG8,DIFFERENTIATION_ID_DIFF,0)))</f>
        <v>Производство тепловой энергии. Некомбинированная выработка</v>
      </c>
      <c r="CH9" s="3632"/>
      <c r="CI9" s="3631" t="str">
        <f>IF(CI8="","",INDEX(DIFFERENTIATION_UNMERGE_VD,MATCH(CI8,DIFFERENTIATION_ID_DIFF,0)))</f>
        <v>Производство тепловой энергии. Некомбинированная выработка</v>
      </c>
      <c r="CJ9" s="3632"/>
      <c r="CK9" s="3631" t="str">
        <f>IF(CK8="","",INDEX(DIFFERENTIATION_UNMERGE_VD,MATCH(CK8,DIFFERENTIATION_ID_DIFF,0)))</f>
        <v>Производство тепловой энергии. Некомбинированная выработка</v>
      </c>
      <c r="CL9" s="3632"/>
      <c r="CM9" s="3631" t="str">
        <f>IF(CM8="","",INDEX(DIFFERENTIATION_UNMERGE_VD,MATCH(CM8,DIFFERENTIATION_ID_DIFF,0)))</f>
        <v>Производство тепловой энергии. Некомбинированная выработка</v>
      </c>
      <c r="CN9" s="3632"/>
      <c r="CO9" s="3631" t="str">
        <f>IF(CO8="","",INDEX(DIFFERENTIATION_UNMERGE_VD,MATCH(CO8,DIFFERENTIATION_ID_DIFF,0)))</f>
        <v>Производство тепловой энергии. Некомбинированная выработка</v>
      </c>
      <c r="CP9" s="3632"/>
      <c r="CQ9" s="3631" t="str">
        <f>IF(CQ8="","",INDEX(DIFFERENTIATION_UNMERGE_VD,MATCH(CQ8,DIFFERENTIATION_ID_DIFF,0)))</f>
        <v>Производство тепловой энергии. Некомбинированная выработка</v>
      </c>
      <c r="CR9" s="3632"/>
      <c r="CS9" s="3631" t="str">
        <f>IF(CS8="","",INDEX(DIFFERENTIATION_UNMERGE_VD,MATCH(CS8,DIFFERENTIATION_ID_DIFF,0)))</f>
        <v>Производство тепловой энергии. Некомбинированная выработка</v>
      </c>
      <c r="CT9" s="3632"/>
      <c r="CU9" s="3631" t="str">
        <f>IF(CU8="","",INDEX(DIFFERENTIATION_UNMERGE_VD,MATCH(CU8,DIFFERENTIATION_ID_DIFF,0)))</f>
        <v>Производство тепловой энергии. Некомбинированная выработка</v>
      </c>
      <c r="CV9" s="3632"/>
      <c r="CW9" s="3631" t="str">
        <f>IF(CW8="","",INDEX(DIFFERENTIATION_UNMERGE_VD,MATCH(CW8,DIFFERENTIATION_ID_DIFF,0)))</f>
        <v>Производство тепловой энергии. Некомбинированная выработка</v>
      </c>
      <c r="CX9" s="3632"/>
      <c r="CY9" s="3631" t="str">
        <f>IF(CY8="","",INDEX(DIFFERENTIATION_UNMERGE_VD,MATCH(CY8,DIFFERENTIATION_ID_DIFF,0)))</f>
        <v>Производство тепловой энергии. Некомбинированная выработка</v>
      </c>
      <c r="CZ9" s="3632"/>
      <c r="DA9" s="3631" t="str">
        <f>IF(DA8="","",INDEX(DIFFERENTIATION_UNMERGE_VD,MATCH(DA8,DIFFERENTIATION_ID_DIFF,0)))</f>
        <v>Производство тепловой энергии. Некомбинированная выработка</v>
      </c>
      <c r="DB9" s="3632"/>
      <c r="DC9" s="3631" t="str">
        <f>IF(DC8="","",INDEX(DIFFERENTIATION_UNMERGE_VD,MATCH(DC8,DIFFERENTIATION_ID_DIFF,0)))</f>
        <v>Производство тепловой энергии. Некомбинированная выработка</v>
      </c>
      <c r="DD9" s="3632"/>
      <c r="DE9" s="3631" t="str">
        <f>IF(DE8="","",INDEX(DIFFERENTIATION_UNMERGE_VD,MATCH(DE8,DIFFERENTIATION_ID_DIFF,0)))</f>
        <v>Производство тепловой энергии. Некомбинированная выработка</v>
      </c>
      <c r="DF9" s="3632"/>
      <c r="DG9" s="3631" t="str">
        <f>IF(DG8="","",INDEX(DIFFERENTIATION_UNMERGE_VD,MATCH(DG8,DIFFERENTIATION_ID_DIFF,0)))</f>
        <v>Производство тепловой энергии. Некомбинированная выработка</v>
      </c>
      <c r="DH9" s="3632"/>
      <c r="DI9" s="3631" t="str">
        <f>IF(DI8="","",INDEX(DIFFERENTIATION_UNMERGE_VD,MATCH(DI8,DIFFERENTIATION_ID_DIFF,0)))</f>
        <v>Производство тепловой энергии. Некомбинированная выработка</v>
      </c>
      <c r="DJ9" s="3632"/>
      <c r="DK9" s="3631" t="str">
        <f>IF(DK8="","",INDEX(DIFFERENTIATION_UNMERGE_VD,MATCH(DK8,DIFFERENTIATION_ID_DIFF,0)))</f>
        <v>Производство тепловой энергии. Некомбинированная выработка</v>
      </c>
      <c r="DL9" s="3632"/>
      <c r="DM9" s="3631" t="str">
        <f>IF(DM8="","",INDEX(DIFFERENTIATION_UNMERGE_VD,MATCH(DM8,DIFFERENTIATION_ID_DIFF,0)))</f>
        <v>Производство тепловой энергии. Некомбинированная выработка</v>
      </c>
      <c r="DN9" s="3632"/>
      <c r="DO9" s="3631" t="str">
        <f>IF(DO8="","",INDEX(DIFFERENTIATION_UNMERGE_VD,MATCH(DO8,DIFFERENTIATION_ID_DIFF,0)))</f>
        <v>Производство тепловой энергии. Некомбинированная выработка</v>
      </c>
      <c r="DP9" s="3632"/>
      <c r="DQ9" s="3631" t="str">
        <f>IF(DQ8="","",INDEX(DIFFERENTIATION_UNMERGE_VD,MATCH(DQ8,DIFFERENTIATION_ID_DIFF,0)))</f>
        <v>Производство тепловой энергии. Некомбинированная выработка</v>
      </c>
      <c r="DR9" s="3632"/>
      <c r="DS9" s="3631" t="str">
        <f>IF(DS8="","",INDEX(DIFFERENTIATION_UNMERGE_VD,MATCH(DS8,DIFFERENTIATION_ID_DIFF,0)))</f>
        <v>Производство тепловой энергии. Некомбинированная выработка</v>
      </c>
      <c r="DT9" s="3632"/>
      <c r="DU9" s="3631" t="str">
        <f>IF(DU8="","",INDEX(DIFFERENTIATION_UNMERGE_VD,MATCH(DU8,DIFFERENTIATION_ID_DIFF,0)))</f>
        <v>Производство тепловой энергии. Некомбинированная выработка</v>
      </c>
      <c r="DV9" s="3632"/>
      <c r="DW9" s="3631" t="str">
        <f>IF(DW8="","",INDEX(DIFFERENTIATION_UNMERGE_VD,MATCH(DW8,DIFFERENTIATION_ID_DIFF,0)))</f>
        <v>Производство тепловой энергии. Некомбинированная выработка</v>
      </c>
      <c r="DX9" s="3632"/>
      <c r="DY9" s="3631" t="str">
        <f>IF(DY8="","",INDEX(DIFFERENTIATION_UNMERGE_VD,MATCH(DY8,DIFFERENTIATION_ID_DIFF,0)))</f>
        <v>Производство тепловой энергии. Некомбинированная выработка</v>
      </c>
      <c r="DZ9" s="3632"/>
      <c r="EA9" s="3631" t="str">
        <f>IF(EA8="","",INDEX(DIFFERENTIATION_UNMERGE_VD,MATCH(EA8,DIFFERENTIATION_ID_DIFF,0)))</f>
        <v>Производство тепловой энергии. Некомбинированная выработка</v>
      </c>
      <c r="EB9" s="3632"/>
      <c r="EC9" s="3631" t="str">
        <f>IF(EC8="","",INDEX(DIFFERENTIATION_UNMERGE_VD,MATCH(EC8,DIFFERENTIATION_ID_DIFF,0)))</f>
        <v>Производство тепловой энергии. Некомбинированная выработка</v>
      </c>
      <c r="ED9" s="3632"/>
      <c r="EE9" s="3631" t="str">
        <f>IF(EE8="","",INDEX(DIFFERENTIATION_UNMERGE_VD,MATCH(EE8,DIFFERENTIATION_ID_DIFF,0)))</f>
        <v>Производство тепловой энергии. Некомбинированная выработка</v>
      </c>
      <c r="EF9" s="3632"/>
      <c r="EG9" s="3631" t="str">
        <f>IF(EG8="","",INDEX(DIFFERENTIATION_UNMERGE_VD,MATCH(EG8,DIFFERENTIATION_ID_DIFF,0)))</f>
        <v>Производство тепловой энергии. Некомбинированная выработка</v>
      </c>
      <c r="EH9" s="3632"/>
      <c r="EI9" s="3631" t="str">
        <f>IF(EI8="","",INDEX(DIFFERENTIATION_UNMERGE_VD,MATCH(EI8,DIFFERENTIATION_ID_DIFF,0)))</f>
        <v>Производство тепловой энергии. Некомбинированная выработка</v>
      </c>
      <c r="EJ9" s="3632"/>
      <c r="EK9" s="3631" t="str">
        <f>IF(EK8="","",INDEX(DIFFERENTIATION_UNMERGE_VD,MATCH(EK8,DIFFERENTIATION_ID_DIFF,0)))</f>
        <v>Производство тепловой энергии. Некомбинированная выработка</v>
      </c>
      <c r="EL9" s="3632"/>
      <c r="EM9" s="3631" t="str">
        <f>IF(EM8="","",INDEX(DIFFERENTIATION_UNMERGE_VD,MATCH(EM8,DIFFERENTIATION_ID_DIFF,0)))</f>
        <v>Производство тепловой энергии. Некомбинированная выработка</v>
      </c>
      <c r="EN9" s="3632"/>
      <c r="EO9" s="3631" t="str">
        <f>IF(EO8="","",INDEX(DIFFERENTIATION_UNMERGE_VD,MATCH(EO8,DIFFERENTIATION_ID_DIFF,0)))</f>
        <v>Производство тепловой энергии. Некомбинированная выработка</v>
      </c>
      <c r="EP9" s="3632"/>
      <c r="EQ9" s="3631" t="str">
        <f>IF(EQ8="","",INDEX(DIFFERENTIATION_UNMERGE_VD,MATCH(EQ8,DIFFERENTIATION_ID_DIFF,0)))</f>
        <v>Производство тепловой энергии. Некомбинированная выработка</v>
      </c>
      <c r="ER9" s="3632"/>
      <c r="ES9" s="3631" t="str">
        <f>IF(ES8="","",INDEX(DIFFERENTIATION_UNMERGE_VD,MATCH(ES8,DIFFERENTIATION_ID_DIFF,0)))</f>
        <v>Производство тепловой энергии. Некомбинированная выработка</v>
      </c>
      <c r="ET9" s="3632"/>
      <c r="EU9" s="3631" t="str">
        <f>IF(EU8="","",INDEX(DIFFERENTIATION_UNMERGE_VD,MATCH(EU8,DIFFERENTIATION_ID_DIFF,0)))</f>
        <v>Производство тепловой энергии. Некомбинированная выработка</v>
      </c>
      <c r="EV9" s="3632"/>
      <c r="EW9" s="3631" t="str">
        <f>IF(EW8="","",INDEX(DIFFERENTIATION_UNMERGE_VD,MATCH(EW8,DIFFERENTIATION_ID_DIFF,0)))</f>
        <v>Производство тепловой энергии. Некомбинированная выработка</v>
      </c>
      <c r="EX9" s="3632"/>
      <c r="EY9" s="3631" t="str">
        <f>IF(EY8="","",INDEX(DIFFERENTIATION_UNMERGE_VD,MATCH(EY8,DIFFERENTIATION_ID_DIFF,0)))</f>
        <v>Производство тепловой энергии. Некомбинированная выработка</v>
      </c>
      <c r="EZ9" s="3632"/>
      <c r="FA9" s="3631" t="str">
        <f>IF(FA8="","",INDEX(DIFFERENTIATION_UNMERGE_VD,MATCH(FA8,DIFFERENTIATION_ID_DIFF,0)))</f>
        <v>Производство тепловой энергии. Некомбинированная выработка</v>
      </c>
      <c r="FB9" s="3632"/>
      <c r="FC9" s="3631" t="str">
        <f>IF(FC8="","",INDEX(DIFFERENTIATION_UNMERGE_VD,MATCH(FC8,DIFFERENTIATION_ID_DIFF,0)))</f>
        <v>Производство тепловой энергии. Некомбинированная выработка</v>
      </c>
      <c r="FD9" s="3632"/>
      <c r="FE9" s="3631" t="str">
        <f>IF(FE8="","",INDEX(DIFFERENTIATION_UNMERGE_VD,MATCH(FE8,DIFFERENTIATION_ID_DIFF,0)))</f>
        <v>Производство тепловой энергии. Некомбинированная выработка</v>
      </c>
      <c r="FF9" s="3632"/>
      <c r="FG9" s="3631" t="str">
        <f>IF(FG8="","",INDEX(DIFFERENTIATION_UNMERGE_VD,MATCH(FG8,DIFFERENTIATION_ID_DIFF,0)))</f>
        <v>Производство тепловой энергии. Некомбинированная выработка</v>
      </c>
      <c r="FH9" s="3632"/>
      <c r="FI9" s="3631" t="str">
        <f>IF(FI8="","",INDEX(DIFFERENTIATION_UNMERGE_VD,MATCH(FI8,DIFFERENTIATION_ID_DIFF,0)))</f>
        <v>Производство тепловой энергии. Некомбинированная выработка</v>
      </c>
      <c r="FJ9" s="3632"/>
      <c r="FK9" s="3631" t="str">
        <f>IF(FK8="","",INDEX(DIFFERENTIATION_UNMERGE_VD,MATCH(FK8,DIFFERENTIATION_ID_DIFF,0)))</f>
        <v>Производство тепловой энергии. Некомбинированная выработка</v>
      </c>
      <c r="FL9" s="3632"/>
      <c r="FM9" s="3631" t="str">
        <f>IF(FM8="","",INDEX(DIFFERENTIATION_UNMERGE_VD,MATCH(FM8,DIFFERENTIATION_ID_DIFF,0)))</f>
        <v>Производство тепловой энергии. Некомбинированная выработка</v>
      </c>
      <c r="FN9" s="3632"/>
      <c r="FO9" s="3631" t="str">
        <f>IF(FO8="","",INDEX(DIFFERENTIATION_UNMERGE_VD,MATCH(FO8,DIFFERENTIATION_ID_DIFF,0)))</f>
        <v>Производство тепловой энергии. Некомбинированная выработка</v>
      </c>
      <c r="FP9" s="3632"/>
      <c r="FQ9" s="3631" t="str">
        <f>IF(FQ8="","",INDEX(DIFFERENTIATION_UNMERGE_VD,MATCH(FQ8,DIFFERENTIATION_ID_DIFF,0)))</f>
        <v>Производство тепловой энергии. Некомбинированная выработка</v>
      </c>
      <c r="FR9" s="3632"/>
      <c r="FS9" s="3631" t="str">
        <f>IF(FS8="","",INDEX(DIFFERENTIATION_UNMERGE_VD,MATCH(FS8,DIFFERENTIATION_ID_DIFF,0)))</f>
        <v>Производство тепловой энергии. Некомбинированная выработка</v>
      </c>
      <c r="FT9" s="3632"/>
      <c r="FU9" s="3631" t="str">
        <f>IF(FU8="","",INDEX(DIFFERENTIATION_UNMERGE_VD,MATCH(FU8,DIFFERENTIATION_ID_DIFF,0)))</f>
        <v>Производство тепловой энергии. Некомбинированная выработка</v>
      </c>
      <c r="FV9" s="3632"/>
      <c r="FW9" s="3631" t="str">
        <f>IF(FW8="","",INDEX(DIFFERENTIATION_UNMERGE_VD,MATCH(FW8,DIFFERENTIATION_ID_DIFF,0)))</f>
        <v>Производство тепловой энергии. Некомбинированная выработка</v>
      </c>
      <c r="FX9" s="3632"/>
      <c r="FY9" s="3631" t="str">
        <f>IF(FY8="","",INDEX(DIFFERENTIATION_UNMERGE_VD,MATCH(FY8,DIFFERENTIATION_ID_DIFF,0)))</f>
        <v>Производство тепловой энергии. Некомбинированная выработка</v>
      </c>
      <c r="FZ9" s="3632"/>
      <c r="GA9" s="3631" t="str">
        <f>IF(GA8="","",INDEX(DIFFERENTIATION_UNMERGE_VD,MATCH(GA8,DIFFERENTIATION_ID_DIFF,0)))</f>
        <v>Производство тепловой энергии. Некомбинированная выработка</v>
      </c>
      <c r="GB9" s="3632"/>
      <c r="GC9" s="3631" t="str">
        <f>IF(GC8="","",INDEX(DIFFERENTIATION_UNMERGE_VD,MATCH(GC8,DIFFERENTIATION_ID_DIFF,0)))</f>
        <v>Производство тепловой энергии. Некомбинированная выработка</v>
      </c>
      <c r="GD9" s="3632"/>
      <c r="GE9" s="3631" t="str">
        <f>IF(GE8="","",INDEX(DIFFERENTIATION_UNMERGE_VD,MATCH(GE8,DIFFERENTIATION_ID_DIFF,0)))</f>
        <v>Производство тепловой энергии. Некомбинированная выработка</v>
      </c>
      <c r="GF9" s="3632"/>
      <c r="GG9" s="3631" t="str">
        <f>IF(GG8="","",INDEX(DIFFERENTIATION_UNMERGE_VD,MATCH(GG8,DIFFERENTIATION_ID_DIFF,0)))</f>
        <v>Производство тепловой энергии. Некомбинированная выработка</v>
      </c>
      <c r="GH9" s="3632"/>
      <c r="GI9" s="3631" t="str">
        <f>IF(GI8="","",INDEX(DIFFERENTIATION_UNMERGE_VD,MATCH(GI8,DIFFERENTIATION_ID_DIFF,0)))</f>
        <v>Производство тепловой энергии. Некомбинированная выработка</v>
      </c>
      <c r="GJ9" s="3632"/>
      <c r="GK9" s="3631" t="str">
        <f>IF(GK8="","",INDEX(DIFFERENTIATION_UNMERGE_VD,MATCH(GK8,DIFFERENTIATION_ID_DIFF,0)))</f>
        <v>Производство тепловой энергии. Некомбинированная выработка</v>
      </c>
      <c r="GL9" s="3632"/>
      <c r="GM9" s="3458" t="s">
        <v>561</v>
      </c>
    </row>
    <row r="10" spans="1:205" s="1910" customFormat="1" ht="15" customHeight="1">
      <c r="A10" s="645"/>
      <c r="C10" s="93"/>
      <c r="D10" s="601"/>
      <c r="E10" s="3607" t="s">
        <v>829</v>
      </c>
      <c r="F10" s="3608"/>
      <c r="G10" s="3631" t="str">
        <f>IF(G8="","",INDEX(DIFFERENTIATION_UNMERGE_AREA,MATCH(G8,DIFFERENTIATION_ID_DIFF,0)))</f>
        <v/>
      </c>
      <c r="H10" s="3632"/>
      <c r="I10" s="3631" t="str">
        <f>IF(I8="","",INDEX(DIFFERENTIATION_UNMERGE_AREA,MATCH(I8,DIFFERENTIATION_ID_DIFF,0)))</f>
        <v>Территория 1</v>
      </c>
      <c r="J10" s="3632"/>
      <c r="K10" s="3631" t="str">
        <f>IF(K8="","",INDEX(DIFFERENTIATION_UNMERGE_AREA,MATCH(K8,DIFFERENTIATION_ID_DIFF,0)))</f>
        <v>Территория 1</v>
      </c>
      <c r="L10" s="3632"/>
      <c r="M10" s="3631" t="str">
        <f>IF(M8="","",INDEX(DIFFERENTIATION_UNMERGE_AREA,MATCH(M8,DIFFERENTIATION_ID_DIFF,0)))</f>
        <v>Территория 1</v>
      </c>
      <c r="N10" s="3632"/>
      <c r="O10" s="3631" t="str">
        <f>IF(O8="","",INDEX(DIFFERENTIATION_UNMERGE_AREA,MATCH(O8,DIFFERENTIATION_ID_DIFF,0)))</f>
        <v>Территория 1</v>
      </c>
      <c r="P10" s="3632"/>
      <c r="Q10" s="3631" t="str">
        <f>IF(Q8="","",INDEX(DIFFERENTIATION_UNMERGE_AREA,MATCH(Q8,DIFFERENTIATION_ID_DIFF,0)))</f>
        <v>Территория 1</v>
      </c>
      <c r="R10" s="3632"/>
      <c r="S10" s="3631" t="str">
        <f>IF(S8="","",INDEX(DIFFERENTIATION_UNMERGE_AREA,MATCH(S8,DIFFERENTIATION_ID_DIFF,0)))</f>
        <v>Территория 1</v>
      </c>
      <c r="T10" s="3632"/>
      <c r="U10" s="3631" t="str">
        <f>IF(U8="","",INDEX(DIFFERENTIATION_UNMERGE_AREA,MATCH(U8,DIFFERENTIATION_ID_DIFF,0)))</f>
        <v>Территория 1</v>
      </c>
      <c r="V10" s="3632"/>
      <c r="W10" s="3631" t="str">
        <f>IF(W8="","",INDEX(DIFFERENTIATION_UNMERGE_AREA,MATCH(W8,DIFFERENTIATION_ID_DIFF,0)))</f>
        <v>Территория 1</v>
      </c>
      <c r="X10" s="3632"/>
      <c r="Y10" s="3631" t="str">
        <f>IF(Y8="","",INDEX(DIFFERENTIATION_UNMERGE_AREA,MATCH(Y8,DIFFERENTIATION_ID_DIFF,0)))</f>
        <v>Территория 1</v>
      </c>
      <c r="Z10" s="3632"/>
      <c r="AA10" s="3631" t="str">
        <f>IF(AA8="","",INDEX(DIFFERENTIATION_UNMERGE_AREA,MATCH(AA8,DIFFERENTIATION_ID_DIFF,0)))</f>
        <v>Территория 1</v>
      </c>
      <c r="AB10" s="3632"/>
      <c r="AC10" s="3631" t="str">
        <f>IF(AC8="","",INDEX(DIFFERENTIATION_UNMERGE_AREA,MATCH(AC8,DIFFERENTIATION_ID_DIFF,0)))</f>
        <v>Территория 1</v>
      </c>
      <c r="AD10" s="3632"/>
      <c r="AE10" s="3631" t="str">
        <f>IF(AE8="","",INDEX(DIFFERENTIATION_UNMERGE_AREA,MATCH(AE8,DIFFERENTIATION_ID_DIFF,0)))</f>
        <v>Территория 1</v>
      </c>
      <c r="AF10" s="3632"/>
      <c r="AG10" s="3631" t="str">
        <f>IF(AG8="","",INDEX(DIFFERENTIATION_UNMERGE_AREA,MATCH(AG8,DIFFERENTIATION_ID_DIFF,0)))</f>
        <v>Территория 1</v>
      </c>
      <c r="AH10" s="3632"/>
      <c r="AI10" s="3631" t="str">
        <f>IF(AI8="","",INDEX(DIFFERENTIATION_UNMERGE_AREA,MATCH(AI8,DIFFERENTIATION_ID_DIFF,0)))</f>
        <v>Территория 1</v>
      </c>
      <c r="AJ10" s="3632"/>
      <c r="AK10" s="3631" t="str">
        <f>IF(AK8="","",INDEX(DIFFERENTIATION_UNMERGE_AREA,MATCH(AK8,DIFFERENTIATION_ID_DIFF,0)))</f>
        <v>Территория 1</v>
      </c>
      <c r="AL10" s="3632"/>
      <c r="AM10" s="3631" t="str">
        <f>IF(AM8="","",INDEX(DIFFERENTIATION_UNMERGE_AREA,MATCH(AM8,DIFFERENTIATION_ID_DIFF,0)))</f>
        <v>Территория 1</v>
      </c>
      <c r="AN10" s="3632"/>
      <c r="AO10" s="3631" t="str">
        <f>IF(AO8="","",INDEX(DIFFERENTIATION_UNMERGE_AREA,MATCH(AO8,DIFFERENTIATION_ID_DIFF,0)))</f>
        <v>Территория 1</v>
      </c>
      <c r="AP10" s="3632"/>
      <c r="AQ10" s="3631" t="str">
        <f>IF(AQ8="","",INDEX(DIFFERENTIATION_UNMERGE_AREA,MATCH(AQ8,DIFFERENTIATION_ID_DIFF,0)))</f>
        <v>Территория 1</v>
      </c>
      <c r="AR10" s="3632"/>
      <c r="AS10" s="3631" t="str">
        <f>IF(AS8="","",INDEX(DIFFERENTIATION_UNMERGE_AREA,MATCH(AS8,DIFFERENTIATION_ID_DIFF,0)))</f>
        <v>Территория 1</v>
      </c>
      <c r="AT10" s="3632"/>
      <c r="AU10" s="3631" t="str">
        <f>IF(AU8="","",INDEX(DIFFERENTIATION_UNMERGE_AREA,MATCH(AU8,DIFFERENTIATION_ID_DIFF,0)))</f>
        <v>Территория 1</v>
      </c>
      <c r="AV10" s="3632"/>
      <c r="AW10" s="3631" t="str">
        <f>IF(AW8="","",INDEX(DIFFERENTIATION_UNMERGE_AREA,MATCH(AW8,DIFFERENTIATION_ID_DIFF,0)))</f>
        <v>Территория 1</v>
      </c>
      <c r="AX10" s="3632"/>
      <c r="AY10" s="3631" t="str">
        <f>IF(AY8="","",INDEX(DIFFERENTIATION_UNMERGE_AREA,MATCH(AY8,DIFFERENTIATION_ID_DIFF,0)))</f>
        <v>Территория 1</v>
      </c>
      <c r="AZ10" s="3632"/>
      <c r="BA10" s="3631" t="str">
        <f>IF(BA8="","",INDEX(DIFFERENTIATION_UNMERGE_AREA,MATCH(BA8,DIFFERENTIATION_ID_DIFF,0)))</f>
        <v>Территория 1</v>
      </c>
      <c r="BB10" s="3632"/>
      <c r="BC10" s="3631" t="str">
        <f>IF(BC8="","",INDEX(DIFFERENTIATION_UNMERGE_AREA,MATCH(BC8,DIFFERENTIATION_ID_DIFF,0)))</f>
        <v>Территория 1</v>
      </c>
      <c r="BD10" s="3632"/>
      <c r="BE10" s="3631" t="str">
        <f>IF(BE8="","",INDEX(DIFFERENTIATION_UNMERGE_AREA,MATCH(BE8,DIFFERENTIATION_ID_DIFF,0)))</f>
        <v>Территория 1</v>
      </c>
      <c r="BF10" s="3632"/>
      <c r="BG10" s="3631" t="str">
        <f>IF(BG8="","",INDEX(DIFFERENTIATION_UNMERGE_AREA,MATCH(BG8,DIFFERENTIATION_ID_DIFF,0)))</f>
        <v>Территория 1</v>
      </c>
      <c r="BH10" s="3632"/>
      <c r="BI10" s="3631" t="str">
        <f>IF(BI8="","",INDEX(DIFFERENTIATION_UNMERGE_AREA,MATCH(BI8,DIFFERENTIATION_ID_DIFF,0)))</f>
        <v>Территория 1</v>
      </c>
      <c r="BJ10" s="3632"/>
      <c r="BK10" s="3631" t="str">
        <f>IF(BK8="","",INDEX(DIFFERENTIATION_UNMERGE_AREA,MATCH(BK8,DIFFERENTIATION_ID_DIFF,0)))</f>
        <v>Территория 1</v>
      </c>
      <c r="BL10" s="3632"/>
      <c r="BM10" s="3631" t="str">
        <f>IF(BM8="","",INDEX(DIFFERENTIATION_UNMERGE_AREA,MATCH(BM8,DIFFERENTIATION_ID_DIFF,0)))</f>
        <v>Территория 1</v>
      </c>
      <c r="BN10" s="3632"/>
      <c r="BO10" s="3631" t="str">
        <f>IF(BO8="","",INDEX(DIFFERENTIATION_UNMERGE_AREA,MATCH(BO8,DIFFERENTIATION_ID_DIFF,0)))</f>
        <v>Территория 1</v>
      </c>
      <c r="BP10" s="3632"/>
      <c r="BQ10" s="3631" t="str">
        <f>IF(BQ8="","",INDEX(DIFFERENTIATION_UNMERGE_AREA,MATCH(BQ8,DIFFERENTIATION_ID_DIFF,0)))</f>
        <v>Территория 1</v>
      </c>
      <c r="BR10" s="3632"/>
      <c r="BS10" s="3631" t="str">
        <f>IF(BS8="","",INDEX(DIFFERENTIATION_UNMERGE_AREA,MATCH(BS8,DIFFERENTIATION_ID_DIFF,0)))</f>
        <v>Территория 1</v>
      </c>
      <c r="BT10" s="3632"/>
      <c r="BU10" s="3631" t="str">
        <f>IF(BU8="","",INDEX(DIFFERENTIATION_UNMERGE_AREA,MATCH(BU8,DIFFERENTIATION_ID_DIFF,0)))</f>
        <v>Территория 1</v>
      </c>
      <c r="BV10" s="3632"/>
      <c r="BW10" s="3631" t="str">
        <f>IF(BW8="","",INDEX(DIFFERENTIATION_UNMERGE_AREA,MATCH(BW8,DIFFERENTIATION_ID_DIFF,0)))</f>
        <v>Территория 1</v>
      </c>
      <c r="BX10" s="3632"/>
      <c r="BY10" s="3631" t="str">
        <f>IF(BY8="","",INDEX(DIFFERENTIATION_UNMERGE_AREA,MATCH(BY8,DIFFERENTIATION_ID_DIFF,0)))</f>
        <v>Территория 1</v>
      </c>
      <c r="BZ10" s="3632"/>
      <c r="CA10" s="3631" t="str">
        <f>IF(CA8="","",INDEX(DIFFERENTIATION_UNMERGE_AREA,MATCH(CA8,DIFFERENTIATION_ID_DIFF,0)))</f>
        <v>Территория 1</v>
      </c>
      <c r="CB10" s="3632"/>
      <c r="CC10" s="3631" t="str">
        <f>IF(CC8="","",INDEX(DIFFERENTIATION_UNMERGE_AREA,MATCH(CC8,DIFFERENTIATION_ID_DIFF,0)))</f>
        <v>Территория 1</v>
      </c>
      <c r="CD10" s="3632"/>
      <c r="CE10" s="3631" t="str">
        <f>IF(CE8="","",INDEX(DIFFERENTIATION_UNMERGE_AREA,MATCH(CE8,DIFFERENTIATION_ID_DIFF,0)))</f>
        <v>Территория 1</v>
      </c>
      <c r="CF10" s="3632"/>
      <c r="CG10" s="3631" t="str">
        <f>IF(CG8="","",INDEX(DIFFERENTIATION_UNMERGE_AREA,MATCH(CG8,DIFFERENTIATION_ID_DIFF,0)))</f>
        <v>Территория 1</v>
      </c>
      <c r="CH10" s="3632"/>
      <c r="CI10" s="3631" t="str">
        <f>IF(CI8="","",INDEX(DIFFERENTIATION_UNMERGE_AREA,MATCH(CI8,DIFFERENTIATION_ID_DIFF,0)))</f>
        <v>Территория 1</v>
      </c>
      <c r="CJ10" s="3632"/>
      <c r="CK10" s="3631" t="str">
        <f>IF(CK8="","",INDEX(DIFFERENTIATION_UNMERGE_AREA,MATCH(CK8,DIFFERENTIATION_ID_DIFF,0)))</f>
        <v>Территория 1</v>
      </c>
      <c r="CL10" s="3632"/>
      <c r="CM10" s="3631" t="str">
        <f>IF(CM8="","",INDEX(DIFFERENTIATION_UNMERGE_AREA,MATCH(CM8,DIFFERENTIATION_ID_DIFF,0)))</f>
        <v>Территория 1</v>
      </c>
      <c r="CN10" s="3632"/>
      <c r="CO10" s="3631" t="str">
        <f>IF(CO8="","",INDEX(DIFFERENTIATION_UNMERGE_AREA,MATCH(CO8,DIFFERENTIATION_ID_DIFF,0)))</f>
        <v>Территория 1</v>
      </c>
      <c r="CP10" s="3632"/>
      <c r="CQ10" s="3631" t="str">
        <f>IF(CQ8="","",INDEX(DIFFERENTIATION_UNMERGE_AREA,MATCH(CQ8,DIFFERENTIATION_ID_DIFF,0)))</f>
        <v>Территория 1</v>
      </c>
      <c r="CR10" s="3632"/>
      <c r="CS10" s="3631" t="str">
        <f>IF(CS8="","",INDEX(DIFFERENTIATION_UNMERGE_AREA,MATCH(CS8,DIFFERENTIATION_ID_DIFF,0)))</f>
        <v>Территория 1</v>
      </c>
      <c r="CT10" s="3632"/>
      <c r="CU10" s="3631" t="str">
        <f>IF(CU8="","",INDEX(DIFFERENTIATION_UNMERGE_AREA,MATCH(CU8,DIFFERENTIATION_ID_DIFF,0)))</f>
        <v>Территория 1</v>
      </c>
      <c r="CV10" s="3632"/>
      <c r="CW10" s="3631" t="str">
        <f>IF(CW8="","",INDEX(DIFFERENTIATION_UNMERGE_AREA,MATCH(CW8,DIFFERENTIATION_ID_DIFF,0)))</f>
        <v>Территория 1</v>
      </c>
      <c r="CX10" s="3632"/>
      <c r="CY10" s="3631" t="str">
        <f>IF(CY8="","",INDEX(DIFFERENTIATION_UNMERGE_AREA,MATCH(CY8,DIFFERENTIATION_ID_DIFF,0)))</f>
        <v>Территория 1</v>
      </c>
      <c r="CZ10" s="3632"/>
      <c r="DA10" s="3631" t="str">
        <f>IF(DA8="","",INDEX(DIFFERENTIATION_UNMERGE_AREA,MATCH(DA8,DIFFERENTIATION_ID_DIFF,0)))</f>
        <v>Территория 1</v>
      </c>
      <c r="DB10" s="3632"/>
      <c r="DC10" s="3631" t="str">
        <f>IF(DC8="","",INDEX(DIFFERENTIATION_UNMERGE_AREA,MATCH(DC8,DIFFERENTIATION_ID_DIFF,0)))</f>
        <v>Территория 1</v>
      </c>
      <c r="DD10" s="3632"/>
      <c r="DE10" s="3631" t="str">
        <f>IF(DE8="","",INDEX(DIFFERENTIATION_UNMERGE_AREA,MATCH(DE8,DIFFERENTIATION_ID_DIFF,0)))</f>
        <v>Территория 1</v>
      </c>
      <c r="DF10" s="3632"/>
      <c r="DG10" s="3631" t="str">
        <f>IF(DG8="","",INDEX(DIFFERENTIATION_UNMERGE_AREA,MATCH(DG8,DIFFERENTIATION_ID_DIFF,0)))</f>
        <v>Территория 1</v>
      </c>
      <c r="DH10" s="3632"/>
      <c r="DI10" s="3631" t="str">
        <f>IF(DI8="","",INDEX(DIFFERENTIATION_UNMERGE_AREA,MATCH(DI8,DIFFERENTIATION_ID_DIFF,0)))</f>
        <v>Территория 1</v>
      </c>
      <c r="DJ10" s="3632"/>
      <c r="DK10" s="3631" t="str">
        <f>IF(DK8="","",INDEX(DIFFERENTIATION_UNMERGE_AREA,MATCH(DK8,DIFFERENTIATION_ID_DIFF,0)))</f>
        <v>Территория 1</v>
      </c>
      <c r="DL10" s="3632"/>
      <c r="DM10" s="3631" t="str">
        <f>IF(DM8="","",INDEX(DIFFERENTIATION_UNMERGE_AREA,MATCH(DM8,DIFFERENTIATION_ID_DIFF,0)))</f>
        <v>Территория 1</v>
      </c>
      <c r="DN10" s="3632"/>
      <c r="DO10" s="3631" t="str">
        <f>IF(DO8="","",INDEX(DIFFERENTIATION_UNMERGE_AREA,MATCH(DO8,DIFFERENTIATION_ID_DIFF,0)))</f>
        <v>Территория 1</v>
      </c>
      <c r="DP10" s="3632"/>
      <c r="DQ10" s="3631" t="str">
        <f>IF(DQ8="","",INDEX(DIFFERENTIATION_UNMERGE_AREA,MATCH(DQ8,DIFFERENTIATION_ID_DIFF,0)))</f>
        <v>Территория 1</v>
      </c>
      <c r="DR10" s="3632"/>
      <c r="DS10" s="3631" t="str">
        <f>IF(DS8="","",INDEX(DIFFERENTIATION_UNMERGE_AREA,MATCH(DS8,DIFFERENTIATION_ID_DIFF,0)))</f>
        <v>Территория 1</v>
      </c>
      <c r="DT10" s="3632"/>
      <c r="DU10" s="3631" t="str">
        <f>IF(DU8="","",INDEX(DIFFERENTIATION_UNMERGE_AREA,MATCH(DU8,DIFFERENTIATION_ID_DIFF,0)))</f>
        <v>Территория 1</v>
      </c>
      <c r="DV10" s="3632"/>
      <c r="DW10" s="3631" t="str">
        <f>IF(DW8="","",INDEX(DIFFERENTIATION_UNMERGE_AREA,MATCH(DW8,DIFFERENTIATION_ID_DIFF,0)))</f>
        <v>Территория 1</v>
      </c>
      <c r="DX10" s="3632"/>
      <c r="DY10" s="3631" t="str">
        <f>IF(DY8="","",INDEX(DIFFERENTIATION_UNMERGE_AREA,MATCH(DY8,DIFFERENTIATION_ID_DIFF,0)))</f>
        <v>Территория 1</v>
      </c>
      <c r="DZ10" s="3632"/>
      <c r="EA10" s="3631" t="str">
        <f>IF(EA8="","",INDEX(DIFFERENTIATION_UNMERGE_AREA,MATCH(EA8,DIFFERENTIATION_ID_DIFF,0)))</f>
        <v>Территория 1</v>
      </c>
      <c r="EB10" s="3632"/>
      <c r="EC10" s="3631" t="str">
        <f>IF(EC8="","",INDEX(DIFFERENTIATION_UNMERGE_AREA,MATCH(EC8,DIFFERENTIATION_ID_DIFF,0)))</f>
        <v>Территория 1</v>
      </c>
      <c r="ED10" s="3632"/>
      <c r="EE10" s="3631" t="str">
        <f>IF(EE8="","",INDEX(DIFFERENTIATION_UNMERGE_AREA,MATCH(EE8,DIFFERENTIATION_ID_DIFF,0)))</f>
        <v>Территория 1</v>
      </c>
      <c r="EF10" s="3632"/>
      <c r="EG10" s="3631" t="str">
        <f>IF(EG8="","",INDEX(DIFFERENTIATION_UNMERGE_AREA,MATCH(EG8,DIFFERENTIATION_ID_DIFF,0)))</f>
        <v>Территория 1</v>
      </c>
      <c r="EH10" s="3632"/>
      <c r="EI10" s="3631" t="str">
        <f>IF(EI8="","",INDEX(DIFFERENTIATION_UNMERGE_AREA,MATCH(EI8,DIFFERENTIATION_ID_DIFF,0)))</f>
        <v>Территория 1</v>
      </c>
      <c r="EJ10" s="3632"/>
      <c r="EK10" s="3631" t="str">
        <f>IF(EK8="","",INDEX(DIFFERENTIATION_UNMERGE_AREA,MATCH(EK8,DIFFERENTIATION_ID_DIFF,0)))</f>
        <v>Территория 1</v>
      </c>
      <c r="EL10" s="3632"/>
      <c r="EM10" s="3631" t="str">
        <f>IF(EM8="","",INDEX(DIFFERENTIATION_UNMERGE_AREA,MATCH(EM8,DIFFERENTIATION_ID_DIFF,0)))</f>
        <v>Территория 1</v>
      </c>
      <c r="EN10" s="3632"/>
      <c r="EO10" s="3631" t="str">
        <f>IF(EO8="","",INDEX(DIFFERENTIATION_UNMERGE_AREA,MATCH(EO8,DIFFERENTIATION_ID_DIFF,0)))</f>
        <v>Территория 1</v>
      </c>
      <c r="EP10" s="3632"/>
      <c r="EQ10" s="3631" t="str">
        <f>IF(EQ8="","",INDEX(DIFFERENTIATION_UNMERGE_AREA,MATCH(EQ8,DIFFERENTIATION_ID_DIFF,0)))</f>
        <v>Территория 1</v>
      </c>
      <c r="ER10" s="3632"/>
      <c r="ES10" s="3631" t="str">
        <f>IF(ES8="","",INDEX(DIFFERENTIATION_UNMERGE_AREA,MATCH(ES8,DIFFERENTIATION_ID_DIFF,0)))</f>
        <v>Территория 1</v>
      </c>
      <c r="ET10" s="3632"/>
      <c r="EU10" s="3631" t="str">
        <f>IF(EU8="","",INDEX(DIFFERENTIATION_UNMERGE_AREA,MATCH(EU8,DIFFERENTIATION_ID_DIFF,0)))</f>
        <v>Территория 1</v>
      </c>
      <c r="EV10" s="3632"/>
      <c r="EW10" s="3631" t="str">
        <f>IF(EW8="","",INDEX(DIFFERENTIATION_UNMERGE_AREA,MATCH(EW8,DIFFERENTIATION_ID_DIFF,0)))</f>
        <v>Территория 1</v>
      </c>
      <c r="EX10" s="3632"/>
      <c r="EY10" s="3631" t="str">
        <f>IF(EY8="","",INDEX(DIFFERENTIATION_UNMERGE_AREA,MATCH(EY8,DIFFERENTIATION_ID_DIFF,0)))</f>
        <v>Территория 1</v>
      </c>
      <c r="EZ10" s="3632"/>
      <c r="FA10" s="3631" t="str">
        <f>IF(FA8="","",INDEX(DIFFERENTIATION_UNMERGE_AREA,MATCH(FA8,DIFFERENTIATION_ID_DIFF,0)))</f>
        <v>Территория 1</v>
      </c>
      <c r="FB10" s="3632"/>
      <c r="FC10" s="3631" t="str">
        <f>IF(FC8="","",INDEX(DIFFERENTIATION_UNMERGE_AREA,MATCH(FC8,DIFFERENTIATION_ID_DIFF,0)))</f>
        <v>Территория 1</v>
      </c>
      <c r="FD10" s="3632"/>
      <c r="FE10" s="3631" t="str">
        <f>IF(FE8="","",INDEX(DIFFERENTIATION_UNMERGE_AREA,MATCH(FE8,DIFFERENTIATION_ID_DIFF,0)))</f>
        <v>Территория 1</v>
      </c>
      <c r="FF10" s="3632"/>
      <c r="FG10" s="3631" t="str">
        <f>IF(FG8="","",INDEX(DIFFERENTIATION_UNMERGE_AREA,MATCH(FG8,DIFFERENTIATION_ID_DIFF,0)))</f>
        <v>Территория 1</v>
      </c>
      <c r="FH10" s="3632"/>
      <c r="FI10" s="3631" t="str">
        <f>IF(FI8="","",INDEX(DIFFERENTIATION_UNMERGE_AREA,MATCH(FI8,DIFFERENTIATION_ID_DIFF,0)))</f>
        <v>Территория 1</v>
      </c>
      <c r="FJ10" s="3632"/>
      <c r="FK10" s="3631" t="str">
        <f>IF(FK8="","",INDEX(DIFFERENTIATION_UNMERGE_AREA,MATCH(FK8,DIFFERENTIATION_ID_DIFF,0)))</f>
        <v>Территория 1</v>
      </c>
      <c r="FL10" s="3632"/>
      <c r="FM10" s="3631" t="str">
        <f>IF(FM8="","",INDEX(DIFFERENTIATION_UNMERGE_AREA,MATCH(FM8,DIFFERENTIATION_ID_DIFF,0)))</f>
        <v>Территория 1</v>
      </c>
      <c r="FN10" s="3632"/>
      <c r="FO10" s="3631" t="str">
        <f>IF(FO8="","",INDEX(DIFFERENTIATION_UNMERGE_AREA,MATCH(FO8,DIFFERENTIATION_ID_DIFF,0)))</f>
        <v>Территория 1</v>
      </c>
      <c r="FP10" s="3632"/>
      <c r="FQ10" s="3631" t="str">
        <f>IF(FQ8="","",INDEX(DIFFERENTIATION_UNMERGE_AREA,MATCH(FQ8,DIFFERENTIATION_ID_DIFF,0)))</f>
        <v>Территория 1</v>
      </c>
      <c r="FR10" s="3632"/>
      <c r="FS10" s="3631" t="str">
        <f>IF(FS8="","",INDEX(DIFFERENTIATION_UNMERGE_AREA,MATCH(FS8,DIFFERENTIATION_ID_DIFF,0)))</f>
        <v>Территория 1</v>
      </c>
      <c r="FT10" s="3632"/>
      <c r="FU10" s="3631" t="str">
        <f>IF(FU8="","",INDEX(DIFFERENTIATION_UNMERGE_AREA,MATCH(FU8,DIFFERENTIATION_ID_DIFF,0)))</f>
        <v>Территория 1</v>
      </c>
      <c r="FV10" s="3632"/>
      <c r="FW10" s="3631" t="str">
        <f>IF(FW8="","",INDEX(DIFFERENTIATION_UNMERGE_AREA,MATCH(FW8,DIFFERENTIATION_ID_DIFF,0)))</f>
        <v>Территория 1</v>
      </c>
      <c r="FX10" s="3632"/>
      <c r="FY10" s="3631" t="str">
        <f>IF(FY8="","",INDEX(DIFFERENTIATION_UNMERGE_AREA,MATCH(FY8,DIFFERENTIATION_ID_DIFF,0)))</f>
        <v>Территория 1</v>
      </c>
      <c r="FZ10" s="3632"/>
      <c r="GA10" s="3631" t="str">
        <f>IF(GA8="","",INDEX(DIFFERENTIATION_UNMERGE_AREA,MATCH(GA8,DIFFERENTIATION_ID_DIFF,0)))</f>
        <v>Территория 1</v>
      </c>
      <c r="GB10" s="3632"/>
      <c r="GC10" s="3631" t="str">
        <f>IF(GC8="","",INDEX(DIFFERENTIATION_UNMERGE_AREA,MATCH(GC8,DIFFERENTIATION_ID_DIFF,0)))</f>
        <v>Территория 1</v>
      </c>
      <c r="GD10" s="3632"/>
      <c r="GE10" s="3631" t="str">
        <f>IF(GE8="","",INDEX(DIFFERENTIATION_UNMERGE_AREA,MATCH(GE8,DIFFERENTIATION_ID_DIFF,0)))</f>
        <v>Территория 1</v>
      </c>
      <c r="GF10" s="3632"/>
      <c r="GG10" s="3631" t="str">
        <f>IF(GG8="","",INDEX(DIFFERENTIATION_UNMERGE_AREA,MATCH(GG8,DIFFERENTIATION_ID_DIFF,0)))</f>
        <v>Территория 1</v>
      </c>
      <c r="GH10" s="3632"/>
      <c r="GI10" s="3631" t="str">
        <f>IF(GI8="","",INDEX(DIFFERENTIATION_UNMERGE_AREA,MATCH(GI8,DIFFERENTIATION_ID_DIFF,0)))</f>
        <v>Территория 1</v>
      </c>
      <c r="GJ10" s="3632"/>
      <c r="GK10" s="3631" t="str">
        <f>IF(GK8="","",INDEX(DIFFERENTIATION_UNMERGE_AREA,MATCH(GK8,DIFFERENTIATION_ID_DIFF,0)))</f>
        <v>Территория 1</v>
      </c>
      <c r="GL10" s="3632"/>
      <c r="GM10" s="3463"/>
      <c r="GW10" s="567"/>
    </row>
    <row r="11" spans="1:205" s="1910" customFormat="1" ht="15" customHeight="1">
      <c r="A11" s="645"/>
      <c r="C11" s="93"/>
      <c r="D11" s="601"/>
      <c r="E11" s="3607" t="s">
        <v>830</v>
      </c>
      <c r="F11" s="3608"/>
      <c r="G11" s="3631" t="str">
        <f>IF(G8="","",INDEX(DIFFERENTIATION_UNMERGE_SYSTEM,MATCH(G8,DIFFERENTIATION_ID_DIFF,0)))</f>
        <v/>
      </c>
      <c r="H11" s="3632"/>
      <c r="I11" s="3631" t="str">
        <f>IF(I8="","",INDEX(DIFFERENTIATION_UNMERGE_SYSTEM,MATCH(I8,DIFFERENTIATION_ID_DIFF,0)))</f>
        <v>Авиационная, 1</v>
      </c>
      <c r="J11" s="3632"/>
      <c r="K11" s="3631" t="str">
        <f>IF(K8="","",INDEX(DIFFERENTIATION_UNMERGE_SYSTEM,MATCH(K8,DIFFERENTIATION_ID_DIFF,0)))</f>
        <v>Автовокзальная, 77</v>
      </c>
      <c r="L11" s="3632"/>
      <c r="M11" s="3631" t="str">
        <f>IF(M8="","",INDEX(DIFFERENTIATION_UNMERGE_SYSTEM,MATCH(M8,DIFFERENTIATION_ID_DIFF,0)))</f>
        <v>Бетонный, 4а</v>
      </c>
      <c r="N11" s="3632"/>
      <c r="O11" s="3631" t="str">
        <f>IF(O8="","",INDEX(DIFFERENTIATION_UNMERGE_SYSTEM,MATCH(O8,DIFFERENTIATION_ID_DIFF,0)))</f>
        <v>Ботанический, 2а</v>
      </c>
      <c r="P11" s="3632"/>
      <c r="Q11" s="3631" t="str">
        <f>IF(Q8="","",INDEX(DIFFERENTIATION_UNMERGE_SYSTEM,MATCH(Q8,DIFFERENTIATION_ID_DIFF,0)))</f>
        <v>Васильевская, 84б</v>
      </c>
      <c r="R11" s="3632"/>
      <c r="S11" s="3631" t="str">
        <f>IF(S8="","",INDEX(DIFFERENTIATION_UNMERGE_SYSTEM,MATCH(S8,DIFFERENTIATION_ID_DIFF,0)))</f>
        <v>Васильевская, 138а</v>
      </c>
      <c r="T11" s="3632"/>
      <c r="U11" s="3631" t="str">
        <f>IF(U8="","",INDEX(DIFFERENTIATION_UNMERGE_SYSTEM,MATCH(U8,DIFFERENTIATION_ID_DIFF,0)))</f>
        <v>Гагарина, 48а</v>
      </c>
      <c r="V11" s="3632"/>
      <c r="W11" s="3631" t="str">
        <f>IF(W8="","",INDEX(DIFFERENTIATION_UNMERGE_SYSTEM,MATCH(W8,DIFFERENTIATION_ID_DIFF,0)))</f>
        <v>Городская, 98к</v>
      </c>
      <c r="X11" s="3632"/>
      <c r="Y11" s="3631" t="str">
        <f>IF(Y8="","",INDEX(DIFFERENTIATION_UNMERGE_SYSTEM,MATCH(Y8,DIFFERENTIATION_ID_DIFF,0)))</f>
        <v>Калинина, 6б</v>
      </c>
      <c r="Z11" s="3632"/>
      <c r="AA11" s="3631" t="str">
        <f>IF(AA8="","",INDEX(DIFFERENTIATION_UNMERGE_SYSTEM,MATCH(AA8,DIFFERENTIATION_ID_DIFF,0)))</f>
        <v>Карачевская, 29а</v>
      </c>
      <c r="AB11" s="3632"/>
      <c r="AC11" s="3631" t="str">
        <f>IF(AC8="","",INDEX(DIFFERENTIATION_UNMERGE_SYSTEM,MATCH(AC8,DIFFERENTIATION_ID_DIFF,0)))</f>
        <v>Карачевская, 41б</v>
      </c>
      <c r="AD11" s="3632"/>
      <c r="AE11" s="3631" t="str">
        <f>IF(AE8="","",INDEX(DIFFERENTIATION_UNMERGE_SYSTEM,MATCH(AE8,DIFFERENTIATION_ID_DIFF,0)))</f>
        <v>Карачвский, 23а</v>
      </c>
      <c r="AF11" s="3632"/>
      <c r="AG11" s="3631" t="str">
        <f>IF(AG8="","",INDEX(DIFFERENTIATION_UNMERGE_SYSTEM,MATCH(AG8,DIFFERENTIATION_ID_DIFF,0)))</f>
        <v>Карачевское, 5а</v>
      </c>
      <c r="AH11" s="3632"/>
      <c r="AI11" s="3631" t="str">
        <f>IF(AI8="","",INDEX(DIFFERENTIATION_UNMERGE_SYSTEM,MATCH(AI8,DIFFERENTIATION_ID_DIFF,0)))</f>
        <v>Карачевское, 60а</v>
      </c>
      <c r="AJ11" s="3632"/>
      <c r="AK11" s="3631" t="str">
        <f>IF(AK8="","",INDEX(DIFFERENTIATION_UNMERGE_SYSTEM,MATCH(AK8,DIFFERENTIATION_ID_DIFF,0)))</f>
        <v>Комсомольская, 15а</v>
      </c>
      <c r="AL11" s="3632"/>
      <c r="AM11" s="3631" t="str">
        <f>IF(AM8="","",INDEX(DIFFERENTIATION_UNMERGE_SYSTEM,MATCH(AM8,DIFFERENTIATION_ID_DIFF,0)))</f>
        <v>Комсомольская, 119а</v>
      </c>
      <c r="AN11" s="3632"/>
      <c r="AO11" s="3631" t="str">
        <f>IF(AO8="","",INDEX(DIFFERENTIATION_UNMERGE_SYSTEM,MATCH(AO8,DIFFERENTIATION_ID_DIFF,0)))</f>
        <v>Комсомольская, 127а</v>
      </c>
      <c r="AP11" s="3632"/>
      <c r="AQ11" s="3631" t="str">
        <f>IF(AQ8="","",INDEX(DIFFERENTIATION_UNMERGE_SYSTEM,MATCH(AQ8,DIFFERENTIATION_ID_DIFF,0)))</f>
        <v>Комсомольская, 185а</v>
      </c>
      <c r="AR11" s="3632"/>
      <c r="AS11" s="3631" t="str">
        <f>IF(AS8="","",INDEX(DIFFERENTIATION_UNMERGE_SYSTEM,MATCH(AS8,DIFFERENTIATION_ID_DIFF,0)))</f>
        <v>Комсомольская, 206а</v>
      </c>
      <c r="AT11" s="3632"/>
      <c r="AU11" s="3631" t="str">
        <f>IF(AU8="","",INDEX(DIFFERENTIATION_UNMERGE_SYSTEM,MATCH(AU8,DIFFERENTIATION_ID_DIFF,0)))</f>
        <v>Комсомольская, 252а</v>
      </c>
      <c r="AV11" s="3632"/>
      <c r="AW11" s="3631" t="str">
        <f>IF(AW8="","",INDEX(DIFFERENTIATION_UNMERGE_SYSTEM,MATCH(AW8,DIFFERENTIATION_ID_DIFF,0)))</f>
        <v>Комсомольская, 261а</v>
      </c>
      <c r="AX11" s="3632"/>
      <c r="AY11" s="3631" t="str">
        <f>IF(AY8="","",INDEX(DIFFERENTIATION_UNMERGE_SYSTEM,MATCH(AY8,DIFFERENTIATION_ID_DIFF,0)))</f>
        <v>Красина, 6а</v>
      </c>
      <c r="AZ11" s="3632"/>
      <c r="BA11" s="3631" t="str">
        <f>IF(BA8="","",INDEX(DIFFERENTIATION_UNMERGE_SYSTEM,MATCH(BA8,DIFFERENTIATION_ID_DIFF,0)))</f>
        <v>Красина, 7а</v>
      </c>
      <c r="BB11" s="3632"/>
      <c r="BC11" s="3631" t="str">
        <f>IF(BC8="","",INDEX(DIFFERENTIATION_UNMERGE_SYSTEM,MATCH(BC8,DIFFERENTIATION_ID_DIFF,0)))</f>
        <v>Красина, 52</v>
      </c>
      <c r="BD11" s="3632"/>
      <c r="BE11" s="3631" t="str">
        <f>IF(BE8="","",INDEX(DIFFERENTIATION_UNMERGE_SYSTEM,MATCH(BE8,DIFFERENTIATION_ID_DIFF,0)))</f>
        <v>Кромская, 7а(908кв)</v>
      </c>
      <c r="BF11" s="3632"/>
      <c r="BG11" s="3631" t="str">
        <f>IF(BG8="","",INDEX(DIFFERENTIATION_UNMERGE_SYSTEM,MATCH(BG8,DIFFERENTIATION_ID_DIFF,0)))</f>
        <v>Кромская, 7а(909кв)</v>
      </c>
      <c r="BH11" s="3632"/>
      <c r="BI11" s="3631" t="str">
        <f>IF(BI8="","",INDEX(DIFFERENTIATION_UNMERGE_SYSTEM,MATCH(BI8,DIFFERENTIATION_ID_DIFF,0)))</f>
        <v>Кромское шоссе, 13а</v>
      </c>
      <c r="BJ11" s="3632"/>
      <c r="BK11" s="3631" t="str">
        <f>IF(BK8="","",INDEX(DIFFERENTIATION_UNMERGE_SYSTEM,MATCH(BK8,DIFFERENTIATION_ID_DIFF,0)))</f>
        <v>Латышских стрелков, 37а</v>
      </c>
      <c r="BL11" s="3632"/>
      <c r="BM11" s="3631" t="str">
        <f>IF(BM8="","",INDEX(DIFFERENTIATION_UNMERGE_SYSTEM,MATCH(BM8,DIFFERENTIATION_ID_DIFF,0)))</f>
        <v>Латышских стрелков,98</v>
      </c>
      <c r="BN11" s="3632"/>
      <c r="BO11" s="3631" t="str">
        <f>IF(BO8="","",INDEX(DIFFERENTIATION_UNMERGE_SYSTEM,MATCH(BO8,DIFFERENTIATION_ID_DIFF,0)))</f>
        <v>Латышских стрелков, 109</v>
      </c>
      <c r="BP11" s="3632"/>
      <c r="BQ11" s="3631" t="str">
        <f>IF(BQ8="","",INDEX(DIFFERENTIATION_UNMERGE_SYSTEM,MATCH(BQ8,DIFFERENTIATION_ID_DIFF,0)))</f>
        <v>Левый берег р. Оки,23</v>
      </c>
      <c r="BR11" s="3632"/>
      <c r="BS11" s="3631" t="str">
        <f>IF(BS8="","",INDEX(DIFFERENTIATION_UNMERGE_SYSTEM,MATCH(BS8,DIFFERENTIATION_ID_DIFF,0)))</f>
        <v>ГК "Лесной" с/с Сабуровский</v>
      </c>
      <c r="BT11" s="3632"/>
      <c r="BU11" s="3631" t="str">
        <f>IF(BU8="","",INDEX(DIFFERENTIATION_UNMERGE_SYSTEM,MATCH(BU8,DIFFERENTIATION_ID_DIFF,0)))</f>
        <v>Машиностроительная, 5а</v>
      </c>
      <c r="BV11" s="3632"/>
      <c r="BW11" s="3631" t="str">
        <f>IF(BW8="","",INDEX(DIFFERENTIATION_UNMERGE_SYSTEM,MATCH(BW8,DIFFERENTIATION_ID_DIFF,0)))</f>
        <v>Маяковского, 10а</v>
      </c>
      <c r="BX11" s="3632"/>
      <c r="BY11" s="3631" t="str">
        <f>IF(BY8="","",INDEX(DIFFERENTIATION_UNMERGE_SYSTEM,MATCH(BY8,DIFFERENTIATION_ID_DIFF,0)))</f>
        <v>Маяковского, 55а</v>
      </c>
      <c r="BZ11" s="3632"/>
      <c r="CA11" s="3631" t="str">
        <f>IF(CA8="","",INDEX(DIFFERENTIATION_UNMERGE_SYSTEM,MATCH(CA8,DIFFERENTIATION_ID_DIFF,0)))</f>
        <v>Маяковского, 62а</v>
      </c>
      <c r="CB11" s="3632"/>
      <c r="CC11" s="3631" t="str">
        <f>IF(CC8="","",INDEX(DIFFERENTIATION_UNMERGE_SYSTEM,MATCH(CC8,DIFFERENTIATION_ID_DIFF,0)))</f>
        <v>Мопра, 28а</v>
      </c>
      <c r="CD11" s="3632"/>
      <c r="CE11" s="3631" t="str">
        <f>IF(CE8="","",INDEX(DIFFERENTIATION_UNMERGE_SYSTEM,MATCH(CE8,DIFFERENTIATION_ID_DIFF,0)))</f>
        <v>Мопра, 48а</v>
      </c>
      <c r="CF11" s="3632"/>
      <c r="CG11" s="3631" t="str">
        <f>IF(CG8="","",INDEX(DIFFERENTIATION_UNMERGE_SYSTEM,MATCH(CG8,DIFFERENTIATION_ID_DIFF,0)))</f>
        <v>6-й Орловской дивизии,14</v>
      </c>
      <c r="CH11" s="3632"/>
      <c r="CI11" s="3631" t="str">
        <f>IF(CI8="","",INDEX(DIFFERENTIATION_UNMERGE_SYSTEM,MATCH(CI8,DIFFERENTIATION_ID_DIFF,0)))</f>
        <v>Пищевой, 9а</v>
      </c>
      <c r="CJ11" s="3632"/>
      <c r="CK11" s="3631" t="str">
        <f>IF(CK8="","",INDEX(DIFFERENTIATION_UNMERGE_SYSTEM,MATCH(CK8,DIFFERENTIATION_ID_DIFF,0)))</f>
        <v>2-а Посадская, 19а</v>
      </c>
      <c r="CL11" s="3632"/>
      <c r="CM11" s="3631" t="str">
        <f>IF(CM8="","",INDEX(DIFFERENTIATION_UNMERGE_SYSTEM,MATCH(CM8,DIFFERENTIATION_ID_DIFF,0)))</f>
        <v>1-я Пушкарная, 20а</v>
      </c>
      <c r="CN11" s="3632"/>
      <c r="CO11" s="3631" t="str">
        <f>IF(CO8="","",INDEX(DIFFERENTIATION_UNMERGE_SYSTEM,MATCH(CO8,DIFFERENTIATION_ID_DIFF,0)))</f>
        <v>1-я Пушкарная, 21а</v>
      </c>
      <c r="CP11" s="3632"/>
      <c r="CQ11" s="3631" t="str">
        <f>IF(CQ8="","",INDEX(DIFFERENTIATION_UNMERGE_SYSTEM,MATCH(CQ8,DIFFERENTIATION_ID_DIFF,0)))</f>
        <v>Связистов, 1а</v>
      </c>
      <c r="CR11" s="3632"/>
      <c r="CS11" s="3631" t="str">
        <f>IF(CS8="","",INDEX(DIFFERENTIATION_UNMERGE_SYSTEM,MATCH(CS8,DIFFERENTIATION_ID_DIFF,0)))</f>
        <v>Спивака, 85</v>
      </c>
      <c r="CT11" s="3632"/>
      <c r="CU11" s="3631" t="str">
        <f>IF(CU8="","",INDEX(DIFFERENTIATION_UNMERGE_SYSTEM,MATCH(CU8,DIFFERENTIATION_ID_DIFF,0)))</f>
        <v>Федотовой, 12</v>
      </c>
      <c r="CV11" s="3632"/>
      <c r="CW11" s="3631" t="str">
        <f>IF(CW8="","",INDEX(DIFFERENTIATION_UNMERGE_SYSTEM,MATCH(CW8,DIFFERENTIATION_ID_DIFF,0)))</f>
        <v>Циолковского,1б</v>
      </c>
      <c r="CX11" s="3632"/>
      <c r="CY11" s="3631" t="str">
        <f>IF(CY8="","",INDEX(DIFFERENTIATION_UNMERGE_SYSTEM,MATCH(CY8,DIFFERENTIATION_ID_DIFF,0)))</f>
        <v>Циолковского,51а</v>
      </c>
      <c r="CZ11" s="3632"/>
      <c r="DA11" s="3631" t="str">
        <f>IF(DA8="","",INDEX(DIFFERENTIATION_UNMERGE_SYSTEM,MATCH(DA8,DIFFERENTIATION_ID_DIFF,0)))</f>
        <v>Черепичная, 24б</v>
      </c>
      <c r="DB11" s="3632"/>
      <c r="DC11" s="3631" t="str">
        <f>IF(DC8="","",INDEX(DIFFERENTIATION_UNMERGE_SYSTEM,MATCH(DC8,DIFFERENTIATION_ID_DIFF,0)))</f>
        <v>Шпагатный,92</v>
      </c>
      <c r="DD11" s="3632"/>
      <c r="DE11" s="3631" t="str">
        <f>IF(DE8="","",INDEX(DIFFERENTIATION_UNMERGE_SYSTEM,MATCH(DE8,DIFFERENTIATION_ID_DIFF,0)))</f>
        <v>Шпагатный, 92г</v>
      </c>
      <c r="DF11" s="3632"/>
      <c r="DG11" s="3631" t="str">
        <f>IF(DG8="","",INDEX(DIFFERENTIATION_UNMERGE_SYSTEM,MATCH(DG8,DIFFERENTIATION_ID_DIFF,0)))</f>
        <v>Щепная, 12б</v>
      </c>
      <c r="DH11" s="3632"/>
      <c r="DI11" s="3631" t="str">
        <f>IF(DI8="","",INDEX(DIFFERENTIATION_UNMERGE_SYSTEM,MATCH(DI8,DIFFERENTIATION_ID_DIFF,0)))</f>
        <v>Энгельса,88а</v>
      </c>
      <c r="DJ11" s="3632"/>
      <c r="DK11" s="3631" t="str">
        <f>IF(DK8="","",INDEX(DIFFERENTIATION_UNMERGE_SYSTEM,MATCH(DK8,DIFFERENTIATION_ID_DIFF,0)))</f>
        <v>Яблочная, 59а</v>
      </c>
      <c r="DL11" s="3632"/>
      <c r="DM11" s="3631" t="str">
        <f>IF(DM8="","",INDEX(DIFFERENTIATION_UNMERGE_SYSTEM,MATCH(DM8,DIFFERENTIATION_ID_DIFF,0)))</f>
        <v>Комсомольская, 241б</v>
      </c>
      <c r="DN11" s="3632"/>
      <c r="DO11" s="3631" t="str">
        <f>IF(DO8="","",INDEX(DIFFERENTIATION_UNMERGE_SYSTEM,MATCH(DO8,DIFFERENTIATION_ID_DIFF,0)))</f>
        <v>Генерала Жадова, 4а</v>
      </c>
      <c r="DP11" s="3632"/>
      <c r="DQ11" s="3631" t="str">
        <f>IF(DQ8="","",INDEX(DIFFERENTIATION_UNMERGE_SYSTEM,MATCH(DQ8,DIFFERENTIATION_ID_DIFF,0)))</f>
        <v>Генерала Родина, 69а</v>
      </c>
      <c r="DR11" s="3632"/>
      <c r="DS11" s="3631" t="str">
        <f>IF(DS8="","",INDEX(DIFFERENTIATION_UNMERGE_SYSTEM,MATCH(DS8,DIFFERENTIATION_ID_DIFF,0)))</f>
        <v>Ипподромный,2а</v>
      </c>
      <c r="DT11" s="3632"/>
      <c r="DU11" s="3631" t="str">
        <f>IF(DU8="","",INDEX(DIFFERENTIATION_UNMERGE_SYSTEM,MATCH(DU8,DIFFERENTIATION_ID_DIFF,0)))</f>
        <v>Лескова, 31а</v>
      </c>
      <c r="DV11" s="3632"/>
      <c r="DW11" s="3631" t="str">
        <f>IF(DW8="","",INDEX(DIFFERENTIATION_UNMERGE_SYSTEM,MATCH(DW8,DIFFERENTIATION_ID_DIFF,0)))</f>
        <v>Матвеева, 9а</v>
      </c>
      <c r="DX11" s="3632"/>
      <c r="DY11" s="3631" t="str">
        <f>IF(DY8="","",INDEX(DIFFERENTIATION_UNMERGE_SYSTEM,MATCH(DY8,DIFFERENTIATION_ID_DIFF,0)))</f>
        <v>Матросова, 46б</v>
      </c>
      <c r="DZ11" s="3632"/>
      <c r="EA11" s="3631" t="str">
        <f>IF(EA8="","",INDEX(DIFFERENTIATION_UNMERGE_SYSTEM,MATCH(EA8,DIFFERENTIATION_ID_DIFF,0)))</f>
        <v>Наугорское, 13б</v>
      </c>
      <c r="EB11" s="3632"/>
      <c r="EC11" s="3631" t="str">
        <f>IF(EC8="","",INDEX(DIFFERENTIATION_UNMERGE_SYSTEM,MATCH(EC8,DIFFERENTIATION_ID_DIFF,0)))</f>
        <v>Наугорское, 27</v>
      </c>
      <c r="ED11" s="3632"/>
      <c r="EE11" s="3631" t="str">
        <f>IF(EE8="","",INDEX(DIFFERENTIATION_UNMERGE_SYSTEM,MATCH(EE8,DIFFERENTIATION_ID_DIFF,0)))</f>
        <v>Наугорское, 29б</v>
      </c>
      <c r="EF11" s="3632"/>
      <c r="EG11" s="3631" t="str">
        <f>IF(EG8="","",INDEX(DIFFERENTIATION_UNMERGE_SYSTEM,MATCH(EG8,DIFFERENTIATION_ID_DIFF,0)))</f>
        <v>Октябрьская, 4а</v>
      </c>
      <c r="EH11" s="3632"/>
      <c r="EI11" s="3631" t="str">
        <f>IF(EI8="","",INDEX(DIFFERENTIATION_UNMERGE_SYSTEM,MATCH(EI8,DIFFERENTIATION_ID_DIFF,0)))</f>
        <v>Октябрьская, 54а</v>
      </c>
      <c r="EJ11" s="3632"/>
      <c r="EK11" s="3631" t="str">
        <f>IF(EK8="","",INDEX(DIFFERENTIATION_UNMERGE_SYSTEM,MATCH(EK8,DIFFERENTIATION_ID_DIFF,0)))</f>
        <v>Трудовые резервы, 32а</v>
      </c>
      <c r="EL11" s="3632"/>
      <c r="EM11" s="3631" t="str">
        <f>IF(EM8="","",INDEX(DIFFERENTIATION_UNMERGE_SYSTEM,MATCH(EM8,DIFFERENTIATION_ID_DIFF,0)))</f>
        <v>Цветаева, 15б</v>
      </c>
      <c r="EN11" s="3632"/>
      <c r="EO11" s="3631" t="str">
        <f>IF(EO8="","",INDEX(DIFFERENTIATION_UNMERGE_SYSTEM,MATCH(EO8,DIFFERENTIATION_ID_DIFF,0)))</f>
        <v>Бресткая,6</v>
      </c>
      <c r="EP11" s="3632"/>
      <c r="EQ11" s="3631" t="str">
        <f>IF(EQ8="","",INDEX(DIFFERENTIATION_UNMERGE_SYSTEM,MATCH(EQ8,DIFFERENTIATION_ID_DIFF,0)))</f>
        <v>Веселая,2</v>
      </c>
      <c r="ER11" s="3632"/>
      <c r="ES11" s="3631" t="str">
        <f>IF(ES8="","",INDEX(DIFFERENTIATION_UNMERGE_SYSTEM,MATCH(ES8,DIFFERENTIATION_ID_DIFF,0)))</f>
        <v>Огородный,7а</v>
      </c>
      <c r="ET11" s="3632"/>
      <c r="EU11" s="3631" t="str">
        <f>IF(EU8="","",INDEX(DIFFERENTIATION_UNMERGE_SYSTEM,MATCH(EU8,DIFFERENTIATION_ID_DIFF,0)))</f>
        <v>Пролетарская гора, 1</v>
      </c>
      <c r="EV11" s="3632"/>
      <c r="EW11" s="3631" t="str">
        <f>IF(EW8="","",INDEX(DIFFERENTIATION_UNMERGE_SYSTEM,MATCH(EW8,DIFFERENTIATION_ID_DIFF,0)))</f>
        <v>Тургенева, 50а</v>
      </c>
      <c r="EX11" s="3632"/>
      <c r="EY11" s="3631" t="str">
        <f>IF(EY8="","",INDEX(DIFFERENTIATION_UNMERGE_SYSTEM,MATCH(EY8,DIFFERENTIATION_ID_DIFF,0)))</f>
        <v>Абрамова-Соколова, 76б</v>
      </c>
      <c r="EZ11" s="3632"/>
      <c r="FA11" s="3631" t="str">
        <f>IF(FA8="","",INDEX(DIFFERENTIATION_UNMERGE_SYSTEM,MATCH(FA8,DIFFERENTIATION_ID_DIFF,0)))</f>
        <v>5 августа,66а</v>
      </c>
      <c r="FB11" s="3632"/>
      <c r="FC11" s="3631" t="str">
        <f>IF(FC8="","",INDEX(DIFFERENTIATION_UNMERGE_SYSTEM,MATCH(FC8,DIFFERENTIATION_ID_DIFF,0)))</f>
        <v>Грузовая, 119г</v>
      </c>
      <c r="FD11" s="3632"/>
      <c r="FE11" s="3631" t="str">
        <f>IF(FE8="","",INDEX(DIFFERENTIATION_UNMERGE_SYSTEM,MATCH(FE8,DIFFERENTIATION_ID_DIFF,0)))</f>
        <v>Деповская, 6а</v>
      </c>
      <c r="FF11" s="3632"/>
      <c r="FG11" s="3631" t="str">
        <f>IF(FG8="","",INDEX(DIFFERENTIATION_UNMERGE_SYSTEM,MATCH(FG8,DIFFERENTIATION_ID_DIFF,0)))</f>
        <v>3-я Курская, 3а</v>
      </c>
      <c r="FH11" s="3632"/>
      <c r="FI11" s="3631" t="str">
        <f>IF(FI8="","",INDEX(DIFFERENTIATION_UNMERGE_SYSTEM,MATCH(FI8,DIFFERENTIATION_ID_DIFF,0)))</f>
        <v>Ливенская, 48г</v>
      </c>
      <c r="FJ11" s="3632"/>
      <c r="FK11" s="3631" t="str">
        <f>IF(FK8="","",INDEX(DIFFERENTIATION_UNMERGE_SYSTEM,MATCH(FK8,DIFFERENTIATION_ID_DIFF,0)))</f>
        <v>Лесная, 9а</v>
      </c>
      <c r="FL11" s="3632"/>
      <c r="FM11" s="3631" t="str">
        <f>IF(FM8="","",INDEX(DIFFERENTIATION_UNMERGE_SYSTEM,MATCH(FM8,DIFFERENTIATION_ID_DIFF,0)))</f>
        <v>Московская, 27а</v>
      </c>
      <c r="FN11" s="3632"/>
      <c r="FO11" s="3631" t="str">
        <f>IF(FO8="","",INDEX(DIFFERENTIATION_UNMERGE_SYSTEM,MATCH(FO8,DIFFERENTIATION_ID_DIFF,0)))</f>
        <v>Новосильская, 7а пом.1</v>
      </c>
      <c r="FP11" s="3632"/>
      <c r="FQ11" s="3631" t="str">
        <f>IF(FQ8="","",INDEX(DIFFERENTIATION_UNMERGE_SYSTEM,MATCH(FQ8,DIFFERENTIATION_ID_DIFF,0)))</f>
        <v>Новосильская, 7а пом.2</v>
      </c>
      <c r="FR11" s="3632"/>
      <c r="FS11" s="3631" t="str">
        <f>IF(FS8="","",INDEX(DIFFERENTIATION_UNMERGE_SYSTEM,MATCH(FS8,DIFFERENTIATION_ID_DIFF,0)))</f>
        <v>Паровозная,64б</v>
      </c>
      <c r="FT11" s="3632"/>
      <c r="FU11" s="3631" t="str">
        <f>IF(FU8="","",INDEX(DIFFERENTIATION_UNMERGE_SYSTEM,MATCH(FU8,DIFFERENTIATION_ID_DIFF,0)))</f>
        <v>Пушкина, 68а</v>
      </c>
      <c r="FV11" s="3632"/>
      <c r="FW11" s="3631" t="str">
        <f>IF(FW8="","",INDEX(DIFFERENTIATION_UNMERGE_SYSTEM,MATCH(FW8,DIFFERENTIATION_ID_DIFF,0)))</f>
        <v>Ст. Разина, 11б</v>
      </c>
      <c r="FX11" s="3632"/>
      <c r="FY11" s="3631" t="str">
        <f>IF(FY8="","",INDEX(DIFFERENTIATION_UNMERGE_SYSTEM,MATCH(FY8,DIFFERENTIATION_ID_DIFF,0)))</f>
        <v>Рельсовая, 7а</v>
      </c>
      <c r="FZ11" s="3632"/>
      <c r="GA11" s="3631" t="str">
        <f>IF(GA8="","",INDEX(DIFFERENTIATION_UNMERGE_SYSTEM,MATCH(GA8,DIFFERENTIATION_ID_DIFF,0)))</f>
        <v>Студенческая, 2а</v>
      </c>
      <c r="GB11" s="3632"/>
      <c r="GC11" s="3631" t="str">
        <f>IF(GC8="","",INDEX(DIFFERENTIATION_UNMERGE_SYSTEM,MATCH(GC8,DIFFERENTIATION_ID_DIFF,0)))</f>
        <v>Тульская, 24а</v>
      </c>
      <c r="GD11" s="3632"/>
      <c r="GE11" s="3631" t="str">
        <f>IF(GE8="","",INDEX(DIFFERENTIATION_UNMERGE_SYSTEM,MATCH(GE8,DIFFERENTIATION_ID_DIFF,0)))</f>
        <v>Тульская, 63б</v>
      </c>
      <c r="GF11" s="3632"/>
      <c r="GG11" s="3631" t="str">
        <f>IF(GG8="","",INDEX(DIFFERENTIATION_UNMERGE_SYSTEM,MATCH(GG8,DIFFERENTIATION_ID_DIFF,0)))</f>
        <v>Южный, 26б</v>
      </c>
      <c r="GH11" s="3632"/>
      <c r="GI11" s="3631" t="str">
        <f>IF(GI8="","",INDEX(DIFFERENTIATION_UNMERGE_SYSTEM,MATCH(GI8,DIFFERENTIATION_ID_DIFF,0)))</f>
        <v>Металлургов,80б</v>
      </c>
      <c r="GJ11" s="3632"/>
      <c r="GK11" s="3631" t="str">
        <f>IF(GK8="","",INDEX(DIFFERENTIATION_UNMERGE_SYSTEM,MATCH(GK8,DIFFERENTIATION_ID_DIFF,0)))</f>
        <v>Силикатная,28а</v>
      </c>
      <c r="GL11" s="3632"/>
      <c r="GM11" s="3463"/>
      <c r="GW11" s="567"/>
    </row>
    <row r="12" spans="1:205" s="1910" customFormat="1" ht="15" customHeight="1">
      <c r="A12" s="645"/>
      <c r="C12" s="93"/>
      <c r="D12" s="3609" t="s">
        <v>560</v>
      </c>
      <c r="E12" s="3610"/>
      <c r="F12" s="3610"/>
      <c r="G12" s="763"/>
      <c r="H12" s="763"/>
      <c r="I12" s="763"/>
      <c r="J12" s="763"/>
      <c r="K12" s="1888"/>
      <c r="L12" s="1888"/>
      <c r="M12" s="1888"/>
      <c r="N12" s="1888"/>
      <c r="O12" s="1888"/>
      <c r="P12" s="1888"/>
      <c r="Q12" s="1888"/>
      <c r="R12" s="1888"/>
      <c r="S12" s="1888"/>
      <c r="T12" s="1888"/>
      <c r="U12" s="1888"/>
      <c r="V12" s="1888"/>
      <c r="W12" s="1888"/>
      <c r="X12" s="1888"/>
      <c r="Y12" s="1888"/>
      <c r="Z12" s="1888"/>
      <c r="AA12" s="1888"/>
      <c r="AB12" s="1888"/>
      <c r="AC12" s="1888"/>
      <c r="AD12" s="1888"/>
      <c r="AE12" s="1888"/>
      <c r="AF12" s="1888"/>
      <c r="AG12" s="1888"/>
      <c r="AH12" s="1888"/>
      <c r="AI12" s="1888"/>
      <c r="AJ12" s="1888"/>
      <c r="AK12" s="1888"/>
      <c r="AL12" s="1888"/>
      <c r="AM12" s="1888"/>
      <c r="AN12" s="1888"/>
      <c r="AO12" s="1888"/>
      <c r="AP12" s="1888"/>
      <c r="AQ12" s="1888"/>
      <c r="AR12" s="1888"/>
      <c r="AS12" s="1888"/>
      <c r="AT12" s="1888"/>
      <c r="AU12" s="1888"/>
      <c r="AV12" s="1888"/>
      <c r="AW12" s="1888"/>
      <c r="AX12" s="1888"/>
      <c r="AY12" s="1888"/>
      <c r="AZ12" s="1888"/>
      <c r="BA12" s="1888"/>
      <c r="BB12" s="1888"/>
      <c r="BC12" s="1888"/>
      <c r="BD12" s="1888"/>
      <c r="BE12" s="1888"/>
      <c r="BF12" s="1888"/>
      <c r="BG12" s="1888"/>
      <c r="BH12" s="1888"/>
      <c r="BI12" s="1888"/>
      <c r="BJ12" s="1888"/>
      <c r="BK12" s="1888"/>
      <c r="BL12" s="1888"/>
      <c r="BM12" s="1888"/>
      <c r="BN12" s="1888"/>
      <c r="BO12" s="1888"/>
      <c r="BP12" s="1888"/>
      <c r="BQ12" s="1888"/>
      <c r="BR12" s="1888"/>
      <c r="BS12" s="1888"/>
      <c r="BT12" s="1888"/>
      <c r="BU12" s="1888"/>
      <c r="BV12" s="1888"/>
      <c r="BW12" s="1888"/>
      <c r="BX12" s="1888"/>
      <c r="BY12" s="1888"/>
      <c r="BZ12" s="1888"/>
      <c r="CA12" s="1888"/>
      <c r="CB12" s="1888"/>
      <c r="CC12" s="1888"/>
      <c r="CD12" s="1888"/>
      <c r="CE12" s="1888"/>
      <c r="CF12" s="1888"/>
      <c r="CG12" s="1888"/>
      <c r="CH12" s="1888"/>
      <c r="CI12" s="1888"/>
      <c r="CJ12" s="1888"/>
      <c r="CK12" s="1888"/>
      <c r="CL12" s="1888"/>
      <c r="CM12" s="1888"/>
      <c r="CN12" s="1888"/>
      <c r="CO12" s="1888"/>
      <c r="CP12" s="1888"/>
      <c r="CQ12" s="1888"/>
      <c r="CR12" s="1888"/>
      <c r="CS12" s="1888"/>
      <c r="CT12" s="1888"/>
      <c r="CU12" s="1888"/>
      <c r="CV12" s="1888"/>
      <c r="CW12" s="1888"/>
      <c r="CX12" s="1888"/>
      <c r="CY12" s="1888"/>
      <c r="CZ12" s="1888"/>
      <c r="DA12" s="1888"/>
      <c r="DB12" s="1888"/>
      <c r="DC12" s="1888"/>
      <c r="DD12" s="1888"/>
      <c r="DE12" s="1888"/>
      <c r="DF12" s="1888"/>
      <c r="DG12" s="1888"/>
      <c r="DH12" s="1888"/>
      <c r="DI12" s="1888"/>
      <c r="DJ12" s="1888"/>
      <c r="DK12" s="1888"/>
      <c r="DL12" s="1888"/>
      <c r="DM12" s="1888"/>
      <c r="DN12" s="1888"/>
      <c r="DO12" s="1888"/>
      <c r="DP12" s="1888"/>
      <c r="DQ12" s="1888"/>
      <c r="DR12" s="1888"/>
      <c r="DS12" s="1888"/>
      <c r="DT12" s="1888"/>
      <c r="DU12" s="1888"/>
      <c r="DV12" s="1888"/>
      <c r="DW12" s="1888"/>
      <c r="DX12" s="1888"/>
      <c r="DY12" s="1888"/>
      <c r="DZ12" s="1888"/>
      <c r="EA12" s="1888"/>
      <c r="EB12" s="1888"/>
      <c r="EC12" s="1888"/>
      <c r="ED12" s="1888"/>
      <c r="EE12" s="1888"/>
      <c r="EF12" s="1888"/>
      <c r="EG12" s="1888"/>
      <c r="EH12" s="1888"/>
      <c r="EI12" s="1888"/>
      <c r="EJ12" s="1888"/>
      <c r="EK12" s="1888"/>
      <c r="EL12" s="1888"/>
      <c r="EM12" s="1888"/>
      <c r="EN12" s="1888"/>
      <c r="EO12" s="1888"/>
      <c r="EP12" s="1888"/>
      <c r="EQ12" s="1888"/>
      <c r="ER12" s="1888"/>
      <c r="ES12" s="1888"/>
      <c r="ET12" s="1888"/>
      <c r="EU12" s="1888"/>
      <c r="EV12" s="1888"/>
      <c r="EW12" s="1888"/>
      <c r="EX12" s="1888"/>
      <c r="EY12" s="1888"/>
      <c r="EZ12" s="1888"/>
      <c r="FA12" s="1888"/>
      <c r="FB12" s="1888"/>
      <c r="FC12" s="1888"/>
      <c r="FD12" s="1888"/>
      <c r="FE12" s="1888"/>
      <c r="FF12" s="1888"/>
      <c r="FG12" s="1888"/>
      <c r="FH12" s="1888"/>
      <c r="FI12" s="1888"/>
      <c r="FJ12" s="1888"/>
      <c r="FK12" s="1888"/>
      <c r="FL12" s="1888"/>
      <c r="FM12" s="1888"/>
      <c r="FN12" s="1888"/>
      <c r="FO12" s="1888"/>
      <c r="FP12" s="1888"/>
      <c r="FQ12" s="1888"/>
      <c r="FR12" s="1888"/>
      <c r="FS12" s="1888"/>
      <c r="FT12" s="1888"/>
      <c r="FU12" s="1888"/>
      <c r="FV12" s="1888"/>
      <c r="FW12" s="1888"/>
      <c r="FX12" s="1888"/>
      <c r="FY12" s="1888"/>
      <c r="FZ12" s="1888"/>
      <c r="GA12" s="1888"/>
      <c r="GB12" s="1888"/>
      <c r="GC12" s="1888"/>
      <c r="GD12" s="1888"/>
      <c r="GE12" s="1888"/>
      <c r="GF12" s="1888"/>
      <c r="GG12" s="1888"/>
      <c r="GH12" s="1888"/>
      <c r="GI12" s="1888"/>
      <c r="GJ12" s="1888"/>
      <c r="GK12" s="1888"/>
      <c r="GL12" s="1888"/>
      <c r="GM12" s="3463"/>
      <c r="GW12" s="567"/>
    </row>
    <row r="13" spans="1:205" ht="33.75" customHeight="1">
      <c r="C13" s="93"/>
      <c r="D13" s="686" t="s">
        <v>85</v>
      </c>
      <c r="E13" s="688" t="s">
        <v>562</v>
      </c>
      <c r="F13" s="688" t="s">
        <v>831</v>
      </c>
      <c r="G13" s="689" t="s">
        <v>563</v>
      </c>
      <c r="H13" s="688" t="s">
        <v>652</v>
      </c>
      <c r="I13" s="689" t="s">
        <v>563</v>
      </c>
      <c r="J13" s="688" t="s">
        <v>652</v>
      </c>
      <c r="K13" s="1922" t="s">
        <v>563</v>
      </c>
      <c r="L13" s="1933" t="s">
        <v>652</v>
      </c>
      <c r="M13" s="1922" t="s">
        <v>563</v>
      </c>
      <c r="N13" s="1933" t="s">
        <v>652</v>
      </c>
      <c r="O13" s="1922" t="s">
        <v>563</v>
      </c>
      <c r="P13" s="1933" t="s">
        <v>652</v>
      </c>
      <c r="Q13" s="1922" t="s">
        <v>563</v>
      </c>
      <c r="R13" s="1933" t="s">
        <v>652</v>
      </c>
      <c r="S13" s="1922" t="s">
        <v>563</v>
      </c>
      <c r="T13" s="1933" t="s">
        <v>652</v>
      </c>
      <c r="U13" s="1922" t="s">
        <v>563</v>
      </c>
      <c r="V13" s="1933" t="s">
        <v>652</v>
      </c>
      <c r="W13" s="1922" t="s">
        <v>563</v>
      </c>
      <c r="X13" s="1933" t="s">
        <v>652</v>
      </c>
      <c r="Y13" s="1922" t="s">
        <v>563</v>
      </c>
      <c r="Z13" s="1933" t="s">
        <v>652</v>
      </c>
      <c r="AA13" s="1922" t="s">
        <v>563</v>
      </c>
      <c r="AB13" s="1933" t="s">
        <v>652</v>
      </c>
      <c r="AC13" s="1922" t="s">
        <v>563</v>
      </c>
      <c r="AD13" s="1933" t="s">
        <v>652</v>
      </c>
      <c r="AE13" s="1922" t="s">
        <v>563</v>
      </c>
      <c r="AF13" s="1933" t="s">
        <v>652</v>
      </c>
      <c r="AG13" s="1922" t="s">
        <v>563</v>
      </c>
      <c r="AH13" s="1933" t="s">
        <v>652</v>
      </c>
      <c r="AI13" s="1922" t="s">
        <v>563</v>
      </c>
      <c r="AJ13" s="1933" t="s">
        <v>652</v>
      </c>
      <c r="AK13" s="1922" t="s">
        <v>563</v>
      </c>
      <c r="AL13" s="1933" t="s">
        <v>652</v>
      </c>
      <c r="AM13" s="1922" t="s">
        <v>563</v>
      </c>
      <c r="AN13" s="1933" t="s">
        <v>652</v>
      </c>
      <c r="AO13" s="1922" t="s">
        <v>563</v>
      </c>
      <c r="AP13" s="1933" t="s">
        <v>652</v>
      </c>
      <c r="AQ13" s="1922" t="s">
        <v>563</v>
      </c>
      <c r="AR13" s="1933" t="s">
        <v>652</v>
      </c>
      <c r="AS13" s="1922" t="s">
        <v>563</v>
      </c>
      <c r="AT13" s="1933" t="s">
        <v>652</v>
      </c>
      <c r="AU13" s="1922" t="s">
        <v>563</v>
      </c>
      <c r="AV13" s="1933" t="s">
        <v>652</v>
      </c>
      <c r="AW13" s="1922" t="s">
        <v>563</v>
      </c>
      <c r="AX13" s="1933" t="s">
        <v>652</v>
      </c>
      <c r="AY13" s="1922" t="s">
        <v>563</v>
      </c>
      <c r="AZ13" s="1933" t="s">
        <v>652</v>
      </c>
      <c r="BA13" s="1922" t="s">
        <v>563</v>
      </c>
      <c r="BB13" s="1933" t="s">
        <v>652</v>
      </c>
      <c r="BC13" s="1922" t="s">
        <v>563</v>
      </c>
      <c r="BD13" s="1933" t="s">
        <v>652</v>
      </c>
      <c r="BE13" s="1922" t="s">
        <v>563</v>
      </c>
      <c r="BF13" s="1933" t="s">
        <v>652</v>
      </c>
      <c r="BG13" s="1922" t="s">
        <v>563</v>
      </c>
      <c r="BH13" s="1933" t="s">
        <v>652</v>
      </c>
      <c r="BI13" s="1922" t="s">
        <v>563</v>
      </c>
      <c r="BJ13" s="1933" t="s">
        <v>652</v>
      </c>
      <c r="BK13" s="1922" t="s">
        <v>563</v>
      </c>
      <c r="BL13" s="1933" t="s">
        <v>652</v>
      </c>
      <c r="BM13" s="1922" t="s">
        <v>563</v>
      </c>
      <c r="BN13" s="1933" t="s">
        <v>652</v>
      </c>
      <c r="BO13" s="1922" t="s">
        <v>563</v>
      </c>
      <c r="BP13" s="1933" t="s">
        <v>652</v>
      </c>
      <c r="BQ13" s="1922" t="s">
        <v>563</v>
      </c>
      <c r="BR13" s="1933" t="s">
        <v>652</v>
      </c>
      <c r="BS13" s="1922" t="s">
        <v>563</v>
      </c>
      <c r="BT13" s="1933" t="s">
        <v>652</v>
      </c>
      <c r="BU13" s="1922" t="s">
        <v>563</v>
      </c>
      <c r="BV13" s="1933" t="s">
        <v>652</v>
      </c>
      <c r="BW13" s="1922" t="s">
        <v>563</v>
      </c>
      <c r="BX13" s="1933" t="s">
        <v>652</v>
      </c>
      <c r="BY13" s="1922" t="s">
        <v>563</v>
      </c>
      <c r="BZ13" s="1933" t="s">
        <v>652</v>
      </c>
      <c r="CA13" s="1922" t="s">
        <v>563</v>
      </c>
      <c r="CB13" s="1933" t="s">
        <v>652</v>
      </c>
      <c r="CC13" s="1922" t="s">
        <v>563</v>
      </c>
      <c r="CD13" s="1933" t="s">
        <v>652</v>
      </c>
      <c r="CE13" s="1922" t="s">
        <v>563</v>
      </c>
      <c r="CF13" s="1933" t="s">
        <v>652</v>
      </c>
      <c r="CG13" s="1922" t="s">
        <v>563</v>
      </c>
      <c r="CH13" s="1933" t="s">
        <v>652</v>
      </c>
      <c r="CI13" s="1922" t="s">
        <v>563</v>
      </c>
      <c r="CJ13" s="1933" t="s">
        <v>652</v>
      </c>
      <c r="CK13" s="1922" t="s">
        <v>563</v>
      </c>
      <c r="CL13" s="1933" t="s">
        <v>652</v>
      </c>
      <c r="CM13" s="1922" t="s">
        <v>563</v>
      </c>
      <c r="CN13" s="1933" t="s">
        <v>652</v>
      </c>
      <c r="CO13" s="1922" t="s">
        <v>563</v>
      </c>
      <c r="CP13" s="1933" t="s">
        <v>652</v>
      </c>
      <c r="CQ13" s="1922" t="s">
        <v>563</v>
      </c>
      <c r="CR13" s="1933" t="s">
        <v>652</v>
      </c>
      <c r="CS13" s="1922" t="s">
        <v>563</v>
      </c>
      <c r="CT13" s="1933" t="s">
        <v>652</v>
      </c>
      <c r="CU13" s="1922" t="s">
        <v>563</v>
      </c>
      <c r="CV13" s="1933" t="s">
        <v>652</v>
      </c>
      <c r="CW13" s="1922" t="s">
        <v>563</v>
      </c>
      <c r="CX13" s="1933" t="s">
        <v>652</v>
      </c>
      <c r="CY13" s="1922" t="s">
        <v>563</v>
      </c>
      <c r="CZ13" s="1933" t="s">
        <v>652</v>
      </c>
      <c r="DA13" s="1922" t="s">
        <v>563</v>
      </c>
      <c r="DB13" s="1933" t="s">
        <v>652</v>
      </c>
      <c r="DC13" s="1922" t="s">
        <v>563</v>
      </c>
      <c r="DD13" s="1933" t="s">
        <v>652</v>
      </c>
      <c r="DE13" s="1922" t="s">
        <v>563</v>
      </c>
      <c r="DF13" s="1933" t="s">
        <v>652</v>
      </c>
      <c r="DG13" s="1922" t="s">
        <v>563</v>
      </c>
      <c r="DH13" s="1933" t="s">
        <v>652</v>
      </c>
      <c r="DI13" s="1922" t="s">
        <v>563</v>
      </c>
      <c r="DJ13" s="1933" t="s">
        <v>652</v>
      </c>
      <c r="DK13" s="1922" t="s">
        <v>563</v>
      </c>
      <c r="DL13" s="1933" t="s">
        <v>652</v>
      </c>
      <c r="DM13" s="1922" t="s">
        <v>563</v>
      </c>
      <c r="DN13" s="1933" t="s">
        <v>652</v>
      </c>
      <c r="DO13" s="1922" t="s">
        <v>563</v>
      </c>
      <c r="DP13" s="1933" t="s">
        <v>652</v>
      </c>
      <c r="DQ13" s="1922" t="s">
        <v>563</v>
      </c>
      <c r="DR13" s="1933" t="s">
        <v>652</v>
      </c>
      <c r="DS13" s="1922" t="s">
        <v>563</v>
      </c>
      <c r="DT13" s="1933" t="s">
        <v>652</v>
      </c>
      <c r="DU13" s="1922" t="s">
        <v>563</v>
      </c>
      <c r="DV13" s="1933" t="s">
        <v>652</v>
      </c>
      <c r="DW13" s="1922" t="s">
        <v>563</v>
      </c>
      <c r="DX13" s="1933" t="s">
        <v>652</v>
      </c>
      <c r="DY13" s="1922" t="s">
        <v>563</v>
      </c>
      <c r="DZ13" s="1933" t="s">
        <v>652</v>
      </c>
      <c r="EA13" s="1922" t="s">
        <v>563</v>
      </c>
      <c r="EB13" s="1933" t="s">
        <v>652</v>
      </c>
      <c r="EC13" s="1922" t="s">
        <v>563</v>
      </c>
      <c r="ED13" s="1933" t="s">
        <v>652</v>
      </c>
      <c r="EE13" s="1922" t="s">
        <v>563</v>
      </c>
      <c r="EF13" s="1933" t="s">
        <v>652</v>
      </c>
      <c r="EG13" s="1922" t="s">
        <v>563</v>
      </c>
      <c r="EH13" s="1933" t="s">
        <v>652</v>
      </c>
      <c r="EI13" s="1922" t="s">
        <v>563</v>
      </c>
      <c r="EJ13" s="1933" t="s">
        <v>652</v>
      </c>
      <c r="EK13" s="1922" t="s">
        <v>563</v>
      </c>
      <c r="EL13" s="1933" t="s">
        <v>652</v>
      </c>
      <c r="EM13" s="1922" t="s">
        <v>563</v>
      </c>
      <c r="EN13" s="1933" t="s">
        <v>652</v>
      </c>
      <c r="EO13" s="1922" t="s">
        <v>563</v>
      </c>
      <c r="EP13" s="1933" t="s">
        <v>652</v>
      </c>
      <c r="EQ13" s="1922" t="s">
        <v>563</v>
      </c>
      <c r="ER13" s="1933" t="s">
        <v>652</v>
      </c>
      <c r="ES13" s="1922" t="s">
        <v>563</v>
      </c>
      <c r="ET13" s="1933" t="s">
        <v>652</v>
      </c>
      <c r="EU13" s="1922" t="s">
        <v>563</v>
      </c>
      <c r="EV13" s="1933" t="s">
        <v>652</v>
      </c>
      <c r="EW13" s="1922" t="s">
        <v>563</v>
      </c>
      <c r="EX13" s="1933" t="s">
        <v>652</v>
      </c>
      <c r="EY13" s="1922" t="s">
        <v>563</v>
      </c>
      <c r="EZ13" s="1933" t="s">
        <v>652</v>
      </c>
      <c r="FA13" s="1922" t="s">
        <v>563</v>
      </c>
      <c r="FB13" s="1933" t="s">
        <v>652</v>
      </c>
      <c r="FC13" s="1922" t="s">
        <v>563</v>
      </c>
      <c r="FD13" s="1933" t="s">
        <v>652</v>
      </c>
      <c r="FE13" s="1922" t="s">
        <v>563</v>
      </c>
      <c r="FF13" s="1933" t="s">
        <v>652</v>
      </c>
      <c r="FG13" s="1922" t="s">
        <v>563</v>
      </c>
      <c r="FH13" s="1933" t="s">
        <v>652</v>
      </c>
      <c r="FI13" s="1922" t="s">
        <v>563</v>
      </c>
      <c r="FJ13" s="1933" t="s">
        <v>652</v>
      </c>
      <c r="FK13" s="1922" t="s">
        <v>563</v>
      </c>
      <c r="FL13" s="1933" t="s">
        <v>652</v>
      </c>
      <c r="FM13" s="1922" t="s">
        <v>563</v>
      </c>
      <c r="FN13" s="1933" t="s">
        <v>652</v>
      </c>
      <c r="FO13" s="1922" t="s">
        <v>563</v>
      </c>
      <c r="FP13" s="1933" t="s">
        <v>652</v>
      </c>
      <c r="FQ13" s="1922" t="s">
        <v>563</v>
      </c>
      <c r="FR13" s="1933" t="s">
        <v>652</v>
      </c>
      <c r="FS13" s="1922" t="s">
        <v>563</v>
      </c>
      <c r="FT13" s="1933" t="s">
        <v>652</v>
      </c>
      <c r="FU13" s="1922" t="s">
        <v>563</v>
      </c>
      <c r="FV13" s="1933" t="s">
        <v>652</v>
      </c>
      <c r="FW13" s="1922" t="s">
        <v>563</v>
      </c>
      <c r="FX13" s="1933" t="s">
        <v>652</v>
      </c>
      <c r="FY13" s="1922" t="s">
        <v>563</v>
      </c>
      <c r="FZ13" s="1933" t="s">
        <v>652</v>
      </c>
      <c r="GA13" s="1922" t="s">
        <v>563</v>
      </c>
      <c r="GB13" s="1933" t="s">
        <v>652</v>
      </c>
      <c r="GC13" s="1922" t="s">
        <v>563</v>
      </c>
      <c r="GD13" s="1933" t="s">
        <v>652</v>
      </c>
      <c r="GE13" s="1922" t="s">
        <v>563</v>
      </c>
      <c r="GF13" s="1933" t="s">
        <v>652</v>
      </c>
      <c r="GG13" s="1922" t="s">
        <v>563</v>
      </c>
      <c r="GH13" s="1933" t="s">
        <v>652</v>
      </c>
      <c r="GI13" s="1922" t="s">
        <v>563</v>
      </c>
      <c r="GJ13" s="1933" t="s">
        <v>652</v>
      </c>
      <c r="GK13" s="1922" t="s">
        <v>563</v>
      </c>
      <c r="GL13" s="1933" t="s">
        <v>652</v>
      </c>
      <c r="GM13" s="3514"/>
    </row>
    <row r="14" spans="1:205" ht="15" hidden="1" customHeight="1">
      <c r="C14" s="93"/>
      <c r="D14" s="488" t="s">
        <v>106</v>
      </c>
      <c r="E14" s="488" t="s">
        <v>107</v>
      </c>
      <c r="F14" s="488" t="s">
        <v>87</v>
      </c>
      <c r="G14" s="551" t="str">
        <f>G1&amp;".1"</f>
        <v>4.1</v>
      </c>
      <c r="H14" s="551"/>
      <c r="I14" s="551" t="str">
        <f>I1&amp;".1"</f>
        <v>4.1</v>
      </c>
      <c r="J14" s="551"/>
      <c r="K14" s="1921" t="str">
        <f>K1&amp;".1"</f>
        <v>4.1</v>
      </c>
      <c r="L14" s="1921"/>
      <c r="M14" s="1921" t="str">
        <f>M1&amp;".1"</f>
        <v>4.1</v>
      </c>
      <c r="N14" s="1921"/>
      <c r="O14" s="1921" t="str">
        <f>O1&amp;".1"</f>
        <v>4.1</v>
      </c>
      <c r="P14" s="1921"/>
      <c r="Q14" s="1921" t="str">
        <f>Q1&amp;".1"</f>
        <v>4.1</v>
      </c>
      <c r="R14" s="1921"/>
      <c r="S14" s="1921" t="str">
        <f>S1&amp;".1"</f>
        <v>4.1</v>
      </c>
      <c r="T14" s="1921"/>
      <c r="U14" s="1921" t="str">
        <f>U1&amp;".1"</f>
        <v>4.1</v>
      </c>
      <c r="V14" s="1921"/>
      <c r="W14" s="1921" t="str">
        <f>W1&amp;".1"</f>
        <v>4.1</v>
      </c>
      <c r="X14" s="1921"/>
      <c r="Y14" s="1921" t="str">
        <f>Y1&amp;".1"</f>
        <v>4.1</v>
      </c>
      <c r="Z14" s="1921"/>
      <c r="AA14" s="1921" t="str">
        <f>AA1&amp;".1"</f>
        <v>4.1</v>
      </c>
      <c r="AB14" s="1921"/>
      <c r="AC14" s="1921" t="str">
        <f>AC1&amp;".1"</f>
        <v>4.1</v>
      </c>
      <c r="AD14" s="1921"/>
      <c r="AE14" s="1921" t="str">
        <f>AE1&amp;".1"</f>
        <v>4.1</v>
      </c>
      <c r="AF14" s="1921"/>
      <c r="AG14" s="1921" t="str">
        <f>AG1&amp;".1"</f>
        <v>4.1</v>
      </c>
      <c r="AH14" s="1921"/>
      <c r="AI14" s="1921" t="str">
        <f>AI1&amp;".1"</f>
        <v>4.1</v>
      </c>
      <c r="AJ14" s="1921"/>
      <c r="AK14" s="1921" t="str">
        <f>AK1&amp;".1"</f>
        <v>4.1</v>
      </c>
      <c r="AL14" s="1921"/>
      <c r="AM14" s="1921" t="str">
        <f>AM1&amp;".1"</f>
        <v>4.1</v>
      </c>
      <c r="AN14" s="1921"/>
      <c r="AO14" s="1921" t="str">
        <f>AO1&amp;".1"</f>
        <v>4.1</v>
      </c>
      <c r="AP14" s="1921"/>
      <c r="AQ14" s="1921" t="str">
        <f>AQ1&amp;".1"</f>
        <v>4.1</v>
      </c>
      <c r="AR14" s="1921"/>
      <c r="AS14" s="1921" t="str">
        <f>AS1&amp;".1"</f>
        <v>4.1</v>
      </c>
      <c r="AT14" s="1921"/>
      <c r="AU14" s="1921" t="str">
        <f>AU1&amp;".1"</f>
        <v>4.1</v>
      </c>
      <c r="AV14" s="1921"/>
      <c r="AW14" s="1921" t="str">
        <f>AW1&amp;".1"</f>
        <v>4.1</v>
      </c>
      <c r="AX14" s="1921"/>
      <c r="AY14" s="1921" t="str">
        <f>AY1&amp;".1"</f>
        <v>4.1</v>
      </c>
      <c r="AZ14" s="1921"/>
      <c r="BA14" s="1921" t="str">
        <f>BA1&amp;".1"</f>
        <v>4.1</v>
      </c>
      <c r="BB14" s="1921"/>
      <c r="BC14" s="1921" t="str">
        <f>BC1&amp;".1"</f>
        <v>4.1</v>
      </c>
      <c r="BD14" s="1921"/>
      <c r="BE14" s="1921" t="str">
        <f>BE1&amp;".1"</f>
        <v>4.1</v>
      </c>
      <c r="BF14" s="1921"/>
      <c r="BG14" s="1921" t="str">
        <f>BG1&amp;".1"</f>
        <v>4.1</v>
      </c>
      <c r="BH14" s="1921"/>
      <c r="BI14" s="1921" t="str">
        <f>BI1&amp;".1"</f>
        <v>4.1</v>
      </c>
      <c r="BJ14" s="1921"/>
      <c r="BK14" s="1921" t="str">
        <f>BK1&amp;".1"</f>
        <v>4.1</v>
      </c>
      <c r="BL14" s="1921"/>
      <c r="BM14" s="1921" t="str">
        <f>BM1&amp;".1"</f>
        <v>4.1</v>
      </c>
      <c r="BN14" s="1921"/>
      <c r="BO14" s="1921" t="str">
        <f>BO1&amp;".1"</f>
        <v>4.1</v>
      </c>
      <c r="BP14" s="1921"/>
      <c r="BQ14" s="1921" t="str">
        <f>BQ1&amp;".1"</f>
        <v>4.1</v>
      </c>
      <c r="BR14" s="1921"/>
      <c r="BS14" s="1921" t="str">
        <f>BS1&amp;".1"</f>
        <v>4.1</v>
      </c>
      <c r="BT14" s="1921"/>
      <c r="BU14" s="1921" t="str">
        <f>BU1&amp;".1"</f>
        <v>4.1</v>
      </c>
      <c r="BV14" s="1921"/>
      <c r="BW14" s="1921" t="str">
        <f>BW1&amp;".1"</f>
        <v>4.1</v>
      </c>
      <c r="BX14" s="1921"/>
      <c r="BY14" s="1921" t="str">
        <f>BY1&amp;".1"</f>
        <v>4.1</v>
      </c>
      <c r="BZ14" s="1921"/>
      <c r="CA14" s="1921" t="str">
        <f>CA1&amp;".1"</f>
        <v>4.1</v>
      </c>
      <c r="CB14" s="1921"/>
      <c r="CC14" s="1921" t="str">
        <f>CC1&amp;".1"</f>
        <v>4.1</v>
      </c>
      <c r="CD14" s="1921"/>
      <c r="CE14" s="1921" t="str">
        <f>CE1&amp;".1"</f>
        <v>4.1</v>
      </c>
      <c r="CF14" s="1921"/>
      <c r="CG14" s="1921" t="str">
        <f>CG1&amp;".1"</f>
        <v>4.1</v>
      </c>
      <c r="CH14" s="1921"/>
      <c r="CI14" s="1921" t="str">
        <f>CI1&amp;".1"</f>
        <v>4.1</v>
      </c>
      <c r="CJ14" s="1921"/>
      <c r="CK14" s="1921" t="str">
        <f>CK1&amp;".1"</f>
        <v>4.1</v>
      </c>
      <c r="CL14" s="1921"/>
      <c r="CM14" s="1921" t="str">
        <f>CM1&amp;".1"</f>
        <v>4.1</v>
      </c>
      <c r="CN14" s="1921"/>
      <c r="CO14" s="1921" t="str">
        <f>CO1&amp;".1"</f>
        <v>4.1</v>
      </c>
      <c r="CP14" s="1921"/>
      <c r="CQ14" s="1921" t="str">
        <f>CQ1&amp;".1"</f>
        <v>4.1</v>
      </c>
      <c r="CR14" s="1921"/>
      <c r="CS14" s="1921" t="str">
        <f>CS1&amp;".1"</f>
        <v>4.1</v>
      </c>
      <c r="CT14" s="1921"/>
      <c r="CU14" s="1921" t="str">
        <f>CU1&amp;".1"</f>
        <v>4.1</v>
      </c>
      <c r="CV14" s="1921"/>
      <c r="CW14" s="1921" t="str">
        <f>CW1&amp;".1"</f>
        <v>4.1</v>
      </c>
      <c r="CX14" s="1921"/>
      <c r="CY14" s="1921" t="str">
        <f>CY1&amp;".1"</f>
        <v>4.1</v>
      </c>
      <c r="CZ14" s="1921"/>
      <c r="DA14" s="1921" t="str">
        <f>DA1&amp;".1"</f>
        <v>4.1</v>
      </c>
      <c r="DB14" s="1921"/>
      <c r="DC14" s="1921" t="str">
        <f>DC1&amp;".1"</f>
        <v>4.1</v>
      </c>
      <c r="DD14" s="1921"/>
      <c r="DE14" s="1921" t="str">
        <f>DE1&amp;".1"</f>
        <v>4.1</v>
      </c>
      <c r="DF14" s="1921"/>
      <c r="DG14" s="1921" t="str">
        <f>DG1&amp;".1"</f>
        <v>4.1</v>
      </c>
      <c r="DH14" s="1921"/>
      <c r="DI14" s="1921" t="str">
        <f>DI1&amp;".1"</f>
        <v>4.1</v>
      </c>
      <c r="DJ14" s="1921"/>
      <c r="DK14" s="1921" t="str">
        <f>DK1&amp;".1"</f>
        <v>4.1</v>
      </c>
      <c r="DL14" s="1921"/>
      <c r="DM14" s="1921" t="str">
        <f>DM1&amp;".1"</f>
        <v>4.1</v>
      </c>
      <c r="DN14" s="1921"/>
      <c r="DO14" s="1921" t="str">
        <f>DO1&amp;".1"</f>
        <v>4.1</v>
      </c>
      <c r="DP14" s="1921"/>
      <c r="DQ14" s="1921" t="str">
        <f>DQ1&amp;".1"</f>
        <v>4.1</v>
      </c>
      <c r="DR14" s="1921"/>
      <c r="DS14" s="1921" t="str">
        <f>DS1&amp;".1"</f>
        <v>4.1</v>
      </c>
      <c r="DT14" s="1921"/>
      <c r="DU14" s="1921" t="str">
        <f>DU1&amp;".1"</f>
        <v>4.1</v>
      </c>
      <c r="DV14" s="1921"/>
      <c r="DW14" s="1921" t="str">
        <f>DW1&amp;".1"</f>
        <v>4.1</v>
      </c>
      <c r="DX14" s="1921"/>
      <c r="DY14" s="1921" t="str">
        <f>DY1&amp;".1"</f>
        <v>4.1</v>
      </c>
      <c r="DZ14" s="1921"/>
      <c r="EA14" s="1921" t="str">
        <f>EA1&amp;".1"</f>
        <v>4.1</v>
      </c>
      <c r="EB14" s="1921"/>
      <c r="EC14" s="1921" t="str">
        <f>EC1&amp;".1"</f>
        <v>4.1</v>
      </c>
      <c r="ED14" s="1921"/>
      <c r="EE14" s="1921" t="str">
        <f>EE1&amp;".1"</f>
        <v>4.1</v>
      </c>
      <c r="EF14" s="1921"/>
      <c r="EG14" s="1921" t="str">
        <f>EG1&amp;".1"</f>
        <v>4.1</v>
      </c>
      <c r="EH14" s="1921"/>
      <c r="EI14" s="1921" t="str">
        <f>EI1&amp;".1"</f>
        <v>4.1</v>
      </c>
      <c r="EJ14" s="1921"/>
      <c r="EK14" s="1921" t="str">
        <f>EK1&amp;".1"</f>
        <v>4.1</v>
      </c>
      <c r="EL14" s="1921"/>
      <c r="EM14" s="1921" t="str">
        <f>EM1&amp;".1"</f>
        <v>4.1</v>
      </c>
      <c r="EN14" s="1921"/>
      <c r="EO14" s="1921" t="str">
        <f>EO1&amp;".1"</f>
        <v>4.1</v>
      </c>
      <c r="EP14" s="1921"/>
      <c r="EQ14" s="1921" t="str">
        <f>EQ1&amp;".1"</f>
        <v>4.1</v>
      </c>
      <c r="ER14" s="1921"/>
      <c r="ES14" s="1921" t="str">
        <f>ES1&amp;".1"</f>
        <v>4.1</v>
      </c>
      <c r="ET14" s="1921"/>
      <c r="EU14" s="1921" t="str">
        <f>EU1&amp;".1"</f>
        <v>4.1</v>
      </c>
      <c r="EV14" s="1921"/>
      <c r="EW14" s="1921" t="str">
        <f>EW1&amp;".1"</f>
        <v>4.1</v>
      </c>
      <c r="EX14" s="1921"/>
      <c r="EY14" s="1921" t="str">
        <f>EY1&amp;".1"</f>
        <v>4.1</v>
      </c>
      <c r="EZ14" s="1921"/>
      <c r="FA14" s="1921" t="str">
        <f>FA1&amp;".1"</f>
        <v>4.1</v>
      </c>
      <c r="FB14" s="1921"/>
      <c r="FC14" s="1921" t="str">
        <f>FC1&amp;".1"</f>
        <v>4.1</v>
      </c>
      <c r="FD14" s="1921"/>
      <c r="FE14" s="1921" t="str">
        <f>FE1&amp;".1"</f>
        <v>4.1</v>
      </c>
      <c r="FF14" s="1921"/>
      <c r="FG14" s="1921" t="str">
        <f>FG1&amp;".1"</f>
        <v>4.1</v>
      </c>
      <c r="FH14" s="1921"/>
      <c r="FI14" s="1921" t="str">
        <f>FI1&amp;".1"</f>
        <v>4.1</v>
      </c>
      <c r="FJ14" s="1921"/>
      <c r="FK14" s="1921" t="str">
        <f>FK1&amp;".1"</f>
        <v>4.1</v>
      </c>
      <c r="FL14" s="1921"/>
      <c r="FM14" s="1921" t="str">
        <f>FM1&amp;".1"</f>
        <v>4.1</v>
      </c>
      <c r="FN14" s="1921"/>
      <c r="FO14" s="1921" t="str">
        <f>FO1&amp;".1"</f>
        <v>4.1</v>
      </c>
      <c r="FP14" s="1921"/>
      <c r="FQ14" s="1921" t="str">
        <f>FQ1&amp;".1"</f>
        <v>4.1</v>
      </c>
      <c r="FR14" s="1921"/>
      <c r="FS14" s="1921" t="str">
        <f>FS1&amp;".1"</f>
        <v>4.1</v>
      </c>
      <c r="FT14" s="1921"/>
      <c r="FU14" s="1921" t="str">
        <f>FU1&amp;".1"</f>
        <v>4.1</v>
      </c>
      <c r="FV14" s="1921"/>
      <c r="FW14" s="1921" t="str">
        <f>FW1&amp;".1"</f>
        <v>4.1</v>
      </c>
      <c r="FX14" s="1921"/>
      <c r="FY14" s="1921" t="str">
        <f>FY1&amp;".1"</f>
        <v>4.1</v>
      </c>
      <c r="FZ14" s="1921"/>
      <c r="GA14" s="1921" t="str">
        <f>GA1&amp;".1"</f>
        <v>4.1</v>
      </c>
      <c r="GB14" s="1921"/>
      <c r="GC14" s="1921" t="str">
        <f>GC1&amp;".1"</f>
        <v>4.1</v>
      </c>
      <c r="GD14" s="1921"/>
      <c r="GE14" s="1921" t="str">
        <f>GE1&amp;".1"</f>
        <v>4.1</v>
      </c>
      <c r="GF14" s="1921"/>
      <c r="GG14" s="1921" t="str">
        <f>GG1&amp;".1"</f>
        <v>4.1</v>
      </c>
      <c r="GH14" s="1921"/>
      <c r="GI14" s="1921" t="str">
        <f>GI1&amp;".1"</f>
        <v>4.1</v>
      </c>
      <c r="GJ14" s="1921"/>
      <c r="GK14" s="1921" t="str">
        <f>GK1&amp;".1"</f>
        <v>4.1</v>
      </c>
      <c r="GL14" s="1921"/>
      <c r="GM14" s="201"/>
    </row>
    <row r="15" spans="1:205" ht="22.5" hidden="1" customHeight="1">
      <c r="A15" s="403"/>
      <c r="C15" s="424"/>
      <c r="D15" s="419">
        <v>1</v>
      </c>
      <c r="E15" s="569" t="s">
        <v>1080</v>
      </c>
      <c r="F15" s="419" t="s">
        <v>1081</v>
      </c>
      <c r="G15" s="570"/>
      <c r="H15" s="570"/>
      <c r="I15" s="570"/>
      <c r="J15" s="570"/>
      <c r="K15" s="1912"/>
      <c r="L15" s="1912"/>
      <c r="M15" s="1912"/>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c r="AL15" s="1912"/>
      <c r="AM15" s="1912"/>
      <c r="AN15" s="1912"/>
      <c r="AO15" s="1912"/>
      <c r="AP15" s="1912"/>
      <c r="AQ15" s="1912"/>
      <c r="AR15" s="1912"/>
      <c r="AS15" s="1912"/>
      <c r="AT15" s="1912"/>
      <c r="AU15" s="1912"/>
      <c r="AV15" s="1912"/>
      <c r="AW15" s="1912"/>
      <c r="AX15" s="1912"/>
      <c r="AY15" s="1912"/>
      <c r="AZ15" s="1912"/>
      <c r="BA15" s="1912"/>
      <c r="BB15" s="1912"/>
      <c r="BC15" s="1912"/>
      <c r="BD15" s="1912"/>
      <c r="BE15" s="1912"/>
      <c r="BF15" s="1912"/>
      <c r="BG15" s="1912"/>
      <c r="BH15" s="1912"/>
      <c r="BI15" s="1912"/>
      <c r="BJ15" s="1912"/>
      <c r="BK15" s="1912"/>
      <c r="BL15" s="1912"/>
      <c r="BM15" s="1912"/>
      <c r="BN15" s="1912"/>
      <c r="BO15" s="1912"/>
      <c r="BP15" s="1912"/>
      <c r="BQ15" s="1912"/>
      <c r="BR15" s="1912"/>
      <c r="BS15" s="1912"/>
      <c r="BT15" s="1912"/>
      <c r="BU15" s="1912"/>
      <c r="BV15" s="1912"/>
      <c r="BW15" s="1912"/>
      <c r="BX15" s="1912"/>
      <c r="BY15" s="1912"/>
      <c r="BZ15" s="1912"/>
      <c r="CA15" s="1912"/>
      <c r="CB15" s="1912"/>
      <c r="CC15" s="1912"/>
      <c r="CD15" s="1912"/>
      <c r="CE15" s="1912"/>
      <c r="CF15" s="1912"/>
      <c r="CG15" s="1912"/>
      <c r="CH15" s="1912"/>
      <c r="CI15" s="1912"/>
      <c r="CJ15" s="1912"/>
      <c r="CK15" s="1912"/>
      <c r="CL15" s="1912"/>
      <c r="CM15" s="1912"/>
      <c r="CN15" s="1912"/>
      <c r="CO15" s="1912"/>
      <c r="CP15" s="1912"/>
      <c r="CQ15" s="1912"/>
      <c r="CR15" s="1912"/>
      <c r="CS15" s="1912"/>
      <c r="CT15" s="1912"/>
      <c r="CU15" s="1912"/>
      <c r="CV15" s="1912"/>
      <c r="CW15" s="1912"/>
      <c r="CX15" s="1912"/>
      <c r="CY15" s="1912"/>
      <c r="CZ15" s="1912"/>
      <c r="DA15" s="1912"/>
      <c r="DB15" s="1912"/>
      <c r="DC15" s="1912"/>
      <c r="DD15" s="1912"/>
      <c r="DE15" s="1912"/>
      <c r="DF15" s="1912"/>
      <c r="DG15" s="1912"/>
      <c r="DH15" s="1912"/>
      <c r="DI15" s="1912"/>
      <c r="DJ15" s="1912"/>
      <c r="DK15" s="1912"/>
      <c r="DL15" s="1912"/>
      <c r="DM15" s="1912"/>
      <c r="DN15" s="1912"/>
      <c r="DO15" s="1912"/>
      <c r="DP15" s="1912"/>
      <c r="DQ15" s="1912"/>
      <c r="DR15" s="1912"/>
      <c r="DS15" s="1912"/>
      <c r="DT15" s="1912"/>
      <c r="DU15" s="1912"/>
      <c r="DV15" s="1912"/>
      <c r="DW15" s="1912"/>
      <c r="DX15" s="1912"/>
      <c r="DY15" s="1912"/>
      <c r="DZ15" s="1912"/>
      <c r="EA15" s="1912"/>
      <c r="EB15" s="1912"/>
      <c r="EC15" s="1912"/>
      <c r="ED15" s="1912"/>
      <c r="EE15" s="1912"/>
      <c r="EF15" s="1912"/>
      <c r="EG15" s="1912"/>
      <c r="EH15" s="1912"/>
      <c r="EI15" s="1912"/>
      <c r="EJ15" s="1912"/>
      <c r="EK15" s="1912"/>
      <c r="EL15" s="1912"/>
      <c r="EM15" s="1912"/>
      <c r="EN15" s="1912"/>
      <c r="EO15" s="1912"/>
      <c r="EP15" s="1912"/>
      <c r="EQ15" s="1912"/>
      <c r="ER15" s="1912"/>
      <c r="ES15" s="1912"/>
      <c r="ET15" s="1912"/>
      <c r="EU15" s="1912"/>
      <c r="EV15" s="1912"/>
      <c r="EW15" s="1912"/>
      <c r="EX15" s="1912"/>
      <c r="EY15" s="1912"/>
      <c r="EZ15" s="1912"/>
      <c r="FA15" s="1912"/>
      <c r="FB15" s="1912"/>
      <c r="FC15" s="1912"/>
      <c r="FD15" s="1912"/>
      <c r="FE15" s="1912"/>
      <c r="FF15" s="1912"/>
      <c r="FG15" s="1912"/>
      <c r="FH15" s="1912"/>
      <c r="FI15" s="1912"/>
      <c r="FJ15" s="1912"/>
      <c r="FK15" s="1912"/>
      <c r="FL15" s="1912"/>
      <c r="FM15" s="1912"/>
      <c r="FN15" s="1912"/>
      <c r="FO15" s="1912"/>
      <c r="FP15" s="1912"/>
      <c r="FQ15" s="1912"/>
      <c r="FR15" s="1912"/>
      <c r="FS15" s="1912"/>
      <c r="FT15" s="1912"/>
      <c r="FU15" s="1912"/>
      <c r="FV15" s="1912"/>
      <c r="FW15" s="1912"/>
      <c r="FX15" s="1912"/>
      <c r="FY15" s="1912"/>
      <c r="FZ15" s="1912"/>
      <c r="GA15" s="1912"/>
      <c r="GB15" s="1912"/>
      <c r="GC15" s="1912"/>
      <c r="GD15" s="1912"/>
      <c r="GE15" s="1912"/>
      <c r="GF15" s="1912"/>
      <c r="GG15" s="1912"/>
      <c r="GH15" s="1912"/>
      <c r="GI15" s="1912"/>
      <c r="GJ15" s="1912"/>
      <c r="GK15" s="1912"/>
      <c r="GL15" s="1912"/>
      <c r="GM15" s="201" t="s">
        <v>1082</v>
      </c>
    </row>
    <row r="16" spans="1:205" ht="22.5" hidden="1" customHeight="1">
      <c r="A16" s="403"/>
      <c r="C16" s="424"/>
      <c r="D16" s="419">
        <v>2</v>
      </c>
      <c r="E16" s="192" t="s">
        <v>1083</v>
      </c>
      <c r="F16" s="419" t="s">
        <v>1084</v>
      </c>
      <c r="G16" s="570"/>
      <c r="H16" s="570"/>
      <c r="I16" s="570"/>
      <c r="J16" s="570"/>
      <c r="K16" s="1912"/>
      <c r="L16" s="1912"/>
      <c r="M16" s="1912"/>
      <c r="N16" s="1912"/>
      <c r="O16" s="1912"/>
      <c r="P16" s="1912"/>
      <c r="Q16" s="1912"/>
      <c r="R16" s="1912"/>
      <c r="S16" s="1912"/>
      <c r="T16" s="1912"/>
      <c r="U16" s="1912"/>
      <c r="V16" s="1912"/>
      <c r="W16" s="1912"/>
      <c r="X16" s="1912"/>
      <c r="Y16" s="1912"/>
      <c r="Z16" s="1912"/>
      <c r="AA16" s="1912"/>
      <c r="AB16" s="1912"/>
      <c r="AC16" s="1912"/>
      <c r="AD16" s="1912"/>
      <c r="AE16" s="1912"/>
      <c r="AF16" s="1912"/>
      <c r="AG16" s="1912"/>
      <c r="AH16" s="1912"/>
      <c r="AI16" s="1912"/>
      <c r="AJ16" s="1912"/>
      <c r="AK16" s="1912"/>
      <c r="AL16" s="1912"/>
      <c r="AM16" s="1912"/>
      <c r="AN16" s="1912"/>
      <c r="AO16" s="1912"/>
      <c r="AP16" s="1912"/>
      <c r="AQ16" s="1912"/>
      <c r="AR16" s="1912"/>
      <c r="AS16" s="1912"/>
      <c r="AT16" s="1912"/>
      <c r="AU16" s="1912"/>
      <c r="AV16" s="1912"/>
      <c r="AW16" s="1912"/>
      <c r="AX16" s="1912"/>
      <c r="AY16" s="1912"/>
      <c r="AZ16" s="1912"/>
      <c r="BA16" s="1912"/>
      <c r="BB16" s="1912"/>
      <c r="BC16" s="1912"/>
      <c r="BD16" s="1912"/>
      <c r="BE16" s="1912"/>
      <c r="BF16" s="1912"/>
      <c r="BG16" s="1912"/>
      <c r="BH16" s="1912"/>
      <c r="BI16" s="1912"/>
      <c r="BJ16" s="1912"/>
      <c r="BK16" s="1912"/>
      <c r="BL16" s="1912"/>
      <c r="BM16" s="1912"/>
      <c r="BN16" s="1912"/>
      <c r="BO16" s="1912"/>
      <c r="BP16" s="1912"/>
      <c r="BQ16" s="1912"/>
      <c r="BR16" s="1912"/>
      <c r="BS16" s="1912"/>
      <c r="BT16" s="1912"/>
      <c r="BU16" s="1912"/>
      <c r="BV16" s="1912"/>
      <c r="BW16" s="1912"/>
      <c r="BX16" s="1912"/>
      <c r="BY16" s="1912"/>
      <c r="BZ16" s="1912"/>
      <c r="CA16" s="1912"/>
      <c r="CB16" s="1912"/>
      <c r="CC16" s="1912"/>
      <c r="CD16" s="1912"/>
      <c r="CE16" s="1912"/>
      <c r="CF16" s="1912"/>
      <c r="CG16" s="1912"/>
      <c r="CH16" s="1912"/>
      <c r="CI16" s="1912"/>
      <c r="CJ16" s="1912"/>
      <c r="CK16" s="1912"/>
      <c r="CL16" s="1912"/>
      <c r="CM16" s="1912"/>
      <c r="CN16" s="1912"/>
      <c r="CO16" s="1912"/>
      <c r="CP16" s="1912"/>
      <c r="CQ16" s="1912"/>
      <c r="CR16" s="1912"/>
      <c r="CS16" s="1912"/>
      <c r="CT16" s="1912"/>
      <c r="CU16" s="1912"/>
      <c r="CV16" s="1912"/>
      <c r="CW16" s="1912"/>
      <c r="CX16" s="1912"/>
      <c r="CY16" s="1912"/>
      <c r="CZ16" s="1912"/>
      <c r="DA16" s="1912"/>
      <c r="DB16" s="1912"/>
      <c r="DC16" s="1912"/>
      <c r="DD16" s="1912"/>
      <c r="DE16" s="1912"/>
      <c r="DF16" s="1912"/>
      <c r="DG16" s="1912"/>
      <c r="DH16" s="1912"/>
      <c r="DI16" s="1912"/>
      <c r="DJ16" s="1912"/>
      <c r="DK16" s="1912"/>
      <c r="DL16" s="1912"/>
      <c r="DM16" s="1912"/>
      <c r="DN16" s="1912"/>
      <c r="DO16" s="1912"/>
      <c r="DP16" s="1912"/>
      <c r="DQ16" s="1912"/>
      <c r="DR16" s="1912"/>
      <c r="DS16" s="1912"/>
      <c r="DT16" s="1912"/>
      <c r="DU16" s="1912"/>
      <c r="DV16" s="1912"/>
      <c r="DW16" s="1912"/>
      <c r="DX16" s="1912"/>
      <c r="DY16" s="1912"/>
      <c r="DZ16" s="1912"/>
      <c r="EA16" s="1912"/>
      <c r="EB16" s="1912"/>
      <c r="EC16" s="1912"/>
      <c r="ED16" s="1912"/>
      <c r="EE16" s="1912"/>
      <c r="EF16" s="1912"/>
      <c r="EG16" s="1912"/>
      <c r="EH16" s="1912"/>
      <c r="EI16" s="1912"/>
      <c r="EJ16" s="1912"/>
      <c r="EK16" s="1912"/>
      <c r="EL16" s="1912"/>
      <c r="EM16" s="1912"/>
      <c r="EN16" s="1912"/>
      <c r="EO16" s="1912"/>
      <c r="EP16" s="1912"/>
      <c r="EQ16" s="1912"/>
      <c r="ER16" s="1912"/>
      <c r="ES16" s="1912"/>
      <c r="ET16" s="1912"/>
      <c r="EU16" s="1912"/>
      <c r="EV16" s="1912"/>
      <c r="EW16" s="1912"/>
      <c r="EX16" s="1912"/>
      <c r="EY16" s="1912"/>
      <c r="EZ16" s="1912"/>
      <c r="FA16" s="1912"/>
      <c r="FB16" s="1912"/>
      <c r="FC16" s="1912"/>
      <c r="FD16" s="1912"/>
      <c r="FE16" s="1912"/>
      <c r="FF16" s="1912"/>
      <c r="FG16" s="1912"/>
      <c r="FH16" s="1912"/>
      <c r="FI16" s="1912"/>
      <c r="FJ16" s="1912"/>
      <c r="FK16" s="1912"/>
      <c r="FL16" s="1912"/>
      <c r="FM16" s="1912"/>
      <c r="FN16" s="1912"/>
      <c r="FO16" s="1912"/>
      <c r="FP16" s="1912"/>
      <c r="FQ16" s="1912"/>
      <c r="FR16" s="1912"/>
      <c r="FS16" s="1912"/>
      <c r="FT16" s="1912"/>
      <c r="FU16" s="1912"/>
      <c r="FV16" s="1912"/>
      <c r="FW16" s="1912"/>
      <c r="FX16" s="1912"/>
      <c r="FY16" s="1912"/>
      <c r="FZ16" s="1912"/>
      <c r="GA16" s="1912"/>
      <c r="GB16" s="1912"/>
      <c r="GC16" s="1912"/>
      <c r="GD16" s="1912"/>
      <c r="GE16" s="1912"/>
      <c r="GF16" s="1912"/>
      <c r="GG16" s="1912"/>
      <c r="GH16" s="1912"/>
      <c r="GI16" s="1912"/>
      <c r="GJ16" s="1912"/>
      <c r="GK16" s="1912"/>
      <c r="GL16" s="1912"/>
      <c r="GM16" s="201" t="s">
        <v>1085</v>
      </c>
    </row>
    <row r="17" spans="1:195" ht="123.75" hidden="1" customHeight="1">
      <c r="A17" s="403"/>
      <c r="C17" s="424"/>
      <c r="D17" s="419">
        <v>3</v>
      </c>
      <c r="E17" s="192" t="s">
        <v>1518</v>
      </c>
      <c r="F17" s="419" t="s">
        <v>566</v>
      </c>
      <c r="G17" s="570"/>
      <c r="H17" s="570"/>
      <c r="I17" s="570"/>
      <c r="J17" s="570"/>
      <c r="K17" s="1912"/>
      <c r="L17" s="1912"/>
      <c r="M17" s="1912"/>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c r="AL17" s="1912"/>
      <c r="AM17" s="1912"/>
      <c r="AN17" s="1912"/>
      <c r="AO17" s="1912"/>
      <c r="AP17" s="1912"/>
      <c r="AQ17" s="1912"/>
      <c r="AR17" s="1912"/>
      <c r="AS17" s="1912"/>
      <c r="AT17" s="1912"/>
      <c r="AU17" s="1912"/>
      <c r="AV17" s="1912"/>
      <c r="AW17" s="1912"/>
      <c r="AX17" s="1912"/>
      <c r="AY17" s="1912"/>
      <c r="AZ17" s="1912"/>
      <c r="BA17" s="1912"/>
      <c r="BB17" s="1912"/>
      <c r="BC17" s="1912"/>
      <c r="BD17" s="1912"/>
      <c r="BE17" s="1912"/>
      <c r="BF17" s="1912"/>
      <c r="BG17" s="1912"/>
      <c r="BH17" s="1912"/>
      <c r="BI17" s="1912"/>
      <c r="BJ17" s="1912"/>
      <c r="BK17" s="1912"/>
      <c r="BL17" s="1912"/>
      <c r="BM17" s="1912"/>
      <c r="BN17" s="1912"/>
      <c r="BO17" s="1912"/>
      <c r="BP17" s="1912"/>
      <c r="BQ17" s="1912"/>
      <c r="BR17" s="1912"/>
      <c r="BS17" s="1912"/>
      <c r="BT17" s="1912"/>
      <c r="BU17" s="1912"/>
      <c r="BV17" s="1912"/>
      <c r="BW17" s="1912"/>
      <c r="BX17" s="1912"/>
      <c r="BY17" s="1912"/>
      <c r="BZ17" s="1912"/>
      <c r="CA17" s="1912"/>
      <c r="CB17" s="1912"/>
      <c r="CC17" s="1912"/>
      <c r="CD17" s="1912"/>
      <c r="CE17" s="1912"/>
      <c r="CF17" s="1912"/>
      <c r="CG17" s="1912"/>
      <c r="CH17" s="1912"/>
      <c r="CI17" s="1912"/>
      <c r="CJ17" s="1912"/>
      <c r="CK17" s="1912"/>
      <c r="CL17" s="1912"/>
      <c r="CM17" s="1912"/>
      <c r="CN17" s="1912"/>
      <c r="CO17" s="1912"/>
      <c r="CP17" s="1912"/>
      <c r="CQ17" s="1912"/>
      <c r="CR17" s="1912"/>
      <c r="CS17" s="1912"/>
      <c r="CT17" s="1912"/>
      <c r="CU17" s="1912"/>
      <c r="CV17" s="1912"/>
      <c r="CW17" s="1912"/>
      <c r="CX17" s="1912"/>
      <c r="CY17" s="1912"/>
      <c r="CZ17" s="1912"/>
      <c r="DA17" s="1912"/>
      <c r="DB17" s="1912"/>
      <c r="DC17" s="1912"/>
      <c r="DD17" s="1912"/>
      <c r="DE17" s="1912"/>
      <c r="DF17" s="1912"/>
      <c r="DG17" s="1912"/>
      <c r="DH17" s="1912"/>
      <c r="DI17" s="1912"/>
      <c r="DJ17" s="1912"/>
      <c r="DK17" s="1912"/>
      <c r="DL17" s="1912"/>
      <c r="DM17" s="1912"/>
      <c r="DN17" s="1912"/>
      <c r="DO17" s="1912"/>
      <c r="DP17" s="1912"/>
      <c r="DQ17" s="1912"/>
      <c r="DR17" s="1912"/>
      <c r="DS17" s="1912"/>
      <c r="DT17" s="1912"/>
      <c r="DU17" s="1912"/>
      <c r="DV17" s="1912"/>
      <c r="DW17" s="1912"/>
      <c r="DX17" s="1912"/>
      <c r="DY17" s="1912"/>
      <c r="DZ17" s="1912"/>
      <c r="EA17" s="1912"/>
      <c r="EB17" s="1912"/>
      <c r="EC17" s="1912"/>
      <c r="ED17" s="1912"/>
      <c r="EE17" s="1912"/>
      <c r="EF17" s="1912"/>
      <c r="EG17" s="1912"/>
      <c r="EH17" s="1912"/>
      <c r="EI17" s="1912"/>
      <c r="EJ17" s="1912"/>
      <c r="EK17" s="1912"/>
      <c r="EL17" s="1912"/>
      <c r="EM17" s="1912"/>
      <c r="EN17" s="1912"/>
      <c r="EO17" s="1912"/>
      <c r="EP17" s="1912"/>
      <c r="EQ17" s="1912"/>
      <c r="ER17" s="1912"/>
      <c r="ES17" s="1912"/>
      <c r="ET17" s="1912"/>
      <c r="EU17" s="1912"/>
      <c r="EV17" s="1912"/>
      <c r="EW17" s="1912"/>
      <c r="EX17" s="1912"/>
      <c r="EY17" s="1912"/>
      <c r="EZ17" s="1912"/>
      <c r="FA17" s="1912"/>
      <c r="FB17" s="1912"/>
      <c r="FC17" s="1912"/>
      <c r="FD17" s="1912"/>
      <c r="FE17" s="1912"/>
      <c r="FF17" s="1912"/>
      <c r="FG17" s="1912"/>
      <c r="FH17" s="1912"/>
      <c r="FI17" s="1912"/>
      <c r="FJ17" s="1912"/>
      <c r="FK17" s="1912"/>
      <c r="FL17" s="1912"/>
      <c r="FM17" s="1912"/>
      <c r="FN17" s="1912"/>
      <c r="FO17" s="1912"/>
      <c r="FP17" s="1912"/>
      <c r="FQ17" s="1912"/>
      <c r="FR17" s="1912"/>
      <c r="FS17" s="1912"/>
      <c r="FT17" s="1912"/>
      <c r="FU17" s="1912"/>
      <c r="FV17" s="1912"/>
      <c r="FW17" s="1912"/>
      <c r="FX17" s="1912"/>
      <c r="FY17" s="1912"/>
      <c r="FZ17" s="1912"/>
      <c r="GA17" s="1912"/>
      <c r="GB17" s="1912"/>
      <c r="GC17" s="1912"/>
      <c r="GD17" s="1912"/>
      <c r="GE17" s="1912"/>
      <c r="GF17" s="1912"/>
      <c r="GG17" s="1912"/>
      <c r="GH17" s="1912"/>
      <c r="GI17" s="1912"/>
      <c r="GJ17" s="1912"/>
      <c r="GK17" s="1912"/>
      <c r="GL17" s="1912"/>
      <c r="GM17" s="201" t="s">
        <v>1519</v>
      </c>
    </row>
    <row r="18" spans="1:195" ht="45" customHeight="1">
      <c r="A18" s="403"/>
      <c r="C18" s="424"/>
      <c r="D18" s="419">
        <v>3</v>
      </c>
      <c r="E18" s="192" t="s">
        <v>1086</v>
      </c>
      <c r="F18" s="419" t="s">
        <v>566</v>
      </c>
      <c r="G18" s="690" t="s">
        <v>566</v>
      </c>
      <c r="H18" s="691" t="s">
        <v>566</v>
      </c>
      <c r="I18" s="419" t="s">
        <v>566</v>
      </c>
      <c r="J18" s="475" t="s">
        <v>566</v>
      </c>
      <c r="K18" s="1933" t="s">
        <v>566</v>
      </c>
      <c r="L18" s="1913" t="s">
        <v>566</v>
      </c>
      <c r="M18" s="1933" t="s">
        <v>566</v>
      </c>
      <c r="N18" s="1913" t="s">
        <v>566</v>
      </c>
      <c r="O18" s="1933" t="s">
        <v>566</v>
      </c>
      <c r="P18" s="1913" t="s">
        <v>566</v>
      </c>
      <c r="Q18" s="1933" t="s">
        <v>566</v>
      </c>
      <c r="R18" s="1913" t="s">
        <v>566</v>
      </c>
      <c r="S18" s="1933" t="s">
        <v>566</v>
      </c>
      <c r="T18" s="1913" t="s">
        <v>566</v>
      </c>
      <c r="U18" s="1933" t="s">
        <v>566</v>
      </c>
      <c r="V18" s="1913" t="s">
        <v>566</v>
      </c>
      <c r="W18" s="1933" t="s">
        <v>566</v>
      </c>
      <c r="X18" s="1913" t="s">
        <v>566</v>
      </c>
      <c r="Y18" s="1933" t="s">
        <v>566</v>
      </c>
      <c r="Z18" s="1913" t="s">
        <v>566</v>
      </c>
      <c r="AA18" s="1933" t="s">
        <v>566</v>
      </c>
      <c r="AB18" s="1913" t="s">
        <v>566</v>
      </c>
      <c r="AC18" s="1933" t="s">
        <v>566</v>
      </c>
      <c r="AD18" s="1913" t="s">
        <v>566</v>
      </c>
      <c r="AE18" s="1933" t="s">
        <v>566</v>
      </c>
      <c r="AF18" s="1913" t="s">
        <v>566</v>
      </c>
      <c r="AG18" s="1933" t="s">
        <v>566</v>
      </c>
      <c r="AH18" s="1913" t="s">
        <v>566</v>
      </c>
      <c r="AI18" s="1933" t="s">
        <v>566</v>
      </c>
      <c r="AJ18" s="1913" t="s">
        <v>566</v>
      </c>
      <c r="AK18" s="1933" t="s">
        <v>566</v>
      </c>
      <c r="AL18" s="1913" t="s">
        <v>566</v>
      </c>
      <c r="AM18" s="1933" t="s">
        <v>566</v>
      </c>
      <c r="AN18" s="1913" t="s">
        <v>566</v>
      </c>
      <c r="AO18" s="1933" t="s">
        <v>566</v>
      </c>
      <c r="AP18" s="1913" t="s">
        <v>566</v>
      </c>
      <c r="AQ18" s="1933" t="s">
        <v>566</v>
      </c>
      <c r="AR18" s="1913" t="s">
        <v>566</v>
      </c>
      <c r="AS18" s="1933" t="s">
        <v>566</v>
      </c>
      <c r="AT18" s="1913" t="s">
        <v>566</v>
      </c>
      <c r="AU18" s="1933" t="s">
        <v>566</v>
      </c>
      <c r="AV18" s="1913" t="s">
        <v>566</v>
      </c>
      <c r="AW18" s="1933" t="s">
        <v>566</v>
      </c>
      <c r="AX18" s="1913" t="s">
        <v>566</v>
      </c>
      <c r="AY18" s="1933" t="s">
        <v>566</v>
      </c>
      <c r="AZ18" s="1913" t="s">
        <v>566</v>
      </c>
      <c r="BA18" s="1933" t="s">
        <v>566</v>
      </c>
      <c r="BB18" s="1913" t="s">
        <v>566</v>
      </c>
      <c r="BC18" s="1933" t="s">
        <v>566</v>
      </c>
      <c r="BD18" s="1913" t="s">
        <v>566</v>
      </c>
      <c r="BE18" s="1933" t="s">
        <v>566</v>
      </c>
      <c r="BF18" s="1913" t="s">
        <v>566</v>
      </c>
      <c r="BG18" s="1933" t="s">
        <v>566</v>
      </c>
      <c r="BH18" s="1913" t="s">
        <v>566</v>
      </c>
      <c r="BI18" s="1933" t="s">
        <v>566</v>
      </c>
      <c r="BJ18" s="1913" t="s">
        <v>566</v>
      </c>
      <c r="BK18" s="1933" t="s">
        <v>566</v>
      </c>
      <c r="BL18" s="1913" t="s">
        <v>566</v>
      </c>
      <c r="BM18" s="1933" t="s">
        <v>566</v>
      </c>
      <c r="BN18" s="1913" t="s">
        <v>566</v>
      </c>
      <c r="BO18" s="1933" t="s">
        <v>566</v>
      </c>
      <c r="BP18" s="1913" t="s">
        <v>566</v>
      </c>
      <c r="BQ18" s="1933" t="s">
        <v>566</v>
      </c>
      <c r="BR18" s="1913" t="s">
        <v>566</v>
      </c>
      <c r="BS18" s="1933" t="s">
        <v>566</v>
      </c>
      <c r="BT18" s="1913" t="s">
        <v>566</v>
      </c>
      <c r="BU18" s="1933" t="s">
        <v>566</v>
      </c>
      <c r="BV18" s="1913" t="s">
        <v>566</v>
      </c>
      <c r="BW18" s="1933" t="s">
        <v>566</v>
      </c>
      <c r="BX18" s="1913" t="s">
        <v>566</v>
      </c>
      <c r="BY18" s="1933" t="s">
        <v>566</v>
      </c>
      <c r="BZ18" s="1913" t="s">
        <v>566</v>
      </c>
      <c r="CA18" s="1933" t="s">
        <v>566</v>
      </c>
      <c r="CB18" s="1913" t="s">
        <v>566</v>
      </c>
      <c r="CC18" s="1933" t="s">
        <v>566</v>
      </c>
      <c r="CD18" s="1913" t="s">
        <v>566</v>
      </c>
      <c r="CE18" s="1933" t="s">
        <v>566</v>
      </c>
      <c r="CF18" s="1913" t="s">
        <v>566</v>
      </c>
      <c r="CG18" s="1933" t="s">
        <v>566</v>
      </c>
      <c r="CH18" s="1913" t="s">
        <v>566</v>
      </c>
      <c r="CI18" s="1933" t="s">
        <v>566</v>
      </c>
      <c r="CJ18" s="1913" t="s">
        <v>566</v>
      </c>
      <c r="CK18" s="1933" t="s">
        <v>566</v>
      </c>
      <c r="CL18" s="1913" t="s">
        <v>566</v>
      </c>
      <c r="CM18" s="1933" t="s">
        <v>566</v>
      </c>
      <c r="CN18" s="1913" t="s">
        <v>566</v>
      </c>
      <c r="CO18" s="1933" t="s">
        <v>566</v>
      </c>
      <c r="CP18" s="1913" t="s">
        <v>566</v>
      </c>
      <c r="CQ18" s="1933" t="s">
        <v>566</v>
      </c>
      <c r="CR18" s="1913" t="s">
        <v>566</v>
      </c>
      <c r="CS18" s="1933" t="s">
        <v>566</v>
      </c>
      <c r="CT18" s="1913" t="s">
        <v>566</v>
      </c>
      <c r="CU18" s="1933" t="s">
        <v>566</v>
      </c>
      <c r="CV18" s="1913" t="s">
        <v>566</v>
      </c>
      <c r="CW18" s="1933" t="s">
        <v>566</v>
      </c>
      <c r="CX18" s="1913" t="s">
        <v>566</v>
      </c>
      <c r="CY18" s="1933" t="s">
        <v>566</v>
      </c>
      <c r="CZ18" s="1913" t="s">
        <v>566</v>
      </c>
      <c r="DA18" s="1933" t="s">
        <v>566</v>
      </c>
      <c r="DB18" s="1913" t="s">
        <v>566</v>
      </c>
      <c r="DC18" s="1933" t="s">
        <v>566</v>
      </c>
      <c r="DD18" s="1913" t="s">
        <v>566</v>
      </c>
      <c r="DE18" s="1933" t="s">
        <v>566</v>
      </c>
      <c r="DF18" s="1913" t="s">
        <v>566</v>
      </c>
      <c r="DG18" s="1933" t="s">
        <v>566</v>
      </c>
      <c r="DH18" s="1913" t="s">
        <v>566</v>
      </c>
      <c r="DI18" s="1933" t="s">
        <v>566</v>
      </c>
      <c r="DJ18" s="1913" t="s">
        <v>566</v>
      </c>
      <c r="DK18" s="1933" t="s">
        <v>566</v>
      </c>
      <c r="DL18" s="1913" t="s">
        <v>566</v>
      </c>
      <c r="DM18" s="1933" t="s">
        <v>566</v>
      </c>
      <c r="DN18" s="1913" t="s">
        <v>566</v>
      </c>
      <c r="DO18" s="1933" t="s">
        <v>566</v>
      </c>
      <c r="DP18" s="1913" t="s">
        <v>566</v>
      </c>
      <c r="DQ18" s="1933" t="s">
        <v>566</v>
      </c>
      <c r="DR18" s="1913" t="s">
        <v>566</v>
      </c>
      <c r="DS18" s="1933" t="s">
        <v>566</v>
      </c>
      <c r="DT18" s="1913" t="s">
        <v>566</v>
      </c>
      <c r="DU18" s="1933" t="s">
        <v>566</v>
      </c>
      <c r="DV18" s="1913" t="s">
        <v>566</v>
      </c>
      <c r="DW18" s="1933" t="s">
        <v>566</v>
      </c>
      <c r="DX18" s="1913" t="s">
        <v>566</v>
      </c>
      <c r="DY18" s="1933" t="s">
        <v>566</v>
      </c>
      <c r="DZ18" s="1913" t="s">
        <v>566</v>
      </c>
      <c r="EA18" s="1933" t="s">
        <v>566</v>
      </c>
      <c r="EB18" s="1913" t="s">
        <v>566</v>
      </c>
      <c r="EC18" s="1933" t="s">
        <v>566</v>
      </c>
      <c r="ED18" s="1913" t="s">
        <v>566</v>
      </c>
      <c r="EE18" s="1933" t="s">
        <v>566</v>
      </c>
      <c r="EF18" s="1913" t="s">
        <v>566</v>
      </c>
      <c r="EG18" s="1933" t="s">
        <v>566</v>
      </c>
      <c r="EH18" s="1913" t="s">
        <v>566</v>
      </c>
      <c r="EI18" s="1933" t="s">
        <v>566</v>
      </c>
      <c r="EJ18" s="1913" t="s">
        <v>566</v>
      </c>
      <c r="EK18" s="1933" t="s">
        <v>566</v>
      </c>
      <c r="EL18" s="1913" t="s">
        <v>566</v>
      </c>
      <c r="EM18" s="1933" t="s">
        <v>566</v>
      </c>
      <c r="EN18" s="1913" t="s">
        <v>566</v>
      </c>
      <c r="EO18" s="1933" t="s">
        <v>566</v>
      </c>
      <c r="EP18" s="1913" t="s">
        <v>566</v>
      </c>
      <c r="EQ18" s="1933" t="s">
        <v>566</v>
      </c>
      <c r="ER18" s="1913" t="s">
        <v>566</v>
      </c>
      <c r="ES18" s="1933" t="s">
        <v>566</v>
      </c>
      <c r="ET18" s="1913" t="s">
        <v>566</v>
      </c>
      <c r="EU18" s="1933" t="s">
        <v>566</v>
      </c>
      <c r="EV18" s="1913" t="s">
        <v>566</v>
      </c>
      <c r="EW18" s="1933" t="s">
        <v>566</v>
      </c>
      <c r="EX18" s="1913" t="s">
        <v>566</v>
      </c>
      <c r="EY18" s="1933" t="s">
        <v>566</v>
      </c>
      <c r="EZ18" s="1913" t="s">
        <v>566</v>
      </c>
      <c r="FA18" s="1933" t="s">
        <v>566</v>
      </c>
      <c r="FB18" s="1913" t="s">
        <v>566</v>
      </c>
      <c r="FC18" s="1933" t="s">
        <v>566</v>
      </c>
      <c r="FD18" s="1913" t="s">
        <v>566</v>
      </c>
      <c r="FE18" s="1933" t="s">
        <v>566</v>
      </c>
      <c r="FF18" s="1913" t="s">
        <v>566</v>
      </c>
      <c r="FG18" s="1933" t="s">
        <v>566</v>
      </c>
      <c r="FH18" s="1913" t="s">
        <v>566</v>
      </c>
      <c r="FI18" s="1933" t="s">
        <v>566</v>
      </c>
      <c r="FJ18" s="1913" t="s">
        <v>566</v>
      </c>
      <c r="FK18" s="1933" t="s">
        <v>566</v>
      </c>
      <c r="FL18" s="1913" t="s">
        <v>566</v>
      </c>
      <c r="FM18" s="1933" t="s">
        <v>566</v>
      </c>
      <c r="FN18" s="1913" t="s">
        <v>566</v>
      </c>
      <c r="FO18" s="1933" t="s">
        <v>566</v>
      </c>
      <c r="FP18" s="1913" t="s">
        <v>566</v>
      </c>
      <c r="FQ18" s="1933" t="s">
        <v>566</v>
      </c>
      <c r="FR18" s="1913" t="s">
        <v>566</v>
      </c>
      <c r="FS18" s="1933" t="s">
        <v>566</v>
      </c>
      <c r="FT18" s="1913" t="s">
        <v>566</v>
      </c>
      <c r="FU18" s="1933" t="s">
        <v>566</v>
      </c>
      <c r="FV18" s="1913" t="s">
        <v>566</v>
      </c>
      <c r="FW18" s="1933" t="s">
        <v>566</v>
      </c>
      <c r="FX18" s="1913" t="s">
        <v>566</v>
      </c>
      <c r="FY18" s="1933" t="s">
        <v>566</v>
      </c>
      <c r="FZ18" s="1913" t="s">
        <v>566</v>
      </c>
      <c r="GA18" s="1933" t="s">
        <v>566</v>
      </c>
      <c r="GB18" s="1913" t="s">
        <v>566</v>
      </c>
      <c r="GC18" s="1933" t="s">
        <v>566</v>
      </c>
      <c r="GD18" s="1913" t="s">
        <v>566</v>
      </c>
      <c r="GE18" s="1933" t="s">
        <v>566</v>
      </c>
      <c r="GF18" s="1913" t="s">
        <v>566</v>
      </c>
      <c r="GG18" s="1933" t="s">
        <v>566</v>
      </c>
      <c r="GH18" s="1913" t="s">
        <v>566</v>
      </c>
      <c r="GI18" s="1933" t="s">
        <v>566</v>
      </c>
      <c r="GJ18" s="1913" t="s">
        <v>566</v>
      </c>
      <c r="GK18" s="1933" t="s">
        <v>566</v>
      </c>
      <c r="GL18" s="1913" t="s">
        <v>566</v>
      </c>
      <c r="GM18" s="201" t="s">
        <v>1520</v>
      </c>
    </row>
    <row r="19" spans="1:195" ht="33.75" customHeight="1">
      <c r="A19" s="403"/>
      <c r="C19" s="424"/>
      <c r="D19" s="436" t="s">
        <v>586</v>
      </c>
      <c r="E19" s="456" t="s">
        <v>1088</v>
      </c>
      <c r="F19" s="419" t="s">
        <v>1089</v>
      </c>
      <c r="G19" s="698"/>
      <c r="H19" s="33"/>
      <c r="I19" s="698"/>
      <c r="J19" s="699"/>
      <c r="K19" s="1871"/>
      <c r="L19" s="1942"/>
      <c r="M19" s="1871"/>
      <c r="N19" s="1942"/>
      <c r="O19" s="1871"/>
      <c r="P19" s="1942"/>
      <c r="Q19" s="1871"/>
      <c r="R19" s="1942"/>
      <c r="S19" s="1871"/>
      <c r="T19" s="1942"/>
      <c r="U19" s="1871"/>
      <c r="V19" s="1942"/>
      <c r="W19" s="1871"/>
      <c r="X19" s="1942"/>
      <c r="Y19" s="1871"/>
      <c r="Z19" s="1942"/>
      <c r="AA19" s="1871"/>
      <c r="AB19" s="1942"/>
      <c r="AC19" s="1871"/>
      <c r="AD19" s="1942"/>
      <c r="AE19" s="1871"/>
      <c r="AF19" s="1942"/>
      <c r="AG19" s="1871"/>
      <c r="AH19" s="1942"/>
      <c r="AI19" s="1871"/>
      <c r="AJ19" s="1942"/>
      <c r="AK19" s="1871"/>
      <c r="AL19" s="1942"/>
      <c r="AM19" s="1871"/>
      <c r="AN19" s="1942"/>
      <c r="AO19" s="1871"/>
      <c r="AP19" s="1942"/>
      <c r="AQ19" s="1871"/>
      <c r="AR19" s="1942"/>
      <c r="AS19" s="1871"/>
      <c r="AT19" s="1942"/>
      <c r="AU19" s="1871"/>
      <c r="AV19" s="1942"/>
      <c r="AW19" s="1871"/>
      <c r="AX19" s="1942"/>
      <c r="AY19" s="1871"/>
      <c r="AZ19" s="1942"/>
      <c r="BA19" s="1871"/>
      <c r="BB19" s="1942"/>
      <c r="BC19" s="1871"/>
      <c r="BD19" s="1942"/>
      <c r="BE19" s="1871"/>
      <c r="BF19" s="1942"/>
      <c r="BG19" s="1871"/>
      <c r="BH19" s="1942"/>
      <c r="BI19" s="1871"/>
      <c r="BJ19" s="1942"/>
      <c r="BK19" s="1871"/>
      <c r="BL19" s="1942"/>
      <c r="BM19" s="1871"/>
      <c r="BN19" s="1942"/>
      <c r="BO19" s="1871"/>
      <c r="BP19" s="1942"/>
      <c r="BQ19" s="1871"/>
      <c r="BR19" s="1942"/>
      <c r="BS19" s="1871"/>
      <c r="BT19" s="1942"/>
      <c r="BU19" s="1871"/>
      <c r="BV19" s="1942"/>
      <c r="BW19" s="1871"/>
      <c r="BX19" s="1942"/>
      <c r="BY19" s="1871"/>
      <c r="BZ19" s="1942"/>
      <c r="CA19" s="1871"/>
      <c r="CB19" s="1942"/>
      <c r="CC19" s="1871"/>
      <c r="CD19" s="1942"/>
      <c r="CE19" s="1871"/>
      <c r="CF19" s="1942"/>
      <c r="CG19" s="1871"/>
      <c r="CH19" s="1942"/>
      <c r="CI19" s="1871"/>
      <c r="CJ19" s="1942"/>
      <c r="CK19" s="1871"/>
      <c r="CL19" s="1942"/>
      <c r="CM19" s="1871"/>
      <c r="CN19" s="1942"/>
      <c r="CO19" s="1871"/>
      <c r="CP19" s="1942"/>
      <c r="CQ19" s="1871"/>
      <c r="CR19" s="1942"/>
      <c r="CS19" s="1871"/>
      <c r="CT19" s="1942"/>
      <c r="CU19" s="1871"/>
      <c r="CV19" s="1942"/>
      <c r="CW19" s="1871"/>
      <c r="CX19" s="1942"/>
      <c r="CY19" s="1871"/>
      <c r="CZ19" s="1942"/>
      <c r="DA19" s="1871"/>
      <c r="DB19" s="1942"/>
      <c r="DC19" s="1871"/>
      <c r="DD19" s="1942"/>
      <c r="DE19" s="1871"/>
      <c r="DF19" s="1942"/>
      <c r="DG19" s="1871"/>
      <c r="DH19" s="1942"/>
      <c r="DI19" s="1871"/>
      <c r="DJ19" s="1942"/>
      <c r="DK19" s="1871"/>
      <c r="DL19" s="1942"/>
      <c r="DM19" s="1871"/>
      <c r="DN19" s="1942"/>
      <c r="DO19" s="1871"/>
      <c r="DP19" s="1942"/>
      <c r="DQ19" s="1871"/>
      <c r="DR19" s="1942"/>
      <c r="DS19" s="1871"/>
      <c r="DT19" s="1942"/>
      <c r="DU19" s="1871"/>
      <c r="DV19" s="1942"/>
      <c r="DW19" s="1871"/>
      <c r="DX19" s="1942"/>
      <c r="DY19" s="1871"/>
      <c r="DZ19" s="1942"/>
      <c r="EA19" s="1871"/>
      <c r="EB19" s="1942"/>
      <c r="EC19" s="1871"/>
      <c r="ED19" s="1942"/>
      <c r="EE19" s="1871"/>
      <c r="EF19" s="1942"/>
      <c r="EG19" s="1871"/>
      <c r="EH19" s="1942"/>
      <c r="EI19" s="1871"/>
      <c r="EJ19" s="1942"/>
      <c r="EK19" s="1871"/>
      <c r="EL19" s="1942"/>
      <c r="EM19" s="1871"/>
      <c r="EN19" s="1942"/>
      <c r="EO19" s="1871"/>
      <c r="EP19" s="1942"/>
      <c r="EQ19" s="1871"/>
      <c r="ER19" s="1942"/>
      <c r="ES19" s="1871"/>
      <c r="ET19" s="1942"/>
      <c r="EU19" s="1871"/>
      <c r="EV19" s="1942"/>
      <c r="EW19" s="1871"/>
      <c r="EX19" s="1942"/>
      <c r="EY19" s="1871"/>
      <c r="EZ19" s="1942"/>
      <c r="FA19" s="1871"/>
      <c r="FB19" s="1942"/>
      <c r="FC19" s="1871"/>
      <c r="FD19" s="1942"/>
      <c r="FE19" s="1871"/>
      <c r="FF19" s="1942"/>
      <c r="FG19" s="1871"/>
      <c r="FH19" s="1942"/>
      <c r="FI19" s="1871"/>
      <c r="FJ19" s="1942"/>
      <c r="FK19" s="1871"/>
      <c r="FL19" s="1942"/>
      <c r="FM19" s="1871"/>
      <c r="FN19" s="1942"/>
      <c r="FO19" s="1871"/>
      <c r="FP19" s="1942"/>
      <c r="FQ19" s="1871"/>
      <c r="FR19" s="1942"/>
      <c r="FS19" s="1871"/>
      <c r="FT19" s="1942"/>
      <c r="FU19" s="1871"/>
      <c r="FV19" s="1942"/>
      <c r="FW19" s="1871"/>
      <c r="FX19" s="1942"/>
      <c r="FY19" s="1871"/>
      <c r="FZ19" s="1942"/>
      <c r="GA19" s="1871"/>
      <c r="GB19" s="1942"/>
      <c r="GC19" s="1871"/>
      <c r="GD19" s="1942"/>
      <c r="GE19" s="1871"/>
      <c r="GF19" s="1942"/>
      <c r="GG19" s="1871"/>
      <c r="GH19" s="1942"/>
      <c r="GI19" s="1871"/>
      <c r="GJ19" s="1942"/>
      <c r="GK19" s="1871"/>
      <c r="GL19" s="1942"/>
      <c r="GM19" s="571"/>
    </row>
    <row r="20" spans="1:195" ht="33.75" customHeight="1">
      <c r="A20" s="403"/>
      <c r="C20" s="424"/>
      <c r="D20" s="1729" t="s">
        <v>594</v>
      </c>
      <c r="E20" s="456" t="s">
        <v>1090</v>
      </c>
      <c r="F20" s="419" t="s">
        <v>1091</v>
      </c>
      <c r="G20" s="698"/>
      <c r="H20" s="33"/>
      <c r="I20" s="698"/>
      <c r="J20" s="33"/>
      <c r="K20" s="1871"/>
      <c r="L20" s="1942"/>
      <c r="M20" s="1871"/>
      <c r="N20" s="1942"/>
      <c r="O20" s="1871"/>
      <c r="P20" s="1942"/>
      <c r="Q20" s="1871"/>
      <c r="R20" s="1942"/>
      <c r="S20" s="1871"/>
      <c r="T20" s="1942"/>
      <c r="U20" s="1871"/>
      <c r="V20" s="1942"/>
      <c r="W20" s="1871"/>
      <c r="X20" s="1942"/>
      <c r="Y20" s="1871"/>
      <c r="Z20" s="1942"/>
      <c r="AA20" s="1871"/>
      <c r="AB20" s="1942"/>
      <c r="AC20" s="1871"/>
      <c r="AD20" s="1942"/>
      <c r="AE20" s="1871"/>
      <c r="AF20" s="1942"/>
      <c r="AG20" s="1871"/>
      <c r="AH20" s="1942"/>
      <c r="AI20" s="1871"/>
      <c r="AJ20" s="1942"/>
      <c r="AK20" s="1871"/>
      <c r="AL20" s="1942"/>
      <c r="AM20" s="1871"/>
      <c r="AN20" s="1942"/>
      <c r="AO20" s="1871"/>
      <c r="AP20" s="1942"/>
      <c r="AQ20" s="1871"/>
      <c r="AR20" s="1942"/>
      <c r="AS20" s="1871"/>
      <c r="AT20" s="1942"/>
      <c r="AU20" s="1871"/>
      <c r="AV20" s="1942"/>
      <c r="AW20" s="1871"/>
      <c r="AX20" s="1942"/>
      <c r="AY20" s="1871"/>
      <c r="AZ20" s="1942"/>
      <c r="BA20" s="1871"/>
      <c r="BB20" s="1942"/>
      <c r="BC20" s="1871"/>
      <c r="BD20" s="1942"/>
      <c r="BE20" s="1871"/>
      <c r="BF20" s="1942"/>
      <c r="BG20" s="1871"/>
      <c r="BH20" s="1942"/>
      <c r="BI20" s="1871"/>
      <c r="BJ20" s="1942"/>
      <c r="BK20" s="1871"/>
      <c r="BL20" s="1942"/>
      <c r="BM20" s="1871"/>
      <c r="BN20" s="1942"/>
      <c r="BO20" s="1871"/>
      <c r="BP20" s="1942"/>
      <c r="BQ20" s="1871"/>
      <c r="BR20" s="1942"/>
      <c r="BS20" s="1871"/>
      <c r="BT20" s="1942"/>
      <c r="BU20" s="1871"/>
      <c r="BV20" s="1942"/>
      <c r="BW20" s="1871"/>
      <c r="BX20" s="1942"/>
      <c r="BY20" s="1871"/>
      <c r="BZ20" s="1942"/>
      <c r="CA20" s="1871"/>
      <c r="CB20" s="1942"/>
      <c r="CC20" s="1871"/>
      <c r="CD20" s="1942"/>
      <c r="CE20" s="1871"/>
      <c r="CF20" s="1942"/>
      <c r="CG20" s="1871"/>
      <c r="CH20" s="1942"/>
      <c r="CI20" s="1871"/>
      <c r="CJ20" s="1942"/>
      <c r="CK20" s="1871"/>
      <c r="CL20" s="1942"/>
      <c r="CM20" s="1871"/>
      <c r="CN20" s="1942"/>
      <c r="CO20" s="1871"/>
      <c r="CP20" s="1942"/>
      <c r="CQ20" s="1871"/>
      <c r="CR20" s="1942"/>
      <c r="CS20" s="1871"/>
      <c r="CT20" s="1942"/>
      <c r="CU20" s="1871"/>
      <c r="CV20" s="1942"/>
      <c r="CW20" s="1871"/>
      <c r="CX20" s="1942"/>
      <c r="CY20" s="1871"/>
      <c r="CZ20" s="1942"/>
      <c r="DA20" s="1871"/>
      <c r="DB20" s="1942"/>
      <c r="DC20" s="1871"/>
      <c r="DD20" s="1942"/>
      <c r="DE20" s="1871"/>
      <c r="DF20" s="1942"/>
      <c r="DG20" s="1871"/>
      <c r="DH20" s="1942"/>
      <c r="DI20" s="1871"/>
      <c r="DJ20" s="1942"/>
      <c r="DK20" s="1871"/>
      <c r="DL20" s="1942"/>
      <c r="DM20" s="1871"/>
      <c r="DN20" s="1942"/>
      <c r="DO20" s="1871"/>
      <c r="DP20" s="1942"/>
      <c r="DQ20" s="1871"/>
      <c r="DR20" s="1942"/>
      <c r="DS20" s="1871"/>
      <c r="DT20" s="1942"/>
      <c r="DU20" s="1871"/>
      <c r="DV20" s="1942"/>
      <c r="DW20" s="1871"/>
      <c r="DX20" s="1942"/>
      <c r="DY20" s="1871"/>
      <c r="DZ20" s="1942"/>
      <c r="EA20" s="1871"/>
      <c r="EB20" s="1942"/>
      <c r="EC20" s="1871"/>
      <c r="ED20" s="1942"/>
      <c r="EE20" s="1871"/>
      <c r="EF20" s="1942"/>
      <c r="EG20" s="1871"/>
      <c r="EH20" s="1942"/>
      <c r="EI20" s="1871"/>
      <c r="EJ20" s="1942"/>
      <c r="EK20" s="1871"/>
      <c r="EL20" s="1942"/>
      <c r="EM20" s="1871"/>
      <c r="EN20" s="1942"/>
      <c r="EO20" s="1871"/>
      <c r="EP20" s="1942"/>
      <c r="EQ20" s="1871"/>
      <c r="ER20" s="1942"/>
      <c r="ES20" s="1871"/>
      <c r="ET20" s="1942"/>
      <c r="EU20" s="1871"/>
      <c r="EV20" s="1942"/>
      <c r="EW20" s="1871"/>
      <c r="EX20" s="1942"/>
      <c r="EY20" s="1871"/>
      <c r="EZ20" s="1942"/>
      <c r="FA20" s="1871"/>
      <c r="FB20" s="1942"/>
      <c r="FC20" s="1871"/>
      <c r="FD20" s="1942"/>
      <c r="FE20" s="1871"/>
      <c r="FF20" s="1942"/>
      <c r="FG20" s="1871"/>
      <c r="FH20" s="1942"/>
      <c r="FI20" s="1871"/>
      <c r="FJ20" s="1942"/>
      <c r="FK20" s="1871"/>
      <c r="FL20" s="1942"/>
      <c r="FM20" s="1871"/>
      <c r="FN20" s="1942"/>
      <c r="FO20" s="1871"/>
      <c r="FP20" s="1942"/>
      <c r="FQ20" s="1871"/>
      <c r="FR20" s="1942"/>
      <c r="FS20" s="1871"/>
      <c r="FT20" s="1942"/>
      <c r="FU20" s="1871"/>
      <c r="FV20" s="1942"/>
      <c r="FW20" s="1871"/>
      <c r="FX20" s="1942"/>
      <c r="FY20" s="1871"/>
      <c r="FZ20" s="1942"/>
      <c r="GA20" s="1871"/>
      <c r="GB20" s="1942"/>
      <c r="GC20" s="1871"/>
      <c r="GD20" s="1942"/>
      <c r="GE20" s="1871"/>
      <c r="GF20" s="1942"/>
      <c r="GG20" s="1871"/>
      <c r="GH20" s="1942"/>
      <c r="GI20" s="1871"/>
      <c r="GJ20" s="1942"/>
      <c r="GK20" s="1871"/>
      <c r="GL20" s="1942"/>
      <c r="GM20" s="571"/>
    </row>
    <row r="21" spans="1:195" ht="45" customHeight="1">
      <c r="A21" s="403"/>
      <c r="C21" s="424"/>
      <c r="D21" s="1729" t="s">
        <v>596</v>
      </c>
      <c r="E21" s="456" t="s">
        <v>1092</v>
      </c>
      <c r="F21" s="419" t="s">
        <v>836</v>
      </c>
      <c r="G21" s="572"/>
      <c r="H21" s="33"/>
      <c r="I21" s="572"/>
      <c r="J21" s="33"/>
      <c r="K21" s="1872"/>
      <c r="L21" s="1942"/>
      <c r="M21" s="1872"/>
      <c r="N21" s="1942"/>
      <c r="O21" s="1872"/>
      <c r="P21" s="1942"/>
      <c r="Q21" s="1872"/>
      <c r="R21" s="1942"/>
      <c r="S21" s="1872"/>
      <c r="T21" s="1942"/>
      <c r="U21" s="1872"/>
      <c r="V21" s="1942"/>
      <c r="W21" s="1872"/>
      <c r="X21" s="1942"/>
      <c r="Y21" s="1872"/>
      <c r="Z21" s="1942"/>
      <c r="AA21" s="1872"/>
      <c r="AB21" s="1942"/>
      <c r="AC21" s="1872"/>
      <c r="AD21" s="1942"/>
      <c r="AE21" s="1872"/>
      <c r="AF21" s="1942"/>
      <c r="AG21" s="1872"/>
      <c r="AH21" s="1942"/>
      <c r="AI21" s="1872"/>
      <c r="AJ21" s="1942"/>
      <c r="AK21" s="1872"/>
      <c r="AL21" s="1942"/>
      <c r="AM21" s="1872"/>
      <c r="AN21" s="1942"/>
      <c r="AO21" s="1872"/>
      <c r="AP21" s="1942"/>
      <c r="AQ21" s="1872"/>
      <c r="AR21" s="1942"/>
      <c r="AS21" s="1872"/>
      <c r="AT21" s="1942"/>
      <c r="AU21" s="1872"/>
      <c r="AV21" s="1942"/>
      <c r="AW21" s="1872"/>
      <c r="AX21" s="1942"/>
      <c r="AY21" s="1872"/>
      <c r="AZ21" s="1942"/>
      <c r="BA21" s="1872"/>
      <c r="BB21" s="1942"/>
      <c r="BC21" s="1872"/>
      <c r="BD21" s="1942"/>
      <c r="BE21" s="1872"/>
      <c r="BF21" s="1942"/>
      <c r="BG21" s="1872"/>
      <c r="BH21" s="1942"/>
      <c r="BI21" s="1872"/>
      <c r="BJ21" s="1942"/>
      <c r="BK21" s="1872"/>
      <c r="BL21" s="1942"/>
      <c r="BM21" s="1872"/>
      <c r="BN21" s="1942"/>
      <c r="BO21" s="1872"/>
      <c r="BP21" s="1942"/>
      <c r="BQ21" s="1872"/>
      <c r="BR21" s="1942"/>
      <c r="BS21" s="1872"/>
      <c r="BT21" s="1942"/>
      <c r="BU21" s="1872"/>
      <c r="BV21" s="1942"/>
      <c r="BW21" s="1872"/>
      <c r="BX21" s="1942"/>
      <c r="BY21" s="1872"/>
      <c r="BZ21" s="1942"/>
      <c r="CA21" s="1872"/>
      <c r="CB21" s="1942"/>
      <c r="CC21" s="1872"/>
      <c r="CD21" s="1942"/>
      <c r="CE21" s="1872"/>
      <c r="CF21" s="1942"/>
      <c r="CG21" s="1872"/>
      <c r="CH21" s="1942"/>
      <c r="CI21" s="1872"/>
      <c r="CJ21" s="1942"/>
      <c r="CK21" s="1872"/>
      <c r="CL21" s="1942"/>
      <c r="CM21" s="1872"/>
      <c r="CN21" s="1942"/>
      <c r="CO21" s="1872"/>
      <c r="CP21" s="1942"/>
      <c r="CQ21" s="1872"/>
      <c r="CR21" s="1942"/>
      <c r="CS21" s="1872"/>
      <c r="CT21" s="1942"/>
      <c r="CU21" s="1872"/>
      <c r="CV21" s="1942"/>
      <c r="CW21" s="1872"/>
      <c r="CX21" s="1942"/>
      <c r="CY21" s="1872"/>
      <c r="CZ21" s="1942"/>
      <c r="DA21" s="1872"/>
      <c r="DB21" s="1942"/>
      <c r="DC21" s="1872"/>
      <c r="DD21" s="1942"/>
      <c r="DE21" s="1872"/>
      <c r="DF21" s="1942"/>
      <c r="DG21" s="1872"/>
      <c r="DH21" s="1942"/>
      <c r="DI21" s="1872"/>
      <c r="DJ21" s="1942"/>
      <c r="DK21" s="1872"/>
      <c r="DL21" s="1942"/>
      <c r="DM21" s="1872"/>
      <c r="DN21" s="1942"/>
      <c r="DO21" s="1872"/>
      <c r="DP21" s="1942"/>
      <c r="DQ21" s="1872"/>
      <c r="DR21" s="1942"/>
      <c r="DS21" s="1872"/>
      <c r="DT21" s="1942"/>
      <c r="DU21" s="1872"/>
      <c r="DV21" s="1942"/>
      <c r="DW21" s="1872"/>
      <c r="DX21" s="1942"/>
      <c r="DY21" s="1872"/>
      <c r="DZ21" s="1942"/>
      <c r="EA21" s="1872"/>
      <c r="EB21" s="1942"/>
      <c r="EC21" s="1872"/>
      <c r="ED21" s="1942"/>
      <c r="EE21" s="1872"/>
      <c r="EF21" s="1942"/>
      <c r="EG21" s="1872"/>
      <c r="EH21" s="1942"/>
      <c r="EI21" s="1872"/>
      <c r="EJ21" s="1942"/>
      <c r="EK21" s="1872"/>
      <c r="EL21" s="1942"/>
      <c r="EM21" s="1872"/>
      <c r="EN21" s="1942"/>
      <c r="EO21" s="1872"/>
      <c r="EP21" s="1942"/>
      <c r="EQ21" s="1872"/>
      <c r="ER21" s="1942"/>
      <c r="ES21" s="1872"/>
      <c r="ET21" s="1942"/>
      <c r="EU21" s="1872"/>
      <c r="EV21" s="1942"/>
      <c r="EW21" s="1872"/>
      <c r="EX21" s="1942"/>
      <c r="EY21" s="1872"/>
      <c r="EZ21" s="1942"/>
      <c r="FA21" s="1872"/>
      <c r="FB21" s="1942"/>
      <c r="FC21" s="1872"/>
      <c r="FD21" s="1942"/>
      <c r="FE21" s="1872"/>
      <c r="FF21" s="1942"/>
      <c r="FG21" s="1872"/>
      <c r="FH21" s="1942"/>
      <c r="FI21" s="1872"/>
      <c r="FJ21" s="1942"/>
      <c r="FK21" s="1872"/>
      <c r="FL21" s="1942"/>
      <c r="FM21" s="1872"/>
      <c r="FN21" s="1942"/>
      <c r="FO21" s="1872"/>
      <c r="FP21" s="1942"/>
      <c r="FQ21" s="1872"/>
      <c r="FR21" s="1942"/>
      <c r="FS21" s="1872"/>
      <c r="FT21" s="1942"/>
      <c r="FU21" s="1872"/>
      <c r="FV21" s="1942"/>
      <c r="FW21" s="1872"/>
      <c r="FX21" s="1942"/>
      <c r="FY21" s="1872"/>
      <c r="FZ21" s="1942"/>
      <c r="GA21" s="1872"/>
      <c r="GB21" s="1942"/>
      <c r="GC21" s="1872"/>
      <c r="GD21" s="1942"/>
      <c r="GE21" s="1872"/>
      <c r="GF21" s="1942"/>
      <c r="GG21" s="1872"/>
      <c r="GH21" s="1942"/>
      <c r="GI21" s="1872"/>
      <c r="GJ21" s="1942"/>
      <c r="GK21" s="1872"/>
      <c r="GL21" s="1942"/>
      <c r="GM21" s="571"/>
    </row>
    <row r="22" spans="1:195" ht="67.5" hidden="1" customHeight="1">
      <c r="A22" s="403"/>
      <c r="C22" s="424"/>
      <c r="D22" s="419">
        <v>5</v>
      </c>
      <c r="E22" s="192" t="s">
        <v>1521</v>
      </c>
      <c r="F22" s="419" t="s">
        <v>823</v>
      </c>
      <c r="G22" s="573"/>
      <c r="H22" s="574"/>
      <c r="I22" s="573"/>
      <c r="J22" s="574"/>
      <c r="K22" s="1914"/>
      <c r="L22" s="1915"/>
      <c r="M22" s="1914"/>
      <c r="N22" s="1915"/>
      <c r="O22" s="1914"/>
      <c r="P22" s="1915"/>
      <c r="Q22" s="1914"/>
      <c r="R22" s="1915"/>
      <c r="S22" s="1914"/>
      <c r="T22" s="1915"/>
      <c r="U22" s="1914"/>
      <c r="V22" s="1915"/>
      <c r="W22" s="1914"/>
      <c r="X22" s="1915"/>
      <c r="Y22" s="1914"/>
      <c r="Z22" s="1915"/>
      <c r="AA22" s="1914"/>
      <c r="AB22" s="1915"/>
      <c r="AC22" s="1914"/>
      <c r="AD22" s="1915"/>
      <c r="AE22" s="1914"/>
      <c r="AF22" s="1915"/>
      <c r="AG22" s="1914"/>
      <c r="AH22" s="1915"/>
      <c r="AI22" s="1914"/>
      <c r="AJ22" s="1915"/>
      <c r="AK22" s="1914"/>
      <c r="AL22" s="1915"/>
      <c r="AM22" s="1914"/>
      <c r="AN22" s="1915"/>
      <c r="AO22" s="1914"/>
      <c r="AP22" s="1915"/>
      <c r="AQ22" s="1914"/>
      <c r="AR22" s="1915"/>
      <c r="AS22" s="1914"/>
      <c r="AT22" s="1915"/>
      <c r="AU22" s="1914"/>
      <c r="AV22" s="1915"/>
      <c r="AW22" s="1914"/>
      <c r="AX22" s="1915"/>
      <c r="AY22" s="1914"/>
      <c r="AZ22" s="1915"/>
      <c r="BA22" s="1914"/>
      <c r="BB22" s="1915"/>
      <c r="BC22" s="1914"/>
      <c r="BD22" s="1915"/>
      <c r="BE22" s="1914"/>
      <c r="BF22" s="1915"/>
      <c r="BG22" s="1914"/>
      <c r="BH22" s="1915"/>
      <c r="BI22" s="1914"/>
      <c r="BJ22" s="1915"/>
      <c r="BK22" s="1914"/>
      <c r="BL22" s="1915"/>
      <c r="BM22" s="1914"/>
      <c r="BN22" s="1915"/>
      <c r="BO22" s="1914"/>
      <c r="BP22" s="1915"/>
      <c r="BQ22" s="1914"/>
      <c r="BR22" s="1915"/>
      <c r="BS22" s="1914"/>
      <c r="BT22" s="1915"/>
      <c r="BU22" s="1914"/>
      <c r="BV22" s="1915"/>
      <c r="BW22" s="1914"/>
      <c r="BX22" s="1915"/>
      <c r="BY22" s="1914"/>
      <c r="BZ22" s="1915"/>
      <c r="CA22" s="1914"/>
      <c r="CB22" s="1915"/>
      <c r="CC22" s="1914"/>
      <c r="CD22" s="1915"/>
      <c r="CE22" s="1914"/>
      <c r="CF22" s="1915"/>
      <c r="CG22" s="1914"/>
      <c r="CH22" s="1915"/>
      <c r="CI22" s="1914"/>
      <c r="CJ22" s="1915"/>
      <c r="CK22" s="1914"/>
      <c r="CL22" s="1915"/>
      <c r="CM22" s="1914"/>
      <c r="CN22" s="1915"/>
      <c r="CO22" s="1914"/>
      <c r="CP22" s="1915"/>
      <c r="CQ22" s="1914"/>
      <c r="CR22" s="1915"/>
      <c r="CS22" s="1914"/>
      <c r="CT22" s="1915"/>
      <c r="CU22" s="1914"/>
      <c r="CV22" s="1915"/>
      <c r="CW22" s="1914"/>
      <c r="CX22" s="1915"/>
      <c r="CY22" s="1914"/>
      <c r="CZ22" s="1915"/>
      <c r="DA22" s="1914"/>
      <c r="DB22" s="1915"/>
      <c r="DC22" s="1914"/>
      <c r="DD22" s="1915"/>
      <c r="DE22" s="1914"/>
      <c r="DF22" s="1915"/>
      <c r="DG22" s="1914"/>
      <c r="DH22" s="1915"/>
      <c r="DI22" s="1914"/>
      <c r="DJ22" s="1915"/>
      <c r="DK22" s="1914"/>
      <c r="DL22" s="1915"/>
      <c r="DM22" s="1914"/>
      <c r="DN22" s="1915"/>
      <c r="DO22" s="1914"/>
      <c r="DP22" s="1915"/>
      <c r="DQ22" s="1914"/>
      <c r="DR22" s="1915"/>
      <c r="DS22" s="1914"/>
      <c r="DT22" s="1915"/>
      <c r="DU22" s="1914"/>
      <c r="DV22" s="1915"/>
      <c r="DW22" s="1914"/>
      <c r="DX22" s="1915"/>
      <c r="DY22" s="1914"/>
      <c r="DZ22" s="1915"/>
      <c r="EA22" s="1914"/>
      <c r="EB22" s="1915"/>
      <c r="EC22" s="1914"/>
      <c r="ED22" s="1915"/>
      <c r="EE22" s="1914"/>
      <c r="EF22" s="1915"/>
      <c r="EG22" s="1914"/>
      <c r="EH22" s="1915"/>
      <c r="EI22" s="1914"/>
      <c r="EJ22" s="1915"/>
      <c r="EK22" s="1914"/>
      <c r="EL22" s="1915"/>
      <c r="EM22" s="1914"/>
      <c r="EN22" s="1915"/>
      <c r="EO22" s="1914"/>
      <c r="EP22" s="1915"/>
      <c r="EQ22" s="1914"/>
      <c r="ER22" s="1915"/>
      <c r="ES22" s="1914"/>
      <c r="ET22" s="1915"/>
      <c r="EU22" s="1914"/>
      <c r="EV22" s="1915"/>
      <c r="EW22" s="1914"/>
      <c r="EX22" s="1915"/>
      <c r="EY22" s="1914"/>
      <c r="EZ22" s="1915"/>
      <c r="FA22" s="1914"/>
      <c r="FB22" s="1915"/>
      <c r="FC22" s="1914"/>
      <c r="FD22" s="1915"/>
      <c r="FE22" s="1914"/>
      <c r="FF22" s="1915"/>
      <c r="FG22" s="1914"/>
      <c r="FH22" s="1915"/>
      <c r="FI22" s="1914"/>
      <c r="FJ22" s="1915"/>
      <c r="FK22" s="1914"/>
      <c r="FL22" s="1915"/>
      <c r="FM22" s="1914"/>
      <c r="FN22" s="1915"/>
      <c r="FO22" s="1914"/>
      <c r="FP22" s="1915"/>
      <c r="FQ22" s="1914"/>
      <c r="FR22" s="1915"/>
      <c r="FS22" s="1914"/>
      <c r="FT22" s="1915"/>
      <c r="FU22" s="1914"/>
      <c r="FV22" s="1915"/>
      <c r="FW22" s="1914"/>
      <c r="FX22" s="1915"/>
      <c r="FY22" s="1914"/>
      <c r="FZ22" s="1915"/>
      <c r="GA22" s="1914"/>
      <c r="GB22" s="1915"/>
      <c r="GC22" s="1914"/>
      <c r="GD22" s="1915"/>
      <c r="GE22" s="1914"/>
      <c r="GF22" s="1915"/>
      <c r="GG22" s="1914"/>
      <c r="GH22" s="1915"/>
      <c r="GI22" s="1914"/>
      <c r="GJ22" s="1915"/>
      <c r="GK22" s="1914"/>
      <c r="GL22" s="1915"/>
      <c r="GM22" s="201" t="s">
        <v>1522</v>
      </c>
    </row>
    <row r="23" spans="1:195" ht="33.75" hidden="1" customHeight="1">
      <c r="C23" s="354"/>
      <c r="D23" s="419">
        <v>6</v>
      </c>
      <c r="E23" s="192" t="s">
        <v>1523</v>
      </c>
      <c r="F23" s="419" t="s">
        <v>1524</v>
      </c>
      <c r="G23" s="573"/>
      <c r="H23" s="573"/>
      <c r="I23" s="573"/>
      <c r="J23" s="573"/>
      <c r="K23" s="1914"/>
      <c r="L23" s="1914"/>
      <c r="M23" s="1914"/>
      <c r="N23" s="1914"/>
      <c r="O23" s="1914"/>
      <c r="P23" s="1914"/>
      <c r="Q23" s="1914"/>
      <c r="R23" s="1914"/>
      <c r="S23" s="1914"/>
      <c r="T23" s="1914"/>
      <c r="U23" s="1914"/>
      <c r="V23" s="1914"/>
      <c r="W23" s="1914"/>
      <c r="X23" s="1914"/>
      <c r="Y23" s="1914"/>
      <c r="Z23" s="1914"/>
      <c r="AA23" s="1914"/>
      <c r="AB23" s="1914"/>
      <c r="AC23" s="1914"/>
      <c r="AD23" s="1914"/>
      <c r="AE23" s="1914"/>
      <c r="AF23" s="1914"/>
      <c r="AG23" s="1914"/>
      <c r="AH23" s="1914"/>
      <c r="AI23" s="1914"/>
      <c r="AJ23" s="1914"/>
      <c r="AK23" s="1914"/>
      <c r="AL23" s="1914"/>
      <c r="AM23" s="1914"/>
      <c r="AN23" s="1914"/>
      <c r="AO23" s="1914"/>
      <c r="AP23" s="1914"/>
      <c r="AQ23" s="1914"/>
      <c r="AR23" s="1914"/>
      <c r="AS23" s="1914"/>
      <c r="AT23" s="1914"/>
      <c r="AU23" s="1914"/>
      <c r="AV23" s="1914"/>
      <c r="AW23" s="1914"/>
      <c r="AX23" s="1914"/>
      <c r="AY23" s="1914"/>
      <c r="AZ23" s="1914"/>
      <c r="BA23" s="1914"/>
      <c r="BB23" s="1914"/>
      <c r="BC23" s="1914"/>
      <c r="BD23" s="1914"/>
      <c r="BE23" s="1914"/>
      <c r="BF23" s="1914"/>
      <c r="BG23" s="1914"/>
      <c r="BH23" s="1914"/>
      <c r="BI23" s="1914"/>
      <c r="BJ23" s="1914"/>
      <c r="BK23" s="1914"/>
      <c r="BL23" s="1914"/>
      <c r="BM23" s="1914"/>
      <c r="BN23" s="1914"/>
      <c r="BO23" s="1914"/>
      <c r="BP23" s="1914"/>
      <c r="BQ23" s="1914"/>
      <c r="BR23" s="1914"/>
      <c r="BS23" s="1914"/>
      <c r="BT23" s="1914"/>
      <c r="BU23" s="1914"/>
      <c r="BV23" s="1914"/>
      <c r="BW23" s="1914"/>
      <c r="BX23" s="1914"/>
      <c r="BY23" s="1914"/>
      <c r="BZ23" s="1914"/>
      <c r="CA23" s="1914"/>
      <c r="CB23" s="1914"/>
      <c r="CC23" s="1914"/>
      <c r="CD23" s="1914"/>
      <c r="CE23" s="1914"/>
      <c r="CF23" s="1914"/>
      <c r="CG23" s="1914"/>
      <c r="CH23" s="1914"/>
      <c r="CI23" s="1914"/>
      <c r="CJ23" s="1914"/>
      <c r="CK23" s="1914"/>
      <c r="CL23" s="1914"/>
      <c r="CM23" s="1914"/>
      <c r="CN23" s="1914"/>
      <c r="CO23" s="1914"/>
      <c r="CP23" s="1914"/>
      <c r="CQ23" s="1914"/>
      <c r="CR23" s="1914"/>
      <c r="CS23" s="1914"/>
      <c r="CT23" s="1914"/>
      <c r="CU23" s="1914"/>
      <c r="CV23" s="1914"/>
      <c r="CW23" s="1914"/>
      <c r="CX23" s="1914"/>
      <c r="CY23" s="1914"/>
      <c r="CZ23" s="1914"/>
      <c r="DA23" s="1914"/>
      <c r="DB23" s="1914"/>
      <c r="DC23" s="1914"/>
      <c r="DD23" s="1914"/>
      <c r="DE23" s="1914"/>
      <c r="DF23" s="1914"/>
      <c r="DG23" s="1914"/>
      <c r="DH23" s="1914"/>
      <c r="DI23" s="1914"/>
      <c r="DJ23" s="1914"/>
      <c r="DK23" s="1914"/>
      <c r="DL23" s="1914"/>
      <c r="DM23" s="1914"/>
      <c r="DN23" s="1914"/>
      <c r="DO23" s="1914"/>
      <c r="DP23" s="1914"/>
      <c r="DQ23" s="1914"/>
      <c r="DR23" s="1914"/>
      <c r="DS23" s="1914"/>
      <c r="DT23" s="1914"/>
      <c r="DU23" s="1914"/>
      <c r="DV23" s="1914"/>
      <c r="DW23" s="1914"/>
      <c r="DX23" s="1914"/>
      <c r="DY23" s="1914"/>
      <c r="DZ23" s="1914"/>
      <c r="EA23" s="1914"/>
      <c r="EB23" s="1914"/>
      <c r="EC23" s="1914"/>
      <c r="ED23" s="1914"/>
      <c r="EE23" s="1914"/>
      <c r="EF23" s="1914"/>
      <c r="EG23" s="1914"/>
      <c r="EH23" s="1914"/>
      <c r="EI23" s="1914"/>
      <c r="EJ23" s="1914"/>
      <c r="EK23" s="1914"/>
      <c r="EL23" s="1914"/>
      <c r="EM23" s="1914"/>
      <c r="EN23" s="1914"/>
      <c r="EO23" s="1914"/>
      <c r="EP23" s="1914"/>
      <c r="EQ23" s="1914"/>
      <c r="ER23" s="1914"/>
      <c r="ES23" s="1914"/>
      <c r="ET23" s="1914"/>
      <c r="EU23" s="1914"/>
      <c r="EV23" s="1914"/>
      <c r="EW23" s="1914"/>
      <c r="EX23" s="1914"/>
      <c r="EY23" s="1914"/>
      <c r="EZ23" s="1914"/>
      <c r="FA23" s="1914"/>
      <c r="FB23" s="1914"/>
      <c r="FC23" s="1914"/>
      <c r="FD23" s="1914"/>
      <c r="FE23" s="1914"/>
      <c r="FF23" s="1914"/>
      <c r="FG23" s="1914"/>
      <c r="FH23" s="1914"/>
      <c r="FI23" s="1914"/>
      <c r="FJ23" s="1914"/>
      <c r="FK23" s="1914"/>
      <c r="FL23" s="1914"/>
      <c r="FM23" s="1914"/>
      <c r="FN23" s="1914"/>
      <c r="FO23" s="1914"/>
      <c r="FP23" s="1914"/>
      <c r="FQ23" s="1914"/>
      <c r="FR23" s="1914"/>
      <c r="FS23" s="1914"/>
      <c r="FT23" s="1914"/>
      <c r="FU23" s="1914"/>
      <c r="FV23" s="1914"/>
      <c r="FW23" s="1914"/>
      <c r="FX23" s="1914"/>
      <c r="FY23" s="1914"/>
      <c r="FZ23" s="1914"/>
      <c r="GA23" s="1914"/>
      <c r="GB23" s="1914"/>
      <c r="GC23" s="1914"/>
      <c r="GD23" s="1914"/>
      <c r="GE23" s="1914"/>
      <c r="GF23" s="1914"/>
      <c r="GG23" s="1914"/>
      <c r="GH23" s="1914"/>
      <c r="GI23" s="1914"/>
      <c r="GJ23" s="1914"/>
      <c r="GK23" s="1914"/>
      <c r="GL23" s="1914"/>
      <c r="GM23" s="201" t="s">
        <v>1525</v>
      </c>
    </row>
    <row r="29" spans="1:195" ht="15" customHeight="1">
      <c r="J29" s="700"/>
    </row>
  </sheetData>
  <sheetProtection formatColumns="0" formatRows="0" insertRows="0" deleteColumns="0" deleteRows="0" sort="0" autoFilter="0"/>
  <mergeCells count="289">
    <mergeCell ref="GK9:GL9"/>
    <mergeCell ref="GK10:GL10"/>
    <mergeCell ref="GK11:GL11"/>
    <mergeCell ref="GE9:GF9"/>
    <mergeCell ref="GE10:GF10"/>
    <mergeCell ref="GE11:GF11"/>
    <mergeCell ref="GG9:GH9"/>
    <mergeCell ref="GG10:GH10"/>
    <mergeCell ref="GG11:GH11"/>
    <mergeCell ref="GI9:GJ9"/>
    <mergeCell ref="GI10:GJ10"/>
    <mergeCell ref="GI11:GJ11"/>
    <mergeCell ref="FY9:FZ9"/>
    <mergeCell ref="FY10:FZ10"/>
    <mergeCell ref="FY11:FZ11"/>
    <mergeCell ref="GA9:GB9"/>
    <mergeCell ref="GA10:GB10"/>
    <mergeCell ref="GA11:GB11"/>
    <mergeCell ref="GC9:GD9"/>
    <mergeCell ref="GC10:GD10"/>
    <mergeCell ref="GC11:GD11"/>
    <mergeCell ref="FS9:FT9"/>
    <mergeCell ref="FS10:FT10"/>
    <mergeCell ref="FS11:FT11"/>
    <mergeCell ref="FU9:FV9"/>
    <mergeCell ref="FU10:FV10"/>
    <mergeCell ref="FU11:FV11"/>
    <mergeCell ref="FW9:FX9"/>
    <mergeCell ref="FW10:FX10"/>
    <mergeCell ref="FW11:FX11"/>
    <mergeCell ref="FM9:FN9"/>
    <mergeCell ref="FM10:FN10"/>
    <mergeCell ref="FM11:FN11"/>
    <mergeCell ref="FO9:FP9"/>
    <mergeCell ref="FO10:FP10"/>
    <mergeCell ref="FO11:FP11"/>
    <mergeCell ref="FQ9:FR9"/>
    <mergeCell ref="FQ10:FR10"/>
    <mergeCell ref="FQ11:FR11"/>
    <mergeCell ref="FG9:FH9"/>
    <mergeCell ref="FG10:FH10"/>
    <mergeCell ref="FG11:FH11"/>
    <mergeCell ref="FI9:FJ9"/>
    <mergeCell ref="FI10:FJ10"/>
    <mergeCell ref="FI11:FJ11"/>
    <mergeCell ref="FK9:FL9"/>
    <mergeCell ref="FK10:FL10"/>
    <mergeCell ref="FK11:FL11"/>
    <mergeCell ref="FA9:FB9"/>
    <mergeCell ref="FA10:FB10"/>
    <mergeCell ref="FA11:FB11"/>
    <mergeCell ref="FC9:FD9"/>
    <mergeCell ref="FC10:FD10"/>
    <mergeCell ref="FC11:FD11"/>
    <mergeCell ref="FE9:FF9"/>
    <mergeCell ref="FE10:FF10"/>
    <mergeCell ref="FE11:FF11"/>
    <mergeCell ref="EU9:EV9"/>
    <mergeCell ref="EU10:EV10"/>
    <mergeCell ref="EU11:EV11"/>
    <mergeCell ref="EW9:EX9"/>
    <mergeCell ref="EW10:EX10"/>
    <mergeCell ref="EW11:EX11"/>
    <mergeCell ref="EY9:EZ9"/>
    <mergeCell ref="EY10:EZ10"/>
    <mergeCell ref="EY11:EZ11"/>
    <mergeCell ref="EO9:EP9"/>
    <mergeCell ref="EO10:EP10"/>
    <mergeCell ref="EO11:EP11"/>
    <mergeCell ref="EQ9:ER9"/>
    <mergeCell ref="EQ10:ER10"/>
    <mergeCell ref="EQ11:ER11"/>
    <mergeCell ref="ES9:ET9"/>
    <mergeCell ref="ES10:ET10"/>
    <mergeCell ref="ES11:ET11"/>
    <mergeCell ref="EI9:EJ9"/>
    <mergeCell ref="EI10:EJ10"/>
    <mergeCell ref="EI11:EJ11"/>
    <mergeCell ref="EK9:EL9"/>
    <mergeCell ref="EK10:EL10"/>
    <mergeCell ref="EK11:EL11"/>
    <mergeCell ref="EM9:EN9"/>
    <mergeCell ref="EM10:EN10"/>
    <mergeCell ref="EM11:EN11"/>
    <mergeCell ref="EC9:ED9"/>
    <mergeCell ref="EC10:ED10"/>
    <mergeCell ref="EC11:ED11"/>
    <mergeCell ref="EE9:EF9"/>
    <mergeCell ref="EE10:EF10"/>
    <mergeCell ref="EE11:EF11"/>
    <mergeCell ref="EG9:EH9"/>
    <mergeCell ref="EG10:EH10"/>
    <mergeCell ref="EG11:EH11"/>
    <mergeCell ref="DW9:DX9"/>
    <mergeCell ref="DW10:DX10"/>
    <mergeCell ref="DW11:DX11"/>
    <mergeCell ref="DY9:DZ9"/>
    <mergeCell ref="DY10:DZ10"/>
    <mergeCell ref="DY11:DZ11"/>
    <mergeCell ref="EA9:EB9"/>
    <mergeCell ref="EA10:EB10"/>
    <mergeCell ref="EA11:EB11"/>
    <mergeCell ref="DQ9:DR9"/>
    <mergeCell ref="DQ10:DR10"/>
    <mergeCell ref="DQ11:DR11"/>
    <mergeCell ref="DS9:DT9"/>
    <mergeCell ref="DS10:DT10"/>
    <mergeCell ref="DS11:DT11"/>
    <mergeCell ref="DU9:DV9"/>
    <mergeCell ref="DU10:DV10"/>
    <mergeCell ref="DU11:DV11"/>
    <mergeCell ref="DK9:DL9"/>
    <mergeCell ref="DK10:DL10"/>
    <mergeCell ref="DK11:DL11"/>
    <mergeCell ref="DM9:DN9"/>
    <mergeCell ref="DM10:DN10"/>
    <mergeCell ref="DM11:DN11"/>
    <mergeCell ref="DO9:DP9"/>
    <mergeCell ref="DO10:DP10"/>
    <mergeCell ref="DO11:DP11"/>
    <mergeCell ref="DE9:DF9"/>
    <mergeCell ref="DE10:DF10"/>
    <mergeCell ref="DE11:DF11"/>
    <mergeCell ref="DG9:DH9"/>
    <mergeCell ref="DG10:DH10"/>
    <mergeCell ref="DG11:DH11"/>
    <mergeCell ref="DI9:DJ9"/>
    <mergeCell ref="DI10:DJ10"/>
    <mergeCell ref="DI11:DJ11"/>
    <mergeCell ref="CY9:CZ9"/>
    <mergeCell ref="CY10:CZ10"/>
    <mergeCell ref="CY11:CZ11"/>
    <mergeCell ref="DA9:DB9"/>
    <mergeCell ref="DA10:DB10"/>
    <mergeCell ref="DA11:DB11"/>
    <mergeCell ref="DC9:DD9"/>
    <mergeCell ref="DC10:DD10"/>
    <mergeCell ref="DC11:DD11"/>
    <mergeCell ref="CS9:CT9"/>
    <mergeCell ref="CS10:CT10"/>
    <mergeCell ref="CS11:CT11"/>
    <mergeCell ref="CU9:CV9"/>
    <mergeCell ref="CU10:CV10"/>
    <mergeCell ref="CU11:CV11"/>
    <mergeCell ref="CW9:CX9"/>
    <mergeCell ref="CW10:CX10"/>
    <mergeCell ref="CW11:CX11"/>
    <mergeCell ref="CM9:CN9"/>
    <mergeCell ref="CM10:CN10"/>
    <mergeCell ref="CM11:CN11"/>
    <mergeCell ref="CO9:CP9"/>
    <mergeCell ref="CO10:CP10"/>
    <mergeCell ref="CO11:CP11"/>
    <mergeCell ref="CQ9:CR9"/>
    <mergeCell ref="CQ10:CR10"/>
    <mergeCell ref="CQ11:CR11"/>
    <mergeCell ref="CG9:CH9"/>
    <mergeCell ref="CG10:CH10"/>
    <mergeCell ref="CG11:CH11"/>
    <mergeCell ref="CI9:CJ9"/>
    <mergeCell ref="CI10:CJ10"/>
    <mergeCell ref="CI11:CJ11"/>
    <mergeCell ref="CK9:CL9"/>
    <mergeCell ref="CK10:CL10"/>
    <mergeCell ref="CK11:CL11"/>
    <mergeCell ref="CA9:CB9"/>
    <mergeCell ref="CA10:CB10"/>
    <mergeCell ref="CA11:CB11"/>
    <mergeCell ref="CC9:CD9"/>
    <mergeCell ref="CC10:CD10"/>
    <mergeCell ref="CC11:CD11"/>
    <mergeCell ref="CE9:CF9"/>
    <mergeCell ref="CE10:CF10"/>
    <mergeCell ref="CE11:CF11"/>
    <mergeCell ref="BU9:BV9"/>
    <mergeCell ref="BU10:BV10"/>
    <mergeCell ref="BU11:BV11"/>
    <mergeCell ref="BW9:BX9"/>
    <mergeCell ref="BW10:BX10"/>
    <mergeCell ref="BW11:BX11"/>
    <mergeCell ref="BY9:BZ9"/>
    <mergeCell ref="BY10:BZ10"/>
    <mergeCell ref="BY11:BZ11"/>
    <mergeCell ref="BO9:BP9"/>
    <mergeCell ref="BO10:BP10"/>
    <mergeCell ref="BO11:BP11"/>
    <mergeCell ref="BQ9:BR9"/>
    <mergeCell ref="BQ10:BR10"/>
    <mergeCell ref="BQ11:BR11"/>
    <mergeCell ref="BS9:BT9"/>
    <mergeCell ref="BS10:BT10"/>
    <mergeCell ref="BS11:BT11"/>
    <mergeCell ref="BI9:BJ9"/>
    <mergeCell ref="BI10:BJ10"/>
    <mergeCell ref="BI11:BJ11"/>
    <mergeCell ref="BK9:BL9"/>
    <mergeCell ref="BK10:BL10"/>
    <mergeCell ref="BK11:BL11"/>
    <mergeCell ref="BM9:BN9"/>
    <mergeCell ref="BM10:BN10"/>
    <mergeCell ref="BM11:BN11"/>
    <mergeCell ref="BC9:BD9"/>
    <mergeCell ref="BC10:BD10"/>
    <mergeCell ref="BC11:BD11"/>
    <mergeCell ref="BE9:BF9"/>
    <mergeCell ref="BE10:BF10"/>
    <mergeCell ref="BE11:BF11"/>
    <mergeCell ref="BG9:BH9"/>
    <mergeCell ref="BG10:BH10"/>
    <mergeCell ref="BG11:BH11"/>
    <mergeCell ref="AW9:AX9"/>
    <mergeCell ref="AW10:AX10"/>
    <mergeCell ref="AW11:AX11"/>
    <mergeCell ref="AY9:AZ9"/>
    <mergeCell ref="AY10:AZ10"/>
    <mergeCell ref="AY11:AZ11"/>
    <mergeCell ref="BA9:BB9"/>
    <mergeCell ref="BA10:BB10"/>
    <mergeCell ref="BA11:BB11"/>
    <mergeCell ref="AQ9:AR9"/>
    <mergeCell ref="AQ10:AR10"/>
    <mergeCell ref="AQ11:AR11"/>
    <mergeCell ref="AS9:AT9"/>
    <mergeCell ref="AS10:AT10"/>
    <mergeCell ref="AS11:AT11"/>
    <mergeCell ref="AU9:AV9"/>
    <mergeCell ref="AU10:AV10"/>
    <mergeCell ref="AU11:AV11"/>
    <mergeCell ref="AK9:AL9"/>
    <mergeCell ref="AK10:AL10"/>
    <mergeCell ref="AK11:AL11"/>
    <mergeCell ref="AM9:AN9"/>
    <mergeCell ref="AM10:AN10"/>
    <mergeCell ref="AM11:AN11"/>
    <mergeCell ref="AO9:AP9"/>
    <mergeCell ref="AO10:AP10"/>
    <mergeCell ref="AO11:AP11"/>
    <mergeCell ref="AE9:AF9"/>
    <mergeCell ref="AE10:AF10"/>
    <mergeCell ref="AE11:AF11"/>
    <mergeCell ref="AG9:AH9"/>
    <mergeCell ref="AG10:AH10"/>
    <mergeCell ref="AG11:AH11"/>
    <mergeCell ref="AI9:AJ9"/>
    <mergeCell ref="AI10:AJ10"/>
    <mergeCell ref="AI11:AJ11"/>
    <mergeCell ref="Y9:Z9"/>
    <mergeCell ref="Y10:Z10"/>
    <mergeCell ref="Y11:Z11"/>
    <mergeCell ref="AA9:AB9"/>
    <mergeCell ref="AA10:AB10"/>
    <mergeCell ref="AA11:AB11"/>
    <mergeCell ref="AC9:AD9"/>
    <mergeCell ref="AC10:AD10"/>
    <mergeCell ref="AC11:AD11"/>
    <mergeCell ref="Q11:R11"/>
    <mergeCell ref="S9:T9"/>
    <mergeCell ref="S10:T10"/>
    <mergeCell ref="S11:T11"/>
    <mergeCell ref="U9:V9"/>
    <mergeCell ref="U10:V10"/>
    <mergeCell ref="U11:V11"/>
    <mergeCell ref="W9:X9"/>
    <mergeCell ref="W10:X10"/>
    <mergeCell ref="W11:X11"/>
    <mergeCell ref="D5:J5"/>
    <mergeCell ref="D6:J6"/>
    <mergeCell ref="GM9:GM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DB19:DB21 DD19:DD21 DF19:DF21 DH19:DH21 DJ19:DJ21 DL19:DL21 DN19:DN21 DP19:DP21 DR19:DR21 DT19:DT21 DV19:DV21 DX19:DX21 DZ19:DZ21 EB19:EB21 ED19:ED21 EF19:EF21 EH19:EH21 EJ19:EJ21 EL19:EL21 EN19:EN21 EP19:EP21 ER19:ER21 ET19:ET21 EV19:EV21 EX19:EX21 EZ19:EZ21 FB19:FB21 FD19:FD21 FF19:FF21 FH19:FH21 FJ19:FJ21 FL19:FL21 FN19:FN21 FP19:FP21 FR19:FR21 FT19:FT21 FV19:FV21 FX19:FX21 FZ19:FZ21 GB19:GB21 GD19:GD21 GF19:GF21 GH19:GH21 GJ19:GJ21 GL19:GL21" xr:uid="{00000000-0002-0000-2F00-000000000000}">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DA19 DA20 DC19 DC20 DE19 DE20 DG19 DG20 DI19 DI20 DK19 DK20 DM19 DM20 DO19 DO20 DQ19 DQ20 DS19 DS20 DU19 DU20 DW19 DW20 DY19 DY20 EA19 EA20 EC19 EC20 EE19 EE20 EG19 EG20 EI19 EI20 EK19 EK20 EM19 EM20 EO19 EO20 EQ19 EQ20 ES19 ES20 EU19 EU20 EW19 EW20 EY19 EY20 FA19 FA20 FC19 FC20 FE19 FE20 FG19 FG20 FI19 FI20 FK19 FK20 FM19 FM20 FO19 FO20 FQ19 FQ20 FS19 FS20 FU19 FU20 FW19 FW20 FY19 FY20 GA19 GA20 GC19 GC20 GE19 GE20 GG19 GG20 GI19 GI20 GK19 GK20" xr:uid="{00000000-0002-0000-2F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F00-000002000000}"/>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DA21 DC21 DE21 DG21 DI21 DK21 DM21 DO21 DQ21 DS21 DU21 DW21 DY21 EA21 EC21 EE21 EG21 EI21 EK21 EM21 EO21 EQ21 ES21 EU21 EW21 EY21 FA21 FC21 FE21 FG21 FI21 FK21 FM21 FO21 FQ21 FS21 FU21 FW21 FY21 GA21 GC21 GE21 GG21 GI21 GK21" xr:uid="{00000000-0002-0000-2F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9B118-03BD-9504-2ACB-82E9092A7FA4}">
  <sheetPr>
    <tabColor rgb="FFFFCC99"/>
  </sheetPr>
  <dimension ref="A1:CD118"/>
  <sheetViews>
    <sheetView showGridLines="0" workbookViewId="0"/>
  </sheetViews>
  <sheetFormatPr defaultColWidth="9.140625" defaultRowHeight="11.25" customHeight="1"/>
  <cols>
    <col min="1" max="1" width="32.5703125" style="1918" customWidth="1"/>
    <col min="2" max="2" width="11" style="1962" customWidth="1"/>
    <col min="3" max="3" width="9.140625" style="1962"/>
    <col min="4" max="4" width="26.5703125" style="1962" customWidth="1"/>
    <col min="5" max="5" width="27.7109375" style="1937" customWidth="1"/>
    <col min="6" max="6" width="23.5703125" style="1937" customWidth="1"/>
    <col min="7" max="7" width="31.42578125" style="1937" customWidth="1"/>
    <col min="8" max="8" width="40.85546875" style="1937" customWidth="1"/>
    <col min="9" max="9" width="14.5703125" style="1937" customWidth="1"/>
    <col min="10" max="10" width="26.85546875" style="1937" customWidth="1"/>
    <col min="11" max="11" width="50" style="1937" customWidth="1"/>
    <col min="12" max="12" width="52.42578125" style="1937" customWidth="1"/>
    <col min="13" max="13" width="10.7109375" style="1937" customWidth="1"/>
    <col min="14" max="14" width="55.140625" style="1937" customWidth="1"/>
    <col min="15" max="15" width="31.85546875" style="1937" customWidth="1"/>
    <col min="16" max="16" width="23.85546875" style="1937" customWidth="1"/>
    <col min="17" max="17" width="46.5703125" style="1937" customWidth="1"/>
    <col min="18" max="18" width="24" style="1937" customWidth="1"/>
    <col min="19" max="19" width="20.5703125" style="1937" customWidth="1"/>
    <col min="20" max="20" width="22" style="1937" customWidth="1"/>
    <col min="21" max="22" width="26.42578125" style="1937" customWidth="1"/>
    <col min="23" max="23" width="8.28515625" style="1937" hidden="1" customWidth="1"/>
    <col min="24" max="24" width="59.7109375" style="1937" customWidth="1"/>
    <col min="25" max="25" width="49.140625" style="1937" customWidth="1"/>
    <col min="26" max="26" width="11.140625" style="1937" customWidth="1"/>
    <col min="27" max="30" width="29" style="1937" customWidth="1"/>
    <col min="31" max="31" width="9.140625" style="1937"/>
    <col min="32" max="32" width="34.7109375" style="1937" customWidth="1"/>
    <col min="33" max="33" width="9.140625" style="1937"/>
    <col min="34" max="35" width="34.42578125" style="1937" customWidth="1"/>
    <col min="36" max="36" width="9.140625" style="1937"/>
    <col min="37" max="37" width="24.5703125" style="1937" customWidth="1"/>
    <col min="38" max="38" width="9.140625" style="1937"/>
    <col min="39" max="39" width="26.140625" style="1937" customWidth="1"/>
    <col min="40" max="40" width="1.7109375" style="1937" customWidth="1"/>
    <col min="41" max="41" width="9.140625" style="1937"/>
    <col min="42" max="43" width="47.85546875" style="1937" customWidth="1"/>
    <col min="44" max="44" width="1.7109375" style="1937" customWidth="1"/>
    <col min="45" max="45" width="21.42578125" style="1937" customWidth="1"/>
    <col min="46" max="46" width="1.7109375" style="1937" customWidth="1"/>
    <col min="47" max="47" width="31.28515625" style="1937" customWidth="1"/>
    <col min="48" max="48" width="1.7109375" style="1937" customWidth="1"/>
    <col min="49" max="50" width="9.140625" style="1937"/>
    <col min="51" max="51" width="3.7109375" style="1937" customWidth="1"/>
    <col min="52" max="52" width="60.85546875" style="1937" customWidth="1"/>
    <col min="53" max="53" width="49.28515625" style="1937" customWidth="1"/>
    <col min="54" max="54" width="35.140625" style="1937" customWidth="1"/>
    <col min="55" max="55" width="9.140625" style="1937"/>
    <col min="56" max="56" width="1.7109375" style="1937" customWidth="1"/>
    <col min="57" max="57" width="12.5703125" style="1919" customWidth="1"/>
    <col min="58" max="58" width="14.28515625" style="1919" customWidth="1"/>
    <col min="59" max="59" width="30.7109375" style="1937" customWidth="1"/>
    <col min="60" max="60" width="40.7109375" style="1939" customWidth="1"/>
    <col min="61" max="61" width="15" style="1939" customWidth="1"/>
    <col min="62" max="62" width="40.7109375" style="1939" customWidth="1"/>
    <col min="63" max="63" width="2.7109375" style="1939" customWidth="1"/>
    <col min="64" max="64" width="44.7109375" style="1939" customWidth="1"/>
    <col min="65" max="65" width="2.7109375" style="1939" customWidth="1"/>
    <col min="66" max="66" width="40.7109375" style="1939" customWidth="1"/>
    <col min="67" max="68" width="9.140625" style="1937"/>
    <col min="69" max="69" width="18.140625" style="1937" customWidth="1"/>
    <col min="70" max="70" width="57.85546875" style="1937" customWidth="1"/>
    <col min="71" max="71" width="1.7109375" style="1937" customWidth="1"/>
    <col min="72" max="72" width="22.5703125" style="1937" customWidth="1"/>
    <col min="73" max="73" width="57.85546875" style="1937" customWidth="1"/>
    <col min="74" max="74" width="1.7109375" style="1937" customWidth="1"/>
    <col min="75" max="75" width="22.5703125" style="1937" customWidth="1"/>
    <col min="76" max="76" width="57.85546875" style="1937" customWidth="1"/>
    <col min="77" max="77" width="1.7109375" style="1937" customWidth="1"/>
    <col min="78" max="78" width="22.5703125" style="1937" customWidth="1"/>
    <col min="79" max="79" width="57.85546875" style="1937" customWidth="1"/>
    <col min="80" max="81" width="9.140625" style="1937"/>
    <col min="82" max="82" width="49.5703125" style="1937" customWidth="1"/>
  </cols>
  <sheetData>
    <row r="1" spans="1:79" s="1916" customFormat="1" ht="11.25" customHeight="1">
      <c r="A1" s="935" t="s">
        <v>1526</v>
      </c>
      <c r="B1" s="935" t="s">
        <v>1527</v>
      </c>
      <c r="C1" s="935" t="s">
        <v>1528</v>
      </c>
      <c r="D1" s="935" t="s">
        <v>1529</v>
      </c>
      <c r="E1" s="935" t="s">
        <v>1530</v>
      </c>
      <c r="F1" s="935" t="s">
        <v>1531</v>
      </c>
      <c r="G1" s="935" t="s">
        <v>1532</v>
      </c>
      <c r="H1" s="935" t="s">
        <v>1533</v>
      </c>
      <c r="I1" s="935" t="s">
        <v>1534</v>
      </c>
      <c r="J1" s="935" t="s">
        <v>1535</v>
      </c>
      <c r="K1" s="935" t="s">
        <v>1536</v>
      </c>
      <c r="L1" s="935" t="s">
        <v>1537</v>
      </c>
      <c r="M1" s="935"/>
      <c r="N1" s="935" t="s">
        <v>1538</v>
      </c>
      <c r="O1" s="935" t="s">
        <v>1539</v>
      </c>
      <c r="P1" s="935" t="s">
        <v>1540</v>
      </c>
      <c r="Q1" s="935" t="s">
        <v>1541</v>
      </c>
      <c r="R1" s="935" t="s">
        <v>1542</v>
      </c>
      <c r="S1" s="935" t="s">
        <v>1543</v>
      </c>
      <c r="T1" s="935" t="s">
        <v>1544</v>
      </c>
      <c r="U1" s="935" t="s">
        <v>1545</v>
      </c>
      <c r="V1" s="935"/>
      <c r="W1" s="678" t="s">
        <v>1546</v>
      </c>
      <c r="X1" s="935" t="s">
        <v>1547</v>
      </c>
      <c r="Y1" s="935" t="s">
        <v>1548</v>
      </c>
      <c r="Z1" s="935"/>
      <c r="AA1" s="935" t="s">
        <v>1549</v>
      </c>
      <c r="AB1" s="935"/>
      <c r="AC1" s="935" t="s">
        <v>1550</v>
      </c>
      <c r="AD1" s="935"/>
      <c r="AF1" s="935" t="s">
        <v>1551</v>
      </c>
      <c r="AH1" s="935" t="s">
        <v>1552</v>
      </c>
      <c r="AI1" s="935" t="s">
        <v>1553</v>
      </c>
      <c r="AK1" s="935" t="s">
        <v>1554</v>
      </c>
      <c r="AM1" s="935" t="s">
        <v>1555</v>
      </c>
      <c r="AP1" s="935" t="s">
        <v>1556</v>
      </c>
      <c r="AQ1" s="935" t="s">
        <v>1557</v>
      </c>
      <c r="AS1" s="935" t="s">
        <v>1558</v>
      </c>
      <c r="AU1" s="935" t="s">
        <v>1559</v>
      </c>
      <c r="AW1" s="935" t="s">
        <v>1560</v>
      </c>
      <c r="AX1" s="935" t="s">
        <v>1561</v>
      </c>
      <c r="AZ1" s="1015" t="s">
        <v>1562</v>
      </c>
      <c r="BB1" s="935" t="s">
        <v>1563</v>
      </c>
      <c r="BC1" s="935"/>
      <c r="BE1" s="935" t="s">
        <v>1564</v>
      </c>
      <c r="BF1" s="935" t="s">
        <v>1565</v>
      </c>
      <c r="BH1" s="937" t="s">
        <v>1079</v>
      </c>
      <c r="BI1" s="938"/>
      <c r="BJ1" s="939" t="s">
        <v>1566</v>
      </c>
      <c r="BK1" s="938"/>
      <c r="BL1" s="940" t="s">
        <v>1177</v>
      </c>
      <c r="BM1" s="938"/>
      <c r="BN1" s="941" t="s">
        <v>1567</v>
      </c>
      <c r="BS1" s="1287"/>
    </row>
    <row r="2" spans="1:79" ht="11.25" customHeight="1">
      <c r="A2" s="942" t="s">
        <v>1568</v>
      </c>
      <c r="B2" s="943">
        <v>2000</v>
      </c>
      <c r="C2" s="943">
        <v>2022</v>
      </c>
      <c r="D2" s="943" t="s">
        <v>64</v>
      </c>
      <c r="E2" s="944" t="s">
        <v>1569</v>
      </c>
      <c r="F2" s="944" t="s">
        <v>1570</v>
      </c>
      <c r="G2" s="944" t="s">
        <v>1571</v>
      </c>
      <c r="H2" s="945" t="s">
        <v>52</v>
      </c>
      <c r="I2" s="944" t="s">
        <v>106</v>
      </c>
      <c r="J2" s="944" t="s">
        <v>1572</v>
      </c>
      <c r="K2" s="946" t="s">
        <v>1573</v>
      </c>
      <c r="L2" s="947"/>
      <c r="M2" s="946">
        <v>1</v>
      </c>
      <c r="N2" s="1025" t="s">
        <v>1574</v>
      </c>
      <c r="O2" s="945" t="s">
        <v>1575</v>
      </c>
      <c r="P2" s="948" t="s">
        <v>34</v>
      </c>
      <c r="Q2" s="949" t="s">
        <v>1576</v>
      </c>
      <c r="R2" s="64" t="s">
        <v>1577</v>
      </c>
      <c r="S2" s="64" t="s">
        <v>1578</v>
      </c>
      <c r="T2" s="950" t="s">
        <v>1579</v>
      </c>
      <c r="U2" s="947" t="s">
        <v>1580</v>
      </c>
      <c r="V2" s="951">
        <v>1</v>
      </c>
      <c r="W2" s="952"/>
      <c r="X2" s="952" t="s">
        <v>1581</v>
      </c>
      <c r="Y2" s="943" t="s">
        <v>1582</v>
      </c>
      <c r="Z2" s="953"/>
      <c r="AA2" s="943" t="s">
        <v>1583</v>
      </c>
      <c r="AB2" s="954" t="s">
        <v>1583</v>
      </c>
      <c r="AC2" s="943" t="s">
        <v>1584</v>
      </c>
      <c r="AD2" s="954" t="s">
        <v>1584</v>
      </c>
      <c r="AF2" s="945" t="s">
        <v>1580</v>
      </c>
      <c r="AH2" s="944" t="s">
        <v>1585</v>
      </c>
      <c r="AI2" s="944" t="s">
        <v>1585</v>
      </c>
      <c r="AK2" s="944" t="s">
        <v>1586</v>
      </c>
      <c r="AM2" s="944" t="s">
        <v>1587</v>
      </c>
      <c r="AP2" s="955" t="s">
        <v>1581</v>
      </c>
      <c r="AQ2" s="956" t="s">
        <v>1581</v>
      </c>
      <c r="AS2" s="943" t="s">
        <v>1588</v>
      </c>
      <c r="AU2" s="986" t="s">
        <v>1589</v>
      </c>
      <c r="AW2" s="986" t="s">
        <v>1590</v>
      </c>
      <c r="AX2" s="986" t="s">
        <v>1590</v>
      </c>
      <c r="AZ2" s="986" t="s">
        <v>1591</v>
      </c>
      <c r="BB2" s="986" t="s">
        <v>1592</v>
      </c>
      <c r="BC2" s="986" t="s">
        <v>1593</v>
      </c>
      <c r="BE2" s="986">
        <v>2000</v>
      </c>
      <c r="BF2" s="986" t="s">
        <v>1594</v>
      </c>
    </row>
    <row r="3" spans="1:79" ht="11.25" customHeight="1">
      <c r="A3" s="942" t="s">
        <v>1595</v>
      </c>
      <c r="B3" s="943">
        <v>2001</v>
      </c>
      <c r="C3" s="943">
        <v>2023</v>
      </c>
      <c r="D3" s="943" t="s">
        <v>54</v>
      </c>
      <c r="E3" s="944" t="s">
        <v>1596</v>
      </c>
      <c r="F3" s="944" t="s">
        <v>1597</v>
      </c>
      <c r="G3" s="944" t="s">
        <v>1598</v>
      </c>
      <c r="H3" s="945" t="s">
        <v>1599</v>
      </c>
      <c r="I3" s="944" t="s">
        <v>107</v>
      </c>
      <c r="J3" s="944" t="s">
        <v>821</v>
      </c>
      <c r="K3" s="946" t="s">
        <v>1600</v>
      </c>
      <c r="L3" s="947">
        <f>IFERROR(MATCH(K3,OFFER_METHOD,0),0)</f>
        <v>0</v>
      </c>
      <c r="M3" s="946">
        <v>2</v>
      </c>
      <c r="N3" s="1025" t="s">
        <v>1601</v>
      </c>
      <c r="O3" s="945" t="s">
        <v>1602</v>
      </c>
      <c r="P3" s="948" t="s">
        <v>1603</v>
      </c>
      <c r="Q3" s="949" t="s">
        <v>1604</v>
      </c>
      <c r="R3" s="64" t="s">
        <v>1605</v>
      </c>
      <c r="S3" s="64" t="s">
        <v>1606</v>
      </c>
      <c r="T3" s="950" t="s">
        <v>1607</v>
      </c>
      <c r="U3" s="947" t="s">
        <v>1608</v>
      </c>
      <c r="V3" s="951">
        <v>2</v>
      </c>
      <c r="W3" s="952"/>
      <c r="X3" s="952" t="s">
        <v>1609</v>
      </c>
      <c r="Y3" s="943" t="s">
        <v>1582</v>
      </c>
      <c r="Z3" s="953"/>
      <c r="AA3" s="943" t="s">
        <v>1610</v>
      </c>
      <c r="AB3" s="954" t="s">
        <v>1610</v>
      </c>
      <c r="AC3" s="943" t="s">
        <v>1611</v>
      </c>
      <c r="AD3" s="954" t="s">
        <v>1611</v>
      </c>
      <c r="AF3" s="945" t="s">
        <v>1608</v>
      </c>
      <c r="AH3" s="944" t="s">
        <v>1612</v>
      </c>
      <c r="AI3" s="944" t="s">
        <v>1613</v>
      </c>
      <c r="AK3" s="944" t="s">
        <v>1614</v>
      </c>
      <c r="AM3" s="944" t="s">
        <v>1615</v>
      </c>
      <c r="AP3" s="955" t="s">
        <v>1616</v>
      </c>
      <c r="AQ3" s="956" t="s">
        <v>1616</v>
      </c>
      <c r="AS3" s="943" t="s">
        <v>1617</v>
      </c>
      <c r="AU3" s="986" t="s">
        <v>1618</v>
      </c>
      <c r="AW3" s="986" t="s">
        <v>1619</v>
      </c>
      <c r="AX3" s="986" t="s">
        <v>1619</v>
      </c>
      <c r="AZ3" s="986" t="s">
        <v>50</v>
      </c>
      <c r="BB3" s="986" t="s">
        <v>1620</v>
      </c>
      <c r="BC3" s="986" t="s">
        <v>1593</v>
      </c>
      <c r="BE3" s="986">
        <v>2001</v>
      </c>
      <c r="BF3" s="986" t="s">
        <v>1621</v>
      </c>
      <c r="BH3" s="935" t="s">
        <v>1622</v>
      </c>
      <c r="BJ3" s="935" t="s">
        <v>1623</v>
      </c>
      <c r="BL3" s="935" t="s">
        <v>1624</v>
      </c>
      <c r="BN3" s="935" t="s">
        <v>1625</v>
      </c>
      <c r="BR3" s="935" t="s">
        <v>1626</v>
      </c>
      <c r="BS3" s="1288"/>
      <c r="BT3" s="938"/>
      <c r="BU3" s="935" t="s">
        <v>1627</v>
      </c>
      <c r="BV3" s="938"/>
      <c r="BW3"/>
      <c r="BX3" s="1536" t="s">
        <v>1628</v>
      </c>
      <c r="CA3" s="935" t="s">
        <v>1629</v>
      </c>
    </row>
    <row r="4" spans="1:79" ht="11.25" customHeight="1">
      <c r="A4" s="942" t="s">
        <v>1630</v>
      </c>
      <c r="B4" s="943">
        <v>2002</v>
      </c>
      <c r="C4" s="943">
        <v>2024</v>
      </c>
      <c r="E4" s="944" t="s">
        <v>1631</v>
      </c>
      <c r="F4" s="944" t="s">
        <v>1632</v>
      </c>
      <c r="H4" s="945" t="s">
        <v>1633</v>
      </c>
      <c r="I4" s="944" t="s">
        <v>87</v>
      </c>
      <c r="J4" s="944" t="s">
        <v>1634</v>
      </c>
      <c r="K4" s="946" t="s">
        <v>1635</v>
      </c>
      <c r="L4" s="947">
        <f>IFERROR(MATCH(K4,OFFER_METHOD,0),0)</f>
        <v>0</v>
      </c>
      <c r="M4" s="946">
        <v>3</v>
      </c>
      <c r="N4" s="1025" t="s">
        <v>1636</v>
      </c>
      <c r="O4" s="944" t="s">
        <v>1637</v>
      </c>
      <c r="Q4" s="949" t="s">
        <v>1638</v>
      </c>
      <c r="R4" s="64" t="s">
        <v>1639</v>
      </c>
      <c r="S4" s="64" t="s">
        <v>1640</v>
      </c>
      <c r="T4" s="950" t="s">
        <v>1641</v>
      </c>
      <c r="U4" s="947" t="s">
        <v>1642</v>
      </c>
      <c r="V4" s="951">
        <v>3</v>
      </c>
      <c r="W4" s="952"/>
      <c r="X4" s="952" t="s">
        <v>1643</v>
      </c>
      <c r="Y4" s="943" t="s">
        <v>1582</v>
      </c>
      <c r="Z4" s="958"/>
      <c r="AC4" s="943" t="s">
        <v>1644</v>
      </c>
      <c r="AD4" s="954" t="s">
        <v>1644</v>
      </c>
      <c r="AF4" s="945" t="s">
        <v>1642</v>
      </c>
      <c r="AH4" s="945" t="s">
        <v>1645</v>
      </c>
      <c r="AK4" s="944" t="s">
        <v>1646</v>
      </c>
      <c r="AM4" s="944" t="s">
        <v>1647</v>
      </c>
      <c r="AP4" s="955" t="s">
        <v>1609</v>
      </c>
      <c r="AQ4" s="956" t="s">
        <v>1609</v>
      </c>
      <c r="AS4" s="943" t="s">
        <v>1648</v>
      </c>
      <c r="AU4" s="986" t="s">
        <v>1649</v>
      </c>
      <c r="AW4" s="986" t="s">
        <v>1650</v>
      </c>
      <c r="AX4" s="986" t="s">
        <v>1650</v>
      </c>
      <c r="AZ4" s="986" t="s">
        <v>1651</v>
      </c>
      <c r="BB4" s="986" t="s">
        <v>1652</v>
      </c>
      <c r="BC4" s="986" t="s">
        <v>1653</v>
      </c>
      <c r="BE4" s="986">
        <v>2002</v>
      </c>
      <c r="BF4" s="986" t="s">
        <v>1654</v>
      </c>
      <c r="BH4" s="936" t="s">
        <v>1655</v>
      </c>
      <c r="BJ4" s="936" t="s">
        <v>1655</v>
      </c>
      <c r="BL4" s="936" t="s">
        <v>1655</v>
      </c>
      <c r="BN4" s="936" t="s">
        <v>1655</v>
      </c>
      <c r="BQ4" s="1292" t="s">
        <v>1656</v>
      </c>
      <c r="BR4" s="1022" t="s">
        <v>1657</v>
      </c>
      <c r="BS4" s="188"/>
      <c r="BT4" s="1292" t="s">
        <v>1658</v>
      </c>
      <c r="BU4" s="1022" t="s">
        <v>1659</v>
      </c>
      <c r="BV4" s="938"/>
      <c r="BW4" s="1541" t="s">
        <v>1660</v>
      </c>
      <c r="BX4" s="1535" t="s">
        <v>1661</v>
      </c>
      <c r="BZ4" s="1292" t="s">
        <v>1662</v>
      </c>
      <c r="CA4" s="1022" t="s">
        <v>1663</v>
      </c>
    </row>
    <row r="5" spans="1:79" ht="11.25" customHeight="1">
      <c r="A5" s="942" t="s">
        <v>1664</v>
      </c>
      <c r="B5" s="943">
        <v>2003</v>
      </c>
      <c r="C5" s="943">
        <v>2025</v>
      </c>
      <c r="E5" s="944" t="s">
        <v>1665</v>
      </c>
      <c r="F5" s="944" t="s">
        <v>31</v>
      </c>
      <c r="H5" s="945" t="s">
        <v>1666</v>
      </c>
      <c r="I5" s="944" t="s">
        <v>88</v>
      </c>
      <c r="K5" s="946" t="s">
        <v>1667</v>
      </c>
      <c r="L5" s="947">
        <f>IFERROR(MATCH(K5,OFFER_METHOD,0),0)</f>
        <v>0</v>
      </c>
      <c r="M5" s="946">
        <v>4</v>
      </c>
      <c r="N5" s="959" t="s">
        <v>1668</v>
      </c>
      <c r="O5" s="944" t="s">
        <v>1669</v>
      </c>
      <c r="Q5" s="949" t="s">
        <v>1670</v>
      </c>
      <c r="R5" s="64" t="s">
        <v>1671</v>
      </c>
      <c r="T5" s="945" t="s">
        <v>1672</v>
      </c>
      <c r="U5" s="947" t="s">
        <v>1673</v>
      </c>
      <c r="V5" s="951">
        <v>4</v>
      </c>
      <c r="W5" s="952"/>
      <c r="X5" s="952" t="s">
        <v>428</v>
      </c>
      <c r="Y5" s="943" t="s">
        <v>1674</v>
      </c>
      <c r="Z5" s="958">
        <v>1</v>
      </c>
      <c r="AF5" s="945" t="s">
        <v>1675</v>
      </c>
      <c r="AH5" s="944" t="s">
        <v>1676</v>
      </c>
      <c r="AK5" s="944" t="s">
        <v>1677</v>
      </c>
      <c r="AM5" s="944" t="s">
        <v>1678</v>
      </c>
      <c r="AP5" s="955" t="s">
        <v>428</v>
      </c>
      <c r="AQ5" s="956" t="s">
        <v>428</v>
      </c>
      <c r="AU5" s="986" t="s">
        <v>1679</v>
      </c>
      <c r="AW5" s="986" t="s">
        <v>1680</v>
      </c>
      <c r="AX5" s="986" t="s">
        <v>1680</v>
      </c>
      <c r="AZ5" s="986" t="s">
        <v>1681</v>
      </c>
      <c r="BB5" s="986" t="s">
        <v>1682</v>
      </c>
      <c r="BC5" s="986" t="s">
        <v>1683</v>
      </c>
      <c r="BE5" s="986">
        <v>2003</v>
      </c>
      <c r="BF5" s="986" t="s">
        <v>1684</v>
      </c>
      <c r="BH5" s="936" t="s">
        <v>1685</v>
      </c>
      <c r="BJ5" s="936" t="s">
        <v>1685</v>
      </c>
      <c r="BL5" s="936" t="s">
        <v>1685</v>
      </c>
      <c r="BN5" s="936" t="s">
        <v>1686</v>
      </c>
      <c r="BQ5" s="1147">
        <v>4213775</v>
      </c>
      <c r="BR5" s="936" t="s">
        <v>1581</v>
      </c>
      <c r="BS5" s="1289"/>
      <c r="BT5" s="1147">
        <v>64236871</v>
      </c>
      <c r="BU5" s="936" t="s">
        <v>489</v>
      </c>
      <c r="BV5" s="938"/>
      <c r="BW5" s="1539">
        <v>4213767</v>
      </c>
      <c r="BX5" s="1537" t="s">
        <v>1687</v>
      </c>
      <c r="BZ5" s="1147">
        <v>64237509</v>
      </c>
      <c r="CA5" s="1159" t="s">
        <v>1688</v>
      </c>
    </row>
    <row r="6" spans="1:79" ht="11.25" customHeight="1">
      <c r="A6" s="942" t="s">
        <v>1689</v>
      </c>
      <c r="B6" s="943">
        <v>2004</v>
      </c>
      <c r="C6" s="943">
        <v>2026</v>
      </c>
      <c r="E6" s="944" t="s">
        <v>1690</v>
      </c>
      <c r="F6" s="960"/>
      <c r="H6" s="945" t="s">
        <v>1691</v>
      </c>
      <c r="I6" s="944" t="s">
        <v>108</v>
      </c>
      <c r="J6" s="935" t="s">
        <v>1692</v>
      </c>
      <c r="L6" s="947">
        <f>SUM(kind_of_control_method_filter)</f>
        <v>0</v>
      </c>
      <c r="N6" s="959" t="s">
        <v>1693</v>
      </c>
      <c r="O6" s="944" t="s">
        <v>1694</v>
      </c>
      <c r="R6" s="64" t="s">
        <v>1576</v>
      </c>
      <c r="T6" s="945" t="s">
        <v>1695</v>
      </c>
      <c r="U6" s="947" t="s">
        <v>1675</v>
      </c>
      <c r="V6" s="951">
        <v>5</v>
      </c>
      <c r="W6" s="952"/>
      <c r="X6" s="943" t="s">
        <v>434</v>
      </c>
      <c r="Y6" s="943" t="s">
        <v>1696</v>
      </c>
      <c r="Z6" s="958"/>
      <c r="AA6" s="961"/>
      <c r="AH6" s="944" t="s">
        <v>1697</v>
      </c>
      <c r="AK6" s="944" t="s">
        <v>1698</v>
      </c>
      <c r="AM6" s="944" t="s">
        <v>1699</v>
      </c>
      <c r="AP6" s="955" t="s">
        <v>434</v>
      </c>
      <c r="AQ6" s="956" t="s">
        <v>434</v>
      </c>
      <c r="AU6" s="986" t="s">
        <v>1700</v>
      </c>
      <c r="AW6" s="986" t="s">
        <v>1701</v>
      </c>
      <c r="AX6" s="986" t="s">
        <v>1701</v>
      </c>
      <c r="BB6" s="986" t="s">
        <v>1702</v>
      </c>
      <c r="BC6" s="986" t="s">
        <v>1683</v>
      </c>
      <c r="BE6" s="986">
        <v>2004</v>
      </c>
      <c r="BF6" s="986" t="s">
        <v>1703</v>
      </c>
      <c r="BH6" s="936" t="s">
        <v>1704</v>
      </c>
      <c r="BJ6" s="936" t="s">
        <v>1705</v>
      </c>
      <c r="BL6" s="936" t="s">
        <v>1705</v>
      </c>
      <c r="BN6" s="936" t="s">
        <v>1706</v>
      </c>
      <c r="BQ6" s="1147">
        <v>4213784</v>
      </c>
      <c r="BR6" s="1159" t="s">
        <v>1616</v>
      </c>
      <c r="BS6" s="1290"/>
      <c r="BT6" s="1147">
        <v>64236872</v>
      </c>
      <c r="BU6" s="936" t="s">
        <v>494</v>
      </c>
      <c r="BV6" s="938"/>
      <c r="BW6" s="1539">
        <v>4213768</v>
      </c>
      <c r="BX6" s="1537" t="s">
        <v>514</v>
      </c>
      <c r="BZ6" s="1147">
        <v>64237510</v>
      </c>
      <c r="CA6" s="936" t="s">
        <v>1707</v>
      </c>
    </row>
    <row r="7" spans="1:79" ht="11.25" customHeight="1">
      <c r="A7" s="942" t="s">
        <v>1708</v>
      </c>
      <c r="B7" s="943">
        <v>2005</v>
      </c>
      <c r="E7" s="944" t="s">
        <v>1709</v>
      </c>
      <c r="F7" s="960"/>
      <c r="H7" s="945" t="s">
        <v>1710</v>
      </c>
      <c r="I7" s="944" t="s">
        <v>89</v>
      </c>
      <c r="J7" s="944" t="s">
        <v>1711</v>
      </c>
      <c r="N7" s="963" t="s">
        <v>1712</v>
      </c>
      <c r="O7" s="944" t="s">
        <v>1713</v>
      </c>
      <c r="U7" s="947" t="s">
        <v>54</v>
      </c>
      <c r="V7" s="278" t="s">
        <v>89</v>
      </c>
      <c r="W7" s="952"/>
      <c r="X7" s="943" t="s">
        <v>440</v>
      </c>
      <c r="Y7" s="943" t="s">
        <v>1674</v>
      </c>
      <c r="Z7" s="958"/>
      <c r="AA7" s="961"/>
      <c r="AH7" s="944" t="s">
        <v>1714</v>
      </c>
      <c r="AK7" s="944" t="s">
        <v>1715</v>
      </c>
      <c r="AM7" s="944" t="s">
        <v>1716</v>
      </c>
      <c r="AP7" s="955" t="s">
        <v>440</v>
      </c>
      <c r="AQ7" s="956" t="s">
        <v>440</v>
      </c>
      <c r="AU7" s="986" t="s">
        <v>1717</v>
      </c>
      <c r="AW7" s="986" t="s">
        <v>1718</v>
      </c>
      <c r="AX7" s="986" t="s">
        <v>1718</v>
      </c>
      <c r="AZ7" s="935" t="s">
        <v>1719</v>
      </c>
      <c r="BB7" s="986" t="s">
        <v>1720</v>
      </c>
      <c r="BC7" s="986" t="s">
        <v>1683</v>
      </c>
      <c r="BE7" s="986">
        <v>2005</v>
      </c>
      <c r="BF7" s="986" t="s">
        <v>1721</v>
      </c>
      <c r="BH7" s="936" t="s">
        <v>1722</v>
      </c>
      <c r="BJ7" s="936" t="s">
        <v>1704</v>
      </c>
      <c r="BL7" s="936" t="s">
        <v>1704</v>
      </c>
      <c r="BN7" s="936" t="s">
        <v>1723</v>
      </c>
      <c r="BQ7" s="1147">
        <v>4213781</v>
      </c>
      <c r="BR7" s="936" t="s">
        <v>1609</v>
      </c>
      <c r="BS7" s="1289"/>
      <c r="BT7" s="1147">
        <v>64236873</v>
      </c>
      <c r="BU7" s="936" t="s">
        <v>499</v>
      </c>
      <c r="BV7" s="938"/>
      <c r="BW7" s="1539">
        <v>4213769</v>
      </c>
      <c r="BX7" s="1537" t="s">
        <v>1724</v>
      </c>
      <c r="BZ7" s="1147">
        <v>64237511</v>
      </c>
      <c r="CA7" s="936" t="s">
        <v>529</v>
      </c>
    </row>
    <row r="8" spans="1:79" ht="11.25" customHeight="1">
      <c r="A8" s="942" t="s">
        <v>1725</v>
      </c>
      <c r="B8" s="943">
        <v>2006</v>
      </c>
      <c r="E8" s="944" t="s">
        <v>1726</v>
      </c>
      <c r="F8" s="960"/>
      <c r="H8" s="945" t="s">
        <v>1727</v>
      </c>
      <c r="I8" s="944" t="s">
        <v>90</v>
      </c>
      <c r="J8" s="944" t="s">
        <v>1728</v>
      </c>
      <c r="N8" s="1026" t="s">
        <v>1729</v>
      </c>
      <c r="O8" s="944" t="s">
        <v>1730</v>
      </c>
      <c r="V8" s="278" t="s">
        <v>90</v>
      </c>
      <c r="W8" s="952"/>
      <c r="X8" s="943" t="s">
        <v>446</v>
      </c>
      <c r="Y8" s="943" t="s">
        <v>1674</v>
      </c>
      <c r="Z8" s="958"/>
      <c r="AA8" s="961"/>
      <c r="AK8" s="944" t="s">
        <v>1731</v>
      </c>
      <c r="AP8" s="955" t="s">
        <v>446</v>
      </c>
      <c r="AQ8" s="956" t="s">
        <v>446</v>
      </c>
      <c r="AU8" s="986" t="s">
        <v>1732</v>
      </c>
      <c r="AW8" s="986" t="s">
        <v>1733</v>
      </c>
      <c r="AX8" s="986" t="s">
        <v>1733</v>
      </c>
      <c r="AZ8" s="986" t="s">
        <v>1734</v>
      </c>
      <c r="BB8" s="986" t="s">
        <v>1735</v>
      </c>
      <c r="BC8" s="986" t="s">
        <v>1683</v>
      </c>
      <c r="BE8" s="986">
        <v>2006</v>
      </c>
      <c r="BF8" s="986" t="s">
        <v>1736</v>
      </c>
      <c r="BH8" s="936" t="s">
        <v>1737</v>
      </c>
      <c r="BJ8" s="936" t="s">
        <v>1738</v>
      </c>
      <c r="BL8" s="936" t="s">
        <v>1738</v>
      </c>
      <c r="BN8" s="936" t="s">
        <v>1739</v>
      </c>
      <c r="BQ8" s="1147">
        <v>4213776</v>
      </c>
      <c r="BR8" s="936" t="s">
        <v>428</v>
      </c>
      <c r="BS8" s="1289"/>
      <c r="BT8" s="1147">
        <v>64236874</v>
      </c>
      <c r="BU8" s="1159" t="s">
        <v>1740</v>
      </c>
      <c r="BV8" s="938"/>
      <c r="BW8" s="1539">
        <v>4213770</v>
      </c>
      <c r="BX8" s="1540" t="s">
        <v>1741</v>
      </c>
      <c r="BZ8" s="1147">
        <v>64237512</v>
      </c>
      <c r="CA8" s="936" t="s">
        <v>524</v>
      </c>
    </row>
    <row r="9" spans="1:79" ht="11.25" customHeight="1">
      <c r="A9" s="942" t="s">
        <v>1742</v>
      </c>
      <c r="B9" s="943">
        <v>2007</v>
      </c>
      <c r="E9" s="944" t="s">
        <v>1743</v>
      </c>
      <c r="F9" s="960"/>
      <c r="G9" s="935" t="s">
        <v>1744</v>
      </c>
      <c r="H9" s="935" t="s">
        <v>1745</v>
      </c>
      <c r="I9" s="944" t="s">
        <v>109</v>
      </c>
      <c r="O9" s="944" t="s">
        <v>1746</v>
      </c>
      <c r="V9" s="278" t="s">
        <v>109</v>
      </c>
      <c r="W9" s="952"/>
      <c r="X9" s="943" t="s">
        <v>452</v>
      </c>
      <c r="Y9" s="943" t="s">
        <v>1582</v>
      </c>
      <c r="Z9" s="958">
        <v>1</v>
      </c>
      <c r="AA9" s="961"/>
      <c r="AK9" s="944" t="s">
        <v>1747</v>
      </c>
      <c r="AP9" s="955" t="s">
        <v>1748</v>
      </c>
      <c r="AQ9" s="956" t="s">
        <v>1748</v>
      </c>
      <c r="AW9" s="986" t="s">
        <v>1749</v>
      </c>
      <c r="AX9" s="986" t="s">
        <v>1749</v>
      </c>
      <c r="AZ9" s="986" t="s">
        <v>1750</v>
      </c>
      <c r="BB9" s="986" t="s">
        <v>1751</v>
      </c>
      <c r="BC9" s="986" t="s">
        <v>1683</v>
      </c>
      <c r="BE9" s="986">
        <v>2007</v>
      </c>
      <c r="BF9" s="986" t="s">
        <v>1752</v>
      </c>
      <c r="BH9" s="936" t="s">
        <v>1753</v>
      </c>
      <c r="BJ9" s="936" t="s">
        <v>1754</v>
      </c>
      <c r="BL9" s="936" t="s">
        <v>1754</v>
      </c>
      <c r="BN9" s="936" t="s">
        <v>1755</v>
      </c>
      <c r="BQ9" s="1147">
        <v>4213777</v>
      </c>
      <c r="BR9" s="936" t="s">
        <v>434</v>
      </c>
      <c r="BS9" s="1289"/>
      <c r="BT9" s="1147">
        <v>64236875</v>
      </c>
      <c r="BU9" s="936" t="s">
        <v>504</v>
      </c>
      <c r="BV9" s="938"/>
      <c r="BW9"/>
      <c r="BX9"/>
    </row>
    <row r="10" spans="1:79" ht="11.25" customHeight="1">
      <c r="A10" s="942" t="s">
        <v>1756</v>
      </c>
      <c r="B10" s="943">
        <v>2008</v>
      </c>
      <c r="E10" s="944" t="s">
        <v>1757</v>
      </c>
      <c r="F10" s="960"/>
      <c r="G10" s="944" t="s">
        <v>1758</v>
      </c>
      <c r="H10" s="944" t="s">
        <v>1759</v>
      </c>
      <c r="I10" s="944" t="s">
        <v>133</v>
      </c>
      <c r="J10" s="935" t="s">
        <v>1760</v>
      </c>
      <c r="K10" s="935" t="s">
        <v>1761</v>
      </c>
      <c r="O10" s="944" t="s">
        <v>1762</v>
      </c>
      <c r="V10" s="279" t="s">
        <v>133</v>
      </c>
      <c r="W10" s="964"/>
      <c r="X10" s="964" t="s">
        <v>464</v>
      </c>
      <c r="Y10" s="965" t="s">
        <v>1763</v>
      </c>
      <c r="Z10" s="958"/>
      <c r="AP10" s="955" t="s">
        <v>464</v>
      </c>
      <c r="AQ10" s="956" t="s">
        <v>464</v>
      </c>
      <c r="AW10" s="986" t="s">
        <v>1764</v>
      </c>
      <c r="AX10" s="986" t="s">
        <v>1764</v>
      </c>
      <c r="AZ10" s="986" t="s">
        <v>1765</v>
      </c>
      <c r="BB10" s="986" t="s">
        <v>1766</v>
      </c>
      <c r="BC10" s="986" t="s">
        <v>1683</v>
      </c>
      <c r="BE10" s="986">
        <v>2008</v>
      </c>
      <c r="BF10" s="986" t="s">
        <v>1767</v>
      </c>
      <c r="BH10" s="936" t="s">
        <v>1768</v>
      </c>
      <c r="BJ10" s="936" t="s">
        <v>1769</v>
      </c>
      <c r="BL10" s="936" t="s">
        <v>1769</v>
      </c>
      <c r="BN10" s="936" t="s">
        <v>1770</v>
      </c>
      <c r="BQ10" s="1147">
        <v>4213778</v>
      </c>
      <c r="BR10" s="936" t="s">
        <v>440</v>
      </c>
      <c r="BS10" s="1289"/>
      <c r="BT10" s="1147">
        <v>64236876</v>
      </c>
      <c r="BU10" s="936" t="s">
        <v>484</v>
      </c>
      <c r="BV10" s="938"/>
      <c r="BW10"/>
      <c r="BX10"/>
    </row>
    <row r="11" spans="1:79" ht="11.25" customHeight="1">
      <c r="A11" s="942" t="s">
        <v>1771</v>
      </c>
      <c r="B11" s="943">
        <v>2009</v>
      </c>
      <c r="E11" s="944" t="s">
        <v>1772</v>
      </c>
      <c r="F11" s="960"/>
      <c r="G11" s="944" t="s">
        <v>1773</v>
      </c>
      <c r="H11" s="944" t="s">
        <v>1774</v>
      </c>
      <c r="I11" s="944" t="s">
        <v>136</v>
      </c>
      <c r="J11" s="945" t="s">
        <v>1775</v>
      </c>
      <c r="K11" s="966" t="s">
        <v>1776</v>
      </c>
      <c r="O11" s="945" t="s">
        <v>1777</v>
      </c>
      <c r="V11" s="278" t="s">
        <v>136</v>
      </c>
      <c r="W11" s="189"/>
      <c r="X11" s="952" t="s">
        <v>1748</v>
      </c>
      <c r="Y11" s="943" t="s">
        <v>1778</v>
      </c>
      <c r="Z11" s="958"/>
      <c r="AP11" s="955" t="s">
        <v>452</v>
      </c>
      <c r="AQ11" s="957" t="s">
        <v>452</v>
      </c>
      <c r="AW11" s="986" t="s">
        <v>1779</v>
      </c>
      <c r="AX11" s="986" t="s">
        <v>1779</v>
      </c>
      <c r="AZ11" s="986" t="s">
        <v>1780</v>
      </c>
      <c r="BB11" s="986" t="s">
        <v>1781</v>
      </c>
      <c r="BC11" s="986" t="s">
        <v>1683</v>
      </c>
      <c r="BE11" s="986">
        <v>2009</v>
      </c>
      <c r="BF11" s="986" t="s">
        <v>1782</v>
      </c>
      <c r="BH11" s="936" t="s">
        <v>1783</v>
      </c>
      <c r="BJ11" s="936" t="s">
        <v>1753</v>
      </c>
      <c r="BL11" s="936" t="s">
        <v>1753</v>
      </c>
      <c r="BN11" s="936" t="s">
        <v>1784</v>
      </c>
      <c r="BQ11" s="1147">
        <v>4213780</v>
      </c>
      <c r="BR11" s="936" t="s">
        <v>446</v>
      </c>
      <c r="BS11" s="1289"/>
      <c r="BW11"/>
      <c r="BX11"/>
    </row>
    <row r="12" spans="1:79" ht="11.25" customHeight="1">
      <c r="A12" s="942" t="s">
        <v>1785</v>
      </c>
      <c r="B12" s="943">
        <v>2010</v>
      </c>
      <c r="E12" s="944" t="s">
        <v>1786</v>
      </c>
      <c r="F12" s="960"/>
      <c r="G12" s="944" t="s">
        <v>1774</v>
      </c>
      <c r="I12" s="944" t="s">
        <v>139</v>
      </c>
      <c r="J12" s="945" t="s">
        <v>1787</v>
      </c>
      <c r="K12" s="966" t="s">
        <v>1788</v>
      </c>
      <c r="O12" s="945" t="s">
        <v>1576</v>
      </c>
      <c r="V12" s="278" t="s">
        <v>139</v>
      </c>
      <c r="W12" s="957"/>
      <c r="X12" s="952" t="s">
        <v>1789</v>
      </c>
      <c r="Y12" s="943" t="s">
        <v>1582</v>
      </c>
      <c r="AP12" s="955"/>
      <c r="AW12" s="986" t="s">
        <v>136</v>
      </c>
      <c r="AX12" s="986" t="s">
        <v>136</v>
      </c>
      <c r="AZ12" s="986" t="s">
        <v>1790</v>
      </c>
      <c r="BB12" s="986" t="s">
        <v>1791</v>
      </c>
      <c r="BC12" s="986" t="s">
        <v>1683</v>
      </c>
      <c r="BE12" s="986">
        <v>2010</v>
      </c>
      <c r="BF12" s="986" t="s">
        <v>1792</v>
      </c>
      <c r="BH12" s="936" t="s">
        <v>1793</v>
      </c>
      <c r="BJ12" s="936" t="s">
        <v>1794</v>
      </c>
      <c r="BL12" s="936" t="s">
        <v>1794</v>
      </c>
      <c r="BN12" s="936" t="s">
        <v>1795</v>
      </c>
      <c r="BQ12" s="1147">
        <v>4213779</v>
      </c>
      <c r="BR12" s="936" t="s">
        <v>1748</v>
      </c>
      <c r="BS12" s="1289"/>
      <c r="BT12" s="938"/>
      <c r="BU12" s="938"/>
      <c r="BV12" s="938"/>
      <c r="BW12"/>
      <c r="BX12"/>
    </row>
    <row r="13" spans="1:79" ht="11.25" customHeight="1">
      <c r="A13" s="942" t="s">
        <v>1796</v>
      </c>
      <c r="B13" s="943">
        <v>2011</v>
      </c>
      <c r="E13" s="944" t="s">
        <v>1797</v>
      </c>
      <c r="F13" s="960"/>
      <c r="I13" s="944" t="s">
        <v>142</v>
      </c>
      <c r="K13" s="966" t="s">
        <v>1747</v>
      </c>
      <c r="V13" s="278" t="s">
        <v>142</v>
      </c>
      <c r="W13" s="957"/>
      <c r="X13" s="957"/>
      <c r="Y13" s="957"/>
      <c r="AW13" s="986" t="s">
        <v>139</v>
      </c>
      <c r="AX13" s="986" t="s">
        <v>139</v>
      </c>
      <c r="BB13" s="986" t="s">
        <v>1798</v>
      </c>
      <c r="BC13" s="986" t="s">
        <v>1799</v>
      </c>
      <c r="BE13" s="986">
        <v>2011</v>
      </c>
      <c r="BF13" s="986" t="s">
        <v>1800</v>
      </c>
      <c r="BH13" s="936" t="s">
        <v>1801</v>
      </c>
      <c r="BJ13" s="936" t="s">
        <v>1783</v>
      </c>
      <c r="BL13" s="936" t="s">
        <v>1783</v>
      </c>
      <c r="BN13" s="936" t="s">
        <v>1802</v>
      </c>
      <c r="BQ13" s="1147">
        <v>4213783</v>
      </c>
      <c r="BR13" s="936" t="s">
        <v>464</v>
      </c>
      <c r="BS13" s="1289"/>
      <c r="BT13" s="938"/>
      <c r="BU13" s="938"/>
      <c r="BV13" s="938"/>
      <c r="BW13" s="1538"/>
      <c r="BX13"/>
    </row>
    <row r="14" spans="1:79" ht="11.25" customHeight="1">
      <c r="A14" s="942" t="s">
        <v>1803</v>
      </c>
      <c r="B14" s="943">
        <v>2012</v>
      </c>
      <c r="I14" s="944" t="s">
        <v>145</v>
      </c>
      <c r="J14" s="935" t="s">
        <v>1804</v>
      </c>
      <c r="N14" s="935" t="s">
        <v>1805</v>
      </c>
      <c r="V14" s="951">
        <v>13</v>
      </c>
      <c r="W14" s="952"/>
      <c r="X14" s="952" t="s">
        <v>1616</v>
      </c>
      <c r="Y14" s="943" t="s">
        <v>1582</v>
      </c>
      <c r="AW14" s="986" t="s">
        <v>142</v>
      </c>
      <c r="AX14" s="986" t="s">
        <v>142</v>
      </c>
      <c r="AZ14" s="935" t="s">
        <v>1806</v>
      </c>
      <c r="BB14" s="986" t="s">
        <v>1807</v>
      </c>
      <c r="BC14" s="986" t="s">
        <v>1799</v>
      </c>
      <c r="BE14" s="986">
        <v>2012</v>
      </c>
      <c r="BH14" s="936" t="s">
        <v>1723</v>
      </c>
      <c r="BJ14" s="1084" t="s">
        <v>1808</v>
      </c>
      <c r="BL14" s="1084" t="s">
        <v>1808</v>
      </c>
      <c r="BN14" s="936" t="s">
        <v>1809</v>
      </c>
      <c r="BQ14" s="1147">
        <v>4213782</v>
      </c>
      <c r="BR14" s="936" t="s">
        <v>452</v>
      </c>
      <c r="BS14" s="1289"/>
      <c r="BT14" s="938"/>
      <c r="BU14" s="938"/>
      <c r="BV14" s="938"/>
      <c r="BW14" s="1538"/>
      <c r="BX14"/>
    </row>
    <row r="15" spans="1:79" ht="19.5" customHeight="1">
      <c r="A15" s="942" t="s">
        <v>1810</v>
      </c>
      <c r="B15" s="943">
        <v>2013</v>
      </c>
      <c r="E15" s="1542" t="s">
        <v>1811</v>
      </c>
      <c r="G15" s="935" t="s">
        <v>1812</v>
      </c>
      <c r="H15" s="935" t="s">
        <v>1813</v>
      </c>
      <c r="I15" s="946" t="s">
        <v>148</v>
      </c>
      <c r="J15" s="957" t="s">
        <v>848</v>
      </c>
      <c r="N15" s="1021" t="s">
        <v>1814</v>
      </c>
      <c r="X15" s="955"/>
      <c r="AW15" s="986" t="s">
        <v>145</v>
      </c>
      <c r="AX15" s="986" t="s">
        <v>145</v>
      </c>
      <c r="AZ15" s="986" t="s">
        <v>1734</v>
      </c>
      <c r="BB15" s="986" t="s">
        <v>1815</v>
      </c>
      <c r="BC15" s="986" t="s">
        <v>1799</v>
      </c>
      <c r="BE15" s="986">
        <v>2013</v>
      </c>
      <c r="BH15" s="936" t="s">
        <v>1739</v>
      </c>
      <c r="BJ15" s="1084" t="s">
        <v>1816</v>
      </c>
      <c r="BL15" s="1084" t="s">
        <v>1816</v>
      </c>
      <c r="BN15" s="936" t="s">
        <v>1817</v>
      </c>
      <c r="BR15" s="938"/>
      <c r="BS15" s="1291"/>
      <c r="BT15" s="938"/>
      <c r="BU15" s="938"/>
      <c r="BV15" s="938"/>
      <c r="BW15" s="1538"/>
      <c r="BX15"/>
    </row>
    <row r="16" spans="1:79" ht="21" customHeight="1">
      <c r="A16" s="1710" t="s">
        <v>1818</v>
      </c>
      <c r="B16" s="943">
        <v>2014</v>
      </c>
      <c r="E16" s="1543" t="s">
        <v>1819</v>
      </c>
      <c r="G16" s="944" t="s">
        <v>1820</v>
      </c>
      <c r="H16" s="944" t="s">
        <v>1821</v>
      </c>
      <c r="I16" s="946" t="s">
        <v>151</v>
      </c>
      <c r="J16" s="957" t="s">
        <v>821</v>
      </c>
      <c r="N16" s="1021" t="s">
        <v>1822</v>
      </c>
      <c r="AW16" s="986" t="s">
        <v>148</v>
      </c>
      <c r="AX16" s="986" t="s">
        <v>148</v>
      </c>
      <c r="AZ16" s="986" t="s">
        <v>1750</v>
      </c>
      <c r="BB16" s="986" t="s">
        <v>1823</v>
      </c>
      <c r="BC16" s="986" t="s">
        <v>1799</v>
      </c>
      <c r="BE16" s="986">
        <v>2014</v>
      </c>
      <c r="BH16" s="936" t="s">
        <v>1755</v>
      </c>
      <c r="BJ16" s="1084" t="s">
        <v>1824</v>
      </c>
      <c r="BL16" s="1084" t="s">
        <v>1824</v>
      </c>
      <c r="BN16" s="936" t="s">
        <v>1825</v>
      </c>
      <c r="BR16" s="938"/>
      <c r="BS16" s="1291"/>
      <c r="BT16" s="938"/>
      <c r="BU16" s="938"/>
      <c r="BV16" s="938"/>
      <c r="BW16" s="1538"/>
      <c r="BX16"/>
    </row>
    <row r="17" spans="1:82" ht="21" customHeight="1">
      <c r="A17" s="942" t="s">
        <v>1826</v>
      </c>
      <c r="B17" s="943">
        <v>2015</v>
      </c>
      <c r="G17" s="944" t="s">
        <v>1774</v>
      </c>
      <c r="H17" s="944" t="s">
        <v>1774</v>
      </c>
      <c r="I17" s="944" t="s">
        <v>154</v>
      </c>
      <c r="N17" s="1021" t="s">
        <v>1827</v>
      </c>
      <c r="X17" s="955"/>
      <c r="AW17" s="986" t="s">
        <v>151</v>
      </c>
      <c r="AX17" s="986" t="s">
        <v>151</v>
      </c>
      <c r="AZ17" s="986" t="s">
        <v>1828</v>
      </c>
      <c r="BB17" s="986" t="s">
        <v>1829</v>
      </c>
      <c r="BC17" s="986" t="s">
        <v>1683</v>
      </c>
      <c r="BE17" s="986">
        <v>2015</v>
      </c>
      <c r="BH17" s="936" t="s">
        <v>1770</v>
      </c>
      <c r="BJ17" s="1084" t="s">
        <v>1830</v>
      </c>
      <c r="BL17" s="1084" t="s">
        <v>1830</v>
      </c>
      <c r="BN17" s="936" t="s">
        <v>1831</v>
      </c>
      <c r="BR17" s="935" t="s">
        <v>1626</v>
      </c>
      <c r="BS17" s="1288"/>
      <c r="BU17" s="935" t="s">
        <v>1832</v>
      </c>
      <c r="BV17" s="938"/>
      <c r="BW17"/>
      <c r="BX17" s="1536" t="s">
        <v>1833</v>
      </c>
      <c r="CA17" s="935" t="s">
        <v>1834</v>
      </c>
      <c r="CD17" s="935" t="s">
        <v>1835</v>
      </c>
    </row>
    <row r="18" spans="1:82" ht="21" customHeight="1">
      <c r="A18" s="942" t="s">
        <v>1836</v>
      </c>
      <c r="B18" s="943">
        <v>2016</v>
      </c>
      <c r="I18" s="944" t="s">
        <v>157</v>
      </c>
      <c r="N18" s="1021" t="s">
        <v>1837</v>
      </c>
      <c r="X18" s="955"/>
      <c r="AW18" s="986" t="s">
        <v>154</v>
      </c>
      <c r="AX18" s="986" t="s">
        <v>154</v>
      </c>
      <c r="BB18" s="986" t="s">
        <v>1838</v>
      </c>
      <c r="BC18" s="986" t="s">
        <v>1683</v>
      </c>
      <c r="BE18" s="986">
        <v>2016</v>
      </c>
      <c r="BH18" s="936" t="s">
        <v>1784</v>
      </c>
      <c r="BJ18" s="1084" t="s">
        <v>1839</v>
      </c>
      <c r="BL18" s="1084" t="s">
        <v>1839</v>
      </c>
      <c r="BN18" s="936" t="s">
        <v>1840</v>
      </c>
      <c r="BQ18" s="1292" t="s">
        <v>1656</v>
      </c>
      <c r="BR18" s="1022" t="s">
        <v>1657</v>
      </c>
      <c r="BS18" s="188"/>
      <c r="BT18" s="1292" t="s">
        <v>1841</v>
      </c>
      <c r="BU18" s="1022" t="s">
        <v>1842</v>
      </c>
      <c r="BV18" s="938"/>
      <c r="BW18" s="1541" t="s">
        <v>1843</v>
      </c>
      <c r="BX18" s="1535" t="s">
        <v>1844</v>
      </c>
      <c r="BZ18" s="1292" t="s">
        <v>1845</v>
      </c>
      <c r="CA18" s="1022" t="s">
        <v>1846</v>
      </c>
      <c r="CC18" s="1292" t="s">
        <v>1847</v>
      </c>
      <c r="CD18" s="1022" t="s">
        <v>1848</v>
      </c>
    </row>
    <row r="19" spans="1:82" ht="21" customHeight="1">
      <c r="A19" s="1710" t="s">
        <v>1849</v>
      </c>
      <c r="B19" s="943">
        <v>2017</v>
      </c>
      <c r="I19" s="944" t="s">
        <v>160</v>
      </c>
      <c r="N19" s="1021" t="s">
        <v>1850</v>
      </c>
      <c r="X19" s="955"/>
      <c r="AW19" s="986" t="s">
        <v>157</v>
      </c>
      <c r="AX19" s="986" t="s">
        <v>157</v>
      </c>
      <c r="AZ19" s="935" t="s">
        <v>1851</v>
      </c>
      <c r="BB19" s="986" t="s">
        <v>1852</v>
      </c>
      <c r="BC19" s="986" t="s">
        <v>1683</v>
      </c>
      <c r="BE19" s="986">
        <v>2017</v>
      </c>
      <c r="BH19" s="936" t="s">
        <v>1853</v>
      </c>
      <c r="BJ19" s="1084" t="s">
        <v>1854</v>
      </c>
      <c r="BL19" s="1084" t="s">
        <v>1854</v>
      </c>
      <c r="BQ19" s="1147">
        <v>4190064</v>
      </c>
      <c r="BR19" s="936" t="s">
        <v>1855</v>
      </c>
      <c r="BS19" s="1289"/>
      <c r="BT19" s="1147">
        <v>4189671</v>
      </c>
      <c r="BU19" s="936" t="s">
        <v>1856</v>
      </c>
      <c r="BV19" s="938"/>
      <c r="BW19" s="1539">
        <v>4189706</v>
      </c>
      <c r="BX19" s="1537" t="s">
        <v>1857</v>
      </c>
      <c r="BZ19" s="1147">
        <v>4189714</v>
      </c>
      <c r="CA19" s="936" t="s">
        <v>1858</v>
      </c>
      <c r="CC19" s="1147">
        <v>4189708</v>
      </c>
      <c r="CD19" s="936" t="s">
        <v>1859</v>
      </c>
    </row>
    <row r="20" spans="1:82" ht="21" customHeight="1">
      <c r="A20" s="942" t="s">
        <v>1860</v>
      </c>
      <c r="B20" s="943">
        <v>2018</v>
      </c>
      <c r="I20" s="944" t="s">
        <v>163</v>
      </c>
      <c r="N20" s="1021" t="s">
        <v>1861</v>
      </c>
      <c r="AW20" s="986" t="s">
        <v>160</v>
      </c>
      <c r="AX20" s="986" t="s">
        <v>160</v>
      </c>
      <c r="AZ20" s="986" t="s">
        <v>1862</v>
      </c>
      <c r="BB20" s="986" t="s">
        <v>1863</v>
      </c>
      <c r="BC20" s="986" t="s">
        <v>1799</v>
      </c>
      <c r="BE20" s="986">
        <v>2018</v>
      </c>
      <c r="BH20" s="936" t="s">
        <v>1795</v>
      </c>
      <c r="BJ20" s="936" t="s">
        <v>1723</v>
      </c>
      <c r="BL20" s="936" t="s">
        <v>1723</v>
      </c>
      <c r="BQ20" s="1147">
        <v>4190065</v>
      </c>
      <c r="BR20" s="936" t="s">
        <v>1864</v>
      </c>
      <c r="BS20" s="1289"/>
      <c r="BT20" s="1147">
        <v>4189672</v>
      </c>
      <c r="BU20" s="936" t="s">
        <v>1865</v>
      </c>
      <c r="BV20" s="938"/>
      <c r="BW20" s="1539">
        <v>4189705</v>
      </c>
      <c r="BX20" s="1537" t="s">
        <v>1866</v>
      </c>
      <c r="BZ20" s="1147">
        <v>4189713</v>
      </c>
      <c r="CA20" s="936" t="s">
        <v>1866</v>
      </c>
      <c r="CC20" s="1147">
        <v>4189709</v>
      </c>
      <c r="CD20" s="936" t="s">
        <v>1867</v>
      </c>
    </row>
    <row r="21" spans="1:82" ht="21" customHeight="1">
      <c r="A21" s="942" t="s">
        <v>1868</v>
      </c>
      <c r="B21" s="943">
        <v>2019</v>
      </c>
      <c r="I21" s="944" t="s">
        <v>166</v>
      </c>
      <c r="N21" s="1021" t="s">
        <v>1869</v>
      </c>
      <c r="AW21" s="986" t="s">
        <v>163</v>
      </c>
      <c r="AX21" s="986" t="s">
        <v>163</v>
      </c>
      <c r="AZ21" s="986" t="s">
        <v>1870</v>
      </c>
      <c r="BB21" s="986" t="s">
        <v>1871</v>
      </c>
      <c r="BC21" s="986" t="s">
        <v>1683</v>
      </c>
      <c r="BE21" s="986">
        <v>2019</v>
      </c>
      <c r="BH21" s="936" t="s">
        <v>1802</v>
      </c>
      <c r="BJ21" s="936" t="s">
        <v>1739</v>
      </c>
      <c r="BL21" s="936" t="s">
        <v>1739</v>
      </c>
      <c r="BQ21" s="1147">
        <v>4190066</v>
      </c>
      <c r="BR21" s="936" t="s">
        <v>1872</v>
      </c>
      <c r="BS21" s="1289"/>
      <c r="BT21" s="1147">
        <v>4189673</v>
      </c>
      <c r="BU21" s="936" t="s">
        <v>1873</v>
      </c>
      <c r="BV21" s="938"/>
      <c r="BW21" s="1539">
        <v>4189707</v>
      </c>
      <c r="BX21" s="1537" t="s">
        <v>1874</v>
      </c>
      <c r="BZ21" s="1147">
        <v>4189712</v>
      </c>
      <c r="CA21" s="936" t="s">
        <v>1875</v>
      </c>
      <c r="CC21" s="1147">
        <v>4189710</v>
      </c>
      <c r="CD21" s="936" t="s">
        <v>1876</v>
      </c>
    </row>
    <row r="22" spans="1:82" ht="21" customHeight="1">
      <c r="A22" s="942" t="s">
        <v>1877</v>
      </c>
      <c r="B22" s="943">
        <v>2020</v>
      </c>
      <c r="N22" s="1021" t="s">
        <v>1878</v>
      </c>
      <c r="AW22" s="986" t="s">
        <v>166</v>
      </c>
      <c r="AX22" s="986" t="s">
        <v>166</v>
      </c>
      <c r="AZ22" s="986" t="s">
        <v>1879</v>
      </c>
      <c r="BB22" s="986" t="s">
        <v>1880</v>
      </c>
      <c r="BC22" s="986" t="s">
        <v>1683</v>
      </c>
      <c r="BE22" s="986">
        <v>2020</v>
      </c>
      <c r="BH22" s="936" t="s">
        <v>1809</v>
      </c>
      <c r="BJ22" s="936" t="s">
        <v>1755</v>
      </c>
      <c r="BL22" s="936" t="s">
        <v>1755</v>
      </c>
      <c r="BQ22" s="1147">
        <v>4190067</v>
      </c>
      <c r="BR22" s="936" t="s">
        <v>1881</v>
      </c>
      <c r="BS22" s="1289"/>
      <c r="BT22" s="1147">
        <v>4189674</v>
      </c>
      <c r="BU22" s="936" t="s">
        <v>1882</v>
      </c>
      <c r="BV22" s="938"/>
      <c r="BW22" s="938"/>
      <c r="CC22" s="1147">
        <v>4189711</v>
      </c>
      <c r="CD22" s="936" t="s">
        <v>553</v>
      </c>
    </row>
    <row r="23" spans="1:82" ht="21" customHeight="1">
      <c r="A23" s="942" t="s">
        <v>1883</v>
      </c>
      <c r="B23" s="943">
        <v>2021</v>
      </c>
      <c r="AW23" s="986" t="s">
        <v>169</v>
      </c>
      <c r="AX23" s="986" t="s">
        <v>169</v>
      </c>
      <c r="AZ23" s="986" t="s">
        <v>1884</v>
      </c>
      <c r="BB23" s="986" t="s">
        <v>1885</v>
      </c>
      <c r="BC23" s="986" t="s">
        <v>1593</v>
      </c>
      <c r="BE23" s="986">
        <v>2021</v>
      </c>
      <c r="BH23" s="936" t="s">
        <v>1817</v>
      </c>
      <c r="BJ23" s="936" t="s">
        <v>1770</v>
      </c>
      <c r="BL23" s="936" t="s">
        <v>1770</v>
      </c>
      <c r="BQ23" s="1147">
        <v>4190068</v>
      </c>
      <c r="BR23" s="936" t="s">
        <v>1886</v>
      </c>
      <c r="BS23" s="1289"/>
      <c r="BT23" s="1147">
        <v>4189675</v>
      </c>
      <c r="BU23" s="936" t="s">
        <v>1887</v>
      </c>
      <c r="BV23" s="938"/>
      <c r="BW23" s="938"/>
      <c r="CC23" s="1147">
        <v>5110778</v>
      </c>
      <c r="CD23" s="936" t="s">
        <v>1888</v>
      </c>
    </row>
    <row r="24" spans="1:82" ht="21" customHeight="1">
      <c r="A24" s="942" t="s">
        <v>1889</v>
      </c>
      <c r="B24" s="943">
        <v>2022</v>
      </c>
      <c r="AW24" s="986" t="s">
        <v>172</v>
      </c>
      <c r="AX24" s="986" t="s">
        <v>172</v>
      </c>
      <c r="AZ24" s="986" t="s">
        <v>1890</v>
      </c>
      <c r="BB24" s="986" t="s">
        <v>1891</v>
      </c>
      <c r="BC24" s="986" t="s">
        <v>1892</v>
      </c>
      <c r="BE24" s="986">
        <v>2022</v>
      </c>
      <c r="BH24" s="936" t="s">
        <v>1825</v>
      </c>
      <c r="BJ24" s="936" t="s">
        <v>1784</v>
      </c>
      <c r="BL24" s="936" t="s">
        <v>1784</v>
      </c>
      <c r="BQ24" s="1147">
        <v>4190069</v>
      </c>
      <c r="BR24" s="936" t="s">
        <v>1893</v>
      </c>
      <c r="BS24" s="1289"/>
      <c r="BT24" s="1147">
        <v>4189676</v>
      </c>
      <c r="BU24" s="936" t="s">
        <v>1894</v>
      </c>
      <c r="BV24" s="938"/>
      <c r="BW24" s="938"/>
      <c r="CC24" s="1147">
        <v>25575374</v>
      </c>
      <c r="CD24" s="936" t="s">
        <v>1895</v>
      </c>
    </row>
    <row r="25" spans="1:82" ht="11.25" customHeight="1">
      <c r="A25" s="942" t="s">
        <v>1896</v>
      </c>
      <c r="B25" s="943">
        <v>2023</v>
      </c>
      <c r="AW25" s="986" t="s">
        <v>175</v>
      </c>
      <c r="AX25" s="986" t="s">
        <v>175</v>
      </c>
      <c r="AZ25" s="986" t="s">
        <v>1897</v>
      </c>
      <c r="BB25" s="986" t="s">
        <v>1898</v>
      </c>
      <c r="BC25" s="986" t="s">
        <v>1892</v>
      </c>
      <c r="BE25" s="986">
        <v>2023</v>
      </c>
      <c r="BH25" s="936" t="s">
        <v>1831</v>
      </c>
      <c r="BJ25" s="936" t="s">
        <v>1853</v>
      </c>
      <c r="BL25" s="936" t="s">
        <v>1853</v>
      </c>
      <c r="BQ25" s="1147">
        <v>4190070</v>
      </c>
      <c r="BR25" s="936" t="s">
        <v>1899</v>
      </c>
      <c r="BS25" s="1289"/>
      <c r="BT25" s="1147">
        <v>4189677</v>
      </c>
      <c r="BU25" s="936" t="s">
        <v>1900</v>
      </c>
      <c r="BV25" s="938"/>
      <c r="BW25" s="938"/>
    </row>
    <row r="26" spans="1:82" ht="11.25" customHeight="1">
      <c r="A26" s="942" t="s">
        <v>1901</v>
      </c>
      <c r="B26" s="943">
        <v>2024</v>
      </c>
      <c r="J26" s="1574" t="s">
        <v>1902</v>
      </c>
      <c r="AX26" s="986" t="s">
        <v>178</v>
      </c>
      <c r="AZ26" s="986" t="s">
        <v>1777</v>
      </c>
      <c r="BB26" s="986" t="s">
        <v>1903</v>
      </c>
      <c r="BC26" s="986" t="s">
        <v>1892</v>
      </c>
      <c r="BE26" s="986">
        <v>2024</v>
      </c>
      <c r="BH26" s="936" t="s">
        <v>1840</v>
      </c>
      <c r="BJ26" s="936" t="s">
        <v>1795</v>
      </c>
      <c r="BL26" s="936" t="s">
        <v>1795</v>
      </c>
      <c r="BQ26" s="1147">
        <v>4190071</v>
      </c>
      <c r="BR26" s="936" t="s">
        <v>1904</v>
      </c>
      <c r="BS26" s="1289"/>
      <c r="BV26" s="938"/>
      <c r="BW26" s="938"/>
    </row>
    <row r="27" spans="1:82" ht="11.25" customHeight="1">
      <c r="A27" s="942" t="s">
        <v>1905</v>
      </c>
      <c r="B27" s="943">
        <v>2025</v>
      </c>
      <c r="J27" s="93" t="s">
        <v>118</v>
      </c>
      <c r="AX27" s="986" t="s">
        <v>181</v>
      </c>
      <c r="BB27" s="986" t="s">
        <v>1906</v>
      </c>
      <c r="BC27" s="986" t="s">
        <v>1892</v>
      </c>
      <c r="BE27" s="986">
        <v>2025</v>
      </c>
      <c r="BH27" s="938" t="s">
        <v>18</v>
      </c>
      <c r="BJ27" s="936" t="s">
        <v>1802</v>
      </c>
      <c r="BL27" s="936" t="s">
        <v>1802</v>
      </c>
      <c r="BN27" s="938" t="s">
        <v>18</v>
      </c>
      <c r="BQ27" s="1147">
        <v>4190072</v>
      </c>
      <c r="BR27" s="936" t="s">
        <v>1907</v>
      </c>
      <c r="BS27" s="1289"/>
      <c r="BV27" s="938"/>
      <c r="BW27" s="938"/>
    </row>
    <row r="28" spans="1:82" ht="11.25" customHeight="1">
      <c r="A28" s="942" t="s">
        <v>1908</v>
      </c>
      <c r="D28" s="967"/>
      <c r="E28" s="968"/>
      <c r="F28" s="968"/>
      <c r="H28" s="969" t="s">
        <v>1909</v>
      </c>
      <c r="AX28" s="986" t="s">
        <v>184</v>
      </c>
      <c r="AZ28" s="935" t="s">
        <v>1910</v>
      </c>
      <c r="BB28" s="986" t="s">
        <v>1911</v>
      </c>
      <c r="BC28" s="986" t="s">
        <v>1912</v>
      </c>
      <c r="BE28" s="986">
        <v>2026</v>
      </c>
      <c r="BH28" s="938" t="s">
        <v>18</v>
      </c>
      <c r="BJ28" s="936" t="s">
        <v>1809</v>
      </c>
      <c r="BL28" s="936" t="s">
        <v>1809</v>
      </c>
      <c r="BN28" s="938" t="s">
        <v>18</v>
      </c>
      <c r="BQ28" s="1147">
        <v>4190073</v>
      </c>
      <c r="BR28" s="936" t="s">
        <v>1913</v>
      </c>
      <c r="BS28" s="1289"/>
      <c r="BV28" s="938"/>
      <c r="BW28" s="938"/>
    </row>
    <row r="29" spans="1:82" ht="11.25" customHeight="1">
      <c r="A29" s="942" t="s">
        <v>1914</v>
      </c>
      <c r="D29" s="970" t="s">
        <v>1915</v>
      </c>
      <c r="E29" s="971" t="str">
        <f>IF(TEMPLATE_GROUP="","",INDEX(StartDateList,MATCH(TEMPLATE_GROUP,CodeTemplateList,0),1))</f>
        <v>01.10.2023</v>
      </c>
      <c r="F29" s="971" t="str">
        <f>IF(TEMPLATE_GROUP="","",INDEX(EndDateList,MATCH(TEMPLATE_GROUP,CodeTemplateList,0),1))</f>
        <v>31.12.2023</v>
      </c>
      <c r="H29" s="972" t="s">
        <v>1916</v>
      </c>
      <c r="AX29" s="986" t="s">
        <v>187</v>
      </c>
      <c r="AZ29" s="986" t="s">
        <v>1577</v>
      </c>
      <c r="BB29" s="986" t="s">
        <v>1777</v>
      </c>
      <c r="BC29" s="958"/>
      <c r="BE29" s="986">
        <v>2027</v>
      </c>
      <c r="BJ29" s="936" t="s">
        <v>1817</v>
      </c>
      <c r="BL29" s="936" t="s">
        <v>1817</v>
      </c>
    </row>
    <row r="30" spans="1:82" ht="11.25" customHeight="1">
      <c r="A30" s="942" t="s">
        <v>1917</v>
      </c>
      <c r="D30" s="973"/>
      <c r="E30" s="974"/>
      <c r="F30" s="974"/>
      <c r="AX30" s="986" t="s">
        <v>190</v>
      </c>
      <c r="AZ30" s="986" t="s">
        <v>1605</v>
      </c>
      <c r="BE30" s="986">
        <v>2028</v>
      </c>
      <c r="BJ30" s="936" t="s">
        <v>1918</v>
      </c>
      <c r="BL30" s="936" t="s">
        <v>1918</v>
      </c>
    </row>
    <row r="31" spans="1:82" ht="12.75" customHeight="1">
      <c r="A31" s="942" t="s">
        <v>1919</v>
      </c>
      <c r="D31" s="967"/>
      <c r="E31" s="968"/>
      <c r="F31" s="968"/>
      <c r="H31" s="975"/>
      <c r="AX31" s="986" t="s">
        <v>193</v>
      </c>
      <c r="AZ31" s="986" t="s">
        <v>1920</v>
      </c>
      <c r="BE31" s="986">
        <v>2029</v>
      </c>
      <c r="BJ31" s="936" t="s">
        <v>1921</v>
      </c>
      <c r="BL31" s="936" t="s">
        <v>1921</v>
      </c>
    </row>
    <row r="32" spans="1:82" ht="11.25" customHeight="1">
      <c r="A32" s="942" t="s">
        <v>1922</v>
      </c>
      <c r="D32" s="970" t="s">
        <v>1923</v>
      </c>
      <c r="E32" s="971" t="str">
        <f>IF(TEMPLATE_GROUP="","",INDEX(StartDateList,MATCH(TEMPLATE_GROUP,CodeTemplateList,0),1))</f>
        <v>01.10.2023</v>
      </c>
      <c r="F32" s="971" t="str">
        <f>IF(TEMPLATE_GROUP="","",INDEX(EndDateList,MATCH(TEMPLATE_GROUP,CodeTemplateList,0),1))</f>
        <v>31.12.2023</v>
      </c>
      <c r="H32" s="976" t="s">
        <v>1924</v>
      </c>
      <c r="O32" s="942" t="s">
        <v>1575</v>
      </c>
      <c r="AX32" s="986" t="s">
        <v>196</v>
      </c>
      <c r="AZ32" s="986" t="s">
        <v>1671</v>
      </c>
      <c r="BE32" s="986">
        <v>2030</v>
      </c>
      <c r="BJ32" s="936" t="s">
        <v>1825</v>
      </c>
      <c r="BL32" s="936" t="s">
        <v>1825</v>
      </c>
    </row>
    <row r="33" spans="1:66" ht="11.25" customHeight="1">
      <c r="A33" s="942" t="s">
        <v>1925</v>
      </c>
      <c r="O33" s="942" t="s">
        <v>1602</v>
      </c>
      <c r="AX33" s="986" t="s">
        <v>199</v>
      </c>
      <c r="AZ33" s="986" t="s">
        <v>1576</v>
      </c>
      <c r="BE33" s="986">
        <v>2031</v>
      </c>
      <c r="BJ33" s="936" t="s">
        <v>1831</v>
      </c>
      <c r="BL33" s="936" t="s">
        <v>1831</v>
      </c>
    </row>
    <row r="34" spans="1:66" ht="11.25" customHeight="1">
      <c r="A34" s="942" t="s">
        <v>1926</v>
      </c>
      <c r="O34" s="942" t="s">
        <v>1637</v>
      </c>
      <c r="AX34" s="986" t="s">
        <v>202</v>
      </c>
      <c r="BE34" s="986">
        <v>2032</v>
      </c>
      <c r="BJ34" s="936" t="s">
        <v>1840</v>
      </c>
      <c r="BL34" s="936" t="s">
        <v>1840</v>
      </c>
    </row>
    <row r="35" spans="1:66" ht="11.25" customHeight="1">
      <c r="A35" s="942" t="s">
        <v>1927</v>
      </c>
      <c r="O35" s="942" t="s">
        <v>1669</v>
      </c>
      <c r="AX35" s="986" t="s">
        <v>205</v>
      </c>
      <c r="AZ35" s="935" t="s">
        <v>1928</v>
      </c>
      <c r="BE35" s="986">
        <v>2033</v>
      </c>
      <c r="BL35" s="936" t="s">
        <v>1929</v>
      </c>
    </row>
    <row r="36" spans="1:66" ht="11.25" customHeight="1">
      <c r="A36" s="1710" t="s">
        <v>1930</v>
      </c>
      <c r="D36" s="977" t="s">
        <v>1931</v>
      </c>
      <c r="E36" s="978" t="s">
        <v>1079</v>
      </c>
      <c r="F36" s="979" t="str">
        <f>INDEX(E37:E41,MATCH(TEMPLATE_SPHERE,F37:F41,0))</f>
        <v>теплоснабжения</v>
      </c>
      <c r="G36" s="979" t="str">
        <f>INDEX(G37:G41,MATCH(TEMPLATE_SPHERE,F37:F41,0))</f>
        <v>теплоснабжение</v>
      </c>
      <c r="O36" s="942" t="s">
        <v>1694</v>
      </c>
      <c r="AX36" s="986" t="s">
        <v>208</v>
      </c>
      <c r="AZ36" s="986" t="s">
        <v>1576</v>
      </c>
      <c r="BE36" s="986">
        <v>2034</v>
      </c>
      <c r="BL36" s="936" t="s">
        <v>1932</v>
      </c>
    </row>
    <row r="37" spans="1:66" ht="11.25" customHeight="1">
      <c r="A37" s="942" t="s">
        <v>1933</v>
      </c>
      <c r="E37" s="314" t="s">
        <v>1934</v>
      </c>
      <c r="F37" s="980" t="s">
        <v>1079</v>
      </c>
      <c r="G37" s="314" t="s">
        <v>1935</v>
      </c>
      <c r="O37" s="942" t="s">
        <v>1713</v>
      </c>
      <c r="AX37" s="986" t="s">
        <v>211</v>
      </c>
      <c r="AZ37" s="986" t="s">
        <v>1604</v>
      </c>
      <c r="BE37" s="986">
        <v>2035</v>
      </c>
    </row>
    <row r="38" spans="1:66" ht="11.25" customHeight="1">
      <c r="A38" s="942" t="s">
        <v>1936</v>
      </c>
      <c r="E38" s="314" t="s">
        <v>1937</v>
      </c>
      <c r="F38" s="981" t="s">
        <v>1125</v>
      </c>
      <c r="G38" s="314" t="s">
        <v>1938</v>
      </c>
      <c r="O38" s="942" t="s">
        <v>1730</v>
      </c>
      <c r="AX38" s="986" t="s">
        <v>214</v>
      </c>
      <c r="AZ38" s="986" t="s">
        <v>1638</v>
      </c>
      <c r="BE38" s="986">
        <v>2036</v>
      </c>
      <c r="BH38" s="935" t="s">
        <v>1939</v>
      </c>
      <c r="BJ38" s="935" t="s">
        <v>1940</v>
      </c>
      <c r="BL38" s="935" t="s">
        <v>1941</v>
      </c>
      <c r="BN38" s="935" t="s">
        <v>1942</v>
      </c>
    </row>
    <row r="39" spans="1:66" ht="11.25" customHeight="1">
      <c r="A39" s="942" t="s">
        <v>1943</v>
      </c>
      <c r="E39" s="314" t="s">
        <v>1944</v>
      </c>
      <c r="F39" s="981" t="s">
        <v>1177</v>
      </c>
      <c r="G39" s="314" t="s">
        <v>1945</v>
      </c>
      <c r="O39" s="942" t="s">
        <v>1746</v>
      </c>
      <c r="AX39" s="986" t="s">
        <v>217</v>
      </c>
      <c r="AZ39" s="986" t="s">
        <v>1670</v>
      </c>
      <c r="BE39" s="986">
        <v>2037</v>
      </c>
      <c r="BH39" s="936" t="s">
        <v>1946</v>
      </c>
      <c r="BJ39" s="1084" t="s">
        <v>1946</v>
      </c>
      <c r="BL39" s="1084" t="s">
        <v>1946</v>
      </c>
      <c r="BN39" s="936" t="s">
        <v>1947</v>
      </c>
    </row>
    <row r="40" spans="1:66" ht="11.25" customHeight="1">
      <c r="A40" s="942" t="s">
        <v>1948</v>
      </c>
      <c r="E40" s="314" t="s">
        <v>1949</v>
      </c>
      <c r="F40" s="981" t="s">
        <v>1163</v>
      </c>
      <c r="G40" s="314" t="s">
        <v>1950</v>
      </c>
      <c r="O40" s="942" t="s">
        <v>1762</v>
      </c>
      <c r="AX40" s="986" t="s">
        <v>220</v>
      </c>
      <c r="BE40" s="986">
        <v>2038</v>
      </c>
      <c r="BH40" s="936" t="s">
        <v>1951</v>
      </c>
      <c r="BJ40" s="1084" t="s">
        <v>1299</v>
      </c>
      <c r="BL40" s="1084" t="s">
        <v>1299</v>
      </c>
      <c r="BN40" s="936" t="s">
        <v>1333</v>
      </c>
    </row>
    <row r="41" spans="1:66" ht="11.25" customHeight="1">
      <c r="A41" s="942" t="s">
        <v>1952</v>
      </c>
      <c r="E41" s="314" t="s">
        <v>1953</v>
      </c>
      <c r="F41" s="981" t="s">
        <v>1954</v>
      </c>
      <c r="G41" s="314" t="s">
        <v>1953</v>
      </c>
      <c r="O41" s="942" t="s">
        <v>1777</v>
      </c>
      <c r="AX41" s="986" t="s">
        <v>96</v>
      </c>
      <c r="AZ41" s="935" t="s">
        <v>1955</v>
      </c>
      <c r="BE41" s="986">
        <v>2039</v>
      </c>
      <c r="BH41" s="936" t="s">
        <v>1956</v>
      </c>
      <c r="BJ41" s="1084" t="s">
        <v>1295</v>
      </c>
      <c r="BL41" s="1084" t="s">
        <v>1295</v>
      </c>
      <c r="BN41" s="936" t="s">
        <v>1320</v>
      </c>
    </row>
    <row r="42" spans="1:66" ht="11.25" customHeight="1">
      <c r="A42" s="942" t="s">
        <v>1957</v>
      </c>
      <c r="AX42" s="986" t="s">
        <v>225</v>
      </c>
      <c r="AZ42" s="986" t="s">
        <v>1575</v>
      </c>
      <c r="BE42" s="986">
        <v>2040</v>
      </c>
      <c r="BH42" s="936" t="s">
        <v>1317</v>
      </c>
      <c r="BJ42" s="1084" t="s">
        <v>1297</v>
      </c>
      <c r="BL42" s="1084" t="s">
        <v>1297</v>
      </c>
      <c r="BN42" s="936" t="s">
        <v>1958</v>
      </c>
    </row>
    <row r="43" spans="1:66" ht="11.25" customHeight="1">
      <c r="A43" s="942" t="s">
        <v>1959</v>
      </c>
      <c r="AX43" s="986" t="s">
        <v>228</v>
      </c>
      <c r="AZ43" s="986" t="s">
        <v>1602</v>
      </c>
      <c r="BE43" s="986">
        <v>2041</v>
      </c>
      <c r="BH43" s="936" t="s">
        <v>1960</v>
      </c>
      <c r="BJ43" s="1084" t="s">
        <v>1956</v>
      </c>
      <c r="BL43" s="1084" t="s">
        <v>1956</v>
      </c>
      <c r="BN43" s="936" t="s">
        <v>1961</v>
      </c>
    </row>
    <row r="44" spans="1:66" ht="11.25" customHeight="1">
      <c r="A44" s="942" t="s">
        <v>1962</v>
      </c>
      <c r="I44" s="680" t="s">
        <v>1963</v>
      </c>
      <c r="J44" s="957" t="s">
        <v>1964</v>
      </c>
      <c r="K44" s="957" t="s">
        <v>1965</v>
      </c>
      <c r="AX44" s="986" t="s">
        <v>231</v>
      </c>
      <c r="AZ44" s="986" t="s">
        <v>1637</v>
      </c>
      <c r="BE44" s="986">
        <v>2042</v>
      </c>
      <c r="BH44" s="936" t="s">
        <v>1966</v>
      </c>
      <c r="BJ44" s="1084" t="s">
        <v>1317</v>
      </c>
      <c r="BL44" s="1084" t="s">
        <v>1317</v>
      </c>
      <c r="BN44" s="936" t="s">
        <v>1967</v>
      </c>
    </row>
    <row r="45" spans="1:66" ht="11.25" customHeight="1">
      <c r="A45" s="942" t="s">
        <v>1968</v>
      </c>
      <c r="D45" s="977" t="s">
        <v>1969</v>
      </c>
      <c r="E45" s="978" t="s">
        <v>1970</v>
      </c>
      <c r="F45" s="678" t="s">
        <v>1971</v>
      </c>
      <c r="G45" s="677" t="s">
        <v>1972</v>
      </c>
      <c r="H45" s="680" t="s">
        <v>1973</v>
      </c>
      <c r="I45" s="1584" t="b">
        <f>INDEX(PeriodIsEmptyList,MATCH(TEMPLATE_GROUP,CodeTemplateList,0),1)</f>
        <v>0</v>
      </c>
      <c r="J45" s="1587"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58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986" t="s">
        <v>234</v>
      </c>
      <c r="AZ45" s="986" t="s">
        <v>1669</v>
      </c>
      <c r="BE45" s="986">
        <v>2043</v>
      </c>
      <c r="BH45" s="936" t="s">
        <v>1974</v>
      </c>
      <c r="BJ45" s="1084" t="s">
        <v>1311</v>
      </c>
      <c r="BL45" s="1084" t="s">
        <v>1311</v>
      </c>
      <c r="BN45" s="936" t="s">
        <v>1975</v>
      </c>
    </row>
    <row r="46" spans="1:66" ht="11.25" customHeight="1">
      <c r="A46" s="942" t="s">
        <v>14</v>
      </c>
      <c r="E46" s="314" t="s">
        <v>23</v>
      </c>
      <c r="F46" s="980" t="s">
        <v>1976</v>
      </c>
      <c r="G46" s="982"/>
      <c r="H46" s="982"/>
      <c r="I46" s="1585" t="b">
        <f>IF(TITLE_DATE_FIL="",TRUE,FALSE)</f>
        <v>1</v>
      </c>
      <c r="J46" s="1588" t="str">
        <f>"Общая информация о регулируемой организации ("&amp;TEMPLATE_SPHERE_RUS&amp;")"</f>
        <v>Общая информация о регулируемой организации (теплоснабжения)</v>
      </c>
      <c r="K46" s="1589"/>
      <c r="AX46" s="986" t="s">
        <v>237</v>
      </c>
      <c r="AZ46" s="986" t="s">
        <v>1694</v>
      </c>
      <c r="BE46" s="986">
        <v>2044</v>
      </c>
      <c r="BH46" s="936" t="s">
        <v>1320</v>
      </c>
      <c r="BJ46" s="1084" t="s">
        <v>1301</v>
      </c>
      <c r="BL46" s="1084" t="s">
        <v>1301</v>
      </c>
      <c r="BN46" s="936" t="s">
        <v>1977</v>
      </c>
    </row>
    <row r="47" spans="1:66" ht="11.25" customHeight="1">
      <c r="A47" s="942" t="s">
        <v>1978</v>
      </c>
      <c r="E47" s="314" t="s">
        <v>29</v>
      </c>
      <c r="F47" s="981" t="s">
        <v>1970</v>
      </c>
      <c r="G47" s="983" t="str">
        <f>IF(f_year="","",IF(LEN(f_quart)=0,"",IF(f_quart="I квартал","01.01."&amp;f_year,IF(f_quart="II квартал","01.04."&amp;f_year,(IF(f_quart="III квартал","01.07."&amp;f_year,"01.10."&amp;f_year))))))</f>
        <v>01.10.2023</v>
      </c>
      <c r="H47" s="983" t="str">
        <f>IF(f_year="","",IF(LEN(f_quart)=0,"",IF(f_quart="I квартал","31.03."&amp;f_year,IF(f_quart="II квартал","30.06."&amp;f_year,(IF(f_quart="III квартал","30.09."&amp;f_year,"31.12."&amp;f_year))))))</f>
        <v>31.12.2023</v>
      </c>
      <c r="I47" s="1586" t="b">
        <f>IF(OR(f_year="",f_quart=""),TRUE,FALSE)</f>
        <v>0</v>
      </c>
      <c r="J47" s="158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589"/>
      <c r="AX47" s="986" t="s">
        <v>240</v>
      </c>
      <c r="AZ47" s="986" t="s">
        <v>1713</v>
      </c>
      <c r="BE47" s="986">
        <v>2045</v>
      </c>
      <c r="BH47" s="936" t="s">
        <v>1958</v>
      </c>
      <c r="BJ47" s="1084" t="s">
        <v>1303</v>
      </c>
      <c r="BL47" s="1084" t="s">
        <v>1303</v>
      </c>
      <c r="BN47" s="936" t="s">
        <v>1979</v>
      </c>
    </row>
    <row r="48" spans="1:66" ht="11.25" customHeight="1">
      <c r="A48" s="942" t="s">
        <v>1980</v>
      </c>
      <c r="E48" s="314" t="s">
        <v>1981</v>
      </c>
      <c r="F48" s="981" t="s">
        <v>1982</v>
      </c>
      <c r="G48" s="983" t="str">
        <f>IF(f_year="","","01.01."&amp;f_year)</f>
        <v>01.01.2023</v>
      </c>
      <c r="H48" s="983" t="str">
        <f>IF(f_year="","","31.12."&amp;f_year)</f>
        <v>31.12.2023</v>
      </c>
      <c r="I48" s="1585" t="b">
        <f>IF(f_year="",TRUE,FALSE)</f>
        <v>0</v>
      </c>
      <c r="J48" s="1588" t="s">
        <v>1983</v>
      </c>
      <c r="K48" s="1589"/>
      <c r="AX48" s="986" t="s">
        <v>243</v>
      </c>
      <c r="AZ48" s="986" t="s">
        <v>1730</v>
      </c>
      <c r="BE48" s="986">
        <v>2046</v>
      </c>
      <c r="BH48" s="936" t="s">
        <v>1961</v>
      </c>
      <c r="BJ48" s="1084" t="s">
        <v>1305</v>
      </c>
      <c r="BL48" s="1084" t="s">
        <v>1305</v>
      </c>
      <c r="BN48" s="936" t="s">
        <v>1984</v>
      </c>
    </row>
    <row r="49" spans="1:64" ht="11.25" customHeight="1">
      <c r="A49" s="942" t="s">
        <v>1985</v>
      </c>
      <c r="E49" s="314" t="s">
        <v>1986</v>
      </c>
      <c r="F49" s="981" t="s">
        <v>1987</v>
      </c>
      <c r="G49" s="983" t="str">
        <f>IF(f_year="","","01.01."&amp;f_year)</f>
        <v>01.01.2023</v>
      </c>
      <c r="H49" s="983" t="str">
        <f>IF(f_year="","","31.12."&amp;f_year)</f>
        <v>31.12.2023</v>
      </c>
      <c r="I49" s="1585" t="b">
        <f>IF(f_year="",TRUE,FALSE)</f>
        <v>0</v>
      </c>
      <c r="J49" s="158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589"/>
      <c r="AX49" s="986" t="s">
        <v>246</v>
      </c>
      <c r="AZ49" s="986" t="s">
        <v>1746</v>
      </c>
      <c r="BE49" s="986">
        <v>2047</v>
      </c>
      <c r="BH49" s="936" t="s">
        <v>1321</v>
      </c>
      <c r="BJ49" s="1084" t="s">
        <v>1307</v>
      </c>
      <c r="BL49" s="1084" t="s">
        <v>1307</v>
      </c>
    </row>
    <row r="50" spans="1:64" ht="11.25" customHeight="1">
      <c r="A50" s="942" t="s">
        <v>1988</v>
      </c>
      <c r="E50" s="314" t="s">
        <v>1989</v>
      </c>
      <c r="F50" s="981" t="s">
        <v>1291</v>
      </c>
      <c r="G50" s="983" t="str">
        <f>IF(f_year="","","01.01."&amp;f_year)</f>
        <v>01.01.2023</v>
      </c>
      <c r="H50" s="983" t="str">
        <f>IF(f_year="","","31.12."&amp;f_year)</f>
        <v>31.12.2023</v>
      </c>
      <c r="I50" s="1585" t="b">
        <f>IF(f_year="",TRUE,FALSE)</f>
        <v>0</v>
      </c>
      <c r="J50" s="158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589"/>
      <c r="AX50" s="986" t="s">
        <v>249</v>
      </c>
      <c r="AZ50" s="986" t="s">
        <v>1762</v>
      </c>
      <c r="BE50" s="986">
        <v>2048</v>
      </c>
      <c r="BH50" s="936" t="s">
        <v>1967</v>
      </c>
      <c r="BJ50" s="1084" t="s">
        <v>1309</v>
      </c>
      <c r="BL50" s="1084" t="s">
        <v>1309</v>
      </c>
    </row>
    <row r="51" spans="1:64" ht="11.25" customHeight="1">
      <c r="A51" s="942" t="s">
        <v>1990</v>
      </c>
      <c r="E51" s="314" t="s">
        <v>1991</v>
      </c>
      <c r="F51" s="981" t="s">
        <v>1992</v>
      </c>
      <c r="G51" s="983" t="str">
        <f>IF(TITLE_PERIOD_START="","",TITLE_PERIOD_START)</f>
        <v/>
      </c>
      <c r="H51" s="983" t="str">
        <f>IF(TITLE_PERIOD_END="","",TITLE_PERIOD_END)</f>
        <v/>
      </c>
      <c r="I51" s="1586" t="b">
        <f>IF(OR(TITLE_PERIOD_START="",TITLE_PERIOD_END=""),TRUE,FALSE)</f>
        <v>1</v>
      </c>
      <c r="J51" s="158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589"/>
      <c r="AX51" s="986" t="s">
        <v>252</v>
      </c>
      <c r="AZ51" s="986" t="s">
        <v>1777</v>
      </c>
      <c r="BE51" s="986">
        <v>2049</v>
      </c>
      <c r="BH51" s="936" t="s">
        <v>1975</v>
      </c>
      <c r="BJ51" s="1084" t="s">
        <v>1993</v>
      </c>
      <c r="BL51" s="1084" t="s">
        <v>1993</v>
      </c>
    </row>
    <row r="52" spans="1:64" ht="11.25" customHeight="1">
      <c r="A52" s="942" t="s">
        <v>1994</v>
      </c>
      <c r="E52" s="314" t="s">
        <v>1995</v>
      </c>
      <c r="F52" s="981" t="s">
        <v>1996</v>
      </c>
      <c r="G52" s="983" t="str">
        <f>IF(TITLE_PERIOD_START="","",TITLE_PERIOD_START)</f>
        <v/>
      </c>
      <c r="H52" s="983" t="str">
        <f>IF(TITLE_PERIOD_END="","",TITLE_PERIOD_END)</f>
        <v/>
      </c>
      <c r="I52" s="1586" t="b">
        <f>IF(OR(TITLE_PERIOD_START="",TITLE_PERIOD_END=""),TRUE,FALSE)</f>
        <v>1</v>
      </c>
      <c r="J52" s="1588" t="str">
        <f>"Показатели, подлежащие раскрытию в сфере "&amp;TEMPLATE_SPHERE_RUS&amp;" (цены и тарифы)"</f>
        <v>Показатели, подлежащие раскрытию в сфере теплоснабжения (цены и тарифы)</v>
      </c>
      <c r="K52" s="1589"/>
      <c r="AX52" s="986" t="s">
        <v>255</v>
      </c>
      <c r="AZ52" s="986" t="s">
        <v>1576</v>
      </c>
      <c r="BE52" s="986">
        <v>2050</v>
      </c>
      <c r="BH52" s="936" t="s">
        <v>1977</v>
      </c>
      <c r="BJ52" s="1084" t="s">
        <v>1320</v>
      </c>
      <c r="BL52" s="1084" t="s">
        <v>1320</v>
      </c>
    </row>
    <row r="53" spans="1:64" ht="11.25" customHeight="1">
      <c r="A53" s="942" t="s">
        <v>1997</v>
      </c>
      <c r="E53" s="314" t="s">
        <v>1998</v>
      </c>
      <c r="F53" s="981" t="s">
        <v>1998</v>
      </c>
      <c r="G53" s="983" t="str">
        <f>IF(f_year="","","01.01."&amp;f_year)</f>
        <v>01.01.2023</v>
      </c>
      <c r="H53" s="983" t="str">
        <f>IF(f_year="","","31.12."&amp;f_year)</f>
        <v>31.12.2023</v>
      </c>
      <c r="I53" s="1585" t="b">
        <f>IF(AND(f_year="",TITLE_DATE_FIL=""),TRUE,FALSE)</f>
        <v>0</v>
      </c>
      <c r="J53" s="1588" t="s">
        <v>1999</v>
      </c>
      <c r="K53" s="1589"/>
      <c r="AX53" s="986" t="s">
        <v>258</v>
      </c>
      <c r="BE53" s="986">
        <v>2051</v>
      </c>
      <c r="BH53" s="936" t="s">
        <v>1979</v>
      </c>
      <c r="BJ53" s="1084" t="s">
        <v>1958</v>
      </c>
      <c r="BL53" s="1084" t="s">
        <v>1958</v>
      </c>
    </row>
    <row r="54" spans="1:64" ht="11.25" customHeight="1">
      <c r="A54" s="942" t="s">
        <v>2000</v>
      </c>
      <c r="AX54" s="986" t="s">
        <v>261</v>
      </c>
      <c r="AZ54" s="935" t="s">
        <v>2001</v>
      </c>
      <c r="BE54" s="986">
        <v>2052</v>
      </c>
      <c r="BH54" s="936" t="s">
        <v>1984</v>
      </c>
      <c r="BJ54" s="1084" t="s">
        <v>1961</v>
      </c>
      <c r="BL54" s="1084" t="s">
        <v>1961</v>
      </c>
    </row>
    <row r="55" spans="1:64" ht="11.25" customHeight="1">
      <c r="A55" s="942" t="s">
        <v>2002</v>
      </c>
      <c r="AX55" s="986" t="s">
        <v>264</v>
      </c>
      <c r="AZ55" s="986" t="s">
        <v>1578</v>
      </c>
      <c r="BE55" s="986">
        <v>2053</v>
      </c>
      <c r="BH55" s="938" t="s">
        <v>18</v>
      </c>
      <c r="BJ55" s="1084" t="s">
        <v>1321</v>
      </c>
      <c r="BL55" s="1084" t="s">
        <v>1321</v>
      </c>
    </row>
    <row r="56" spans="1:64" ht="11.25" customHeight="1">
      <c r="A56" s="942" t="s">
        <v>2003</v>
      </c>
      <c r="D56" s="985" t="s">
        <v>2004</v>
      </c>
      <c r="E56" s="962">
        <v>55</v>
      </c>
      <c r="F56" s="942" t="s">
        <v>2005</v>
      </c>
      <c r="AX56" s="986" t="s">
        <v>267</v>
      </c>
      <c r="AZ56" s="986" t="s">
        <v>1606</v>
      </c>
      <c r="BE56" s="986">
        <v>2054</v>
      </c>
      <c r="BH56" s="938" t="s">
        <v>18</v>
      </c>
      <c r="BJ56" s="1084" t="s">
        <v>1967</v>
      </c>
      <c r="BL56" s="1084" t="s">
        <v>1967</v>
      </c>
    </row>
    <row r="57" spans="1:64" ht="11.25" customHeight="1">
      <c r="A57" s="942" t="s">
        <v>2006</v>
      </c>
      <c r="D57" s="985" t="s">
        <v>2007</v>
      </c>
      <c r="E57" s="962">
        <v>158</v>
      </c>
      <c r="F57" s="942" t="s">
        <v>2005</v>
      </c>
      <c r="AX57" s="986" t="s">
        <v>270</v>
      </c>
      <c r="AZ57" s="986" t="s">
        <v>1640</v>
      </c>
      <c r="BE57" s="986">
        <v>2055</v>
      </c>
      <c r="BJ57" s="1084" t="s">
        <v>1975</v>
      </c>
      <c r="BL57" s="1084" t="s">
        <v>1975</v>
      </c>
    </row>
    <row r="58" spans="1:64" ht="11.25" customHeight="1">
      <c r="A58" s="942" t="s">
        <v>2008</v>
      </c>
      <c r="D58" s="985" t="s">
        <v>2009</v>
      </c>
      <c r="E58" s="962">
        <v>44</v>
      </c>
      <c r="F58" s="942" t="s">
        <v>2005</v>
      </c>
      <c r="AX58" s="986" t="s">
        <v>273</v>
      </c>
      <c r="BE58" s="986">
        <v>2056</v>
      </c>
      <c r="BJ58" s="1084" t="s">
        <v>1977</v>
      </c>
      <c r="BL58" s="1084" t="s">
        <v>1977</v>
      </c>
    </row>
    <row r="59" spans="1:64" ht="11.25" customHeight="1">
      <c r="A59" s="942" t="s">
        <v>2010</v>
      </c>
      <c r="D59" s="985" t="s">
        <v>399</v>
      </c>
      <c r="E59" s="962" t="s">
        <v>166</v>
      </c>
      <c r="F59" s="942" t="s">
        <v>2011</v>
      </c>
      <c r="AX59" s="986" t="s">
        <v>276</v>
      </c>
      <c r="AZ59" s="935" t="s">
        <v>2012</v>
      </c>
      <c r="BE59" s="986">
        <v>2057</v>
      </c>
      <c r="BJ59" s="1084" t="s">
        <v>1979</v>
      </c>
      <c r="BL59" s="1084" t="s">
        <v>1979</v>
      </c>
    </row>
    <row r="60" spans="1:64" ht="11.25" customHeight="1">
      <c r="A60" s="942" t="s">
        <v>2013</v>
      </c>
      <c r="D60" s="985" t="s">
        <v>2014</v>
      </c>
      <c r="E60" s="962" t="s">
        <v>166</v>
      </c>
      <c r="F60" s="942" t="s">
        <v>2011</v>
      </c>
      <c r="AX60" s="986" t="s">
        <v>279</v>
      </c>
      <c r="AZ60" s="986" t="s">
        <v>1579</v>
      </c>
      <c r="BE60" s="986">
        <v>2058</v>
      </c>
      <c r="BJ60" s="1084" t="s">
        <v>1984</v>
      </c>
      <c r="BL60" s="1084" t="s">
        <v>1984</v>
      </c>
    </row>
    <row r="61" spans="1:64" ht="11.25" customHeight="1">
      <c r="A61" s="942" t="s">
        <v>2015</v>
      </c>
      <c r="D61" s="985" t="s">
        <v>2016</v>
      </c>
      <c r="E61" s="962">
        <v>26</v>
      </c>
      <c r="F61" s="942" t="s">
        <v>2011</v>
      </c>
      <c r="AX61" s="986" t="s">
        <v>282</v>
      </c>
      <c r="AZ61" s="986" t="s">
        <v>1607</v>
      </c>
      <c r="BE61" s="986">
        <v>2059</v>
      </c>
      <c r="BL61" s="1084" t="s">
        <v>1313</v>
      </c>
    </row>
    <row r="62" spans="1:64" ht="11.25" customHeight="1">
      <c r="A62" s="942" t="s">
        <v>2017</v>
      </c>
      <c r="D62" s="985" t="s">
        <v>398</v>
      </c>
      <c r="E62" s="962">
        <v>30</v>
      </c>
      <c r="F62" s="942" t="s">
        <v>2011</v>
      </c>
      <c r="AZ62" s="986" t="s">
        <v>1641</v>
      </c>
      <c r="BE62" s="986">
        <v>2060</v>
      </c>
      <c r="BL62" s="1084" t="s">
        <v>1315</v>
      </c>
    </row>
    <row r="63" spans="1:64" ht="11.25" customHeight="1">
      <c r="A63" s="942" t="s">
        <v>2018</v>
      </c>
      <c r="D63" s="985" t="s">
        <v>2019</v>
      </c>
      <c r="E63" s="962">
        <v>30</v>
      </c>
      <c r="F63" s="942" t="s">
        <v>2011</v>
      </c>
      <c r="AZ63" s="986" t="s">
        <v>1672</v>
      </c>
      <c r="BE63" s="986">
        <v>2061</v>
      </c>
    </row>
    <row r="64" spans="1:64" ht="11.25" customHeight="1">
      <c r="A64" s="942" t="s">
        <v>2020</v>
      </c>
      <c r="D64" s="985" t="s">
        <v>2021</v>
      </c>
      <c r="E64" s="962">
        <v>30</v>
      </c>
      <c r="F64" s="942" t="s">
        <v>2011</v>
      </c>
      <c r="AZ64" s="986" t="s">
        <v>1695</v>
      </c>
      <c r="BE64" s="986">
        <v>2062</v>
      </c>
    </row>
    <row r="65" spans="1:66" ht="11.25" customHeight="1">
      <c r="A65" s="942" t="s">
        <v>2022</v>
      </c>
      <c r="D65" s="942"/>
      <c r="BE65" s="986">
        <v>2063</v>
      </c>
    </row>
    <row r="66" spans="1:66" ht="11.25" customHeight="1">
      <c r="A66" s="942" t="s">
        <v>2023</v>
      </c>
      <c r="AZ66" s="935" t="s">
        <v>2024</v>
      </c>
      <c r="BE66" s="986">
        <v>2064</v>
      </c>
    </row>
    <row r="67" spans="1:66" ht="11.25" customHeight="1">
      <c r="A67" s="942" t="s">
        <v>2025</v>
      </c>
      <c r="AZ67" s="986" t="s">
        <v>1580</v>
      </c>
      <c r="BE67" s="986">
        <v>2065</v>
      </c>
    </row>
    <row r="68" spans="1:66" ht="11.25" customHeight="1">
      <c r="A68" s="942" t="s">
        <v>2026</v>
      </c>
      <c r="AZ68" s="986" t="s">
        <v>1608</v>
      </c>
      <c r="BE68" s="986">
        <v>2066</v>
      </c>
      <c r="BH68" s="935" t="s">
        <v>2027</v>
      </c>
      <c r="BJ68" s="935" t="s">
        <v>2028</v>
      </c>
      <c r="BL68" s="935" t="s">
        <v>2029</v>
      </c>
      <c r="BN68" s="935" t="s">
        <v>2030</v>
      </c>
    </row>
    <row r="69" spans="1:66" ht="11.25" customHeight="1">
      <c r="A69" s="942" t="s">
        <v>2031</v>
      </c>
      <c r="AZ69" s="986" t="s">
        <v>1642</v>
      </c>
      <c r="BE69" s="986">
        <v>2067</v>
      </c>
      <c r="BH69" s="936" t="s">
        <v>2032</v>
      </c>
      <c r="BI69" s="984" t="s">
        <v>106</v>
      </c>
      <c r="BJ69" s="936" t="s">
        <v>2033</v>
      </c>
      <c r="BK69" s="984" t="s">
        <v>106</v>
      </c>
      <c r="BL69" s="936" t="s">
        <v>2034</v>
      </c>
      <c r="BN69" s="936" t="s">
        <v>2035</v>
      </c>
    </row>
    <row r="70" spans="1:66" ht="11.25" customHeight="1">
      <c r="A70" s="942" t="s">
        <v>2036</v>
      </c>
      <c r="AZ70" s="986" t="s">
        <v>1673</v>
      </c>
      <c r="BE70" s="986">
        <v>2068</v>
      </c>
      <c r="BH70" s="936" t="s">
        <v>2037</v>
      </c>
      <c r="BJ70" s="936" t="s">
        <v>2038</v>
      </c>
      <c r="BL70" s="936" t="s">
        <v>2039</v>
      </c>
      <c r="BN70" s="936" t="s">
        <v>2040</v>
      </c>
    </row>
    <row r="71" spans="1:66" ht="11.25" customHeight="1">
      <c r="A71" s="942" t="s">
        <v>2041</v>
      </c>
      <c r="AZ71" s="986" t="s">
        <v>1675</v>
      </c>
      <c r="BE71" s="986">
        <v>2069</v>
      </c>
      <c r="BH71" s="936" t="s">
        <v>2042</v>
      </c>
      <c r="BI71" s="984" t="s">
        <v>87</v>
      </c>
      <c r="BJ71" s="936" t="s">
        <v>2043</v>
      </c>
      <c r="BK71" s="984" t="s">
        <v>87</v>
      </c>
      <c r="BL71" s="936" t="s">
        <v>2044</v>
      </c>
      <c r="BN71" s="936" t="s">
        <v>2045</v>
      </c>
    </row>
    <row r="72" spans="1:66" ht="11.25" customHeight="1">
      <c r="A72" s="942" t="s">
        <v>2046</v>
      </c>
      <c r="AZ72" s="986" t="s">
        <v>54</v>
      </c>
      <c r="BE72" s="986">
        <v>2070</v>
      </c>
      <c r="BH72" s="936" t="s">
        <v>2047</v>
      </c>
      <c r="BJ72" s="936" t="s">
        <v>2047</v>
      </c>
      <c r="BL72" s="936" t="s">
        <v>2047</v>
      </c>
      <c r="BN72" s="936" t="s">
        <v>2048</v>
      </c>
    </row>
    <row r="73" spans="1:66" ht="11.25" customHeight="1">
      <c r="A73" s="942" t="s">
        <v>2049</v>
      </c>
      <c r="BH73" s="936" t="s">
        <v>2050</v>
      </c>
      <c r="BI73" s="984" t="s">
        <v>108</v>
      </c>
      <c r="BJ73" s="936" t="s">
        <v>2051</v>
      </c>
      <c r="BK73" s="984" t="s">
        <v>108</v>
      </c>
      <c r="BL73" s="936" t="s">
        <v>2052</v>
      </c>
      <c r="BN73" s="936" t="s">
        <v>2053</v>
      </c>
    </row>
    <row r="74" spans="1:66" ht="11.25" customHeight="1">
      <c r="A74" s="942" t="s">
        <v>2054</v>
      </c>
      <c r="BH74" s="936" t="s">
        <v>2055</v>
      </c>
      <c r="BJ74" s="936" t="s">
        <v>2056</v>
      </c>
      <c r="BL74" s="936" t="s">
        <v>2057</v>
      </c>
      <c r="BN74" s="936" t="s">
        <v>2058</v>
      </c>
    </row>
    <row r="75" spans="1:66" ht="11.25" customHeight="1">
      <c r="A75" s="942" t="s">
        <v>2059</v>
      </c>
      <c r="AZ75" s="935" t="s">
        <v>2060</v>
      </c>
      <c r="BH75" s="936" t="s">
        <v>2061</v>
      </c>
      <c r="BJ75" s="936" t="s">
        <v>2061</v>
      </c>
      <c r="BL75" s="936" t="s">
        <v>2061</v>
      </c>
    </row>
    <row r="76" spans="1:66" ht="11.25" customHeight="1">
      <c r="A76" s="942" t="s">
        <v>2062</v>
      </c>
      <c r="AZ76" s="986" t="s">
        <v>1589</v>
      </c>
      <c r="BH76" s="936" t="s">
        <v>2063</v>
      </c>
      <c r="BJ76" s="936" t="s">
        <v>2064</v>
      </c>
      <c r="BL76" s="936" t="s">
        <v>2065</v>
      </c>
    </row>
    <row r="77" spans="1:66" ht="11.25" customHeight="1">
      <c r="A77" s="942" t="s">
        <v>2066</v>
      </c>
      <c r="AZ77" s="986" t="s">
        <v>1618</v>
      </c>
    </row>
    <row r="78" spans="1:66" ht="11.25" customHeight="1">
      <c r="A78" s="942" t="s">
        <v>2067</v>
      </c>
      <c r="AZ78" s="986" t="s">
        <v>1649</v>
      </c>
    </row>
    <row r="79" spans="1:66" ht="11.25" customHeight="1">
      <c r="A79" s="942" t="s">
        <v>2068</v>
      </c>
      <c r="AZ79" s="986" t="s">
        <v>1679</v>
      </c>
      <c r="BH79" s="935" t="s">
        <v>2069</v>
      </c>
      <c r="BJ79" s="935" t="s">
        <v>2070</v>
      </c>
      <c r="BL79" s="935" t="s">
        <v>2071</v>
      </c>
    </row>
    <row r="80" spans="1:66" ht="11.25" customHeight="1">
      <c r="A80" s="942" t="s">
        <v>2072</v>
      </c>
      <c r="AZ80" s="986" t="s">
        <v>1700</v>
      </c>
      <c r="BH80" s="936" t="s">
        <v>2073</v>
      </c>
      <c r="BJ80" s="936" t="s">
        <v>2074</v>
      </c>
      <c r="BL80" s="936" t="s">
        <v>2075</v>
      </c>
    </row>
    <row r="81" spans="1:66" ht="11.25" customHeight="1">
      <c r="A81" s="942" t="s">
        <v>2076</v>
      </c>
      <c r="AZ81" s="986" t="s">
        <v>1717</v>
      </c>
      <c r="BH81" s="936" t="s">
        <v>2077</v>
      </c>
      <c r="BJ81" s="936" t="s">
        <v>2078</v>
      </c>
      <c r="BL81" s="936" t="s">
        <v>2079</v>
      </c>
    </row>
    <row r="82" spans="1:66" ht="11.25" customHeight="1">
      <c r="A82" s="942" t="s">
        <v>2080</v>
      </c>
      <c r="AZ82" s="986" t="s">
        <v>1732</v>
      </c>
      <c r="BH82" s="936" t="s">
        <v>2081</v>
      </c>
      <c r="BJ82" s="936" t="s">
        <v>2082</v>
      </c>
      <c r="BL82" s="936" t="s">
        <v>2083</v>
      </c>
    </row>
    <row r="83" spans="1:66" ht="11.25" customHeight="1">
      <c r="A83" s="942" t="s">
        <v>2084</v>
      </c>
      <c r="BH83" s="936" t="s">
        <v>2085</v>
      </c>
      <c r="BJ83" s="936" t="s">
        <v>2086</v>
      </c>
      <c r="BL83" s="936" t="s">
        <v>2087</v>
      </c>
    </row>
    <row r="84" spans="1:66" ht="11.25" customHeight="1">
      <c r="A84" s="942" t="s">
        <v>2088</v>
      </c>
      <c r="AZ84" s="935" t="s">
        <v>2089</v>
      </c>
    </row>
    <row r="85" spans="1:66" ht="11.25" customHeight="1">
      <c r="A85" s="1710" t="s">
        <v>2090</v>
      </c>
      <c r="AZ85" s="986" t="s">
        <v>2091</v>
      </c>
    </row>
    <row r="86" spans="1:66" ht="11.25" customHeight="1">
      <c r="A86" s="942" t="s">
        <v>2092</v>
      </c>
      <c r="AZ86" s="986" t="s">
        <v>2093</v>
      </c>
      <c r="BH86" s="935" t="s">
        <v>2094</v>
      </c>
      <c r="BJ86" s="935" t="s">
        <v>2095</v>
      </c>
      <c r="BL86" s="935" t="s">
        <v>2096</v>
      </c>
    </row>
    <row r="87" spans="1:66" ht="11.25" customHeight="1">
      <c r="A87" s="942" t="s">
        <v>2097</v>
      </c>
      <c r="AZ87" s="986" t="s">
        <v>2098</v>
      </c>
      <c r="BH87" s="936" t="s">
        <v>2099</v>
      </c>
      <c r="BJ87" s="936" t="s">
        <v>2100</v>
      </c>
      <c r="BL87" s="936" t="s">
        <v>2101</v>
      </c>
    </row>
    <row r="88" spans="1:66" ht="11.25" customHeight="1">
      <c r="A88" s="942" t="s">
        <v>2102</v>
      </c>
      <c r="AZ88"/>
      <c r="BH88" s="936" t="s">
        <v>2103</v>
      </c>
      <c r="BJ88" s="936" t="s">
        <v>2104</v>
      </c>
      <c r="BL88" s="936" t="s">
        <v>2105</v>
      </c>
    </row>
    <row r="89" spans="1:66" ht="11.25" customHeight="1">
      <c r="A89" s="942" t="s">
        <v>2106</v>
      </c>
      <c r="AZ89" s="935" t="s">
        <v>2107</v>
      </c>
    </row>
    <row r="90" spans="1:66" ht="11.25" customHeight="1">
      <c r="A90" s="942" t="s">
        <v>2108</v>
      </c>
      <c r="AZ90" s="986" t="s">
        <v>1291</v>
      </c>
    </row>
    <row r="91" spans="1:66" ht="11.25" customHeight="1">
      <c r="A91" s="942" t="s">
        <v>2109</v>
      </c>
      <c r="AZ91" s="986" t="s">
        <v>1327</v>
      </c>
      <c r="BH91" s="935" t="s">
        <v>2110</v>
      </c>
      <c r="BJ91" s="935" t="s">
        <v>2111</v>
      </c>
      <c r="BL91" s="935" t="s">
        <v>2112</v>
      </c>
    </row>
    <row r="92" spans="1:66" ht="11.25" customHeight="1">
      <c r="AZ92" s="986" t="s">
        <v>2113</v>
      </c>
      <c r="BH92" s="936" t="s">
        <v>2114</v>
      </c>
      <c r="BJ92" s="936" t="s">
        <v>2115</v>
      </c>
      <c r="BL92" s="936" t="s">
        <v>2116</v>
      </c>
    </row>
    <row r="93" spans="1:66" ht="11.25" customHeight="1">
      <c r="AZ93" s="986" t="s">
        <v>2117</v>
      </c>
      <c r="BH93" s="936" t="s">
        <v>2118</v>
      </c>
      <c r="BJ93" s="936" t="s">
        <v>2119</v>
      </c>
      <c r="BL93" s="936" t="s">
        <v>2120</v>
      </c>
    </row>
    <row r="94" spans="1:66" ht="11.25" customHeight="1">
      <c r="AZ94" s="986" t="s">
        <v>2121</v>
      </c>
    </row>
    <row r="96" spans="1:66" ht="11.25" customHeight="1">
      <c r="AZ96" s="935" t="s">
        <v>2122</v>
      </c>
      <c r="BH96" s="935" t="s">
        <v>2123</v>
      </c>
      <c r="BJ96" s="935" t="s">
        <v>2124</v>
      </c>
      <c r="BL96" s="935" t="s">
        <v>2125</v>
      </c>
      <c r="BN96" s="935" t="s">
        <v>2126</v>
      </c>
    </row>
    <row r="97" spans="52:66" ht="11.25" customHeight="1">
      <c r="AZ97" s="1740" t="s">
        <v>2127</v>
      </c>
      <c r="BA97" s="1741" t="s">
        <v>2128</v>
      </c>
      <c r="BH97" s="936" t="s">
        <v>2129</v>
      </c>
      <c r="BJ97" s="936" t="s">
        <v>2130</v>
      </c>
      <c r="BL97" s="936" t="s">
        <v>2131</v>
      </c>
      <c r="BN97" s="936" t="s">
        <v>2132</v>
      </c>
    </row>
    <row r="98" spans="52:66" ht="11.25" customHeight="1">
      <c r="AZ98" s="1740" t="s">
        <v>2133</v>
      </c>
      <c r="BA98" s="1741" t="s">
        <v>2134</v>
      </c>
      <c r="BH98" s="936" t="s">
        <v>2135</v>
      </c>
      <c r="BJ98" s="936" t="s">
        <v>2136</v>
      </c>
      <c r="BL98" s="936" t="s">
        <v>2137</v>
      </c>
      <c r="BN98" s="936" t="s">
        <v>2138</v>
      </c>
    </row>
    <row r="99" spans="52:66" ht="22.5" customHeight="1">
      <c r="AZ99" s="1740" t="s">
        <v>2139</v>
      </c>
      <c r="BA99" s="1741" t="str">
        <f>"не позднее чем за "&amp;IF(TEMPLATE_SPHERE="TKO","3","10")&amp;" дней до дня проведения заседания правления"</f>
        <v>не позднее чем за 10 дней до дня проведения заседания правления</v>
      </c>
      <c r="BH99" s="936" t="s">
        <v>2140</v>
      </c>
      <c r="BJ99" s="936" t="s">
        <v>2141</v>
      </c>
      <c r="BL99" s="936" t="s">
        <v>2142</v>
      </c>
      <c r="BN99" s="936" t="s">
        <v>2143</v>
      </c>
    </row>
    <row r="100" spans="52:66" ht="22.5" customHeight="1">
      <c r="AZ100" s="1740" t="s">
        <v>2144</v>
      </c>
      <c r="BA100" s="174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36" t="s">
        <v>1777</v>
      </c>
      <c r="BL100" s="936" t="s">
        <v>1777</v>
      </c>
      <c r="BN100" s="936" t="s">
        <v>2145</v>
      </c>
    </row>
    <row r="101" spans="52:66" ht="22.5" customHeight="1">
      <c r="AZ101" s="1740" t="s">
        <v>2146</v>
      </c>
      <c r="BA101" s="1741" t="s">
        <v>2147</v>
      </c>
      <c r="BN101" s="936" t="s">
        <v>2148</v>
      </c>
    </row>
    <row r="102" spans="52:66" ht="22.5" customHeight="1">
      <c r="AZ102" s="1740" t="s">
        <v>2149</v>
      </c>
      <c r="BA102" s="174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36" t="s">
        <v>2150</v>
      </c>
    </row>
    <row r="103" spans="52:66" ht="11.25" customHeight="1">
      <c r="AZ103" s="1740" t="s">
        <v>2151</v>
      </c>
      <c r="BA103" s="1741" t="s">
        <v>2152</v>
      </c>
      <c r="BN103" s="936" t="s">
        <v>2153</v>
      </c>
    </row>
    <row r="104" spans="52:66" ht="11.25" customHeight="1">
      <c r="BN104" s="936" t="s">
        <v>2154</v>
      </c>
    </row>
    <row r="105" spans="52:66" ht="11.25" customHeight="1">
      <c r="AZ105" s="1536" t="s">
        <v>2155</v>
      </c>
    </row>
    <row r="106" spans="52:66" ht="11.25" customHeight="1">
      <c r="AZ106" s="986" t="s">
        <v>2156</v>
      </c>
    </row>
    <row r="107" spans="52:66" ht="11.25" customHeight="1">
      <c r="AZ107" s="986" t="s">
        <v>2157</v>
      </c>
      <c r="BH107" s="935" t="s">
        <v>2158</v>
      </c>
      <c r="BJ107" s="935" t="s">
        <v>2159</v>
      </c>
      <c r="BL107" s="935" t="s">
        <v>2160</v>
      </c>
      <c r="BN107" s="935" t="s">
        <v>2161</v>
      </c>
    </row>
    <row r="108" spans="52:66" ht="11.25" customHeight="1">
      <c r="AZ108" s="986" t="s">
        <v>836</v>
      </c>
      <c r="BH108" s="936" t="s">
        <v>2162</v>
      </c>
      <c r="BJ108" s="936" t="s">
        <v>2163</v>
      </c>
      <c r="BL108" s="936" t="s">
        <v>1858</v>
      </c>
      <c r="BN108" s="936" t="s">
        <v>2164</v>
      </c>
    </row>
    <row r="109" spans="52:66" ht="11.25" customHeight="1">
      <c r="BH109" s="936" t="s">
        <v>2165</v>
      </c>
    </row>
    <row r="110" spans="52:66" ht="11.25" customHeight="1">
      <c r="AZ110" s="1536" t="s">
        <v>2166</v>
      </c>
      <c r="BH110" s="936" t="s">
        <v>2165</v>
      </c>
    </row>
    <row r="111" spans="52:66" ht="11.25" customHeight="1">
      <c r="AZ111" s="1740" t="s">
        <v>2127</v>
      </c>
      <c r="BA111" s="1741" t="s">
        <v>2128</v>
      </c>
    </row>
    <row r="112" spans="52:66" ht="11.25" customHeight="1">
      <c r="AZ112" s="1740" t="s">
        <v>2133</v>
      </c>
      <c r="BA112" s="1741" t="s">
        <v>2134</v>
      </c>
    </row>
    <row r="113" spans="52:60" ht="22.5" customHeight="1">
      <c r="AZ113" s="1740" t="s">
        <v>2139</v>
      </c>
      <c r="BA113" s="1741"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40" t="s">
        <v>2144</v>
      </c>
      <c r="BA114" s="174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35" t="s">
        <v>2167</v>
      </c>
    </row>
    <row r="115" spans="52:60" ht="22.5" customHeight="1">
      <c r="AZ115" s="1740" t="s">
        <v>2149</v>
      </c>
      <c r="BA115" s="174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36" t="s">
        <v>1576</v>
      </c>
    </row>
    <row r="116" spans="52:60" ht="11.25" customHeight="1">
      <c r="AZ116" s="1740" t="s">
        <v>2151</v>
      </c>
      <c r="BA116" s="1741" t="s">
        <v>2152</v>
      </c>
      <c r="BH116" s="936" t="s">
        <v>1604</v>
      </c>
    </row>
    <row r="117" spans="52:60" ht="11.25" customHeight="1">
      <c r="BH117" s="936" t="s">
        <v>1638</v>
      </c>
    </row>
    <row r="118" spans="52:60" ht="11.25" customHeight="1">
      <c r="BH118" s="936" t="s">
        <v>1670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49514-E716-020D-19E2-A3EA0D944DF1}">
  <sheetPr>
    <tabColor rgb="FFCCCCFF"/>
  </sheetPr>
  <dimension ref="A1:AQ140"/>
  <sheetViews>
    <sheetView showGridLines="0" topLeftCell="C4" zoomScale="90" workbookViewId="0"/>
  </sheetViews>
  <sheetFormatPr defaultColWidth="9.140625" defaultRowHeight="11.25" customHeight="1"/>
  <cols>
    <col min="1" max="2" width="3.7109375" style="1904" hidden="1" customWidth="1"/>
    <col min="3" max="3" width="3.7109375" style="1944" customWidth="1"/>
    <col min="4" max="4" width="6.140625" style="1944" customWidth="1"/>
    <col min="5" max="5" width="43.140625" style="1944" customWidth="1"/>
    <col min="6" max="6" width="15" style="1944" customWidth="1"/>
    <col min="7" max="7" width="43.140625" style="1944" customWidth="1"/>
    <col min="8" max="8" width="3.7109375" style="1944" customWidth="1"/>
    <col min="9" max="9" width="5.42578125" style="1944" customWidth="1"/>
    <col min="10" max="10" width="47.85546875" style="1944" customWidth="1"/>
    <col min="11" max="12" width="3.7109375" style="1944" customWidth="1"/>
    <col min="13" max="13" width="5.7109375" style="1944" customWidth="1"/>
    <col min="14" max="14" width="28.140625" style="1944" customWidth="1"/>
    <col min="15" max="16" width="3.7109375" style="1944" customWidth="1"/>
    <col min="17" max="17" width="5.7109375" style="1944" customWidth="1"/>
    <col min="18" max="18" width="34.42578125" style="1944" customWidth="1"/>
    <col min="19" max="20" width="3.7109375" style="1944" customWidth="1"/>
    <col min="21" max="21" width="5.7109375" style="1944" customWidth="1"/>
    <col min="22" max="22" width="34.42578125" style="1944" customWidth="1"/>
    <col min="23" max="23" width="30.7109375" style="1944" customWidth="1"/>
    <col min="24" max="24" width="3.7109375" style="1944" customWidth="1"/>
    <col min="25" max="28" width="9.85546875" style="1917" customWidth="1"/>
    <col min="29" max="29" width="27" style="1917" customWidth="1"/>
    <col min="30" max="30" width="10.5703125" style="1917" customWidth="1"/>
    <col min="31" max="31" width="10.7109375" style="1917" customWidth="1"/>
    <col min="32" max="32" width="10" style="1917" customWidth="1"/>
    <col min="33" max="33" width="12.85546875" style="1917" customWidth="1"/>
    <col min="34" max="34" width="10.28515625" style="1917" customWidth="1"/>
    <col min="35" max="35" width="15.85546875" style="1917" customWidth="1"/>
    <col min="36" max="36" width="19.42578125" style="1917" customWidth="1"/>
    <col min="37" max="37" width="11" style="1917" customWidth="1"/>
    <col min="38" max="38" width="23.5703125" style="1917" customWidth="1"/>
    <col min="39" max="39" width="23.85546875" style="1917" customWidth="1"/>
    <col min="40" max="40" width="25.28515625" style="1917" customWidth="1"/>
    <col min="41" max="41" width="16.85546875" style="1917" customWidth="1"/>
    <col min="42" max="42" width="29.5703125" style="1917" customWidth="1"/>
    <col min="43" max="43" width="29.85546875" style="1917" customWidth="1"/>
  </cols>
  <sheetData>
    <row r="1" spans="1:43" ht="11.25" hidden="1" customHeight="1">
      <c r="A1" s="74"/>
    </row>
    <row r="2" spans="1:43" ht="11.25" hidden="1" customHeight="1"/>
    <row r="3" spans="1:43" ht="11.25" hidden="1" customHeight="1"/>
    <row r="4" spans="1:43" ht="3" customHeight="1"/>
    <row r="5" spans="1:43" s="1821" customFormat="1" ht="29.25" customHeight="1">
      <c r="A5" s="72"/>
      <c r="B5" s="72"/>
      <c r="D5" s="344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3450"/>
      <c r="F5" s="3450"/>
      <c r="G5" s="3450"/>
      <c r="H5" s="3450"/>
      <c r="I5" s="3450"/>
      <c r="J5" s="3451"/>
      <c r="K5" s="179"/>
      <c r="L5" s="63"/>
      <c r="M5" s="63"/>
      <c r="N5" s="63"/>
      <c r="O5" s="63"/>
      <c r="P5" s="63"/>
      <c r="Q5" s="63"/>
      <c r="R5" s="63"/>
      <c r="S5" s="202"/>
      <c r="T5" s="202"/>
      <c r="U5" s="202"/>
      <c r="V5" s="202"/>
      <c r="W5" s="63"/>
      <c r="Y5" s="1127"/>
      <c r="Z5" s="1127"/>
      <c r="AA5" s="1127"/>
      <c r="AB5" s="1127"/>
      <c r="AC5" s="1127"/>
      <c r="AD5" s="1127"/>
      <c r="AE5" s="1127"/>
      <c r="AF5" s="1127"/>
      <c r="AG5" s="1127"/>
      <c r="AH5" s="1127"/>
      <c r="AI5" s="1127"/>
      <c r="AJ5" s="1127"/>
      <c r="AK5" s="1127"/>
      <c r="AL5" s="1127"/>
      <c r="AM5" s="1127"/>
      <c r="AN5" s="1127"/>
      <c r="AO5" s="1127"/>
      <c r="AP5" s="1127"/>
      <c r="AQ5" s="1127"/>
    </row>
    <row r="6" spans="1:43" s="1821" customFormat="1" ht="15" customHeight="1">
      <c r="A6" s="481"/>
      <c r="B6" s="481"/>
      <c r="C6" s="481"/>
      <c r="D6" s="3455" t="str">
        <f>IF(org=0,"Не определено",org)</f>
        <v>АО "Орелгортеплоэнерго"</v>
      </c>
      <c r="E6" s="3455"/>
      <c r="F6" s="3455"/>
      <c r="G6" s="3455"/>
      <c r="H6" s="3455"/>
      <c r="I6" s="3455"/>
      <c r="J6" s="3455"/>
      <c r="K6" s="482"/>
      <c r="L6" s="482"/>
      <c r="M6" s="482"/>
      <c r="N6" s="482"/>
      <c r="O6" s="747"/>
      <c r="P6" s="747"/>
      <c r="Q6" s="747"/>
      <c r="R6" s="747"/>
      <c r="S6" s="747"/>
      <c r="T6" s="747"/>
      <c r="U6" s="747"/>
      <c r="V6" s="747"/>
      <c r="W6" s="747"/>
      <c r="X6" s="482"/>
      <c r="Y6" s="1128"/>
      <c r="Z6" s="1128"/>
      <c r="AA6" s="1128"/>
      <c r="AB6" s="1128"/>
      <c r="AC6" s="1128"/>
      <c r="AD6" s="1128"/>
      <c r="AE6" s="1128"/>
      <c r="AF6" s="1128"/>
      <c r="AG6" s="1128"/>
      <c r="AH6" s="1128"/>
      <c r="AI6" s="1128"/>
      <c r="AJ6" s="1128"/>
      <c r="AK6" s="1128"/>
      <c r="AL6" s="1128"/>
      <c r="AM6" s="1128"/>
      <c r="AN6" s="1128"/>
      <c r="AO6" s="1128"/>
      <c r="AP6" s="1128"/>
      <c r="AQ6" s="1128"/>
    </row>
    <row r="7" spans="1:43" s="1820" customFormat="1" ht="11.25" customHeight="1">
      <c r="A7" s="127"/>
      <c r="B7" s="127"/>
      <c r="D7" s="3452"/>
      <c r="E7" s="3453"/>
      <c r="F7" s="3453"/>
      <c r="G7" s="3453"/>
      <c r="H7" s="3453"/>
      <c r="I7" s="3453"/>
      <c r="J7" s="3454"/>
      <c r="S7" s="210"/>
      <c r="T7" s="210"/>
      <c r="U7" s="210"/>
      <c r="V7" s="210"/>
      <c r="Y7" s="1129"/>
      <c r="Z7" s="1129"/>
      <c r="AA7" s="1129"/>
      <c r="AB7" s="1129"/>
      <c r="AC7" s="1129"/>
      <c r="AD7" s="1129"/>
      <c r="AE7" s="1129"/>
      <c r="AF7" s="1129"/>
      <c r="AG7" s="1129"/>
      <c r="AH7" s="1129"/>
      <c r="AI7" s="1129"/>
      <c r="AJ7" s="1129"/>
      <c r="AK7" s="1129"/>
      <c r="AL7" s="1129"/>
      <c r="AM7" s="1129"/>
      <c r="AN7" s="1129"/>
      <c r="AO7" s="1129"/>
      <c r="AP7" s="1129"/>
      <c r="AQ7" s="1129"/>
    </row>
    <row r="8" spans="1:43" s="1821" customFormat="1" ht="0.75" customHeight="1">
      <c r="A8" s="72"/>
      <c r="B8" s="72"/>
      <c r="D8" s="128"/>
      <c r="E8" s="128"/>
      <c r="F8" s="128"/>
      <c r="G8" s="128"/>
      <c r="H8" s="128"/>
      <c r="I8" s="128"/>
      <c r="J8" s="128"/>
      <c r="K8" s="128"/>
      <c r="L8" s="128"/>
      <c r="M8" s="128"/>
      <c r="N8" s="128"/>
      <c r="O8" s="128"/>
      <c r="P8" s="128"/>
      <c r="Q8" s="128"/>
      <c r="R8" s="128"/>
      <c r="S8" s="128"/>
      <c r="T8" s="128"/>
      <c r="U8" s="128"/>
      <c r="V8" s="128"/>
      <c r="W8" s="128"/>
      <c r="X8" s="54"/>
      <c r="Y8" s="1127"/>
      <c r="Z8" s="1127"/>
      <c r="AA8" s="1127"/>
      <c r="AB8" s="1127"/>
      <c r="AC8" s="1127"/>
      <c r="AD8" s="1127"/>
      <c r="AE8" s="1127"/>
      <c r="AF8" s="1127"/>
      <c r="AG8" s="1127"/>
      <c r="AH8" s="1127"/>
      <c r="AI8" s="1127"/>
      <c r="AJ8" s="1127"/>
      <c r="AK8" s="1127"/>
      <c r="AL8" s="1127"/>
      <c r="AM8" s="1127"/>
      <c r="AN8" s="1127"/>
      <c r="AO8" s="1127"/>
      <c r="AP8" s="1127"/>
      <c r="AQ8" s="1127"/>
    </row>
    <row r="9" spans="1:43" ht="27" customHeight="1">
      <c r="D9" s="3401" t="s">
        <v>85</v>
      </c>
      <c r="E9" s="3383" t="s">
        <v>390</v>
      </c>
      <c r="F9" s="3382"/>
      <c r="G9" s="3401" t="s">
        <v>102</v>
      </c>
      <c r="H9" s="3401" t="s">
        <v>85</v>
      </c>
      <c r="I9" s="3401"/>
      <c r="J9" s="3401" t="s">
        <v>391</v>
      </c>
      <c r="K9" s="3456" t="s">
        <v>392</v>
      </c>
      <c r="L9" s="3456"/>
      <c r="M9" s="3456"/>
      <c r="N9" s="3456"/>
      <c r="O9" s="3456" t="s">
        <v>393</v>
      </c>
      <c r="P9" s="3456"/>
      <c r="Q9" s="3456"/>
      <c r="R9" s="3456"/>
      <c r="S9" s="3456" t="s">
        <v>394</v>
      </c>
      <c r="T9" s="3456"/>
      <c r="U9" s="3456"/>
      <c r="V9" s="3456"/>
      <c r="W9" s="3401" t="s">
        <v>395</v>
      </c>
    </row>
    <row r="10" spans="1:43" ht="30" customHeight="1">
      <c r="D10" s="3401"/>
      <c r="E10" s="1149" t="s">
        <v>86</v>
      </c>
      <c r="F10" s="1149" t="s">
        <v>396</v>
      </c>
      <c r="G10" s="3401"/>
      <c r="H10" s="3401"/>
      <c r="I10" s="3401"/>
      <c r="J10" s="3401"/>
      <c r="K10" s="37" t="s">
        <v>105</v>
      </c>
      <c r="L10" s="3401" t="s">
        <v>85</v>
      </c>
      <c r="M10" s="3401"/>
      <c r="N10" s="37" t="s">
        <v>397</v>
      </c>
      <c r="O10" s="37" t="s">
        <v>105</v>
      </c>
      <c r="P10" s="3401" t="s">
        <v>85</v>
      </c>
      <c r="Q10" s="3401"/>
      <c r="R10" s="37" t="s">
        <v>397</v>
      </c>
      <c r="S10" s="195" t="s">
        <v>105</v>
      </c>
      <c r="T10" s="3401" t="s">
        <v>85</v>
      </c>
      <c r="U10" s="3401"/>
      <c r="V10" s="195" t="s">
        <v>86</v>
      </c>
      <c r="W10" s="3401"/>
      <c r="Z10" s="1126" t="s">
        <v>398</v>
      </c>
      <c r="AA10" s="1126" t="s">
        <v>399</v>
      </c>
      <c r="AB10" s="1126" t="s">
        <v>400</v>
      </c>
      <c r="AC10" s="1126" t="s">
        <v>401</v>
      </c>
      <c r="AD10" s="1126" t="s">
        <v>402</v>
      </c>
      <c r="AE10" s="1126" t="s">
        <v>403</v>
      </c>
      <c r="AF10" s="1126" t="s">
        <v>404</v>
      </c>
      <c r="AG10" s="1126" t="s">
        <v>405</v>
      </c>
      <c r="AH10" s="1126" t="s">
        <v>406</v>
      </c>
      <c r="AI10" s="1126" t="s">
        <v>407</v>
      </c>
      <c r="AJ10" s="1126" t="s">
        <v>408</v>
      </c>
      <c r="AK10" s="1126" t="s">
        <v>409</v>
      </c>
      <c r="AL10" s="1126" t="s">
        <v>410</v>
      </c>
      <c r="AM10" s="1126" t="s">
        <v>411</v>
      </c>
      <c r="AN10" s="1126" t="s">
        <v>412</v>
      </c>
      <c r="AO10" s="1126" t="s">
        <v>413</v>
      </c>
      <c r="AP10" s="1126" t="s">
        <v>414</v>
      </c>
      <c r="AQ10" s="1126" t="s">
        <v>415</v>
      </c>
    </row>
    <row r="11" spans="1:43" s="1904" customFormat="1" ht="12" hidden="1" customHeight="1">
      <c r="D11" s="1115" t="s">
        <v>106</v>
      </c>
      <c r="E11" s="1115" t="s">
        <v>107</v>
      </c>
      <c r="F11" s="1115"/>
      <c r="G11" s="1115" t="s">
        <v>87</v>
      </c>
      <c r="H11" s="3448" t="s">
        <v>108</v>
      </c>
      <c r="I11" s="3448"/>
      <c r="J11" s="1115" t="s">
        <v>89</v>
      </c>
      <c r="K11" s="1115" t="s">
        <v>90</v>
      </c>
      <c r="L11" s="3448" t="s">
        <v>109</v>
      </c>
      <c r="M11" s="3448"/>
      <c r="N11" s="1115" t="s">
        <v>133</v>
      </c>
      <c r="O11" s="1115" t="s">
        <v>136</v>
      </c>
      <c r="P11" s="3448" t="s">
        <v>139</v>
      </c>
      <c r="Q11" s="3448"/>
      <c r="R11" s="1115" t="s">
        <v>142</v>
      </c>
      <c r="S11" s="1115" t="s">
        <v>139</v>
      </c>
      <c r="T11" s="3448" t="s">
        <v>142</v>
      </c>
      <c r="U11" s="3448"/>
      <c r="V11" s="1115" t="s">
        <v>145</v>
      </c>
      <c r="W11" s="1115" t="s">
        <v>148</v>
      </c>
      <c r="Y11" s="1126"/>
      <c r="Z11" s="1126"/>
      <c r="AA11" s="1126"/>
      <c r="AB11" s="1126"/>
      <c r="AC11" s="1126"/>
      <c r="AD11" s="1126"/>
      <c r="AE11" s="1126"/>
      <c r="AF11" s="1126"/>
      <c r="AG11" s="1126"/>
      <c r="AH11" s="1126"/>
      <c r="AI11" s="1126"/>
      <c r="AJ11" s="1126"/>
      <c r="AK11" s="1126"/>
      <c r="AL11" s="1126"/>
      <c r="AM11" s="1126"/>
      <c r="AN11" s="1126"/>
      <c r="AO11" s="1126"/>
      <c r="AP11" s="1126"/>
      <c r="AQ11" s="1126"/>
    </row>
    <row r="12" spans="1:43" ht="14.25" hidden="1" customHeight="1">
      <c r="C12" s="125"/>
      <c r="D12" s="1148">
        <v>0</v>
      </c>
      <c r="E12" s="164"/>
      <c r="F12" s="164"/>
      <c r="G12" s="164"/>
      <c r="H12" s="165"/>
      <c r="I12" s="165"/>
      <c r="J12" s="76"/>
      <c r="K12" s="38"/>
      <c r="L12" s="76"/>
      <c r="M12" s="76"/>
      <c r="N12" s="166"/>
      <c r="O12" s="38"/>
      <c r="P12" s="76"/>
      <c r="Q12" s="76"/>
      <c r="R12" s="167"/>
      <c r="S12" s="196"/>
      <c r="T12" s="204"/>
      <c r="U12" s="204"/>
      <c r="V12" s="207"/>
      <c r="W12" s="38"/>
      <c r="X12" s="62"/>
    </row>
    <row r="13" spans="1:43" s="1944" customFormat="1" ht="17.25" customHeight="1">
      <c r="A13" s="232"/>
      <c r="C13" s="125"/>
      <c r="D13" s="3426">
        <v>1</v>
      </c>
      <c r="E13" s="3427" t="s">
        <v>416</v>
      </c>
      <c r="F13" s="3429" t="s">
        <v>54</v>
      </c>
      <c r="G13" s="3427"/>
      <c r="H13" s="3432"/>
      <c r="I13" s="3434"/>
      <c r="J13" s="3436"/>
      <c r="K13" s="3420"/>
      <c r="L13" s="3420"/>
      <c r="M13" s="3420"/>
      <c r="N13" s="3422"/>
      <c r="O13" s="3420"/>
      <c r="P13" s="3420"/>
      <c r="Q13" s="3420"/>
      <c r="R13" s="3425"/>
      <c r="S13" s="3420"/>
      <c r="T13" s="1280"/>
      <c r="U13" s="1280"/>
      <c r="V13" s="1279"/>
      <c r="W13" s="1160"/>
      <c r="Y13" s="1133"/>
      <c r="Z13" s="1133"/>
      <c r="AA13" s="1133"/>
      <c r="AB13" s="1133"/>
      <c r="AC13" s="1133" t="s">
        <v>417</v>
      </c>
      <c r="AD13" s="1133" t="s">
        <v>418</v>
      </c>
      <c r="AE13" s="1133" t="s">
        <v>419</v>
      </c>
      <c r="AF13" s="1133" t="s">
        <v>420</v>
      </c>
      <c r="AG13" s="1133" t="s">
        <v>421</v>
      </c>
      <c r="AH13" s="113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33" t="str">
        <f>IF($G$13=0,"",$G$13)</f>
        <v/>
      </c>
      <c r="AJ13" s="1133" t="str">
        <f>IF($J$13=0,"",$J$13)</f>
        <v/>
      </c>
      <c r="AK13" s="1133" t="str">
        <f>IF($K$13="нет","без дифференциации",IF($N$13=0,"",$N$13))</f>
        <v/>
      </c>
      <c r="AL13" s="1133" t="str">
        <f>IF($O$13="нет","без дифференциации",IF($R$13=0,"",$R$13))</f>
        <v/>
      </c>
      <c r="AM13" s="1133" t="str">
        <f>IF($S$13="нет","без дифференциации",IF($V$13=0,"",$V$13))</f>
        <v/>
      </c>
      <c r="AN13" s="1133">
        <f>$I$13</f>
        <v>0</v>
      </c>
      <c r="AO13" s="1133" t="str">
        <f>$I$13&amp;"."&amp;$M$13</f>
        <v>.</v>
      </c>
      <c r="AP13" s="1133" t="str">
        <f>$I$13&amp;"."&amp;$M$13&amp;"."&amp;$Q$13</f>
        <v>..</v>
      </c>
      <c r="AQ13" s="1133" t="str">
        <f>$I$13&amp;"."&amp;$M$13&amp;"."&amp;$Q$13&amp;"."&amp;$U$13</f>
        <v>...</v>
      </c>
    </row>
    <row r="14" spans="1:43" s="1944" customFormat="1" ht="17.25" customHeight="1">
      <c r="A14" s="232"/>
      <c r="C14" s="231"/>
      <c r="D14" s="3426"/>
      <c r="E14" s="3427"/>
      <c r="F14" s="3430"/>
      <c r="G14" s="3427"/>
      <c r="H14" s="3433"/>
      <c r="I14" s="3435"/>
      <c r="J14" s="3437"/>
      <c r="K14" s="3421"/>
      <c r="L14" s="3421"/>
      <c r="M14" s="3421"/>
      <c r="N14" s="3423"/>
      <c r="O14" s="3421"/>
      <c r="P14" s="3421"/>
      <c r="Q14" s="3421"/>
      <c r="R14" s="3424"/>
      <c r="S14" s="3421"/>
      <c r="T14" s="1161"/>
      <c r="U14" s="1161"/>
      <c r="V14" s="1161"/>
      <c r="W14" s="1162"/>
      <c r="Y14" s="1126"/>
      <c r="Z14" s="1126"/>
      <c r="AA14" s="1126"/>
      <c r="AB14" s="1126"/>
      <c r="AC14" s="1126"/>
      <c r="AD14" s="1126"/>
      <c r="AE14" s="1126"/>
      <c r="AF14" s="1126"/>
      <c r="AG14" s="1126"/>
      <c r="AH14" s="1126"/>
      <c r="AI14" s="1126"/>
      <c r="AJ14" s="1126"/>
      <c r="AK14" s="1126"/>
      <c r="AL14" s="1126"/>
      <c r="AM14" s="1126"/>
      <c r="AN14" s="1126"/>
      <c r="AO14" s="1126"/>
      <c r="AP14" s="1126"/>
      <c r="AQ14" s="1126"/>
    </row>
    <row r="15" spans="1:43" s="1944" customFormat="1" ht="17.25" customHeight="1">
      <c r="A15" s="232"/>
      <c r="C15" s="125"/>
      <c r="D15" s="3426"/>
      <c r="E15" s="3427"/>
      <c r="F15" s="3430"/>
      <c r="G15" s="3427"/>
      <c r="H15" s="3433"/>
      <c r="I15" s="3435"/>
      <c r="J15" s="3438"/>
      <c r="K15" s="3421"/>
      <c r="L15" s="3421"/>
      <c r="M15" s="3421"/>
      <c r="N15" s="3424"/>
      <c r="O15" s="3421"/>
      <c r="P15" s="1278"/>
      <c r="Q15" s="1161"/>
      <c r="R15" s="1161"/>
      <c r="S15" s="240"/>
      <c r="T15" s="240"/>
      <c r="U15" s="240"/>
      <c r="V15" s="240"/>
      <c r="W15" s="1162"/>
      <c r="Y15" s="1133"/>
      <c r="Z15" s="1133"/>
      <c r="AA15" s="1133"/>
      <c r="AB15" s="1133"/>
      <c r="AC15" s="1133"/>
      <c r="AD15" s="1133"/>
      <c r="AE15" s="1133"/>
      <c r="AF15" s="1133"/>
      <c r="AG15" s="1133"/>
      <c r="AH15" s="1133"/>
      <c r="AI15" s="1133"/>
      <c r="AJ15" s="1133"/>
      <c r="AK15" s="1133"/>
      <c r="AL15" s="1133"/>
      <c r="AM15" s="1133"/>
      <c r="AN15" s="1133"/>
      <c r="AO15" s="1133"/>
      <c r="AP15" s="1133"/>
      <c r="AQ15" s="1133"/>
    </row>
    <row r="16" spans="1:43" s="1944" customFormat="1" ht="17.25" customHeight="1">
      <c r="A16" s="232"/>
      <c r="C16" s="231"/>
      <c r="D16" s="3426"/>
      <c r="E16" s="3427"/>
      <c r="F16" s="3430"/>
      <c r="G16" s="3427"/>
      <c r="H16" s="3433"/>
      <c r="I16" s="3435"/>
      <c r="J16" s="3438"/>
      <c r="K16" s="3421"/>
      <c r="L16" s="1161"/>
      <c r="M16" s="1161"/>
      <c r="N16" s="1161"/>
      <c r="O16" s="1161"/>
      <c r="P16" s="1161"/>
      <c r="Q16" s="1161"/>
      <c r="R16" s="1161"/>
      <c r="S16" s="240"/>
      <c r="T16" s="240"/>
      <c r="U16" s="240"/>
      <c r="V16" s="240"/>
      <c r="W16" s="1162"/>
      <c r="Y16" s="1126"/>
      <c r="Z16" s="1126"/>
      <c r="AA16" s="1126"/>
      <c r="AB16" s="1126"/>
      <c r="AC16" s="1126"/>
      <c r="AD16" s="1126"/>
      <c r="AE16" s="1126"/>
      <c r="AF16" s="1126"/>
      <c r="AG16" s="1126"/>
      <c r="AH16" s="1126"/>
      <c r="AI16" s="1126"/>
      <c r="AJ16" s="1126"/>
      <c r="AK16" s="1126"/>
      <c r="AL16" s="1126"/>
      <c r="AM16" s="1126"/>
      <c r="AN16" s="1126"/>
      <c r="AO16" s="1126"/>
      <c r="AP16" s="1126"/>
      <c r="AQ16" s="1126"/>
    </row>
    <row r="17" spans="1:43" s="1944" customFormat="1" ht="17.25" customHeight="1">
      <c r="A17" s="232"/>
      <c r="C17" s="231"/>
      <c r="D17" s="3410"/>
      <c r="E17" s="3428"/>
      <c r="F17" s="3431"/>
      <c r="G17" s="3428"/>
      <c r="H17" s="1163"/>
      <c r="I17" s="1164"/>
      <c r="J17" s="1164"/>
      <c r="K17" s="1164"/>
      <c r="L17" s="1164"/>
      <c r="M17" s="1164"/>
      <c r="N17" s="1164"/>
      <c r="O17" s="1164"/>
      <c r="P17" s="1164"/>
      <c r="Q17" s="1164"/>
      <c r="R17" s="1164"/>
      <c r="S17" s="1165"/>
      <c r="T17" s="1165"/>
      <c r="U17" s="1165"/>
      <c r="V17" s="1165"/>
      <c r="W17" s="1166"/>
      <c r="Y17" s="1126"/>
      <c r="Z17" s="1126"/>
      <c r="AA17" s="1126"/>
      <c r="AB17" s="1126"/>
      <c r="AC17" s="1126"/>
      <c r="AD17" s="1126"/>
      <c r="AE17" s="1126"/>
      <c r="AF17" s="1126"/>
      <c r="AG17" s="1126"/>
      <c r="AH17" s="1126"/>
      <c r="AI17" s="1126"/>
      <c r="AJ17" s="1126"/>
      <c r="AK17" s="1126"/>
      <c r="AL17" s="1126"/>
      <c r="AM17" s="1126"/>
      <c r="AN17" s="1126"/>
      <c r="AO17" s="1126"/>
      <c r="AP17" s="1126"/>
      <c r="AQ17" s="1126"/>
    </row>
    <row r="18" spans="1:43" s="1944" customFormat="1" ht="17.25" customHeight="1">
      <c r="A18" s="232"/>
      <c r="C18" s="125"/>
      <c r="D18" s="3426">
        <v>2</v>
      </c>
      <c r="E18" s="3427" t="s">
        <v>422</v>
      </c>
      <c r="F18" s="3429" t="s">
        <v>54</v>
      </c>
      <c r="G18" s="3427"/>
      <c r="H18" s="3432"/>
      <c r="I18" s="3434"/>
      <c r="J18" s="3436"/>
      <c r="K18" s="3420"/>
      <c r="L18" s="3420"/>
      <c r="M18" s="3420"/>
      <c r="N18" s="3422"/>
      <c r="O18" s="3420"/>
      <c r="P18" s="3420"/>
      <c r="Q18" s="3420"/>
      <c r="R18" s="3425"/>
      <c r="S18" s="3420"/>
      <c r="T18" s="1280"/>
      <c r="U18" s="1280"/>
      <c r="V18" s="1279"/>
      <c r="W18" s="1160"/>
      <c r="X18" s="1133"/>
      <c r="Y18" s="1133"/>
      <c r="Z18" s="1133"/>
      <c r="AA18" s="1133"/>
      <c r="AB18" s="1133"/>
      <c r="AC18" s="1133" t="s">
        <v>423</v>
      </c>
      <c r="AD18" s="1133" t="s">
        <v>424</v>
      </c>
      <c r="AE18" s="1133" t="s">
        <v>425</v>
      </c>
      <c r="AF18" s="1133" t="s">
        <v>426</v>
      </c>
      <c r="AG18" s="1133" t="s">
        <v>427</v>
      </c>
      <c r="AH18" s="1133" t="str">
        <f>IF($E$18=0,"",$E$18)</f>
        <v>Тарифы на тепловую энергию (мощность), поставляемую теплоснабжающими организациями потребителям, другим теплоснабжающим организациям</v>
      </c>
      <c r="AI18" s="1133" t="str">
        <f>IF($G$18=0,"",$G$18)</f>
        <v/>
      </c>
      <c r="AJ18" s="1133" t="str">
        <f>IF($J$18=0,"",$J$18)</f>
        <v/>
      </c>
      <c r="AK18" s="1133" t="str">
        <f>IF($K$18="нет","без дифференциации",IF($N$18=0,"",$N$18))</f>
        <v/>
      </c>
      <c r="AL18" s="1133" t="str">
        <f>IF($O$18="нет","без дифференциации",IF($R$18=0,"",$R$18))</f>
        <v/>
      </c>
      <c r="AM18" s="1133" t="str">
        <f>IF($S$18="нет","без дифференциации",IF($V$18=0,"",$V$18))</f>
        <v/>
      </c>
      <c r="AN18" s="1615">
        <f>$I$18</f>
        <v>0</v>
      </c>
      <c r="AO18" s="1133" t="str">
        <f>$I$18&amp;"."&amp;$M$18</f>
        <v>.</v>
      </c>
      <c r="AP18" s="1126" t="str">
        <f>$I$18&amp;"."&amp;$M$18&amp;"."&amp;$Q$18</f>
        <v>..</v>
      </c>
      <c r="AQ18" s="1126" t="str">
        <f>$I$18&amp;"."&amp;$M$18&amp;"."&amp;$Q$18&amp;"."&amp;$U$18</f>
        <v>...</v>
      </c>
    </row>
    <row r="19" spans="1:43" s="1944" customFormat="1" ht="17.25" customHeight="1">
      <c r="A19" s="232"/>
      <c r="C19" s="231"/>
      <c r="D19" s="3426"/>
      <c r="E19" s="3427"/>
      <c r="F19" s="3430"/>
      <c r="G19" s="3427"/>
      <c r="H19" s="3433"/>
      <c r="I19" s="3435"/>
      <c r="J19" s="3437"/>
      <c r="K19" s="3421"/>
      <c r="L19" s="3421"/>
      <c r="M19" s="3421"/>
      <c r="N19" s="3423"/>
      <c r="O19" s="3421"/>
      <c r="P19" s="3421"/>
      <c r="Q19" s="3421"/>
      <c r="R19" s="3424"/>
      <c r="S19" s="3421"/>
      <c r="T19" s="1161"/>
      <c r="U19" s="1161"/>
      <c r="V19" s="1161"/>
      <c r="W19" s="1162"/>
      <c r="X19" s="1126"/>
      <c r="Y19" s="1126"/>
      <c r="Z19" s="1126"/>
      <c r="AA19" s="1126"/>
      <c r="AB19" s="1126"/>
      <c r="AC19" s="1126"/>
      <c r="AD19" s="1126"/>
      <c r="AE19" s="1126"/>
      <c r="AF19" s="1126"/>
      <c r="AG19" s="1126"/>
      <c r="AH19" s="1126"/>
      <c r="AI19" s="1126"/>
      <c r="AJ19" s="1126"/>
      <c r="AK19" s="1126"/>
      <c r="AL19" s="1126"/>
      <c r="AM19" s="1126"/>
      <c r="AN19" s="1126"/>
      <c r="AO19" s="1126"/>
      <c r="AP19" s="1126"/>
      <c r="AQ19" s="1126"/>
    </row>
    <row r="20" spans="1:43" s="1944" customFormat="1" ht="17.25" customHeight="1">
      <c r="A20" s="232"/>
      <c r="C20" s="231"/>
      <c r="D20" s="3410"/>
      <c r="E20" s="3428"/>
      <c r="F20" s="3430"/>
      <c r="G20" s="3428"/>
      <c r="H20" s="3433"/>
      <c r="I20" s="3435"/>
      <c r="J20" s="3438"/>
      <c r="K20" s="3421"/>
      <c r="L20" s="3421"/>
      <c r="M20" s="3421"/>
      <c r="N20" s="3424"/>
      <c r="O20" s="3421"/>
      <c r="P20" s="1278"/>
      <c r="Q20" s="1161"/>
      <c r="R20" s="1161"/>
      <c r="S20" s="240"/>
      <c r="T20" s="240"/>
      <c r="U20" s="240"/>
      <c r="V20" s="240"/>
      <c r="W20" s="1162"/>
      <c r="X20" s="1126"/>
      <c r="Y20" s="1126"/>
      <c r="Z20" s="1126"/>
      <c r="AA20" s="1126"/>
      <c r="AB20" s="1126"/>
      <c r="AC20" s="1126"/>
      <c r="AD20" s="1126"/>
      <c r="AE20" s="1126"/>
      <c r="AF20" s="1126"/>
      <c r="AG20" s="1126"/>
      <c r="AH20" s="1126"/>
      <c r="AI20" s="1126"/>
      <c r="AJ20" s="1126"/>
      <c r="AK20" s="1126"/>
      <c r="AL20" s="1126"/>
      <c r="AM20" s="1126"/>
      <c r="AN20" s="1126"/>
      <c r="AO20" s="1126"/>
      <c r="AP20" s="1126"/>
      <c r="AQ20" s="1126"/>
    </row>
    <row r="21" spans="1:43" s="1944" customFormat="1" ht="17.25" customHeight="1">
      <c r="A21" s="232"/>
      <c r="C21" s="231"/>
      <c r="D21" s="3410"/>
      <c r="E21" s="3428"/>
      <c r="F21" s="3430"/>
      <c r="G21" s="3428"/>
      <c r="H21" s="3433"/>
      <c r="I21" s="3435"/>
      <c r="J21" s="3438"/>
      <c r="K21" s="3421"/>
      <c r="L21" s="1161"/>
      <c r="M21" s="1161"/>
      <c r="N21" s="1161"/>
      <c r="O21" s="1161"/>
      <c r="P21" s="1161"/>
      <c r="Q21" s="1161"/>
      <c r="R21" s="1161"/>
      <c r="S21" s="240"/>
      <c r="T21" s="240"/>
      <c r="U21" s="240"/>
      <c r="V21" s="240"/>
      <c r="W21" s="1162"/>
      <c r="X21" s="1126"/>
      <c r="Y21" s="1126"/>
      <c r="Z21" s="1126"/>
      <c r="AA21" s="1126"/>
      <c r="AB21" s="1126"/>
      <c r="AC21" s="1126"/>
      <c r="AD21" s="1126"/>
      <c r="AE21" s="1126"/>
      <c r="AF21" s="1126"/>
      <c r="AG21" s="1126"/>
      <c r="AH21" s="1126"/>
      <c r="AI21" s="1126"/>
      <c r="AJ21" s="1126"/>
      <c r="AK21" s="1126"/>
      <c r="AL21" s="1126"/>
      <c r="AM21" s="1126"/>
      <c r="AN21" s="1126"/>
      <c r="AO21" s="1126"/>
      <c r="AP21" s="1126"/>
      <c r="AQ21" s="1126"/>
    </row>
    <row r="22" spans="1:43" s="1944" customFormat="1" ht="17.25" customHeight="1">
      <c r="A22" s="232"/>
      <c r="C22" s="231"/>
      <c r="D22" s="3410"/>
      <c r="E22" s="3428"/>
      <c r="F22" s="3431"/>
      <c r="G22" s="3428"/>
      <c r="H22" s="1163"/>
      <c r="I22" s="1164"/>
      <c r="J22" s="1164"/>
      <c r="K22" s="1164"/>
      <c r="L22" s="1164"/>
      <c r="M22" s="1164"/>
      <c r="N22" s="1164"/>
      <c r="O22" s="1164"/>
      <c r="P22" s="1164"/>
      <c r="Q22" s="1164"/>
      <c r="R22" s="1164"/>
      <c r="S22" s="1165"/>
      <c r="T22" s="1165"/>
      <c r="U22" s="1165"/>
      <c r="V22" s="1165"/>
      <c r="W22" s="1166"/>
      <c r="X22" s="1126"/>
      <c r="Y22" s="1126"/>
      <c r="Z22" s="1126"/>
      <c r="AA22" s="1126"/>
      <c r="AB22" s="1126"/>
      <c r="AC22" s="1126"/>
      <c r="AD22" s="1126"/>
      <c r="AE22" s="1126"/>
      <c r="AF22" s="1126"/>
      <c r="AG22" s="1126"/>
      <c r="AH22" s="1126"/>
      <c r="AI22" s="1126"/>
      <c r="AJ22" s="1126"/>
      <c r="AK22" s="1126"/>
      <c r="AL22" s="1126"/>
      <c r="AM22" s="1126"/>
      <c r="AN22" s="1126"/>
      <c r="AO22" s="1126"/>
      <c r="AP22" s="1126"/>
      <c r="AQ22" s="1126"/>
    </row>
    <row r="23" spans="1:43" s="1944" customFormat="1" ht="17.25" customHeight="1">
      <c r="A23" s="232"/>
      <c r="C23" s="125"/>
      <c r="D23" s="3426">
        <v>3</v>
      </c>
      <c r="E23" s="3427" t="s">
        <v>428</v>
      </c>
      <c r="F23" s="3429" t="s">
        <v>54</v>
      </c>
      <c r="G23" s="3427"/>
      <c r="H23" s="3432"/>
      <c r="I23" s="3434"/>
      <c r="J23" s="3436"/>
      <c r="K23" s="3420"/>
      <c r="L23" s="3420"/>
      <c r="M23" s="3420"/>
      <c r="N23" s="3422"/>
      <c r="O23" s="3420"/>
      <c r="P23" s="3420"/>
      <c r="Q23" s="3420"/>
      <c r="R23" s="3425"/>
      <c r="S23" s="3420"/>
      <c r="T23" s="1280"/>
      <c r="U23" s="1280"/>
      <c r="V23" s="1279"/>
      <c r="W23" s="1160"/>
      <c r="X23" s="1133"/>
      <c r="Y23" s="1133"/>
      <c r="Z23" s="1133"/>
      <c r="AA23" s="1133"/>
      <c r="AB23" s="1133"/>
      <c r="AC23" s="1133" t="s">
        <v>429</v>
      </c>
      <c r="AD23" s="1133" t="s">
        <v>430</v>
      </c>
      <c r="AE23" s="1133" t="s">
        <v>431</v>
      </c>
      <c r="AF23" s="1133" t="s">
        <v>432</v>
      </c>
      <c r="AG23" s="1133" t="s">
        <v>433</v>
      </c>
      <c r="AH23" s="1133" t="str">
        <f>IF($E$23=0,"",$E$23)</f>
        <v>Тарифы на теплоноситель, поставляемый теплоснабжающими организациями потребителям, другим теплоснабжающим организациям</v>
      </c>
      <c r="AI23" s="1133" t="str">
        <f>IF($G$23=0,"",$G$23)</f>
        <v/>
      </c>
      <c r="AJ23" s="1133" t="str">
        <f>IF($J$23=0,"",$J$23)</f>
        <v/>
      </c>
      <c r="AK23" s="1133" t="str">
        <f>IF($K$23="нет","без дифференциации",IF($N$23=0,"",$N$23))</f>
        <v/>
      </c>
      <c r="AL23" s="1133" t="str">
        <f>IF($O$23="нет","без дифференциации",IF($R$23=0,"",$R$23))</f>
        <v/>
      </c>
      <c r="AM23" s="1133" t="str">
        <f>IF($S$23="нет","без дифференциации",IF($V$23=0,"",$V$23))</f>
        <v/>
      </c>
      <c r="AN23" s="1615">
        <f>$I$23</f>
        <v>0</v>
      </c>
      <c r="AO23" s="1133" t="str">
        <f>$I$23&amp;"."&amp;$M$23</f>
        <v>.</v>
      </c>
      <c r="AP23" s="1126" t="str">
        <f>$I$23&amp;"."&amp;$M$23&amp;"."&amp;$Q$23</f>
        <v>..</v>
      </c>
      <c r="AQ23" s="1126" t="str">
        <f>$I$23&amp;"."&amp;$M$23&amp;"."&amp;$Q$23&amp;"."&amp;$U$23</f>
        <v>...</v>
      </c>
    </row>
    <row r="24" spans="1:43" s="1944" customFormat="1" ht="17.25" customHeight="1">
      <c r="A24" s="232"/>
      <c r="C24" s="231"/>
      <c r="D24" s="3426"/>
      <c r="E24" s="3427"/>
      <c r="F24" s="3430"/>
      <c r="G24" s="3427"/>
      <c r="H24" s="3433"/>
      <c r="I24" s="3435"/>
      <c r="J24" s="3437"/>
      <c r="K24" s="3421"/>
      <c r="L24" s="3421"/>
      <c r="M24" s="3421"/>
      <c r="N24" s="3423"/>
      <c r="O24" s="3421"/>
      <c r="P24" s="3421"/>
      <c r="Q24" s="3421"/>
      <c r="R24" s="3424"/>
      <c r="S24" s="3421"/>
      <c r="T24" s="1161"/>
      <c r="U24" s="1161"/>
      <c r="V24" s="1161"/>
      <c r="W24" s="1162"/>
      <c r="X24" s="1126"/>
      <c r="Y24" s="1126"/>
      <c r="Z24" s="1126"/>
      <c r="AA24" s="1126"/>
      <c r="AB24" s="1126"/>
      <c r="AC24" s="1126"/>
      <c r="AD24" s="1126"/>
      <c r="AE24" s="1126"/>
      <c r="AF24" s="1126"/>
      <c r="AG24" s="1126"/>
      <c r="AH24" s="1126"/>
      <c r="AI24" s="1126"/>
      <c r="AJ24" s="1126"/>
      <c r="AK24" s="1126"/>
      <c r="AL24" s="1126"/>
      <c r="AM24" s="1126"/>
      <c r="AN24" s="1126"/>
      <c r="AO24" s="1126"/>
      <c r="AP24" s="1126"/>
      <c r="AQ24" s="1126"/>
    </row>
    <row r="25" spans="1:43" s="1944" customFormat="1" ht="17.25" customHeight="1">
      <c r="A25" s="232"/>
      <c r="C25" s="231"/>
      <c r="D25" s="3410"/>
      <c r="E25" s="3428"/>
      <c r="F25" s="3430"/>
      <c r="G25" s="3428"/>
      <c r="H25" s="3433"/>
      <c r="I25" s="3435"/>
      <c r="J25" s="3438"/>
      <c r="K25" s="3421"/>
      <c r="L25" s="3421"/>
      <c r="M25" s="3421"/>
      <c r="N25" s="3424"/>
      <c r="O25" s="3421"/>
      <c r="P25" s="1278"/>
      <c r="Q25" s="1161"/>
      <c r="R25" s="1161"/>
      <c r="S25" s="240"/>
      <c r="T25" s="240"/>
      <c r="U25" s="240"/>
      <c r="V25" s="240"/>
      <c r="W25" s="1162"/>
      <c r="X25" s="1126"/>
      <c r="Y25" s="1126"/>
      <c r="Z25" s="1126"/>
      <c r="AA25" s="1126"/>
      <c r="AB25" s="1126"/>
      <c r="AC25" s="1126"/>
      <c r="AD25" s="1126"/>
      <c r="AE25" s="1126"/>
      <c r="AF25" s="1126"/>
      <c r="AG25" s="1126"/>
      <c r="AH25" s="1126"/>
      <c r="AI25" s="1126"/>
      <c r="AJ25" s="1126"/>
      <c r="AK25" s="1126"/>
      <c r="AL25" s="1126"/>
      <c r="AM25" s="1126"/>
      <c r="AN25" s="1126"/>
      <c r="AO25" s="1126"/>
      <c r="AP25" s="1126"/>
      <c r="AQ25" s="1126"/>
    </row>
    <row r="26" spans="1:43" s="1944" customFormat="1" ht="17.25" customHeight="1">
      <c r="A26" s="232"/>
      <c r="C26" s="231"/>
      <c r="D26" s="3410"/>
      <c r="E26" s="3428"/>
      <c r="F26" s="3430"/>
      <c r="G26" s="3428"/>
      <c r="H26" s="3433"/>
      <c r="I26" s="3435"/>
      <c r="J26" s="3438"/>
      <c r="K26" s="3421"/>
      <c r="L26" s="1161"/>
      <c r="M26" s="1161"/>
      <c r="N26" s="1161"/>
      <c r="O26" s="1161"/>
      <c r="P26" s="1161"/>
      <c r="Q26" s="1161"/>
      <c r="R26" s="1161"/>
      <c r="S26" s="240"/>
      <c r="T26" s="240"/>
      <c r="U26" s="240"/>
      <c r="V26" s="240"/>
      <c r="W26" s="1162"/>
      <c r="X26" s="1126"/>
      <c r="Y26" s="1126"/>
      <c r="Z26" s="1126"/>
      <c r="AA26" s="1126"/>
      <c r="AB26" s="1126"/>
      <c r="AC26" s="1126"/>
      <c r="AD26" s="1126"/>
      <c r="AE26" s="1126"/>
      <c r="AF26" s="1126"/>
      <c r="AG26" s="1126"/>
      <c r="AH26" s="1126"/>
      <c r="AI26" s="1126"/>
      <c r="AJ26" s="1126"/>
      <c r="AK26" s="1126"/>
      <c r="AL26" s="1126"/>
      <c r="AM26" s="1126"/>
      <c r="AN26" s="1126"/>
      <c r="AO26" s="1126"/>
      <c r="AP26" s="1126"/>
      <c r="AQ26" s="1126"/>
    </row>
    <row r="27" spans="1:43" s="1944" customFormat="1" ht="17.25" customHeight="1">
      <c r="A27" s="232"/>
      <c r="C27" s="231"/>
      <c r="D27" s="3410"/>
      <c r="E27" s="3428"/>
      <c r="F27" s="3431"/>
      <c r="G27" s="3428"/>
      <c r="H27" s="1163"/>
      <c r="I27" s="1164"/>
      <c r="J27" s="1164"/>
      <c r="K27" s="1164"/>
      <c r="L27" s="1164"/>
      <c r="M27" s="1164"/>
      <c r="N27" s="1164"/>
      <c r="O27" s="1164"/>
      <c r="P27" s="1164"/>
      <c r="Q27" s="1164"/>
      <c r="R27" s="1164"/>
      <c r="S27" s="1165"/>
      <c r="T27" s="1165"/>
      <c r="U27" s="1165"/>
      <c r="V27" s="1165"/>
      <c r="W27" s="1166"/>
      <c r="X27" s="1126"/>
      <c r="Y27" s="1126"/>
      <c r="Z27" s="1126"/>
      <c r="AA27" s="1126"/>
      <c r="AB27" s="1126"/>
      <c r="AC27" s="1126"/>
      <c r="AD27" s="1126"/>
      <c r="AE27" s="1126"/>
      <c r="AF27" s="1126"/>
      <c r="AG27" s="1126"/>
      <c r="AH27" s="1126"/>
      <c r="AI27" s="1126"/>
      <c r="AJ27" s="1126"/>
      <c r="AK27" s="1126"/>
      <c r="AL27" s="1126"/>
      <c r="AM27" s="1126"/>
      <c r="AN27" s="1126"/>
      <c r="AO27" s="1126"/>
      <c r="AP27" s="1126"/>
      <c r="AQ27" s="1126"/>
    </row>
    <row r="28" spans="1:43" s="1944" customFormat="1" ht="17.25" customHeight="1">
      <c r="A28" s="232"/>
      <c r="C28" s="125"/>
      <c r="D28" s="3426">
        <v>4</v>
      </c>
      <c r="E28" s="3427" t="s">
        <v>434</v>
      </c>
      <c r="F28" s="3429" t="s">
        <v>54</v>
      </c>
      <c r="G28" s="3427"/>
      <c r="H28" s="3432"/>
      <c r="I28" s="3434"/>
      <c r="J28" s="3436"/>
      <c r="K28" s="3420"/>
      <c r="L28" s="3420"/>
      <c r="M28" s="3420"/>
      <c r="N28" s="3422"/>
      <c r="O28" s="3420"/>
      <c r="P28" s="3420"/>
      <c r="Q28" s="3420"/>
      <c r="R28" s="3425"/>
      <c r="S28" s="3420"/>
      <c r="T28" s="1280"/>
      <c r="U28" s="1280"/>
      <c r="V28" s="1279"/>
      <c r="W28" s="1160"/>
      <c r="X28" s="1133"/>
      <c r="Y28" s="1133"/>
      <c r="Z28" s="1133"/>
      <c r="AA28" s="1133"/>
      <c r="AB28" s="1133"/>
      <c r="AC28" s="1133" t="s">
        <v>435</v>
      </c>
      <c r="AD28" s="1133" t="s">
        <v>436</v>
      </c>
      <c r="AE28" s="1133" t="s">
        <v>437</v>
      </c>
      <c r="AF28" s="1133" t="s">
        <v>438</v>
      </c>
      <c r="AG28" s="1133" t="s">
        <v>439</v>
      </c>
      <c r="AH28" s="1133"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33" t="str">
        <f>IF($G$28=0,"",$G$28)</f>
        <v/>
      </c>
      <c r="AJ28" s="1133" t="str">
        <f>IF($J$28=0,"",$J$28)</f>
        <v/>
      </c>
      <c r="AK28" s="1133" t="str">
        <f>IF($K$28="нет","без дифференциации",IF($N$28=0,"",$N$28))</f>
        <v/>
      </c>
      <c r="AL28" s="1133" t="str">
        <f>IF($O$28="нет","без дифференциации",IF($R$28=0,"",$R$28))</f>
        <v/>
      </c>
      <c r="AM28" s="1133" t="str">
        <f>IF($S$28="нет","без дифференциации",IF($V$28=0,"",$V$28))</f>
        <v/>
      </c>
      <c r="AN28" s="1615">
        <f>$I$28</f>
        <v>0</v>
      </c>
      <c r="AO28" s="1133" t="str">
        <f>$I$28&amp;"."&amp;$M$28</f>
        <v>.</v>
      </c>
      <c r="AP28" s="1126" t="str">
        <f>$I$28&amp;"."&amp;$M$28&amp;"."&amp;$Q$28</f>
        <v>..</v>
      </c>
      <c r="AQ28" s="1126" t="str">
        <f>$I$28&amp;"."&amp;$M$28&amp;"."&amp;$Q$28&amp;"."&amp;$U$28</f>
        <v>...</v>
      </c>
    </row>
    <row r="29" spans="1:43" s="1944" customFormat="1" ht="17.25" customHeight="1">
      <c r="A29" s="232"/>
      <c r="C29" s="231"/>
      <c r="D29" s="3426"/>
      <c r="E29" s="3427"/>
      <c r="F29" s="3430"/>
      <c r="G29" s="3427"/>
      <c r="H29" s="3433"/>
      <c r="I29" s="3435"/>
      <c r="J29" s="3437"/>
      <c r="K29" s="3421"/>
      <c r="L29" s="3421"/>
      <c r="M29" s="3421"/>
      <c r="N29" s="3423"/>
      <c r="O29" s="3421"/>
      <c r="P29" s="3421"/>
      <c r="Q29" s="3421"/>
      <c r="R29" s="3424"/>
      <c r="S29" s="3421"/>
      <c r="T29" s="1161"/>
      <c r="U29" s="1161"/>
      <c r="V29" s="1161"/>
      <c r="W29" s="1162"/>
      <c r="X29" s="1126"/>
      <c r="Y29" s="1126"/>
      <c r="Z29" s="1126"/>
      <c r="AA29" s="1126"/>
      <c r="AB29" s="1126"/>
      <c r="AC29" s="1126"/>
      <c r="AD29" s="1126"/>
      <c r="AE29" s="1126"/>
      <c r="AF29" s="1126"/>
      <c r="AG29" s="1126"/>
      <c r="AH29" s="1126"/>
      <c r="AI29" s="1126"/>
      <c r="AJ29" s="1126"/>
      <c r="AK29" s="1126"/>
      <c r="AL29" s="1126"/>
      <c r="AM29" s="1126"/>
      <c r="AN29" s="1126"/>
      <c r="AO29" s="1126"/>
      <c r="AP29" s="1126"/>
      <c r="AQ29" s="1126"/>
    </row>
    <row r="30" spans="1:43" s="1944" customFormat="1" ht="17.25" customHeight="1">
      <c r="A30" s="232"/>
      <c r="C30" s="231"/>
      <c r="D30" s="3410"/>
      <c r="E30" s="3428"/>
      <c r="F30" s="3430"/>
      <c r="G30" s="3428"/>
      <c r="H30" s="3433"/>
      <c r="I30" s="3435"/>
      <c r="J30" s="3438"/>
      <c r="K30" s="3421"/>
      <c r="L30" s="3421"/>
      <c r="M30" s="3421"/>
      <c r="N30" s="3424"/>
      <c r="O30" s="3421"/>
      <c r="P30" s="1278"/>
      <c r="Q30" s="1161"/>
      <c r="R30" s="1161"/>
      <c r="S30" s="240"/>
      <c r="T30" s="240"/>
      <c r="U30" s="240"/>
      <c r="V30" s="240"/>
      <c r="W30" s="1162"/>
      <c r="X30" s="1126"/>
      <c r="Y30" s="1126"/>
      <c r="Z30" s="1126"/>
      <c r="AA30" s="1126"/>
      <c r="AB30" s="1126"/>
      <c r="AC30" s="1126"/>
      <c r="AD30" s="1126"/>
      <c r="AE30" s="1126"/>
      <c r="AF30" s="1126"/>
      <c r="AG30" s="1126"/>
      <c r="AH30" s="1126"/>
      <c r="AI30" s="1126"/>
      <c r="AJ30" s="1126"/>
      <c r="AK30" s="1126"/>
      <c r="AL30" s="1126"/>
      <c r="AM30" s="1126"/>
      <c r="AN30" s="1126"/>
      <c r="AO30" s="1126"/>
      <c r="AP30" s="1126"/>
      <c r="AQ30" s="1126"/>
    </row>
    <row r="31" spans="1:43" s="1944" customFormat="1" ht="17.25" customHeight="1">
      <c r="A31" s="232"/>
      <c r="C31" s="231"/>
      <c r="D31" s="3410"/>
      <c r="E31" s="3428"/>
      <c r="F31" s="3430"/>
      <c r="G31" s="3428"/>
      <c r="H31" s="3433"/>
      <c r="I31" s="3435"/>
      <c r="J31" s="3438"/>
      <c r="K31" s="3421"/>
      <c r="L31" s="1161"/>
      <c r="M31" s="1161"/>
      <c r="N31" s="1161"/>
      <c r="O31" s="1161"/>
      <c r="P31" s="1161"/>
      <c r="Q31" s="1161"/>
      <c r="R31" s="1161"/>
      <c r="S31" s="240"/>
      <c r="T31" s="240"/>
      <c r="U31" s="240"/>
      <c r="V31" s="240"/>
      <c r="W31" s="1162"/>
      <c r="X31" s="1126"/>
      <c r="Y31" s="1126"/>
      <c r="Z31" s="1126"/>
      <c r="AA31" s="1126"/>
      <c r="AB31" s="1126"/>
      <c r="AC31" s="1126"/>
      <c r="AD31" s="1126"/>
      <c r="AE31" s="1126"/>
      <c r="AF31" s="1126"/>
      <c r="AG31" s="1126"/>
      <c r="AH31" s="1126"/>
      <c r="AI31" s="1126"/>
      <c r="AJ31" s="1126"/>
      <c r="AK31" s="1126"/>
      <c r="AL31" s="1126"/>
      <c r="AM31" s="1126"/>
      <c r="AN31" s="1126"/>
      <c r="AO31" s="1126"/>
      <c r="AP31" s="1126"/>
      <c r="AQ31" s="1126"/>
    </row>
    <row r="32" spans="1:43" s="1944" customFormat="1" ht="17.25" customHeight="1">
      <c r="A32" s="232"/>
      <c r="C32" s="231"/>
      <c r="D32" s="3410"/>
      <c r="E32" s="3428"/>
      <c r="F32" s="3431"/>
      <c r="G32" s="3428"/>
      <c r="H32" s="1163"/>
      <c r="I32" s="1164"/>
      <c r="J32" s="1164"/>
      <c r="K32" s="1164"/>
      <c r="L32" s="1164"/>
      <c r="M32" s="1164"/>
      <c r="N32" s="1164"/>
      <c r="O32" s="1164"/>
      <c r="P32" s="1164"/>
      <c r="Q32" s="1164"/>
      <c r="R32" s="1164"/>
      <c r="S32" s="1165"/>
      <c r="T32" s="1165"/>
      <c r="U32" s="1165"/>
      <c r="V32" s="1165"/>
      <c r="W32" s="1166"/>
      <c r="X32" s="1126"/>
      <c r="Y32" s="1126"/>
      <c r="Z32" s="1126"/>
      <c r="AA32" s="1126"/>
      <c r="AB32" s="1126"/>
      <c r="AC32" s="1126"/>
      <c r="AD32" s="1126"/>
      <c r="AE32" s="1126"/>
      <c r="AF32" s="1126"/>
      <c r="AG32" s="1126"/>
      <c r="AH32" s="1126"/>
      <c r="AI32" s="1126"/>
      <c r="AJ32" s="1126"/>
      <c r="AK32" s="1126"/>
      <c r="AL32" s="1126"/>
      <c r="AM32" s="1126"/>
      <c r="AN32" s="1126"/>
      <c r="AO32" s="1126"/>
      <c r="AP32" s="1126"/>
      <c r="AQ32" s="1126"/>
    </row>
    <row r="33" spans="1:43" s="1944" customFormat="1" ht="17.25" customHeight="1">
      <c r="A33" s="232"/>
      <c r="C33" s="125"/>
      <c r="D33" s="3426">
        <v>5</v>
      </c>
      <c r="E33" s="3427" t="s">
        <v>440</v>
      </c>
      <c r="F33" s="3429" t="s">
        <v>54</v>
      </c>
      <c r="G33" s="3427"/>
      <c r="H33" s="3432"/>
      <c r="I33" s="3434"/>
      <c r="J33" s="3436"/>
      <c r="K33" s="3420"/>
      <c r="L33" s="3420"/>
      <c r="M33" s="3420"/>
      <c r="N33" s="3422"/>
      <c r="O33" s="3420"/>
      <c r="P33" s="3420"/>
      <c r="Q33" s="3420"/>
      <c r="R33" s="3425"/>
      <c r="S33" s="3420"/>
      <c r="T33" s="1280"/>
      <c r="U33" s="1280"/>
      <c r="V33" s="1279"/>
      <c r="W33" s="1160"/>
      <c r="X33" s="1133"/>
      <c r="Y33" s="1133"/>
      <c r="Z33" s="1133"/>
      <c r="AA33" s="1133"/>
      <c r="AB33" s="1133"/>
      <c r="AC33" s="1133" t="s">
        <v>441</v>
      </c>
      <c r="AD33" s="1133" t="s">
        <v>442</v>
      </c>
      <c r="AE33" s="1133" t="s">
        <v>443</v>
      </c>
      <c r="AF33" s="1133" t="s">
        <v>444</v>
      </c>
      <c r="AG33" s="1133" t="s">
        <v>445</v>
      </c>
      <c r="AH33" s="1133" t="str">
        <f>IF($E$33=0,"",$E$33)</f>
        <v>Тарифы на услуги по передаче тепловой энергии</v>
      </c>
      <c r="AI33" s="1133" t="str">
        <f>IF($G$33=0,"",$G$33)</f>
        <v/>
      </c>
      <c r="AJ33" s="1133" t="str">
        <f>IF($J$33=0,"",$J$33)</f>
        <v/>
      </c>
      <c r="AK33" s="1133" t="str">
        <f>IF($K$33="нет","без дифференциации",IF($N$33=0,"",$N$33))</f>
        <v/>
      </c>
      <c r="AL33" s="1133" t="str">
        <f>IF($O$33="нет","без дифференциации",IF($R$33=0,"",$R$33))</f>
        <v/>
      </c>
      <c r="AM33" s="1133" t="str">
        <f>IF($S$33="нет","без дифференциации",IF($V$33=0,"",$V$33))</f>
        <v/>
      </c>
      <c r="AN33" s="1615">
        <f>$I$33</f>
        <v>0</v>
      </c>
      <c r="AO33" s="1133" t="str">
        <f>$I$33&amp;"."&amp;$M$33</f>
        <v>.</v>
      </c>
      <c r="AP33" s="1126" t="str">
        <f>$I$33&amp;"."&amp;$M$33&amp;"."&amp;$Q$33</f>
        <v>..</v>
      </c>
      <c r="AQ33" s="1126" t="str">
        <f>$I$33&amp;"."&amp;$M$33&amp;"."&amp;$Q$33&amp;"."&amp;$U$33</f>
        <v>...</v>
      </c>
    </row>
    <row r="34" spans="1:43" s="1944" customFormat="1" ht="17.25" customHeight="1">
      <c r="A34" s="232"/>
      <c r="C34" s="231"/>
      <c r="D34" s="3426"/>
      <c r="E34" s="3427"/>
      <c r="F34" s="3430"/>
      <c r="G34" s="3427"/>
      <c r="H34" s="3433"/>
      <c r="I34" s="3435"/>
      <c r="J34" s="3437"/>
      <c r="K34" s="3421"/>
      <c r="L34" s="3421"/>
      <c r="M34" s="3421"/>
      <c r="N34" s="3423"/>
      <c r="O34" s="3421"/>
      <c r="P34" s="3421"/>
      <c r="Q34" s="3421"/>
      <c r="R34" s="3424"/>
      <c r="S34" s="3421"/>
      <c r="T34" s="1161"/>
      <c r="U34" s="1161"/>
      <c r="V34" s="1161"/>
      <c r="W34" s="1162"/>
      <c r="X34" s="1126"/>
      <c r="Y34" s="1126"/>
      <c r="Z34" s="1126"/>
      <c r="AA34" s="1126"/>
      <c r="AB34" s="1126"/>
      <c r="AC34" s="1126"/>
      <c r="AD34" s="1126"/>
      <c r="AE34" s="1126"/>
      <c r="AF34" s="1126"/>
      <c r="AG34" s="1126"/>
      <c r="AH34" s="1126"/>
      <c r="AI34" s="1126"/>
      <c r="AJ34" s="1126"/>
      <c r="AK34" s="1126"/>
      <c r="AL34" s="1126"/>
      <c r="AM34" s="1126"/>
      <c r="AN34" s="1126"/>
      <c r="AO34" s="1126"/>
      <c r="AP34" s="1126"/>
      <c r="AQ34" s="1126"/>
    </row>
    <row r="35" spans="1:43" s="1944" customFormat="1" ht="17.25" customHeight="1">
      <c r="A35" s="232"/>
      <c r="C35" s="231"/>
      <c r="D35" s="3410"/>
      <c r="E35" s="3428"/>
      <c r="F35" s="3430"/>
      <c r="G35" s="3428"/>
      <c r="H35" s="3433"/>
      <c r="I35" s="3435"/>
      <c r="J35" s="3438"/>
      <c r="K35" s="3421"/>
      <c r="L35" s="3421"/>
      <c r="M35" s="3421"/>
      <c r="N35" s="3424"/>
      <c r="O35" s="3421"/>
      <c r="P35" s="1278"/>
      <c r="Q35" s="1161"/>
      <c r="R35" s="1161"/>
      <c r="S35" s="240"/>
      <c r="T35" s="240"/>
      <c r="U35" s="240"/>
      <c r="V35" s="240"/>
      <c r="W35" s="1162"/>
      <c r="X35" s="1126"/>
      <c r="Y35" s="1126"/>
      <c r="Z35" s="1126"/>
      <c r="AA35" s="1126"/>
      <c r="AB35" s="1126"/>
      <c r="AC35" s="1126"/>
      <c r="AD35" s="1126"/>
      <c r="AE35" s="1126"/>
      <c r="AF35" s="1126"/>
      <c r="AG35" s="1126"/>
      <c r="AH35" s="1126"/>
      <c r="AI35" s="1126"/>
      <c r="AJ35" s="1126"/>
      <c r="AK35" s="1126"/>
      <c r="AL35" s="1126"/>
      <c r="AM35" s="1126"/>
      <c r="AN35" s="1126"/>
      <c r="AO35" s="1126"/>
      <c r="AP35" s="1126"/>
      <c r="AQ35" s="1126"/>
    </row>
    <row r="36" spans="1:43" s="1944" customFormat="1" ht="17.25" customHeight="1">
      <c r="A36" s="232"/>
      <c r="C36" s="231"/>
      <c r="D36" s="3410"/>
      <c r="E36" s="3428"/>
      <c r="F36" s="3430"/>
      <c r="G36" s="3428"/>
      <c r="H36" s="3433"/>
      <c r="I36" s="3435"/>
      <c r="J36" s="3438"/>
      <c r="K36" s="3421"/>
      <c r="L36" s="1161"/>
      <c r="M36" s="1161"/>
      <c r="N36" s="1161"/>
      <c r="O36" s="1161"/>
      <c r="P36" s="1161"/>
      <c r="Q36" s="1161"/>
      <c r="R36" s="1161"/>
      <c r="S36" s="240"/>
      <c r="T36" s="240"/>
      <c r="U36" s="240"/>
      <c r="V36" s="240"/>
      <c r="W36" s="1162"/>
      <c r="X36" s="1126"/>
      <c r="Y36" s="1126"/>
      <c r="Z36" s="1126"/>
      <c r="AA36" s="1126"/>
      <c r="AB36" s="1126"/>
      <c r="AC36" s="1126"/>
      <c r="AD36" s="1126"/>
      <c r="AE36" s="1126"/>
      <c r="AF36" s="1126"/>
      <c r="AG36" s="1126"/>
      <c r="AH36" s="1126"/>
      <c r="AI36" s="1126"/>
      <c r="AJ36" s="1126"/>
      <c r="AK36" s="1126"/>
      <c r="AL36" s="1126"/>
      <c r="AM36" s="1126"/>
      <c r="AN36" s="1126"/>
      <c r="AO36" s="1126"/>
      <c r="AP36" s="1126"/>
      <c r="AQ36" s="1126"/>
    </row>
    <row r="37" spans="1:43" s="1944" customFormat="1" ht="17.25" customHeight="1">
      <c r="A37" s="232"/>
      <c r="C37" s="231"/>
      <c r="D37" s="3410"/>
      <c r="E37" s="3428"/>
      <c r="F37" s="3431"/>
      <c r="G37" s="3428"/>
      <c r="H37" s="1163"/>
      <c r="I37" s="1164"/>
      <c r="J37" s="1164"/>
      <c r="K37" s="1164"/>
      <c r="L37" s="1164"/>
      <c r="M37" s="1164"/>
      <c r="N37" s="1164"/>
      <c r="O37" s="1164"/>
      <c r="P37" s="1164"/>
      <c r="Q37" s="1164"/>
      <c r="R37" s="1164"/>
      <c r="S37" s="1165"/>
      <c r="T37" s="1165"/>
      <c r="U37" s="1165"/>
      <c r="V37" s="1165"/>
      <c r="W37" s="1166"/>
      <c r="X37" s="1126"/>
      <c r="Y37" s="1126"/>
      <c r="Z37" s="1126"/>
      <c r="AA37" s="1126"/>
      <c r="AB37" s="1126"/>
      <c r="AC37" s="1126"/>
      <c r="AD37" s="1126"/>
      <c r="AE37" s="1126"/>
      <c r="AF37" s="1126"/>
      <c r="AG37" s="1126"/>
      <c r="AH37" s="1126"/>
      <c r="AI37" s="1126"/>
      <c r="AJ37" s="1126"/>
      <c r="AK37" s="1126"/>
      <c r="AL37" s="1126"/>
      <c r="AM37" s="1126"/>
      <c r="AN37" s="1126"/>
      <c r="AO37" s="1126"/>
      <c r="AP37" s="1126"/>
      <c r="AQ37" s="1126"/>
    </row>
    <row r="38" spans="1:43" s="1944" customFormat="1" ht="17.25" customHeight="1">
      <c r="A38" s="232"/>
      <c r="C38" s="125"/>
      <c r="D38" s="3426">
        <v>6</v>
      </c>
      <c r="E38" s="3427" t="s">
        <v>446</v>
      </c>
      <c r="F38" s="3429" t="s">
        <v>54</v>
      </c>
      <c r="G38" s="3427"/>
      <c r="H38" s="3432"/>
      <c r="I38" s="3434"/>
      <c r="J38" s="3436"/>
      <c r="K38" s="3420"/>
      <c r="L38" s="3420"/>
      <c r="M38" s="3420"/>
      <c r="N38" s="3422"/>
      <c r="O38" s="3420"/>
      <c r="P38" s="3420"/>
      <c r="Q38" s="3420"/>
      <c r="R38" s="3425"/>
      <c r="S38" s="3420"/>
      <c r="T38" s="1280"/>
      <c r="U38" s="1280"/>
      <c r="V38" s="1279"/>
      <c r="W38" s="1160"/>
      <c r="X38" s="1133"/>
      <c r="Y38" s="1133"/>
      <c r="Z38" s="1133"/>
      <c r="AA38" s="1133"/>
      <c r="AB38" s="1133"/>
      <c r="AC38" s="1133" t="s">
        <v>447</v>
      </c>
      <c r="AD38" s="1133" t="s">
        <v>448</v>
      </c>
      <c r="AE38" s="1133" t="s">
        <v>449</v>
      </c>
      <c r="AF38" s="1133" t="s">
        <v>450</v>
      </c>
      <c r="AG38" s="1133" t="s">
        <v>451</v>
      </c>
      <c r="AH38" s="1133" t="str">
        <f>IF($E$38=0,"",$E$38)</f>
        <v>Тарифы на услуги по передаче теплоносителя</v>
      </c>
      <c r="AI38" s="1133" t="str">
        <f>IF($G$38=0,"",$G$38)</f>
        <v/>
      </c>
      <c r="AJ38" s="1133" t="str">
        <f>IF($J$38=0,"",$J$38)</f>
        <v/>
      </c>
      <c r="AK38" s="1133" t="str">
        <f>IF($K$38="нет","без дифференциации",IF($N$38=0,"",$N$38))</f>
        <v/>
      </c>
      <c r="AL38" s="1133" t="str">
        <f>IF($O$38="нет","без дифференциации",IF($R$38=0,"",$R$38))</f>
        <v/>
      </c>
      <c r="AM38" s="1133" t="str">
        <f>IF($S$38="нет","без дифференциации",IF($V$38=0,"",$V$38))</f>
        <v/>
      </c>
      <c r="AN38" s="1615">
        <f>$I$38</f>
        <v>0</v>
      </c>
      <c r="AO38" s="1133" t="str">
        <f>$I$38&amp;"."&amp;$M$38</f>
        <v>.</v>
      </c>
      <c r="AP38" s="1126" t="str">
        <f>$I$38&amp;"."&amp;$M$38&amp;"."&amp;$Q$38</f>
        <v>..</v>
      </c>
      <c r="AQ38" s="1126" t="str">
        <f>$I$38&amp;"."&amp;$M$38&amp;"."&amp;$Q$38&amp;"."&amp;$U$38</f>
        <v>...</v>
      </c>
    </row>
    <row r="39" spans="1:43" s="1944" customFormat="1" ht="17.25" customHeight="1">
      <c r="A39" s="232"/>
      <c r="C39" s="231"/>
      <c r="D39" s="3426"/>
      <c r="E39" s="3427"/>
      <c r="F39" s="3430"/>
      <c r="G39" s="3427"/>
      <c r="H39" s="3433"/>
      <c r="I39" s="3435"/>
      <c r="J39" s="3437"/>
      <c r="K39" s="3421"/>
      <c r="L39" s="3421"/>
      <c r="M39" s="3421"/>
      <c r="N39" s="3423"/>
      <c r="O39" s="3421"/>
      <c r="P39" s="3421"/>
      <c r="Q39" s="3421"/>
      <c r="R39" s="3424"/>
      <c r="S39" s="3421"/>
      <c r="T39" s="1161"/>
      <c r="U39" s="1161"/>
      <c r="V39" s="1161"/>
      <c r="W39" s="1162"/>
      <c r="X39" s="1126"/>
      <c r="Y39" s="1126"/>
      <c r="Z39" s="1126"/>
      <c r="AA39" s="1126"/>
      <c r="AB39" s="1126"/>
      <c r="AC39" s="1126"/>
      <c r="AD39" s="1126"/>
      <c r="AE39" s="1126"/>
      <c r="AF39" s="1126"/>
      <c r="AG39" s="1126"/>
      <c r="AH39" s="1126"/>
      <c r="AI39" s="1126"/>
      <c r="AJ39" s="1126"/>
      <c r="AK39" s="1126"/>
      <c r="AL39" s="1126"/>
      <c r="AM39" s="1126"/>
      <c r="AN39" s="1126"/>
      <c r="AO39" s="1126"/>
      <c r="AP39" s="1126"/>
      <c r="AQ39" s="1126"/>
    </row>
    <row r="40" spans="1:43" s="1944" customFormat="1" ht="17.25" customHeight="1">
      <c r="A40" s="232"/>
      <c r="C40" s="231"/>
      <c r="D40" s="3410"/>
      <c r="E40" s="3428"/>
      <c r="F40" s="3430"/>
      <c r="G40" s="3428"/>
      <c r="H40" s="3433"/>
      <c r="I40" s="3435"/>
      <c r="J40" s="3438"/>
      <c r="K40" s="3421"/>
      <c r="L40" s="3421"/>
      <c r="M40" s="3421"/>
      <c r="N40" s="3424"/>
      <c r="O40" s="3421"/>
      <c r="P40" s="1278"/>
      <c r="Q40" s="1161"/>
      <c r="R40" s="1161"/>
      <c r="S40" s="240"/>
      <c r="T40" s="240"/>
      <c r="U40" s="240"/>
      <c r="V40" s="240"/>
      <c r="W40" s="1162"/>
      <c r="X40" s="1126"/>
      <c r="Y40" s="1126"/>
      <c r="Z40" s="1126"/>
      <c r="AA40" s="1126"/>
      <c r="AB40" s="1126"/>
      <c r="AC40" s="1126"/>
      <c r="AD40" s="1126"/>
      <c r="AE40" s="1126"/>
      <c r="AF40" s="1126"/>
      <c r="AG40" s="1126"/>
      <c r="AH40" s="1126"/>
      <c r="AI40" s="1126"/>
      <c r="AJ40" s="1126"/>
      <c r="AK40" s="1126"/>
      <c r="AL40" s="1126"/>
      <c r="AM40" s="1126"/>
      <c r="AN40" s="1126"/>
      <c r="AO40" s="1126"/>
      <c r="AP40" s="1126"/>
      <c r="AQ40" s="1126"/>
    </row>
    <row r="41" spans="1:43" s="1944" customFormat="1" ht="17.25" customHeight="1">
      <c r="A41" s="232"/>
      <c r="C41" s="125"/>
      <c r="D41" s="3410"/>
      <c r="E41" s="3428"/>
      <c r="F41" s="3430"/>
      <c r="G41" s="3428"/>
      <c r="H41" s="3433"/>
      <c r="I41" s="3435"/>
      <c r="J41" s="3438"/>
      <c r="K41" s="3421"/>
      <c r="L41" s="1161"/>
      <c r="M41" s="1161"/>
      <c r="N41" s="1161"/>
      <c r="O41" s="1161"/>
      <c r="P41" s="1161"/>
      <c r="Q41" s="1161"/>
      <c r="R41" s="1161"/>
      <c r="S41" s="240"/>
      <c r="T41" s="240"/>
      <c r="U41" s="240"/>
      <c r="V41" s="240"/>
      <c r="W41" s="1162"/>
      <c r="Y41" s="1133"/>
      <c r="Z41" s="1133"/>
      <c r="AA41" s="1133"/>
      <c r="AB41" s="1133"/>
      <c r="AC41" s="1133"/>
      <c r="AD41" s="1133"/>
      <c r="AE41" s="1133"/>
      <c r="AF41" s="1133"/>
      <c r="AG41" s="1133"/>
      <c r="AH41" s="1133"/>
      <c r="AI41" s="1133"/>
      <c r="AJ41" s="1133"/>
      <c r="AK41" s="1133"/>
      <c r="AL41" s="1133"/>
      <c r="AM41" s="1133"/>
      <c r="AN41" s="1133"/>
      <c r="AO41" s="1133"/>
      <c r="AP41" s="1133"/>
      <c r="AQ41" s="1133"/>
    </row>
    <row r="42" spans="1:43" s="1944" customFormat="1" ht="17.25" customHeight="1">
      <c r="A42" s="232"/>
      <c r="C42" s="231"/>
      <c r="D42" s="3410"/>
      <c r="E42" s="3428"/>
      <c r="F42" s="3431"/>
      <c r="G42" s="3428"/>
      <c r="H42" s="1163"/>
      <c r="I42" s="1164"/>
      <c r="J42" s="1164"/>
      <c r="K42" s="1164"/>
      <c r="L42" s="1164"/>
      <c r="M42" s="1164"/>
      <c r="N42" s="1164"/>
      <c r="O42" s="1164"/>
      <c r="P42" s="1164"/>
      <c r="Q42" s="1164"/>
      <c r="R42" s="1164"/>
      <c r="S42" s="1165"/>
      <c r="T42" s="1165"/>
      <c r="U42" s="1165"/>
      <c r="V42" s="1165"/>
      <c r="W42" s="1166"/>
      <c r="X42" s="1126"/>
      <c r="Y42" s="1126"/>
      <c r="Z42" s="1126"/>
      <c r="AA42" s="1126"/>
      <c r="AB42" s="1126"/>
      <c r="AC42" s="1126"/>
      <c r="AD42" s="1126"/>
      <c r="AE42" s="1126"/>
      <c r="AF42" s="1126"/>
      <c r="AG42" s="1126"/>
      <c r="AH42" s="1126"/>
      <c r="AI42" s="1126"/>
      <c r="AJ42" s="1126"/>
      <c r="AK42" s="1126"/>
      <c r="AL42" s="1126"/>
      <c r="AM42" s="1126"/>
      <c r="AN42" s="1126"/>
      <c r="AO42" s="1126"/>
      <c r="AP42" s="1126"/>
      <c r="AQ42" s="1126"/>
    </row>
    <row r="43" spans="1:43" s="1944" customFormat="1" ht="17.25" customHeight="1">
      <c r="A43" s="232"/>
      <c r="C43" s="125"/>
      <c r="D43" s="3442">
        <v>7</v>
      </c>
      <c r="E43" s="3445" t="s">
        <v>452</v>
      </c>
      <c r="F43" s="3429" t="s">
        <v>54</v>
      </c>
      <c r="G43" s="3445"/>
      <c r="H43" s="3432"/>
      <c r="I43" s="3434"/>
      <c r="J43" s="3436"/>
      <c r="K43" s="3420"/>
      <c r="L43" s="3420"/>
      <c r="M43" s="3420"/>
      <c r="N43" s="3422"/>
      <c r="O43" s="3420"/>
      <c r="P43" s="3420"/>
      <c r="Q43" s="3420"/>
      <c r="R43" s="3425"/>
      <c r="S43" s="3420"/>
      <c r="T43" s="1280"/>
      <c r="U43" s="1280"/>
      <c r="V43" s="1279"/>
      <c r="W43" s="1160"/>
      <c r="X43" s="1133"/>
      <c r="Y43" s="1133"/>
      <c r="Z43" s="1133"/>
      <c r="AA43" s="1133"/>
      <c r="AB43" s="1133"/>
      <c r="AC43" s="1133" t="s">
        <v>453</v>
      </c>
      <c r="AD43" s="1133" t="s">
        <v>454</v>
      </c>
      <c r="AE43" s="1133" t="s">
        <v>455</v>
      </c>
      <c r="AF43" s="1133" t="s">
        <v>456</v>
      </c>
      <c r="AG43" s="1133" t="s">
        <v>457</v>
      </c>
      <c r="AH43" s="1133" t="str">
        <f>IF($E$43=0,"",$E$43)</f>
        <v>Плата за услуги по поддержанию резервной тепловой мощности при отсутствии потребления тепловой энергии</v>
      </c>
      <c r="AI43" s="1133" t="str">
        <f>IF($G$43=0,"",$G$43)</f>
        <v/>
      </c>
      <c r="AJ43" s="1133" t="str">
        <f>IF($J$43=0,"",$J$43)</f>
        <v/>
      </c>
      <c r="AK43" s="1133" t="str">
        <f>IF($K$43="нет","без дифференциации",IF($N$43=0,"",$N$43))</f>
        <v/>
      </c>
      <c r="AL43" s="1133" t="str">
        <f>IF($O$43="нет","без дифференциации",IF($R$43=0,"",$R$43))</f>
        <v/>
      </c>
      <c r="AM43" s="1133" t="str">
        <f>IF($S$43="нет","без дифференциации",IF($V$43=0,"",$V$43))</f>
        <v/>
      </c>
      <c r="AN43" s="1615">
        <f>$I$43</f>
        <v>0</v>
      </c>
      <c r="AO43" s="1133" t="str">
        <f>$I$43&amp;"."&amp;$M$43</f>
        <v>.</v>
      </c>
      <c r="AP43" s="1126" t="str">
        <f>$I$43&amp;"."&amp;$M$43&amp;"."&amp;$Q$43</f>
        <v>..</v>
      </c>
      <c r="AQ43" s="1126" t="str">
        <f>$I$43&amp;"."&amp;$M$43&amp;"."&amp;$Q$43&amp;"."&amp;$U$43</f>
        <v>...</v>
      </c>
    </row>
    <row r="44" spans="1:43" s="1944" customFormat="1" ht="17.25" customHeight="1">
      <c r="A44" s="232"/>
      <c r="C44" s="231"/>
      <c r="D44" s="3443"/>
      <c r="E44" s="3446"/>
      <c r="F44" s="3430"/>
      <c r="G44" s="3446"/>
      <c r="H44" s="3433"/>
      <c r="I44" s="3435"/>
      <c r="J44" s="3437"/>
      <c r="K44" s="3421"/>
      <c r="L44" s="3421"/>
      <c r="M44" s="3421"/>
      <c r="N44" s="3423"/>
      <c r="O44" s="3421"/>
      <c r="P44" s="3421"/>
      <c r="Q44" s="3421"/>
      <c r="R44" s="3424"/>
      <c r="S44" s="3421"/>
      <c r="T44" s="1161"/>
      <c r="U44" s="1161"/>
      <c r="V44" s="1161"/>
      <c r="W44" s="1162"/>
      <c r="X44" s="1126"/>
      <c r="Y44" s="1126"/>
      <c r="Z44" s="1126"/>
      <c r="AA44" s="1126"/>
      <c r="AB44" s="1126"/>
      <c r="AC44" s="1126"/>
      <c r="AD44" s="1126"/>
      <c r="AE44" s="1126"/>
      <c r="AF44" s="1126"/>
      <c r="AG44" s="1126"/>
      <c r="AH44" s="1126"/>
      <c r="AI44" s="1126"/>
      <c r="AJ44" s="1126"/>
      <c r="AK44" s="1126"/>
      <c r="AL44" s="1126"/>
      <c r="AM44" s="1126"/>
      <c r="AN44" s="1126"/>
      <c r="AO44" s="1126"/>
      <c r="AP44" s="1126"/>
      <c r="AQ44" s="1126"/>
    </row>
    <row r="45" spans="1:43" s="1944" customFormat="1" ht="17.25" customHeight="1">
      <c r="A45" s="232"/>
      <c r="C45" s="231"/>
      <c r="D45" s="3443"/>
      <c r="E45" s="3446"/>
      <c r="F45" s="3430"/>
      <c r="G45" s="3446"/>
      <c r="H45" s="3433"/>
      <c r="I45" s="3435"/>
      <c r="J45" s="3438"/>
      <c r="K45" s="3421"/>
      <c r="L45" s="3421"/>
      <c r="M45" s="3421"/>
      <c r="N45" s="3424"/>
      <c r="O45" s="3421"/>
      <c r="P45" s="1278"/>
      <c r="Q45" s="1161"/>
      <c r="R45" s="1161"/>
      <c r="S45" s="240"/>
      <c r="T45" s="240"/>
      <c r="U45" s="240"/>
      <c r="V45" s="240"/>
      <c r="W45" s="1162"/>
      <c r="X45" s="1126"/>
      <c r="Y45" s="1126"/>
      <c r="Z45" s="1126"/>
      <c r="AA45" s="1126"/>
      <c r="AB45" s="1126"/>
      <c r="AC45" s="1126"/>
      <c r="AD45" s="1126"/>
      <c r="AE45" s="1126"/>
      <c r="AF45" s="1126"/>
      <c r="AG45" s="1126"/>
      <c r="AH45" s="1126"/>
      <c r="AI45" s="1126"/>
      <c r="AJ45" s="1126"/>
      <c r="AK45" s="1126"/>
      <c r="AL45" s="1126"/>
      <c r="AM45" s="1126"/>
      <c r="AN45" s="1126"/>
      <c r="AO45" s="1126"/>
      <c r="AP45" s="1126"/>
      <c r="AQ45" s="1126"/>
    </row>
    <row r="46" spans="1:43" s="1944" customFormat="1" ht="17.25" customHeight="1">
      <c r="A46" s="232"/>
      <c r="C46" s="125"/>
      <c r="D46" s="3443"/>
      <c r="E46" s="3446"/>
      <c r="F46" s="3430"/>
      <c r="G46" s="3446"/>
      <c r="H46" s="3433"/>
      <c r="I46" s="3435"/>
      <c r="J46" s="3438"/>
      <c r="K46" s="3421"/>
      <c r="L46" s="1161"/>
      <c r="M46" s="1161"/>
      <c r="N46" s="1161"/>
      <c r="O46" s="1161"/>
      <c r="P46" s="1161"/>
      <c r="Q46" s="1161"/>
      <c r="R46" s="1161"/>
      <c r="S46" s="240"/>
      <c r="T46" s="240"/>
      <c r="U46" s="240"/>
      <c r="V46" s="240"/>
      <c r="W46" s="1162"/>
      <c r="Y46" s="1133"/>
      <c r="Z46" s="1133"/>
      <c r="AA46" s="1133"/>
      <c r="AB46" s="1133"/>
      <c r="AC46" s="1133"/>
      <c r="AD46" s="1133"/>
      <c r="AE46" s="1133"/>
      <c r="AF46" s="1133"/>
      <c r="AG46" s="1133"/>
      <c r="AH46" s="1133"/>
      <c r="AI46" s="1133"/>
      <c r="AJ46" s="1133"/>
      <c r="AK46" s="1133"/>
      <c r="AL46" s="1133"/>
      <c r="AM46" s="1133"/>
      <c r="AN46" s="1133"/>
      <c r="AO46" s="1133"/>
      <c r="AP46" s="1133"/>
      <c r="AQ46" s="1133"/>
    </row>
    <row r="47" spans="1:43" s="1944" customFormat="1" ht="17.25" customHeight="1">
      <c r="A47" s="232"/>
      <c r="C47" s="231"/>
      <c r="D47" s="3444"/>
      <c r="E47" s="3447"/>
      <c r="F47" s="3431"/>
      <c r="G47" s="3447"/>
      <c r="H47" s="1163"/>
      <c r="I47" s="1164"/>
      <c r="J47" s="1164"/>
      <c r="K47" s="1164"/>
      <c r="L47" s="1164"/>
      <c r="M47" s="1164"/>
      <c r="N47" s="1164"/>
      <c r="O47" s="1164"/>
      <c r="P47" s="1164"/>
      <c r="Q47" s="1164"/>
      <c r="R47" s="1164"/>
      <c r="S47" s="1165"/>
      <c r="T47" s="1165"/>
      <c r="U47" s="1165"/>
      <c r="V47" s="1165"/>
      <c r="W47" s="1166"/>
      <c r="X47" s="1126"/>
      <c r="Y47" s="1126"/>
      <c r="Z47" s="1126"/>
      <c r="AA47" s="1126"/>
      <c r="AB47" s="1126"/>
      <c r="AC47" s="1126"/>
      <c r="AD47" s="1126"/>
      <c r="AE47" s="1126"/>
      <c r="AF47" s="1126"/>
      <c r="AG47" s="1126"/>
      <c r="AH47" s="1126"/>
      <c r="AI47" s="1126"/>
      <c r="AJ47" s="1126"/>
      <c r="AK47" s="1126"/>
      <c r="AL47" s="1126"/>
      <c r="AM47" s="1126"/>
      <c r="AN47" s="1126"/>
      <c r="AO47" s="1126"/>
      <c r="AP47" s="1126"/>
      <c r="AQ47" s="1126"/>
    </row>
    <row r="48" spans="1:43" s="1944" customFormat="1" ht="17.25" customHeight="1">
      <c r="A48" s="232"/>
      <c r="C48" s="125"/>
      <c r="D48" s="3426">
        <v>8</v>
      </c>
      <c r="E48" s="3427" t="s">
        <v>458</v>
      </c>
      <c r="F48" s="3429" t="s">
        <v>54</v>
      </c>
      <c r="G48" s="3427"/>
      <c r="H48" s="3432"/>
      <c r="I48" s="3434"/>
      <c r="J48" s="3436"/>
      <c r="K48" s="3420"/>
      <c r="L48" s="3420"/>
      <c r="M48" s="3420"/>
      <c r="N48" s="3422"/>
      <c r="O48" s="3420"/>
      <c r="P48" s="3420"/>
      <c r="Q48" s="3420"/>
      <c r="R48" s="3425"/>
      <c r="S48" s="3420"/>
      <c r="T48" s="1326"/>
      <c r="U48" s="1326"/>
      <c r="V48" s="1328"/>
      <c r="W48" s="1160"/>
      <c r="X48" s="1133"/>
      <c r="Y48" s="1133"/>
      <c r="Z48" s="1133"/>
      <c r="AA48" s="1133"/>
      <c r="AB48" s="1133"/>
      <c r="AC48" s="1133" t="s">
        <v>459</v>
      </c>
      <c r="AD48" s="1133" t="s">
        <v>460</v>
      </c>
      <c r="AE48" s="1133" t="s">
        <v>461</v>
      </c>
      <c r="AF48" s="1133" t="s">
        <v>462</v>
      </c>
      <c r="AG48" s="1133" t="s">
        <v>463</v>
      </c>
      <c r="AH48" s="1133" t="str">
        <f>IF($E$48=0,"",$E$48)</f>
        <v>Плата за подключение (технологическое присоединение) к системе теплоснабжения</v>
      </c>
      <c r="AI48" s="1133" t="str">
        <f>IF($G$48=0,"",$G$48)</f>
        <v/>
      </c>
      <c r="AJ48" s="1133" t="str">
        <f>IF($J$48=0,"",$J$48)</f>
        <v/>
      </c>
      <c r="AK48" s="1133" t="str">
        <f>IF($K$48="нет","без дифференциации",IF($N$48=0,"",$N$48))</f>
        <v/>
      </c>
      <c r="AL48" s="1133" t="str">
        <f>IF($O$48="нет","без дифференциации",IF($R$48=0,"",$R$48))</f>
        <v/>
      </c>
      <c r="AM48" s="1133" t="str">
        <f>IF($S$48="нет","без дифференциации",IF($V$48=0,"",$V$48))</f>
        <v/>
      </c>
      <c r="AN48" s="1615">
        <f>$I$48</f>
        <v>0</v>
      </c>
      <c r="AO48" s="1133" t="str">
        <f>$I$48&amp;"."&amp;$M$48</f>
        <v>.</v>
      </c>
      <c r="AP48" s="1126" t="str">
        <f>$I$48&amp;"."&amp;$M$48&amp;"."&amp;$Q$48</f>
        <v>..</v>
      </c>
      <c r="AQ48" s="1126" t="str">
        <f>$I$48&amp;"."&amp;$M$48&amp;"."&amp;$Q$48&amp;"."&amp;$U$48</f>
        <v>...</v>
      </c>
    </row>
    <row r="49" spans="1:43" s="1944" customFormat="1" ht="17.25" customHeight="1">
      <c r="A49" s="232"/>
      <c r="C49" s="231"/>
      <c r="D49" s="3426"/>
      <c r="E49" s="3427"/>
      <c r="F49" s="3430"/>
      <c r="G49" s="3427"/>
      <c r="H49" s="3433"/>
      <c r="I49" s="3435"/>
      <c r="J49" s="3437"/>
      <c r="K49" s="3421"/>
      <c r="L49" s="3421"/>
      <c r="M49" s="3421"/>
      <c r="N49" s="3423"/>
      <c r="O49" s="3421"/>
      <c r="P49" s="3421"/>
      <c r="Q49" s="3421"/>
      <c r="R49" s="3424"/>
      <c r="S49" s="3421"/>
      <c r="T49" s="1161"/>
      <c r="U49" s="1161"/>
      <c r="V49" s="1161"/>
      <c r="W49" s="1162"/>
      <c r="X49" s="1126"/>
      <c r="Y49" s="1126"/>
      <c r="Z49" s="1126"/>
      <c r="AA49" s="1126"/>
      <c r="AB49" s="1126"/>
      <c r="AC49" s="1126"/>
      <c r="AD49" s="1126"/>
      <c r="AE49" s="1126"/>
      <c r="AF49" s="1126"/>
      <c r="AG49" s="1126"/>
      <c r="AH49" s="1126"/>
      <c r="AI49" s="1126"/>
      <c r="AJ49" s="1126"/>
      <c r="AK49" s="1126"/>
      <c r="AL49" s="1126"/>
      <c r="AM49" s="1126"/>
      <c r="AN49" s="1126"/>
      <c r="AO49" s="1126"/>
      <c r="AP49" s="1126"/>
      <c r="AQ49" s="1126"/>
    </row>
    <row r="50" spans="1:43" s="1944" customFormat="1" ht="17.25" customHeight="1">
      <c r="A50" s="232"/>
      <c r="C50" s="231"/>
      <c r="D50" s="3410"/>
      <c r="E50" s="3428"/>
      <c r="F50" s="3430"/>
      <c r="G50" s="3428"/>
      <c r="H50" s="3433"/>
      <c r="I50" s="3435"/>
      <c r="J50" s="3438"/>
      <c r="K50" s="3421"/>
      <c r="L50" s="3421"/>
      <c r="M50" s="3421"/>
      <c r="N50" s="3424"/>
      <c r="O50" s="3421"/>
      <c r="P50" s="1327"/>
      <c r="Q50" s="1161"/>
      <c r="R50" s="1161"/>
      <c r="S50" s="240"/>
      <c r="T50" s="240"/>
      <c r="U50" s="240"/>
      <c r="V50" s="240"/>
      <c r="W50" s="1162"/>
      <c r="X50" s="1126"/>
      <c r="Y50" s="1126"/>
      <c r="Z50" s="1126"/>
      <c r="AA50" s="1126"/>
      <c r="AB50" s="1126"/>
      <c r="AC50" s="1126"/>
      <c r="AD50" s="1126"/>
      <c r="AE50" s="1126"/>
      <c r="AF50" s="1126"/>
      <c r="AG50" s="1126"/>
      <c r="AH50" s="1126"/>
      <c r="AI50" s="1126"/>
      <c r="AJ50" s="1126"/>
      <c r="AK50" s="1126"/>
      <c r="AL50" s="1126"/>
      <c r="AM50" s="1126"/>
      <c r="AN50" s="1126"/>
      <c r="AO50" s="1126"/>
      <c r="AP50" s="1126"/>
      <c r="AQ50" s="1126"/>
    </row>
    <row r="51" spans="1:43" s="1944" customFormat="1" ht="17.25" customHeight="1">
      <c r="A51" s="232"/>
      <c r="C51" s="125"/>
      <c r="D51" s="3410"/>
      <c r="E51" s="3428"/>
      <c r="F51" s="3430"/>
      <c r="G51" s="3428"/>
      <c r="H51" s="3433"/>
      <c r="I51" s="3435"/>
      <c r="J51" s="3438"/>
      <c r="K51" s="3421"/>
      <c r="L51" s="1161"/>
      <c r="M51" s="1161"/>
      <c r="N51" s="1161"/>
      <c r="O51" s="1161"/>
      <c r="P51" s="1161"/>
      <c r="Q51" s="1161"/>
      <c r="R51" s="1161"/>
      <c r="S51" s="240"/>
      <c r="T51" s="240"/>
      <c r="U51" s="240"/>
      <c r="V51" s="240"/>
      <c r="W51" s="1162"/>
      <c r="Y51" s="1133"/>
      <c r="Z51" s="1133"/>
      <c r="AA51" s="1133"/>
      <c r="AB51" s="1133"/>
      <c r="AC51" s="1133"/>
      <c r="AD51" s="1133"/>
      <c r="AE51" s="1133"/>
      <c r="AF51" s="1133"/>
      <c r="AG51" s="1133"/>
      <c r="AH51" s="1133"/>
      <c r="AI51" s="1133"/>
      <c r="AJ51" s="1133"/>
      <c r="AK51" s="1133"/>
      <c r="AL51" s="1133"/>
      <c r="AM51" s="1133"/>
      <c r="AN51" s="1133"/>
      <c r="AO51" s="1133"/>
      <c r="AP51" s="1133"/>
      <c r="AQ51" s="1133"/>
    </row>
    <row r="52" spans="1:43" s="1944" customFormat="1" ht="17.25" customHeight="1">
      <c r="A52" s="232"/>
      <c r="C52" s="231"/>
      <c r="D52" s="3410"/>
      <c r="E52" s="3428"/>
      <c r="F52" s="3431"/>
      <c r="G52" s="3428"/>
      <c r="H52" s="1163"/>
      <c r="I52" s="1164"/>
      <c r="J52" s="1164"/>
      <c r="K52" s="1164"/>
      <c r="L52" s="1164"/>
      <c r="M52" s="1164"/>
      <c r="N52" s="1164"/>
      <c r="O52" s="1164"/>
      <c r="P52" s="1164"/>
      <c r="Q52" s="1164"/>
      <c r="R52" s="1164"/>
      <c r="S52" s="1165"/>
      <c r="T52" s="1165"/>
      <c r="U52" s="1165"/>
      <c r="V52" s="1165"/>
      <c r="W52" s="1166"/>
      <c r="X52" s="1126"/>
      <c r="Y52" s="1126"/>
      <c r="Z52" s="1126"/>
      <c r="AA52" s="1126"/>
      <c r="AB52" s="1126"/>
      <c r="AC52" s="1126"/>
      <c r="AD52" s="1126"/>
      <c r="AE52" s="1126"/>
      <c r="AF52" s="1126"/>
      <c r="AG52" s="1126"/>
      <c r="AH52" s="1126"/>
      <c r="AI52" s="1126"/>
      <c r="AJ52" s="1126"/>
      <c r="AK52" s="1126"/>
      <c r="AL52" s="1126"/>
      <c r="AM52" s="1126"/>
      <c r="AN52" s="1126"/>
      <c r="AO52" s="1126"/>
      <c r="AP52" s="1126"/>
      <c r="AQ52" s="1126"/>
    </row>
    <row r="53" spans="1:43" s="1944" customFormat="1" ht="17.25" customHeight="1">
      <c r="A53" s="232"/>
      <c r="C53" s="125"/>
      <c r="D53" s="3426">
        <v>9</v>
      </c>
      <c r="E53" s="3427" t="s">
        <v>464</v>
      </c>
      <c r="F53" s="3429" t="s">
        <v>54</v>
      </c>
      <c r="G53" s="3427"/>
      <c r="H53" s="3432"/>
      <c r="I53" s="3434"/>
      <c r="J53" s="3436"/>
      <c r="K53" s="3420"/>
      <c r="L53" s="3420"/>
      <c r="M53" s="3420"/>
      <c r="N53" s="3422"/>
      <c r="O53" s="3420"/>
      <c r="P53" s="3420"/>
      <c r="Q53" s="3420"/>
      <c r="R53" s="3425"/>
      <c r="S53" s="3420"/>
      <c r="T53" s="1767"/>
      <c r="U53" s="1767"/>
      <c r="V53" s="1769"/>
      <c r="W53" s="1160"/>
      <c r="X53" s="1133"/>
      <c r="Y53" s="1133"/>
      <c r="Z53" s="1133"/>
      <c r="AA53" s="1133"/>
      <c r="AB53" s="1133"/>
      <c r="AC53" s="1133" t="s">
        <v>465</v>
      </c>
      <c r="AD53" s="1133" t="s">
        <v>466</v>
      </c>
      <c r="AE53" s="1133" t="s">
        <v>467</v>
      </c>
      <c r="AF53" s="1133" t="s">
        <v>468</v>
      </c>
      <c r="AG53" s="1133" t="s">
        <v>469</v>
      </c>
      <c r="AH53" s="1133" t="str">
        <f>IF($E$53=0,"",$E$53)</f>
        <v>Плата за подключение к системе теплоснабжения (индивидуальная)</v>
      </c>
      <c r="AI53" s="1133" t="str">
        <f>IF($G$53=0,"",$G$53)</f>
        <v/>
      </c>
      <c r="AJ53" s="1133" t="str">
        <f>IF($J$53=0,"",$J$53)</f>
        <v/>
      </c>
      <c r="AK53" s="1133" t="str">
        <f>IF($K$53="нет","без дифференциации",IF($N$53=0,"",$N$53))</f>
        <v/>
      </c>
      <c r="AL53" s="1133" t="str">
        <f>IF($O$53="нет","без дифференциации",IF($R$53=0,"",$R$53))</f>
        <v/>
      </c>
      <c r="AM53" s="1133" t="str">
        <f>IF($S$53="нет","без дифференциации",IF($V$53=0,"",$V$53))</f>
        <v/>
      </c>
      <c r="AN53" s="1615">
        <f>$I$53</f>
        <v>0</v>
      </c>
      <c r="AO53" s="1133" t="str">
        <f>$I$53&amp;"."&amp;$M$53</f>
        <v>.</v>
      </c>
      <c r="AP53" s="1132" t="str">
        <f>$I$53&amp;"."&amp;$M$53&amp;"."&amp;$Q$53</f>
        <v>..</v>
      </c>
      <c r="AQ53" s="1132" t="str">
        <f>$I$53&amp;"."&amp;$M$53&amp;"."&amp;$Q$53&amp;"."&amp;$U$53</f>
        <v>...</v>
      </c>
    </row>
    <row r="54" spans="1:43" s="1944" customFormat="1" ht="17.25" customHeight="1">
      <c r="A54" s="232"/>
      <c r="C54" s="231"/>
      <c r="D54" s="3426"/>
      <c r="E54" s="3427"/>
      <c r="F54" s="3430"/>
      <c r="G54" s="3427"/>
      <c r="H54" s="3433"/>
      <c r="I54" s="3435"/>
      <c r="J54" s="3437"/>
      <c r="K54" s="3421"/>
      <c r="L54" s="3421"/>
      <c r="M54" s="3421"/>
      <c r="N54" s="3423"/>
      <c r="O54" s="3421"/>
      <c r="P54" s="3421"/>
      <c r="Q54" s="3421"/>
      <c r="R54" s="3424"/>
      <c r="S54" s="3421"/>
      <c r="T54" s="1770"/>
      <c r="U54" s="1770"/>
      <c r="V54" s="1770"/>
      <c r="W54" s="1771"/>
      <c r="X54" s="1132"/>
      <c r="Y54" s="1132"/>
      <c r="Z54" s="1132"/>
      <c r="AA54" s="1132"/>
      <c r="AB54" s="1132"/>
      <c r="AC54" s="1132"/>
      <c r="AD54" s="1132"/>
      <c r="AE54" s="1132"/>
      <c r="AF54" s="1132"/>
      <c r="AG54" s="1132"/>
      <c r="AH54" s="1132"/>
      <c r="AI54" s="1132"/>
      <c r="AJ54" s="1132"/>
      <c r="AK54" s="1132"/>
      <c r="AL54" s="1132"/>
      <c r="AM54" s="1132"/>
      <c r="AN54" s="1132"/>
      <c r="AO54" s="1132"/>
      <c r="AP54" s="1132"/>
      <c r="AQ54" s="1132"/>
    </row>
    <row r="55" spans="1:43" s="1944" customFormat="1" ht="17.25" customHeight="1">
      <c r="A55" s="232"/>
      <c r="C55" s="231"/>
      <c r="D55" s="3410"/>
      <c r="E55" s="3428"/>
      <c r="F55" s="3430"/>
      <c r="G55" s="3428"/>
      <c r="H55" s="3433"/>
      <c r="I55" s="3435"/>
      <c r="J55" s="3438"/>
      <c r="K55" s="3421"/>
      <c r="L55" s="3421"/>
      <c r="M55" s="3421"/>
      <c r="N55" s="3424"/>
      <c r="O55" s="3421"/>
      <c r="P55" s="1768"/>
      <c r="Q55" s="1770"/>
      <c r="R55" s="1770"/>
      <c r="S55" s="240"/>
      <c r="T55" s="240"/>
      <c r="U55" s="240"/>
      <c r="V55" s="240"/>
      <c r="W55" s="1771"/>
      <c r="X55" s="1132"/>
      <c r="Y55" s="1132"/>
      <c r="Z55" s="1132"/>
      <c r="AA55" s="1132"/>
      <c r="AB55" s="1132"/>
      <c r="AC55" s="1132"/>
      <c r="AD55" s="1132"/>
      <c r="AE55" s="1132"/>
      <c r="AF55" s="1132"/>
      <c r="AG55" s="1132"/>
      <c r="AH55" s="1132"/>
      <c r="AI55" s="1132"/>
      <c r="AJ55" s="1132"/>
      <c r="AK55" s="1132"/>
      <c r="AL55" s="1132"/>
      <c r="AM55" s="1132"/>
      <c r="AN55" s="1132"/>
      <c r="AO55" s="1132"/>
      <c r="AP55" s="1132"/>
      <c r="AQ55" s="1132"/>
    </row>
    <row r="56" spans="1:43" s="1944" customFormat="1" ht="17.25" customHeight="1">
      <c r="A56" s="232"/>
      <c r="C56" s="125"/>
      <c r="D56" s="3410"/>
      <c r="E56" s="3428"/>
      <c r="F56" s="3430"/>
      <c r="G56" s="3428"/>
      <c r="H56" s="3433"/>
      <c r="I56" s="3435"/>
      <c r="J56" s="3438"/>
      <c r="K56" s="3421"/>
      <c r="L56" s="1770"/>
      <c r="M56" s="1770"/>
      <c r="N56" s="1770"/>
      <c r="O56" s="1770"/>
      <c r="P56" s="1770"/>
      <c r="Q56" s="1770"/>
      <c r="R56" s="1770"/>
      <c r="S56" s="240"/>
      <c r="T56" s="240"/>
      <c r="U56" s="240"/>
      <c r="V56" s="240"/>
      <c r="W56" s="1771"/>
      <c r="Y56" s="1133"/>
      <c r="Z56" s="1133"/>
      <c r="AA56" s="1133"/>
      <c r="AB56" s="1133"/>
      <c r="AC56" s="1133"/>
      <c r="AD56" s="1133"/>
      <c r="AE56" s="1133"/>
      <c r="AF56" s="1133"/>
      <c r="AG56" s="1133"/>
      <c r="AH56" s="1133"/>
      <c r="AI56" s="1133"/>
      <c r="AJ56" s="1133"/>
      <c r="AK56" s="1133"/>
      <c r="AL56" s="1133"/>
      <c r="AM56" s="1133"/>
      <c r="AN56" s="1133"/>
      <c r="AO56" s="1133"/>
      <c r="AP56" s="1133"/>
      <c r="AQ56" s="1133"/>
    </row>
    <row r="57" spans="1:43" s="1944" customFormat="1" ht="17.25" customHeight="1">
      <c r="A57" s="232"/>
      <c r="C57" s="231"/>
      <c r="D57" s="3410"/>
      <c r="E57" s="3428"/>
      <c r="F57" s="3431"/>
      <c r="G57" s="3428"/>
      <c r="H57" s="1163"/>
      <c r="I57" s="1772"/>
      <c r="J57" s="1772"/>
      <c r="K57" s="1772"/>
      <c r="L57" s="1772"/>
      <c r="M57" s="1772"/>
      <c r="N57" s="1772"/>
      <c r="O57" s="1772"/>
      <c r="P57" s="1772"/>
      <c r="Q57" s="1772"/>
      <c r="R57" s="1772"/>
      <c r="S57" s="1165"/>
      <c r="T57" s="1165"/>
      <c r="U57" s="1165"/>
      <c r="V57" s="1165"/>
      <c r="W57" s="1773"/>
      <c r="X57" s="1132"/>
      <c r="Y57" s="1132"/>
      <c r="Z57" s="1132"/>
      <c r="AA57" s="1132"/>
      <c r="AB57" s="1132"/>
      <c r="AC57" s="1132"/>
      <c r="AD57" s="1132"/>
      <c r="AE57" s="1132"/>
      <c r="AF57" s="1132"/>
      <c r="AG57" s="1132"/>
      <c r="AH57" s="1132"/>
      <c r="AI57" s="1132"/>
      <c r="AJ57" s="1132"/>
      <c r="AK57" s="1132"/>
      <c r="AL57" s="1132"/>
      <c r="AM57" s="1132"/>
      <c r="AN57" s="1132"/>
      <c r="AO57" s="1132"/>
      <c r="AP57" s="1132"/>
      <c r="AQ57" s="1132"/>
    </row>
    <row r="58" spans="1:43" s="1944" customFormat="1" ht="17.25" customHeight="1">
      <c r="A58" s="232"/>
      <c r="C58" s="125"/>
      <c r="D58" s="3426">
        <v>10</v>
      </c>
      <c r="E58" s="3427" t="s">
        <v>470</v>
      </c>
      <c r="F58" s="3429" t="s">
        <v>54</v>
      </c>
      <c r="G58" s="3427"/>
      <c r="H58" s="3432"/>
      <c r="I58" s="3434"/>
      <c r="J58" s="3436"/>
      <c r="K58" s="3420"/>
      <c r="L58" s="3420"/>
      <c r="M58" s="3420"/>
      <c r="N58" s="3422"/>
      <c r="O58" s="3420"/>
      <c r="P58" s="3420"/>
      <c r="Q58" s="3420"/>
      <c r="R58" s="3425"/>
      <c r="S58" s="3420"/>
      <c r="T58" s="1767"/>
      <c r="U58" s="1767"/>
      <c r="V58" s="1769"/>
      <c r="W58" s="1160"/>
      <c r="X58" s="1133"/>
      <c r="Y58" s="1133"/>
      <c r="Z58" s="1133"/>
      <c r="AA58" s="1133"/>
      <c r="AB58" s="1133"/>
      <c r="AC58" s="1133" t="s">
        <v>471</v>
      </c>
      <c r="AD58" s="1133" t="s">
        <v>472</v>
      </c>
      <c r="AE58" s="1133" t="s">
        <v>473</v>
      </c>
      <c r="AF58" s="1133" t="s">
        <v>474</v>
      </c>
      <c r="AG58" s="1133" t="s">
        <v>475</v>
      </c>
      <c r="AH58" s="1133" t="str">
        <f>IF($E$58=0,"",$E$58)</f>
        <v>Предельный уровень цены на тепловую энергию (мощность), поставляемую теплоснабжающими организациями потребителям</v>
      </c>
      <c r="AI58" s="1133" t="str">
        <f>IF($G$58=0,"",$G$58)</f>
        <v/>
      </c>
      <c r="AJ58" s="1133" t="str">
        <f>IF($J$58=0,"",$J$58)</f>
        <v/>
      </c>
      <c r="AK58" s="1133" t="str">
        <f>IF($K$58="нет","без дифференциации",IF($N$58=0,"",$N$58))</f>
        <v/>
      </c>
      <c r="AL58" s="1133" t="str">
        <f>IF($O$58="нет","без дифференциации",IF($R$58=0,"",$R$58))</f>
        <v/>
      </c>
      <c r="AM58" s="1133" t="str">
        <f>IF($S$58="нет","без дифференциации",IF($V$58=0,"",$V$58))</f>
        <v/>
      </c>
      <c r="AN58" s="1615">
        <f>$I$58</f>
        <v>0</v>
      </c>
      <c r="AO58" s="1133" t="str">
        <f>$I$58&amp;"."&amp;$M$58</f>
        <v>.</v>
      </c>
      <c r="AP58" s="1132" t="str">
        <f>$I$58&amp;"."&amp;$M$58&amp;"."&amp;$Q$58</f>
        <v>..</v>
      </c>
      <c r="AQ58" s="1132" t="str">
        <f>$I$58&amp;"."&amp;$M$58&amp;"."&amp;$Q$58&amp;"."&amp;$U$58</f>
        <v>...</v>
      </c>
    </row>
    <row r="59" spans="1:43" s="1944" customFormat="1" ht="17.25" customHeight="1">
      <c r="A59" s="232"/>
      <c r="C59" s="231"/>
      <c r="D59" s="3426"/>
      <c r="E59" s="3427"/>
      <c r="F59" s="3430"/>
      <c r="G59" s="3427"/>
      <c r="H59" s="3433"/>
      <c r="I59" s="3435"/>
      <c r="J59" s="3437"/>
      <c r="K59" s="3421"/>
      <c r="L59" s="3421"/>
      <c r="M59" s="3421"/>
      <c r="N59" s="3423"/>
      <c r="O59" s="3421"/>
      <c r="P59" s="3421"/>
      <c r="Q59" s="3421"/>
      <c r="R59" s="3424"/>
      <c r="S59" s="3421"/>
      <c r="T59" s="1770"/>
      <c r="U59" s="1770"/>
      <c r="V59" s="1770"/>
      <c r="W59" s="1771"/>
      <c r="X59" s="1132"/>
      <c r="Y59" s="1132"/>
      <c r="Z59" s="1132"/>
      <c r="AA59" s="1132"/>
      <c r="AB59" s="1132"/>
      <c r="AC59" s="1132"/>
      <c r="AD59" s="1132"/>
      <c r="AE59" s="1132"/>
      <c r="AF59" s="1132"/>
      <c r="AG59" s="1132"/>
      <c r="AH59" s="1132"/>
      <c r="AI59" s="1132"/>
      <c r="AJ59" s="1132"/>
      <c r="AK59" s="1132"/>
      <c r="AL59" s="1132"/>
      <c r="AM59" s="1132"/>
      <c r="AN59" s="1132"/>
      <c r="AO59" s="1132"/>
      <c r="AP59" s="1132"/>
      <c r="AQ59" s="1132"/>
    </row>
    <row r="60" spans="1:43" s="1944" customFormat="1" ht="17.25" customHeight="1">
      <c r="A60" s="232"/>
      <c r="C60" s="231"/>
      <c r="D60" s="3410"/>
      <c r="E60" s="3428"/>
      <c r="F60" s="3430"/>
      <c r="G60" s="3428"/>
      <c r="H60" s="3433"/>
      <c r="I60" s="3435"/>
      <c r="J60" s="3438"/>
      <c r="K60" s="3421"/>
      <c r="L60" s="3421"/>
      <c r="M60" s="3421"/>
      <c r="N60" s="3424"/>
      <c r="O60" s="3421"/>
      <c r="P60" s="1768"/>
      <c r="Q60" s="1770"/>
      <c r="R60" s="1770"/>
      <c r="S60" s="240"/>
      <c r="T60" s="240"/>
      <c r="U60" s="240"/>
      <c r="V60" s="240"/>
      <c r="W60" s="1771"/>
      <c r="X60" s="1132"/>
      <c r="Y60" s="1132"/>
      <c r="Z60" s="1132"/>
      <c r="AA60" s="1132"/>
      <c r="AB60" s="1132"/>
      <c r="AC60" s="1132"/>
      <c r="AD60" s="1132"/>
      <c r="AE60" s="1132"/>
      <c r="AF60" s="1132"/>
      <c r="AG60" s="1132"/>
      <c r="AH60" s="1132"/>
      <c r="AI60" s="1132"/>
      <c r="AJ60" s="1132"/>
      <c r="AK60" s="1132"/>
      <c r="AL60" s="1132"/>
      <c r="AM60" s="1132"/>
      <c r="AN60" s="1132"/>
      <c r="AO60" s="1132"/>
      <c r="AP60" s="1132"/>
      <c r="AQ60" s="1132"/>
    </row>
    <row r="61" spans="1:43" s="1944" customFormat="1" ht="17.25" customHeight="1">
      <c r="A61" s="232"/>
      <c r="C61" s="125"/>
      <c r="D61" s="3410"/>
      <c r="E61" s="3428"/>
      <c r="F61" s="3430"/>
      <c r="G61" s="3428"/>
      <c r="H61" s="3433"/>
      <c r="I61" s="3435"/>
      <c r="J61" s="3438"/>
      <c r="K61" s="3421"/>
      <c r="L61" s="1770"/>
      <c r="M61" s="1770"/>
      <c r="N61" s="1770"/>
      <c r="O61" s="1770"/>
      <c r="P61" s="1770"/>
      <c r="Q61" s="1770"/>
      <c r="R61" s="1770"/>
      <c r="S61" s="240"/>
      <c r="T61" s="240"/>
      <c r="U61" s="240"/>
      <c r="V61" s="240"/>
      <c r="W61" s="1771"/>
      <c r="Y61" s="1133"/>
      <c r="Z61" s="1133"/>
      <c r="AA61" s="1133"/>
      <c r="AB61" s="1133"/>
      <c r="AC61" s="1133"/>
      <c r="AD61" s="1133"/>
      <c r="AE61" s="1133"/>
      <c r="AF61" s="1133"/>
      <c r="AG61" s="1133"/>
      <c r="AH61" s="1133"/>
      <c r="AI61" s="1133"/>
      <c r="AJ61" s="1133"/>
      <c r="AK61" s="1133"/>
      <c r="AL61" s="1133"/>
      <c r="AM61" s="1133"/>
      <c r="AN61" s="1133"/>
      <c r="AO61" s="1133"/>
      <c r="AP61" s="1133"/>
      <c r="AQ61" s="1133"/>
    </row>
    <row r="62" spans="1:43" s="1944" customFormat="1" ht="17.25" customHeight="1">
      <c r="A62" s="232"/>
      <c r="C62" s="231"/>
      <c r="D62" s="3410"/>
      <c r="E62" s="3428"/>
      <c r="F62" s="3431"/>
      <c r="G62" s="3428"/>
      <c r="H62" s="1163"/>
      <c r="I62" s="1772"/>
      <c r="J62" s="1772"/>
      <c r="K62" s="1772"/>
      <c r="L62" s="1772"/>
      <c r="M62" s="1772"/>
      <c r="N62" s="1772"/>
      <c r="O62" s="1772"/>
      <c r="P62" s="1772"/>
      <c r="Q62" s="1772"/>
      <c r="R62" s="1772"/>
      <c r="S62" s="1165"/>
      <c r="T62" s="1165"/>
      <c r="U62" s="1165"/>
      <c r="V62" s="1165"/>
      <c r="W62" s="1773"/>
      <c r="X62" s="1132"/>
      <c r="Y62" s="1132"/>
      <c r="Z62" s="1132"/>
      <c r="AA62" s="1132"/>
      <c r="AB62" s="1132"/>
      <c r="AC62" s="1132"/>
      <c r="AD62" s="1132"/>
      <c r="AE62" s="1132"/>
      <c r="AF62" s="1132"/>
      <c r="AG62" s="1132"/>
      <c r="AH62" s="1132"/>
      <c r="AI62" s="1132"/>
      <c r="AJ62" s="1132"/>
      <c r="AK62" s="1132"/>
      <c r="AL62" s="1132"/>
      <c r="AM62" s="1132"/>
      <c r="AN62" s="1132"/>
      <c r="AO62" s="1132"/>
      <c r="AP62" s="1132"/>
      <c r="AQ62" s="1132"/>
    </row>
    <row r="64" spans="1:43" ht="11.25" customHeight="1">
      <c r="E64" s="3441" t="s">
        <v>476</v>
      </c>
      <c r="F64" s="3441"/>
      <c r="G64" s="3441"/>
      <c r="H64" s="3441"/>
      <c r="I64" s="3441"/>
      <c r="J64" s="3441"/>
      <c r="K64" s="3441"/>
      <c r="L64" s="3441"/>
      <c r="M64" s="3441"/>
      <c r="N64" s="3441"/>
      <c r="O64" s="3441"/>
      <c r="P64" s="3441"/>
      <c r="Q64" s="3441"/>
      <c r="R64" s="3441"/>
      <c r="S64" s="3441"/>
      <c r="T64" s="3441"/>
      <c r="U64" s="3441"/>
      <c r="V64" s="3441"/>
      <c r="W64" s="3441"/>
    </row>
    <row r="65" spans="1:43" ht="36.75" customHeight="1">
      <c r="E65" s="3439" t="s">
        <v>477</v>
      </c>
      <c r="F65" s="3439"/>
      <c r="G65" s="3440"/>
      <c r="H65" s="3440"/>
      <c r="I65" s="3440"/>
      <c r="J65" s="3440"/>
      <c r="K65" s="3440"/>
      <c r="L65" s="3440"/>
      <c r="M65" s="3440"/>
      <c r="N65" s="3440"/>
      <c r="O65" s="3440"/>
      <c r="P65" s="3440"/>
      <c r="Q65" s="3440"/>
      <c r="R65" s="3440"/>
      <c r="S65" s="3440"/>
      <c r="T65" s="3440"/>
      <c r="U65" s="3440"/>
      <c r="V65" s="3440"/>
      <c r="W65" s="3440"/>
    </row>
    <row r="66" spans="1:43" ht="28.5" customHeight="1">
      <c r="E66" s="3439" t="s">
        <v>478</v>
      </c>
      <c r="F66" s="3439"/>
      <c r="G66" s="3440"/>
      <c r="H66" s="3440"/>
      <c r="I66" s="3440"/>
      <c r="J66" s="3440"/>
      <c r="K66" s="3440"/>
      <c r="L66" s="3440"/>
      <c r="M66" s="3440"/>
      <c r="N66" s="3440"/>
      <c r="O66" s="3440"/>
      <c r="P66" s="3440"/>
      <c r="Q66" s="3440"/>
      <c r="R66" s="3440"/>
      <c r="S66" s="3440"/>
      <c r="T66" s="3440"/>
      <c r="U66" s="3440"/>
      <c r="V66" s="3440"/>
      <c r="W66" s="3440"/>
    </row>
    <row r="67" spans="1:43" ht="27" customHeight="1">
      <c r="E67" s="3439" t="s">
        <v>479</v>
      </c>
      <c r="F67" s="3439"/>
      <c r="G67" s="3440"/>
      <c r="H67" s="3440"/>
      <c r="I67" s="3440"/>
      <c r="J67" s="3440"/>
      <c r="K67" s="3440"/>
      <c r="L67" s="3440"/>
      <c r="M67" s="3440"/>
      <c r="N67" s="3440"/>
      <c r="O67" s="3440"/>
      <c r="P67" s="3440"/>
      <c r="Q67" s="3440"/>
      <c r="R67" s="3440"/>
      <c r="S67" s="3440"/>
      <c r="T67" s="3440"/>
      <c r="U67" s="3440"/>
      <c r="V67" s="3440"/>
      <c r="W67" s="3440"/>
    </row>
    <row r="68" spans="1:43" ht="17.25" customHeight="1">
      <c r="E68" s="3439" t="s">
        <v>480</v>
      </c>
      <c r="F68" s="3439"/>
      <c r="G68" s="3440"/>
      <c r="H68" s="3440"/>
      <c r="I68" s="3440"/>
      <c r="J68" s="3440"/>
      <c r="K68" s="3440"/>
      <c r="L68" s="3440"/>
      <c r="M68" s="3440"/>
      <c r="N68" s="3440"/>
      <c r="O68" s="3440"/>
      <c r="P68" s="3440"/>
      <c r="Q68" s="3440"/>
      <c r="R68" s="3440"/>
      <c r="S68" s="3440"/>
      <c r="T68" s="3440"/>
      <c r="U68" s="3440"/>
      <c r="V68" s="3440"/>
      <c r="W68" s="3440"/>
    </row>
    <row r="69" spans="1:43" ht="15" customHeight="1">
      <c r="E69" s="251"/>
      <c r="F69" s="1150"/>
      <c r="G69" s="75"/>
      <c r="H69" s="75"/>
      <c r="I69" s="75"/>
      <c r="J69" s="75"/>
      <c r="K69" s="75"/>
      <c r="L69" s="75"/>
      <c r="M69" s="75"/>
      <c r="N69" s="75"/>
      <c r="O69" s="75"/>
      <c r="P69" s="75"/>
      <c r="Q69" s="75"/>
      <c r="R69" s="75"/>
      <c r="S69" s="75"/>
      <c r="T69" s="75"/>
      <c r="U69" s="75"/>
      <c r="V69" s="75"/>
      <c r="W69" s="75"/>
    </row>
    <row r="70" spans="1:43" ht="15" customHeight="1">
      <c r="E70" s="3441" t="s">
        <v>481</v>
      </c>
      <c r="F70" s="3441"/>
      <c r="G70" s="3441"/>
      <c r="H70" s="3441"/>
      <c r="I70" s="3441"/>
      <c r="J70" s="3441"/>
      <c r="K70" s="3441"/>
      <c r="L70" s="3441"/>
      <c r="M70" s="3441"/>
      <c r="N70" s="3441"/>
      <c r="O70" s="3441"/>
      <c r="P70" s="3441"/>
      <c r="Q70" s="3441"/>
      <c r="R70" s="3441"/>
      <c r="S70" s="3441"/>
      <c r="T70" s="3441"/>
      <c r="U70" s="3441"/>
      <c r="V70" s="3441"/>
      <c r="W70" s="3441"/>
    </row>
    <row r="71" spans="1:43" ht="17.25" customHeight="1">
      <c r="E71" s="3439" t="s">
        <v>482</v>
      </c>
      <c r="F71" s="3439"/>
      <c r="G71" s="3440"/>
      <c r="H71" s="3440"/>
      <c r="I71" s="3440"/>
      <c r="J71" s="3440"/>
      <c r="K71" s="3440"/>
      <c r="L71" s="3440"/>
      <c r="M71" s="3440"/>
      <c r="N71" s="3440"/>
      <c r="O71" s="3440"/>
      <c r="P71" s="3440"/>
      <c r="Q71" s="3440"/>
      <c r="R71" s="3440"/>
      <c r="S71" s="3440"/>
      <c r="T71" s="3440"/>
      <c r="U71" s="3440"/>
      <c r="V71" s="3440"/>
      <c r="W71" s="3440"/>
    </row>
    <row r="72" spans="1:43" ht="17.25" customHeight="1">
      <c r="E72" s="3439" t="s">
        <v>483</v>
      </c>
      <c r="F72" s="3439"/>
      <c r="G72" s="3440"/>
      <c r="H72" s="3440"/>
      <c r="I72" s="3440"/>
      <c r="J72" s="3440"/>
      <c r="K72" s="3440"/>
      <c r="L72" s="3440"/>
      <c r="M72" s="3440"/>
      <c r="N72" s="3440"/>
      <c r="O72" s="3440"/>
      <c r="P72" s="3440"/>
      <c r="Q72" s="3440"/>
      <c r="R72" s="3440"/>
      <c r="S72" s="3440"/>
      <c r="T72" s="3440"/>
      <c r="U72" s="3440"/>
      <c r="V72" s="3440"/>
      <c r="W72" s="3440"/>
    </row>
    <row r="73" spans="1:43" s="1944" customFormat="1" ht="11.25" customHeight="1">
      <c r="A73" s="190"/>
      <c r="B73" s="190"/>
      <c r="Y73" s="1126"/>
      <c r="Z73" s="1126"/>
      <c r="AA73" s="1126"/>
      <c r="AB73" s="1126"/>
      <c r="AC73" s="1126"/>
      <c r="AD73" s="1126"/>
      <c r="AE73" s="1126"/>
      <c r="AF73" s="1126"/>
      <c r="AG73" s="1126"/>
      <c r="AH73" s="1126"/>
      <c r="AI73" s="1126"/>
      <c r="AJ73" s="1126"/>
      <c r="AK73" s="1126"/>
      <c r="AL73" s="1126"/>
      <c r="AM73" s="1126"/>
      <c r="AN73" s="1126"/>
      <c r="AO73" s="1126"/>
      <c r="AP73" s="1126"/>
      <c r="AQ73" s="1126"/>
    </row>
    <row r="74" spans="1:43" s="1944" customFormat="1" ht="17.25" hidden="1" customHeight="1">
      <c r="A74" s="232"/>
      <c r="C74" s="125"/>
      <c r="D74" s="3426">
        <v>1</v>
      </c>
      <c r="E74" s="3427" t="s">
        <v>484</v>
      </c>
      <c r="F74" s="3429" t="s">
        <v>54</v>
      </c>
      <c r="G74" s="3427"/>
      <c r="H74" s="3432"/>
      <c r="I74" s="3434"/>
      <c r="J74" s="3436"/>
      <c r="K74" s="3420"/>
      <c r="L74" s="3420"/>
      <c r="M74" s="3420"/>
      <c r="N74" s="3422"/>
      <c r="O74" s="3420"/>
      <c r="P74" s="3420"/>
      <c r="Q74" s="3420"/>
      <c r="R74" s="3425"/>
      <c r="S74" s="3420"/>
      <c r="T74" s="1326"/>
      <c r="U74" s="1326"/>
      <c r="V74" s="1328"/>
      <c r="W74" s="1160"/>
      <c r="Y74" s="1133"/>
      <c r="Z74" s="1133"/>
      <c r="AA74" s="1133"/>
      <c r="AB74" s="1133"/>
      <c r="AC74" s="1133" t="s">
        <v>485</v>
      </c>
      <c r="AD74" s="1133" t="s">
        <v>486</v>
      </c>
      <c r="AE74" s="1133" t="s">
        <v>487</v>
      </c>
      <c r="AF74" s="1133" t="s">
        <v>488</v>
      </c>
      <c r="AG74" s="1133"/>
      <c r="AH74" s="1133" t="str">
        <f>IF($E$74=0,"",$E$74)</f>
        <v>Тариф на питьевую воду (питьевое водоснабжение)</v>
      </c>
      <c r="AI74" s="1133" t="str">
        <f>IF($G$74=0,"",$G$74)</f>
        <v/>
      </c>
      <c r="AJ74" s="1133" t="str">
        <f>IF($J$74=0,"",$J$74)</f>
        <v/>
      </c>
      <c r="AK74" s="1133" t="str">
        <f>IF($K$74="нет","без дифференциации",IF($N$74=0,"",$N$74))</f>
        <v/>
      </c>
      <c r="AL74" s="1133" t="str">
        <f>IF($O$74="нет","без дифференциации",IF($R$74=0,"",$R$74))</f>
        <v/>
      </c>
      <c r="AM74" s="1133" t="str">
        <f>IF($S$74="нет","без дифференциации",IF($V$74=0,"",$V$74))</f>
        <v/>
      </c>
      <c r="AN74" s="1133">
        <f>$I$74</f>
        <v>0</v>
      </c>
      <c r="AO74" s="1133" t="str">
        <f>$I$74&amp;"."&amp;$M$74</f>
        <v>.</v>
      </c>
      <c r="AP74" s="1133" t="str">
        <f>$I$74&amp;"."&amp;$M$74&amp;"."&amp;$Q$74</f>
        <v>..</v>
      </c>
      <c r="AQ74" s="1133" t="str">
        <f>$I$74&amp;"."&amp;$M$74&amp;"."&amp;$Q$74&amp;"."&amp;$U$74</f>
        <v>...</v>
      </c>
    </row>
    <row r="75" spans="1:43" s="1944" customFormat="1" ht="17.25" hidden="1" customHeight="1">
      <c r="A75" s="232"/>
      <c r="C75" s="231"/>
      <c r="D75" s="3426"/>
      <c r="E75" s="3427"/>
      <c r="F75" s="3430"/>
      <c r="G75" s="3427"/>
      <c r="H75" s="3433"/>
      <c r="I75" s="3435"/>
      <c r="J75" s="3437"/>
      <c r="K75" s="3421"/>
      <c r="L75" s="3421"/>
      <c r="M75" s="3421"/>
      <c r="N75" s="3423"/>
      <c r="O75" s="3421"/>
      <c r="P75" s="3421"/>
      <c r="Q75" s="3421"/>
      <c r="R75" s="3424"/>
      <c r="S75" s="3421"/>
      <c r="T75" s="1161"/>
      <c r="U75" s="1161"/>
      <c r="V75" s="1161"/>
      <c r="W75" s="1162"/>
      <c r="Y75" s="1126"/>
      <c r="Z75" s="1126"/>
      <c r="AA75" s="1126"/>
      <c r="AB75" s="1126"/>
      <c r="AC75" s="1126"/>
      <c r="AD75" s="1126"/>
      <c r="AE75" s="1126"/>
      <c r="AF75" s="1126"/>
      <c r="AG75" s="1126"/>
      <c r="AH75" s="1126"/>
      <c r="AI75" s="1126"/>
      <c r="AJ75" s="1126"/>
      <c r="AK75" s="1126"/>
      <c r="AL75" s="1126"/>
      <c r="AM75" s="1126"/>
      <c r="AN75" s="1126"/>
      <c r="AO75" s="1126"/>
      <c r="AP75" s="1126"/>
      <c r="AQ75" s="1126"/>
    </row>
    <row r="76" spans="1:43" s="1944" customFormat="1" ht="17.25" hidden="1" customHeight="1">
      <c r="A76" s="232"/>
      <c r="C76" s="125"/>
      <c r="D76" s="3426"/>
      <c r="E76" s="3427"/>
      <c r="F76" s="3430"/>
      <c r="G76" s="3427"/>
      <c r="H76" s="3433"/>
      <c r="I76" s="3435"/>
      <c r="J76" s="3438"/>
      <c r="K76" s="3421"/>
      <c r="L76" s="3421"/>
      <c r="M76" s="3421"/>
      <c r="N76" s="3424"/>
      <c r="O76" s="3421"/>
      <c r="P76" s="1327"/>
      <c r="Q76" s="1161"/>
      <c r="R76" s="1161"/>
      <c r="S76" s="240"/>
      <c r="T76" s="240"/>
      <c r="U76" s="240"/>
      <c r="V76" s="240"/>
      <c r="W76" s="1162"/>
      <c r="Y76" s="1133"/>
      <c r="Z76" s="1133"/>
      <c r="AA76" s="1133"/>
      <c r="AB76" s="1133"/>
      <c r="AC76" s="1133"/>
      <c r="AD76" s="1133"/>
      <c r="AE76" s="1133"/>
      <c r="AF76" s="1133"/>
      <c r="AG76" s="1133"/>
      <c r="AH76" s="1133"/>
      <c r="AI76" s="1133"/>
      <c r="AJ76" s="1133"/>
      <c r="AK76" s="1133"/>
      <c r="AL76" s="1133"/>
      <c r="AM76" s="1133"/>
      <c r="AN76" s="1133"/>
      <c r="AO76" s="1133"/>
      <c r="AP76" s="1133"/>
      <c r="AQ76" s="1133"/>
    </row>
    <row r="77" spans="1:43" s="1944" customFormat="1" ht="17.25" hidden="1" customHeight="1">
      <c r="A77" s="232"/>
      <c r="C77" s="231"/>
      <c r="D77" s="3426"/>
      <c r="E77" s="3427"/>
      <c r="F77" s="3430"/>
      <c r="G77" s="3427"/>
      <c r="H77" s="3433"/>
      <c r="I77" s="3435"/>
      <c r="J77" s="3438"/>
      <c r="K77" s="3421"/>
      <c r="L77" s="1161"/>
      <c r="M77" s="1161"/>
      <c r="N77" s="1161"/>
      <c r="O77" s="1161"/>
      <c r="P77" s="1161"/>
      <c r="Q77" s="1161"/>
      <c r="R77" s="1161"/>
      <c r="S77" s="240"/>
      <c r="T77" s="240"/>
      <c r="U77" s="240"/>
      <c r="V77" s="240"/>
      <c r="W77" s="1162"/>
      <c r="Y77" s="1126"/>
      <c r="Z77" s="1126"/>
      <c r="AA77" s="1126"/>
      <c r="AB77" s="1126"/>
      <c r="AC77" s="1126"/>
      <c r="AD77" s="1126"/>
      <c r="AE77" s="1126"/>
      <c r="AF77" s="1126"/>
      <c r="AG77" s="1126"/>
      <c r="AH77" s="1126"/>
      <c r="AI77" s="1126"/>
      <c r="AJ77" s="1126"/>
      <c r="AK77" s="1126"/>
      <c r="AL77" s="1126"/>
      <c r="AM77" s="1126"/>
      <c r="AN77" s="1126"/>
      <c r="AO77" s="1126"/>
      <c r="AP77" s="1126"/>
      <c r="AQ77" s="1126"/>
    </row>
    <row r="78" spans="1:43" s="1944" customFormat="1" ht="17.25" hidden="1" customHeight="1">
      <c r="A78" s="232"/>
      <c r="C78" s="231"/>
      <c r="D78" s="3410"/>
      <c r="E78" s="3428"/>
      <c r="F78" s="3431"/>
      <c r="G78" s="3428"/>
      <c r="H78" s="1163"/>
      <c r="I78" s="1164"/>
      <c r="J78" s="1164"/>
      <c r="K78" s="1164"/>
      <c r="L78" s="1164"/>
      <c r="M78" s="1164"/>
      <c r="N78" s="1164"/>
      <c r="O78" s="1164"/>
      <c r="P78" s="1164"/>
      <c r="Q78" s="1164"/>
      <c r="R78" s="1164"/>
      <c r="S78" s="1165"/>
      <c r="T78" s="1165"/>
      <c r="U78" s="1165"/>
      <c r="V78" s="1165"/>
      <c r="W78" s="1166"/>
      <c r="Y78" s="1126"/>
      <c r="Z78" s="1126"/>
      <c r="AA78" s="1126"/>
      <c r="AB78" s="1126"/>
      <c r="AC78" s="1126"/>
      <c r="AD78" s="1126"/>
      <c r="AE78" s="1126"/>
      <c r="AF78" s="1126"/>
      <c r="AG78" s="1126"/>
      <c r="AH78" s="1126"/>
      <c r="AI78" s="1126"/>
      <c r="AJ78" s="1126"/>
      <c r="AK78" s="1126"/>
      <c r="AL78" s="1126"/>
      <c r="AM78" s="1126"/>
      <c r="AN78" s="1126"/>
      <c r="AO78" s="1126"/>
      <c r="AP78" s="1126"/>
      <c r="AQ78" s="1126"/>
    </row>
    <row r="79" spans="1:43" s="1944" customFormat="1" ht="17.25" hidden="1" customHeight="1">
      <c r="A79" s="232"/>
      <c r="C79" s="125"/>
      <c r="D79" s="3426">
        <v>2</v>
      </c>
      <c r="E79" s="3427" t="s">
        <v>489</v>
      </c>
      <c r="F79" s="3429" t="s">
        <v>54</v>
      </c>
      <c r="G79" s="3427"/>
      <c r="H79" s="3432"/>
      <c r="I79" s="3434"/>
      <c r="J79" s="3436"/>
      <c r="K79" s="3420"/>
      <c r="L79" s="3420"/>
      <c r="M79" s="3420"/>
      <c r="N79" s="3422"/>
      <c r="O79" s="3420"/>
      <c r="P79" s="3420"/>
      <c r="Q79" s="3420"/>
      <c r="R79" s="3425"/>
      <c r="S79" s="3420"/>
      <c r="T79" s="1302"/>
      <c r="U79" s="1302"/>
      <c r="V79" s="1304"/>
      <c r="W79" s="1160"/>
      <c r="X79" s="1133"/>
      <c r="Y79" s="1133"/>
      <c r="Z79" s="1133"/>
      <c r="AA79" s="1133"/>
      <c r="AB79" s="1133"/>
      <c r="AC79" s="1133" t="s">
        <v>490</v>
      </c>
      <c r="AD79" s="1133" t="s">
        <v>491</v>
      </c>
      <c r="AE79" s="1133" t="s">
        <v>492</v>
      </c>
      <c r="AF79" s="1133" t="s">
        <v>493</v>
      </c>
      <c r="AG79" s="1133"/>
      <c r="AH79" s="1133" t="str">
        <f>IF($E$79=0,"",$E$79)</f>
        <v>Тариф на техническую воду</v>
      </c>
      <c r="AI79" s="1133" t="str">
        <f>IF($G$79=0,"",$G$79)</f>
        <v/>
      </c>
      <c r="AJ79" s="1133" t="str">
        <f>IF($J$79=0,"",$J$79)</f>
        <v/>
      </c>
      <c r="AK79" s="1133" t="str">
        <f>IF($K$79="нет","без дифференциации",IF($N$79=0,"",$N$79))</f>
        <v/>
      </c>
      <c r="AL79" s="1133" t="str">
        <f>IF($O$79="нет","без дифференциации",IF($R$79=0,"",$R$79))</f>
        <v/>
      </c>
      <c r="AM79" s="1133" t="str">
        <f>IF($S$79="нет","без дифференциации",IF($V$79=0,"",$V$79))</f>
        <v/>
      </c>
      <c r="AN79" s="1615">
        <f>$I$79</f>
        <v>0</v>
      </c>
      <c r="AO79" s="1133" t="str">
        <f>$I$79&amp;"."&amp;$M$79</f>
        <v>.</v>
      </c>
      <c r="AP79" s="1126" t="str">
        <f>$I$79&amp;"."&amp;$M$79&amp;"."&amp;$Q$79</f>
        <v>..</v>
      </c>
      <c r="AQ79" s="1126" t="str">
        <f>$I$79&amp;"."&amp;$M$79&amp;"."&amp;$Q$79&amp;"."&amp;$U$79</f>
        <v>...</v>
      </c>
    </row>
    <row r="80" spans="1:43" s="1944" customFormat="1" ht="17.25" hidden="1" customHeight="1">
      <c r="A80" s="232"/>
      <c r="C80" s="231"/>
      <c r="D80" s="3426"/>
      <c r="E80" s="3427"/>
      <c r="F80" s="3430"/>
      <c r="G80" s="3427"/>
      <c r="H80" s="3433"/>
      <c r="I80" s="3435"/>
      <c r="J80" s="3437"/>
      <c r="K80" s="3421"/>
      <c r="L80" s="3421"/>
      <c r="M80" s="3421"/>
      <c r="N80" s="3423"/>
      <c r="O80" s="3421"/>
      <c r="P80" s="3421"/>
      <c r="Q80" s="3421"/>
      <c r="R80" s="3424"/>
      <c r="S80" s="3421"/>
      <c r="T80" s="1161"/>
      <c r="U80" s="1161"/>
      <c r="V80" s="1161"/>
      <c r="W80" s="1162"/>
      <c r="X80" s="1126"/>
      <c r="Y80" s="1126"/>
      <c r="Z80" s="1126"/>
      <c r="AA80" s="1126"/>
      <c r="AB80" s="1126"/>
      <c r="AC80" s="1126"/>
      <c r="AD80" s="1126"/>
      <c r="AE80" s="1126"/>
      <c r="AF80" s="1126"/>
      <c r="AG80" s="1126"/>
      <c r="AH80" s="1126"/>
      <c r="AI80" s="1126"/>
      <c r="AJ80" s="1126"/>
      <c r="AK80" s="1126"/>
      <c r="AL80" s="1126"/>
      <c r="AM80" s="1126"/>
      <c r="AN80" s="1126"/>
      <c r="AO80" s="1126"/>
      <c r="AP80" s="1126"/>
      <c r="AQ80" s="1126"/>
    </row>
    <row r="81" spans="1:43" s="1944" customFormat="1" ht="17.25" hidden="1" customHeight="1">
      <c r="A81" s="232"/>
      <c r="C81" s="231"/>
      <c r="D81" s="3410"/>
      <c r="E81" s="3428"/>
      <c r="F81" s="3430"/>
      <c r="G81" s="3428"/>
      <c r="H81" s="3433"/>
      <c r="I81" s="3435"/>
      <c r="J81" s="3438"/>
      <c r="K81" s="3421"/>
      <c r="L81" s="3421"/>
      <c r="M81" s="3421"/>
      <c r="N81" s="3424"/>
      <c r="O81" s="3421"/>
      <c r="P81" s="1303"/>
      <c r="Q81" s="1161"/>
      <c r="R81" s="1161"/>
      <c r="S81" s="240"/>
      <c r="T81" s="240"/>
      <c r="U81" s="240"/>
      <c r="V81" s="240"/>
      <c r="W81" s="1162"/>
      <c r="X81" s="1126"/>
      <c r="Y81" s="1126"/>
      <c r="Z81" s="1126"/>
      <c r="AA81" s="1126"/>
      <c r="AB81" s="1126"/>
      <c r="AC81" s="1126"/>
      <c r="AD81" s="1126"/>
      <c r="AE81" s="1126"/>
      <c r="AF81" s="1126"/>
      <c r="AG81" s="1126"/>
      <c r="AH81" s="1126"/>
      <c r="AI81" s="1126"/>
      <c r="AJ81" s="1126"/>
      <c r="AK81" s="1126"/>
      <c r="AL81" s="1126"/>
      <c r="AM81" s="1126"/>
      <c r="AN81" s="1126"/>
      <c r="AO81" s="1126"/>
      <c r="AP81" s="1126"/>
      <c r="AQ81" s="1126"/>
    </row>
    <row r="82" spans="1:43" s="1944" customFormat="1" ht="17.25" hidden="1" customHeight="1">
      <c r="A82" s="232"/>
      <c r="C82" s="231"/>
      <c r="D82" s="3410"/>
      <c r="E82" s="3428"/>
      <c r="F82" s="3430"/>
      <c r="G82" s="3428"/>
      <c r="H82" s="3433"/>
      <c r="I82" s="3435"/>
      <c r="J82" s="3438"/>
      <c r="K82" s="3421"/>
      <c r="L82" s="1161"/>
      <c r="M82" s="1161"/>
      <c r="N82" s="1161"/>
      <c r="O82" s="1161"/>
      <c r="P82" s="1161"/>
      <c r="Q82" s="1161"/>
      <c r="R82" s="1161"/>
      <c r="S82" s="240"/>
      <c r="T82" s="240"/>
      <c r="U82" s="240"/>
      <c r="V82" s="240"/>
      <c r="W82" s="1162"/>
      <c r="X82" s="1126"/>
      <c r="Y82" s="1126"/>
      <c r="Z82" s="1126"/>
      <c r="AA82" s="1126"/>
      <c r="AB82" s="1126"/>
      <c r="AC82" s="1126"/>
      <c r="AD82" s="1126"/>
      <c r="AE82" s="1126"/>
      <c r="AF82" s="1126"/>
      <c r="AG82" s="1126"/>
      <c r="AH82" s="1126"/>
      <c r="AI82" s="1126"/>
      <c r="AJ82" s="1126"/>
      <c r="AK82" s="1126"/>
      <c r="AL82" s="1126"/>
      <c r="AM82" s="1126"/>
      <c r="AN82" s="1126"/>
      <c r="AO82" s="1126"/>
      <c r="AP82" s="1126"/>
      <c r="AQ82" s="1126"/>
    </row>
    <row r="83" spans="1:43" s="1944" customFormat="1" ht="17.25" hidden="1" customHeight="1">
      <c r="A83" s="232"/>
      <c r="C83" s="231"/>
      <c r="D83" s="3410"/>
      <c r="E83" s="3428"/>
      <c r="F83" s="3431"/>
      <c r="G83" s="3428"/>
      <c r="H83" s="1163"/>
      <c r="I83" s="1164"/>
      <c r="J83" s="1164"/>
      <c r="K83" s="1164"/>
      <c r="L83" s="1164"/>
      <c r="M83" s="1164"/>
      <c r="N83" s="1164"/>
      <c r="O83" s="1164"/>
      <c r="P83" s="1164"/>
      <c r="Q83" s="1164"/>
      <c r="R83" s="1164"/>
      <c r="S83" s="1165"/>
      <c r="T83" s="1165"/>
      <c r="U83" s="1165"/>
      <c r="V83" s="1165"/>
      <c r="W83" s="1166"/>
      <c r="X83" s="1126"/>
      <c r="Y83" s="1126"/>
      <c r="Z83" s="1126"/>
      <c r="AA83" s="1126"/>
      <c r="AB83" s="1126"/>
      <c r="AC83" s="1126"/>
      <c r="AD83" s="1126"/>
      <c r="AE83" s="1126"/>
      <c r="AF83" s="1126"/>
      <c r="AG83" s="1126"/>
      <c r="AH83" s="1126"/>
      <c r="AI83" s="1126"/>
      <c r="AJ83" s="1126"/>
      <c r="AK83" s="1126"/>
      <c r="AL83" s="1126"/>
      <c r="AM83" s="1126"/>
      <c r="AN83" s="1126"/>
      <c r="AO83" s="1126"/>
      <c r="AP83" s="1126"/>
      <c r="AQ83" s="1126"/>
    </row>
    <row r="84" spans="1:43" s="1944" customFormat="1" ht="17.25" hidden="1" customHeight="1">
      <c r="A84" s="232"/>
      <c r="C84" s="125"/>
      <c r="D84" s="3426">
        <v>3</v>
      </c>
      <c r="E84" s="3427" t="s">
        <v>494</v>
      </c>
      <c r="F84" s="3429" t="s">
        <v>54</v>
      </c>
      <c r="G84" s="3427"/>
      <c r="H84" s="3432"/>
      <c r="I84" s="3434"/>
      <c r="J84" s="3436"/>
      <c r="K84" s="3420"/>
      <c r="L84" s="3420"/>
      <c r="M84" s="3420"/>
      <c r="N84" s="3422"/>
      <c r="O84" s="3420"/>
      <c r="P84" s="3420"/>
      <c r="Q84" s="3420"/>
      <c r="R84" s="3425"/>
      <c r="S84" s="3420"/>
      <c r="T84" s="1302"/>
      <c r="U84" s="1302"/>
      <c r="V84" s="1304"/>
      <c r="W84" s="1160"/>
      <c r="X84" s="1133"/>
      <c r="Y84" s="1133"/>
      <c r="Z84" s="1133"/>
      <c r="AA84" s="1133"/>
      <c r="AB84" s="1133"/>
      <c r="AC84" s="1133" t="s">
        <v>495</v>
      </c>
      <c r="AD84" s="1133" t="s">
        <v>496</v>
      </c>
      <c r="AE84" s="1133" t="s">
        <v>497</v>
      </c>
      <c r="AF84" s="1133" t="s">
        <v>498</v>
      </c>
      <c r="AG84" s="1133"/>
      <c r="AH84" s="1133" t="str">
        <f>IF($E$84=0,"",$E$84)</f>
        <v>Тариф на транспортировку воды</v>
      </c>
      <c r="AI84" s="1133" t="str">
        <f>IF($G$84=0,"",$G$84)</f>
        <v/>
      </c>
      <c r="AJ84" s="1133" t="str">
        <f>IF($J$84=0,"",$J$84)</f>
        <v/>
      </c>
      <c r="AK84" s="1133" t="str">
        <f>IF($K$84="нет","без дифференциации",IF($N$84=0,"",$N$84))</f>
        <v/>
      </c>
      <c r="AL84" s="1133" t="str">
        <f>IF($O$84="нет","без дифференциации",IF($R$84=0,"",$R$84))</f>
        <v/>
      </c>
      <c r="AM84" s="1133" t="str">
        <f>IF($S$84="нет","без дифференциации",IF($V$84=0,"",$V$84))</f>
        <v/>
      </c>
      <c r="AN84" s="1615">
        <f>$I$84</f>
        <v>0</v>
      </c>
      <c r="AO84" s="1133" t="str">
        <f>$I$84&amp;"."&amp;$M$84</f>
        <v>.</v>
      </c>
      <c r="AP84" s="1126" t="str">
        <f>$I$84&amp;"."&amp;$M$84&amp;"."&amp;$Q$84</f>
        <v>..</v>
      </c>
      <c r="AQ84" s="1126" t="str">
        <f>$I$84&amp;"."&amp;$M$84&amp;"."&amp;$Q$84&amp;"."&amp;$U$84</f>
        <v>...</v>
      </c>
    </row>
    <row r="85" spans="1:43" s="1944" customFormat="1" ht="17.25" hidden="1" customHeight="1">
      <c r="A85" s="232"/>
      <c r="C85" s="231"/>
      <c r="D85" s="3426"/>
      <c r="E85" s="3427"/>
      <c r="F85" s="3430"/>
      <c r="G85" s="3427"/>
      <c r="H85" s="3433"/>
      <c r="I85" s="3435"/>
      <c r="J85" s="3437"/>
      <c r="K85" s="3421"/>
      <c r="L85" s="3421"/>
      <c r="M85" s="3421"/>
      <c r="N85" s="3423"/>
      <c r="O85" s="3421"/>
      <c r="P85" s="3421"/>
      <c r="Q85" s="3421"/>
      <c r="R85" s="3424"/>
      <c r="S85" s="3421"/>
      <c r="T85" s="1161"/>
      <c r="U85" s="1161"/>
      <c r="V85" s="1161"/>
      <c r="W85" s="1162"/>
      <c r="X85" s="1126"/>
      <c r="Y85" s="1126"/>
      <c r="Z85" s="1126"/>
      <c r="AA85" s="1126"/>
      <c r="AB85" s="1126"/>
      <c r="AC85" s="1126"/>
      <c r="AD85" s="1126"/>
      <c r="AE85" s="1126"/>
      <c r="AF85" s="1126"/>
      <c r="AG85" s="1126"/>
      <c r="AH85" s="1126"/>
      <c r="AI85" s="1126"/>
      <c r="AJ85" s="1126"/>
      <c r="AK85" s="1126"/>
      <c r="AL85" s="1126"/>
      <c r="AM85" s="1126"/>
      <c r="AN85" s="1126"/>
      <c r="AO85" s="1126"/>
      <c r="AP85" s="1126"/>
      <c r="AQ85" s="1126"/>
    </row>
    <row r="86" spans="1:43" s="1944" customFormat="1" ht="17.25" hidden="1" customHeight="1">
      <c r="A86" s="232"/>
      <c r="C86" s="231"/>
      <c r="D86" s="3410"/>
      <c r="E86" s="3428"/>
      <c r="F86" s="3430"/>
      <c r="G86" s="3428"/>
      <c r="H86" s="3433"/>
      <c r="I86" s="3435"/>
      <c r="J86" s="3438"/>
      <c r="K86" s="3421"/>
      <c r="L86" s="3421"/>
      <c r="M86" s="3421"/>
      <c r="N86" s="3424"/>
      <c r="O86" s="3421"/>
      <c r="P86" s="1303"/>
      <c r="Q86" s="1161"/>
      <c r="R86" s="1161"/>
      <c r="S86" s="240"/>
      <c r="T86" s="240"/>
      <c r="U86" s="240"/>
      <c r="V86" s="240"/>
      <c r="W86" s="1162"/>
      <c r="X86" s="1126"/>
      <c r="Y86" s="1126"/>
      <c r="Z86" s="1126"/>
      <c r="AA86" s="1126"/>
      <c r="AB86" s="1126"/>
      <c r="AC86" s="1126"/>
      <c r="AD86" s="1126"/>
      <c r="AE86" s="1126"/>
      <c r="AF86" s="1126"/>
      <c r="AG86" s="1126"/>
      <c r="AH86" s="1126"/>
      <c r="AI86" s="1126"/>
      <c r="AJ86" s="1126"/>
      <c r="AK86" s="1126"/>
      <c r="AL86" s="1126"/>
      <c r="AM86" s="1126"/>
      <c r="AN86" s="1126"/>
      <c r="AO86" s="1126"/>
      <c r="AP86" s="1126"/>
      <c r="AQ86" s="1126"/>
    </row>
    <row r="87" spans="1:43" s="1944" customFormat="1" ht="17.25" hidden="1" customHeight="1">
      <c r="A87" s="232"/>
      <c r="C87" s="231"/>
      <c r="D87" s="3410"/>
      <c r="E87" s="3428"/>
      <c r="F87" s="3430"/>
      <c r="G87" s="3428"/>
      <c r="H87" s="3433"/>
      <c r="I87" s="3435"/>
      <c r="J87" s="3438"/>
      <c r="K87" s="3421"/>
      <c r="L87" s="1161"/>
      <c r="M87" s="1161"/>
      <c r="N87" s="1161"/>
      <c r="O87" s="1161"/>
      <c r="P87" s="1161"/>
      <c r="Q87" s="1161"/>
      <c r="R87" s="1161"/>
      <c r="S87" s="240"/>
      <c r="T87" s="240"/>
      <c r="U87" s="240"/>
      <c r="V87" s="240"/>
      <c r="W87" s="1162"/>
      <c r="X87" s="1126"/>
      <c r="Y87" s="1126"/>
      <c r="Z87" s="1126"/>
      <c r="AA87" s="1126"/>
      <c r="AB87" s="1126"/>
      <c r="AC87" s="1126"/>
      <c r="AD87" s="1126"/>
      <c r="AE87" s="1126"/>
      <c r="AF87" s="1126"/>
      <c r="AG87" s="1126"/>
      <c r="AH87" s="1126"/>
      <c r="AI87" s="1126"/>
      <c r="AJ87" s="1126"/>
      <c r="AK87" s="1126"/>
      <c r="AL87" s="1126"/>
      <c r="AM87" s="1126"/>
      <c r="AN87" s="1126"/>
      <c r="AO87" s="1126"/>
      <c r="AP87" s="1126"/>
      <c r="AQ87" s="1126"/>
    </row>
    <row r="88" spans="1:43" s="1944" customFormat="1" ht="17.25" hidden="1" customHeight="1">
      <c r="A88" s="232"/>
      <c r="C88" s="231"/>
      <c r="D88" s="3410"/>
      <c r="E88" s="3428"/>
      <c r="F88" s="3431"/>
      <c r="G88" s="3428"/>
      <c r="H88" s="1163"/>
      <c r="I88" s="1164"/>
      <c r="J88" s="1164"/>
      <c r="K88" s="1164"/>
      <c r="L88" s="1164"/>
      <c r="M88" s="1164"/>
      <c r="N88" s="1164"/>
      <c r="O88" s="1164"/>
      <c r="P88" s="1164"/>
      <c r="Q88" s="1164"/>
      <c r="R88" s="1164"/>
      <c r="S88" s="1165"/>
      <c r="T88" s="1165"/>
      <c r="U88" s="1165"/>
      <c r="V88" s="1165"/>
      <c r="W88" s="1166"/>
      <c r="X88" s="1126"/>
      <c r="Y88" s="1126"/>
      <c r="Z88" s="1126"/>
      <c r="AA88" s="1126"/>
      <c r="AB88" s="1126"/>
      <c r="AC88" s="1126"/>
      <c r="AD88" s="1126"/>
      <c r="AE88" s="1126"/>
      <c r="AF88" s="1126"/>
      <c r="AG88" s="1126"/>
      <c r="AH88" s="1126"/>
      <c r="AI88" s="1126"/>
      <c r="AJ88" s="1126"/>
      <c r="AK88" s="1126"/>
      <c r="AL88" s="1126"/>
      <c r="AM88" s="1126"/>
      <c r="AN88" s="1126"/>
      <c r="AO88" s="1126"/>
      <c r="AP88" s="1126"/>
      <c r="AQ88" s="1126"/>
    </row>
    <row r="89" spans="1:43" s="1944" customFormat="1" ht="17.25" hidden="1" customHeight="1">
      <c r="A89" s="232"/>
      <c r="C89" s="125"/>
      <c r="D89" s="3426">
        <v>4</v>
      </c>
      <c r="E89" s="3427" t="s">
        <v>499</v>
      </c>
      <c r="F89" s="3429" t="s">
        <v>54</v>
      </c>
      <c r="G89" s="3427"/>
      <c r="H89" s="3432"/>
      <c r="I89" s="3434"/>
      <c r="J89" s="3436"/>
      <c r="K89" s="3420"/>
      <c r="L89" s="3420"/>
      <c r="M89" s="3420"/>
      <c r="N89" s="3422"/>
      <c r="O89" s="3420"/>
      <c r="P89" s="3420"/>
      <c r="Q89" s="3420"/>
      <c r="R89" s="3425"/>
      <c r="S89" s="3420"/>
      <c r="T89" s="1302"/>
      <c r="U89" s="1302"/>
      <c r="V89" s="1304"/>
      <c r="W89" s="1160"/>
      <c r="X89" s="1133"/>
      <c r="Y89" s="1133"/>
      <c r="Z89" s="1133"/>
      <c r="AA89" s="1133"/>
      <c r="AB89" s="1133"/>
      <c r="AC89" s="1133" t="s">
        <v>500</v>
      </c>
      <c r="AD89" s="1133" t="s">
        <v>501</v>
      </c>
      <c r="AE89" s="1133" t="s">
        <v>502</v>
      </c>
      <c r="AF89" s="1133" t="s">
        <v>503</v>
      </c>
      <c r="AG89" s="1133"/>
      <c r="AH89" s="1133" t="str">
        <f>IF($E$89=0,"",$E$89)</f>
        <v>Тариф на подвоз воды</v>
      </c>
      <c r="AI89" s="1133" t="str">
        <f>IF($G$89=0,"",$G$89)</f>
        <v/>
      </c>
      <c r="AJ89" s="1133" t="str">
        <f>IF($J$89=0,"",$J$89)</f>
        <v/>
      </c>
      <c r="AK89" s="1133" t="str">
        <f>IF($K$89="нет","без дифференциации",IF($N$89=0,"",$N$89))</f>
        <v/>
      </c>
      <c r="AL89" s="1133" t="str">
        <f>IF($O$89="нет","без дифференциации",IF($R$89=0,"",$R$89))</f>
        <v/>
      </c>
      <c r="AM89" s="1133" t="str">
        <f>IF($S$89="нет","без дифференциации",IF($V$89=0,"",$V$89))</f>
        <v/>
      </c>
      <c r="AN89" s="1615">
        <f>$I$89</f>
        <v>0</v>
      </c>
      <c r="AO89" s="1133" t="str">
        <f>$I$89&amp;"."&amp;$M$89</f>
        <v>.</v>
      </c>
      <c r="AP89" s="1126" t="str">
        <f>$I$89&amp;"."&amp;$M$89&amp;"."&amp;$Q$89</f>
        <v>..</v>
      </c>
      <c r="AQ89" s="1126" t="str">
        <f>$I$89&amp;"."&amp;$M$89&amp;"."&amp;$Q$89&amp;"."&amp;$U$89</f>
        <v>...</v>
      </c>
    </row>
    <row r="90" spans="1:43" s="1944" customFormat="1" ht="17.25" hidden="1" customHeight="1">
      <c r="A90" s="232"/>
      <c r="C90" s="231"/>
      <c r="D90" s="3426"/>
      <c r="E90" s="3427"/>
      <c r="F90" s="3430"/>
      <c r="G90" s="3427"/>
      <c r="H90" s="3433"/>
      <c r="I90" s="3435"/>
      <c r="J90" s="3437"/>
      <c r="K90" s="3421"/>
      <c r="L90" s="3421"/>
      <c r="M90" s="3421"/>
      <c r="N90" s="3423"/>
      <c r="O90" s="3421"/>
      <c r="P90" s="3421"/>
      <c r="Q90" s="3421"/>
      <c r="R90" s="3424"/>
      <c r="S90" s="3421"/>
      <c r="T90" s="1161"/>
      <c r="U90" s="1161"/>
      <c r="V90" s="1161"/>
      <c r="W90" s="1162"/>
      <c r="X90" s="1126"/>
      <c r="Y90" s="1126"/>
      <c r="Z90" s="1126"/>
      <c r="AA90" s="1126"/>
      <c r="AB90" s="1126"/>
      <c r="AC90" s="1126"/>
      <c r="AD90" s="1126"/>
      <c r="AE90" s="1126"/>
      <c r="AF90" s="1126"/>
      <c r="AG90" s="1126"/>
      <c r="AH90" s="1126"/>
      <c r="AI90" s="1126"/>
      <c r="AJ90" s="1126"/>
      <c r="AK90" s="1126"/>
      <c r="AL90" s="1126"/>
      <c r="AM90" s="1126"/>
      <c r="AN90" s="1126"/>
      <c r="AO90" s="1126"/>
      <c r="AP90" s="1126"/>
      <c r="AQ90" s="1126"/>
    </row>
    <row r="91" spans="1:43" s="1944" customFormat="1" ht="17.25" hidden="1" customHeight="1">
      <c r="A91" s="232"/>
      <c r="C91" s="231"/>
      <c r="D91" s="3410"/>
      <c r="E91" s="3428"/>
      <c r="F91" s="3430"/>
      <c r="G91" s="3428"/>
      <c r="H91" s="3433"/>
      <c r="I91" s="3435"/>
      <c r="J91" s="3438"/>
      <c r="K91" s="3421"/>
      <c r="L91" s="3421"/>
      <c r="M91" s="3421"/>
      <c r="N91" s="3424"/>
      <c r="O91" s="3421"/>
      <c r="P91" s="1303"/>
      <c r="Q91" s="1161"/>
      <c r="R91" s="1161"/>
      <c r="S91" s="240"/>
      <c r="T91" s="240"/>
      <c r="U91" s="240"/>
      <c r="V91" s="240"/>
      <c r="W91" s="1162"/>
      <c r="X91" s="1126"/>
      <c r="Y91" s="1126"/>
      <c r="Z91" s="1126"/>
      <c r="AA91" s="1126"/>
      <c r="AB91" s="1126"/>
      <c r="AC91" s="1126"/>
      <c r="AD91" s="1126"/>
      <c r="AE91" s="1126"/>
      <c r="AF91" s="1126"/>
      <c r="AG91" s="1126"/>
      <c r="AH91" s="1126"/>
      <c r="AI91" s="1126"/>
      <c r="AJ91" s="1126"/>
      <c r="AK91" s="1126"/>
      <c r="AL91" s="1126"/>
      <c r="AM91" s="1126"/>
      <c r="AN91" s="1126"/>
      <c r="AO91" s="1126"/>
      <c r="AP91" s="1126"/>
      <c r="AQ91" s="1126"/>
    </row>
    <row r="92" spans="1:43" s="1944" customFormat="1" ht="17.25" hidden="1" customHeight="1">
      <c r="A92" s="232"/>
      <c r="C92" s="231"/>
      <c r="D92" s="3410"/>
      <c r="E92" s="3428"/>
      <c r="F92" s="3430"/>
      <c r="G92" s="3428"/>
      <c r="H92" s="3433"/>
      <c r="I92" s="3435"/>
      <c r="J92" s="3438"/>
      <c r="K92" s="3421"/>
      <c r="L92" s="1161"/>
      <c r="M92" s="1161"/>
      <c r="N92" s="1161"/>
      <c r="O92" s="1161"/>
      <c r="P92" s="1161"/>
      <c r="Q92" s="1161"/>
      <c r="R92" s="1161"/>
      <c r="S92" s="240"/>
      <c r="T92" s="240"/>
      <c r="U92" s="240"/>
      <c r="V92" s="240"/>
      <c r="W92" s="1162"/>
      <c r="X92" s="1126"/>
      <c r="Y92" s="1126"/>
      <c r="Z92" s="1126"/>
      <c r="AA92" s="1126"/>
      <c r="AB92" s="1126"/>
      <c r="AC92" s="1126"/>
      <c r="AD92" s="1126"/>
      <c r="AE92" s="1126"/>
      <c r="AF92" s="1126"/>
      <c r="AG92" s="1126"/>
      <c r="AH92" s="1126"/>
      <c r="AI92" s="1126"/>
      <c r="AJ92" s="1126"/>
      <c r="AK92" s="1126"/>
      <c r="AL92" s="1126"/>
      <c r="AM92" s="1126"/>
      <c r="AN92" s="1126"/>
      <c r="AO92" s="1126"/>
      <c r="AP92" s="1126"/>
      <c r="AQ92" s="1126"/>
    </row>
    <row r="93" spans="1:43" s="1944" customFormat="1" ht="17.25" hidden="1" customHeight="1">
      <c r="A93" s="232"/>
      <c r="C93" s="231"/>
      <c r="D93" s="3410"/>
      <c r="E93" s="3428"/>
      <c r="F93" s="3431"/>
      <c r="G93" s="3428"/>
      <c r="H93" s="1163"/>
      <c r="I93" s="1164"/>
      <c r="J93" s="1164"/>
      <c r="K93" s="1164"/>
      <c r="L93" s="1164"/>
      <c r="M93" s="1164"/>
      <c r="N93" s="1164"/>
      <c r="O93" s="1164"/>
      <c r="P93" s="1164"/>
      <c r="Q93" s="1164"/>
      <c r="R93" s="1164"/>
      <c r="S93" s="1165"/>
      <c r="T93" s="1165"/>
      <c r="U93" s="1165"/>
      <c r="V93" s="1165"/>
      <c r="W93" s="1166"/>
      <c r="X93" s="1126"/>
      <c r="Y93" s="1126"/>
      <c r="Z93" s="1126"/>
      <c r="AA93" s="1126"/>
      <c r="AB93" s="1126"/>
      <c r="AC93" s="1126"/>
      <c r="AD93" s="1126"/>
      <c r="AE93" s="1126"/>
      <c r="AF93" s="1126"/>
      <c r="AG93" s="1126"/>
      <c r="AH93" s="1126"/>
      <c r="AI93" s="1126"/>
      <c r="AJ93" s="1126"/>
      <c r="AK93" s="1126"/>
      <c r="AL93" s="1126"/>
      <c r="AM93" s="1126"/>
      <c r="AN93" s="1126"/>
      <c r="AO93" s="1126"/>
      <c r="AP93" s="1126"/>
      <c r="AQ93" s="1126"/>
    </row>
    <row r="94" spans="1:43" s="1944" customFormat="1" ht="17.25" hidden="1" customHeight="1">
      <c r="A94" s="232"/>
      <c r="C94" s="125"/>
      <c r="D94" s="3426">
        <v>5</v>
      </c>
      <c r="E94" s="3427" t="s">
        <v>504</v>
      </c>
      <c r="F94" s="3429" t="s">
        <v>54</v>
      </c>
      <c r="G94" s="3427"/>
      <c r="H94" s="3432"/>
      <c r="I94" s="3434"/>
      <c r="J94" s="3436"/>
      <c r="K94" s="3420"/>
      <c r="L94" s="3420"/>
      <c r="M94" s="3420"/>
      <c r="N94" s="3422"/>
      <c r="O94" s="3420"/>
      <c r="P94" s="3420"/>
      <c r="Q94" s="3420"/>
      <c r="R94" s="3425"/>
      <c r="S94" s="3420"/>
      <c r="T94" s="1779"/>
      <c r="U94" s="1779"/>
      <c r="V94" s="1781"/>
      <c r="W94" s="1160"/>
      <c r="X94" s="1133"/>
      <c r="Y94" s="1133"/>
      <c r="Z94" s="1133"/>
      <c r="AA94" s="1133"/>
      <c r="AB94" s="1133"/>
      <c r="AC94" s="1133" t="s">
        <v>505</v>
      </c>
      <c r="AD94" s="1133" t="s">
        <v>506</v>
      </c>
      <c r="AE94" s="1133" t="s">
        <v>507</v>
      </c>
      <c r="AF94" s="1133" t="s">
        <v>508</v>
      </c>
      <c r="AG94" s="1133"/>
      <c r="AH94" s="1133" t="e">
        <f>IF(#REF!=0,"",#REF!)</f>
        <v>#REF!</v>
      </c>
      <c r="AI94" s="1133" t="e">
        <f>IF(#REF!=0,"",#REF!)</f>
        <v>#REF!</v>
      </c>
      <c r="AJ94" s="1133" t="e">
        <f>IF(#REF!=0,"",#REF!)</f>
        <v>#REF!</v>
      </c>
      <c r="AK94" s="1133" t="e">
        <f>IF(#REF!="нет","без дифференциации",IF(#REF!=0,"",#REF!))</f>
        <v>#REF!</v>
      </c>
      <c r="AL94" s="1133" t="e">
        <f>IF(#REF!="нет","без дифференциации",IF(#REF!=0,"",#REF!))</f>
        <v>#REF!</v>
      </c>
      <c r="AM94" s="1133" t="e">
        <f>IF(#REF!="нет","без дифференциации",IF(#REF!=0,"",#REF!))</f>
        <v>#REF!</v>
      </c>
      <c r="AN94" s="1615" t="e">
        <f>#REF!</f>
        <v>#REF!</v>
      </c>
      <c r="AO94" s="1133" t="e">
        <f>#REF!&amp;"."&amp;#REF!</f>
        <v>#REF!</v>
      </c>
      <c r="AP94" s="1132" t="e">
        <f>#REF!&amp;"."&amp;#REF!&amp;"."&amp;#REF!</f>
        <v>#REF!</v>
      </c>
      <c r="AQ94" s="1132" t="e">
        <f>#REF!&amp;"."&amp;#REF!&amp;"."&amp;#REF!&amp;"."&amp;#REF!</f>
        <v>#REF!</v>
      </c>
    </row>
    <row r="95" spans="1:43" s="1944" customFormat="1" ht="17.25" hidden="1" customHeight="1">
      <c r="A95" s="232"/>
      <c r="C95" s="231"/>
      <c r="D95" s="3426"/>
      <c r="E95" s="3427"/>
      <c r="F95" s="3430"/>
      <c r="G95" s="3427"/>
      <c r="H95" s="3433"/>
      <c r="I95" s="3435"/>
      <c r="J95" s="3437"/>
      <c r="K95" s="3421"/>
      <c r="L95" s="3421"/>
      <c r="M95" s="3421"/>
      <c r="N95" s="3423"/>
      <c r="O95" s="3421"/>
      <c r="P95" s="3421"/>
      <c r="Q95" s="3421"/>
      <c r="R95" s="3424"/>
      <c r="S95" s="3421"/>
      <c r="T95" s="1784"/>
      <c r="U95" s="1784"/>
      <c r="V95" s="1784"/>
      <c r="W95" s="1785"/>
      <c r="X95" s="1132"/>
      <c r="Y95" s="1132"/>
      <c r="Z95" s="1132"/>
      <c r="AA95" s="1132"/>
      <c r="AB95" s="1132"/>
      <c r="AC95" s="1132"/>
      <c r="AD95" s="1132"/>
      <c r="AE95" s="1132"/>
      <c r="AF95" s="1132"/>
      <c r="AG95" s="1132"/>
      <c r="AH95" s="1132"/>
      <c r="AI95" s="1132"/>
      <c r="AJ95" s="1132"/>
      <c r="AK95" s="1132"/>
      <c r="AL95" s="1132"/>
      <c r="AM95" s="1132"/>
      <c r="AN95" s="1132"/>
      <c r="AO95" s="1132"/>
      <c r="AP95" s="1132"/>
      <c r="AQ95" s="1132"/>
    </row>
    <row r="96" spans="1:43" s="1944" customFormat="1" ht="17.25" hidden="1" customHeight="1">
      <c r="A96" s="232"/>
      <c r="C96" s="231"/>
      <c r="D96" s="3410"/>
      <c r="E96" s="3428"/>
      <c r="F96" s="3430"/>
      <c r="G96" s="3428"/>
      <c r="H96" s="3433"/>
      <c r="I96" s="3435"/>
      <c r="J96" s="3438"/>
      <c r="K96" s="3421"/>
      <c r="L96" s="3421"/>
      <c r="M96" s="3421"/>
      <c r="N96" s="3424"/>
      <c r="O96" s="3421"/>
      <c r="P96" s="1780"/>
      <c r="Q96" s="1784"/>
      <c r="R96" s="1784"/>
      <c r="S96" s="240"/>
      <c r="T96" s="240"/>
      <c r="U96" s="240"/>
      <c r="V96" s="240"/>
      <c r="W96" s="1785"/>
      <c r="X96" s="1132"/>
      <c r="Y96" s="1132"/>
      <c r="Z96" s="1132"/>
      <c r="AA96" s="1132"/>
      <c r="AB96" s="1132"/>
      <c r="AC96" s="1132"/>
      <c r="AD96" s="1132"/>
      <c r="AE96" s="1132"/>
      <c r="AF96" s="1132"/>
      <c r="AG96" s="1132"/>
      <c r="AH96" s="1132"/>
      <c r="AI96" s="1132"/>
      <c r="AJ96" s="1132"/>
      <c r="AK96" s="1132"/>
      <c r="AL96" s="1132"/>
      <c r="AM96" s="1132"/>
      <c r="AN96" s="1132"/>
      <c r="AO96" s="1132"/>
      <c r="AP96" s="1132"/>
      <c r="AQ96" s="1132"/>
    </row>
    <row r="97" spans="1:43" s="1944" customFormat="1" ht="17.25" hidden="1" customHeight="1">
      <c r="A97" s="232"/>
      <c r="C97" s="231"/>
      <c r="D97" s="3410"/>
      <c r="E97" s="3428"/>
      <c r="F97" s="3430"/>
      <c r="G97" s="3428"/>
      <c r="H97" s="3433"/>
      <c r="I97" s="3435"/>
      <c r="J97" s="3438"/>
      <c r="K97" s="3421"/>
      <c r="L97" s="1784"/>
      <c r="M97" s="1784"/>
      <c r="N97" s="1784"/>
      <c r="O97" s="1784"/>
      <c r="P97" s="1784"/>
      <c r="Q97" s="1784"/>
      <c r="R97" s="1784"/>
      <c r="S97" s="240"/>
      <c r="T97" s="240"/>
      <c r="U97" s="240"/>
      <c r="V97" s="240"/>
      <c r="W97" s="1785"/>
      <c r="X97" s="1132"/>
      <c r="Y97" s="1132"/>
      <c r="Z97" s="1132"/>
      <c r="AA97" s="1132"/>
      <c r="AB97" s="1132"/>
      <c r="AC97" s="1132"/>
      <c r="AD97" s="1132"/>
      <c r="AE97" s="1132"/>
      <c r="AF97" s="1132"/>
      <c r="AG97" s="1132"/>
      <c r="AH97" s="1132"/>
      <c r="AI97" s="1132"/>
      <c r="AJ97" s="1132"/>
      <c r="AK97" s="1132"/>
      <c r="AL97" s="1132"/>
      <c r="AM97" s="1132"/>
      <c r="AN97" s="1132"/>
      <c r="AO97" s="1132"/>
      <c r="AP97" s="1132"/>
      <c r="AQ97" s="1132"/>
    </row>
    <row r="98" spans="1:43" s="1944" customFormat="1" ht="17.25" hidden="1" customHeight="1">
      <c r="A98" s="232"/>
      <c r="C98" s="231"/>
      <c r="D98" s="3410"/>
      <c r="E98" s="3428"/>
      <c r="F98" s="3431"/>
      <c r="G98" s="3428"/>
      <c r="H98" s="1163"/>
      <c r="I98" s="1782"/>
      <c r="J98" s="1782"/>
      <c r="K98" s="1782"/>
      <c r="L98" s="1782"/>
      <c r="M98" s="1782"/>
      <c r="N98" s="1782"/>
      <c r="O98" s="1782"/>
      <c r="P98" s="1782"/>
      <c r="Q98" s="1782"/>
      <c r="R98" s="1782"/>
      <c r="S98" s="1165"/>
      <c r="T98" s="1165"/>
      <c r="U98" s="1165"/>
      <c r="V98" s="1165"/>
      <c r="W98" s="1783"/>
      <c r="X98" s="1132"/>
      <c r="Y98" s="1132"/>
      <c r="Z98" s="1132"/>
      <c r="AA98" s="1132"/>
      <c r="AB98" s="1132"/>
      <c r="AC98" s="1132"/>
      <c r="AD98" s="1132"/>
      <c r="AE98" s="1132"/>
      <c r="AF98" s="1132"/>
      <c r="AG98" s="1132"/>
      <c r="AH98" s="1132"/>
      <c r="AI98" s="1132"/>
      <c r="AJ98" s="1132"/>
      <c r="AK98" s="1132"/>
      <c r="AL98" s="1132"/>
      <c r="AM98" s="1132"/>
      <c r="AN98" s="1132"/>
      <c r="AO98" s="1132"/>
      <c r="AP98" s="1132"/>
      <c r="AQ98" s="1132"/>
    </row>
    <row r="99" spans="1:43" s="1944" customFormat="1" ht="11.25" hidden="1" customHeight="1">
      <c r="A99" s="190"/>
      <c r="B99" s="190"/>
      <c r="Y99" s="1126"/>
      <c r="Z99" s="1126"/>
      <c r="AA99" s="1126"/>
      <c r="AB99" s="1126"/>
      <c r="AC99" s="1126"/>
      <c r="AD99" s="1126"/>
      <c r="AE99" s="1126"/>
      <c r="AF99" s="1126"/>
      <c r="AG99" s="1126"/>
      <c r="AH99" s="1126"/>
      <c r="AI99" s="1126"/>
      <c r="AJ99" s="1126"/>
      <c r="AK99" s="1126"/>
      <c r="AL99" s="1126"/>
      <c r="AM99" s="1126"/>
      <c r="AN99" s="1126"/>
      <c r="AO99" s="1126"/>
      <c r="AP99" s="1126"/>
      <c r="AQ99" s="1126"/>
    </row>
    <row r="100" spans="1:43" s="1944" customFormat="1" ht="17.25" hidden="1" customHeight="1">
      <c r="A100" s="232"/>
      <c r="C100" s="125"/>
      <c r="D100" s="3426">
        <v>1</v>
      </c>
      <c r="E100" s="3427" t="s">
        <v>509</v>
      </c>
      <c r="F100" s="3429" t="s">
        <v>54</v>
      </c>
      <c r="G100" s="3427"/>
      <c r="H100" s="3432"/>
      <c r="I100" s="3434"/>
      <c r="J100" s="3436"/>
      <c r="K100" s="3420"/>
      <c r="L100" s="3420"/>
      <c r="M100" s="3420"/>
      <c r="N100" s="3422"/>
      <c r="O100" s="3420"/>
      <c r="P100" s="3420"/>
      <c r="Q100" s="3420"/>
      <c r="R100" s="3425"/>
      <c r="S100" s="3420"/>
      <c r="T100" s="1326"/>
      <c r="U100" s="1326"/>
      <c r="V100" s="1328"/>
      <c r="W100" s="1160"/>
      <c r="Y100" s="1133"/>
      <c r="Z100" s="1133"/>
      <c r="AA100" s="1133"/>
      <c r="AB100" s="1133"/>
      <c r="AC100" s="1133" t="s">
        <v>510</v>
      </c>
      <c r="AD100" s="1133" t="s">
        <v>511</v>
      </c>
      <c r="AE100" s="1133" t="s">
        <v>512</v>
      </c>
      <c r="AF100" s="1133" t="s">
        <v>513</v>
      </c>
      <c r="AG100" s="1133"/>
      <c r="AH100" s="1133" t="str">
        <f>IF($E$100=0,"",$E$100)</f>
        <v>Тариф на горячую воду (горячее водоснабжение)</v>
      </c>
      <c r="AI100" s="1133" t="str">
        <f>IF($G$100=0,"",$G$100)</f>
        <v/>
      </c>
      <c r="AJ100" s="1133" t="str">
        <f>IF($J$100=0,"",$J$100)</f>
        <v/>
      </c>
      <c r="AK100" s="1133" t="str">
        <f>IF($K$100="нет","без дифференциации",IF($N$100=0,"",$N$100))</f>
        <v/>
      </c>
      <c r="AL100" s="1133" t="str">
        <f>IF($O$100="нет","без дифференциации",IF($R$100=0,"",$R$100))</f>
        <v/>
      </c>
      <c r="AM100" s="1133" t="str">
        <f>IF($S$100="нет","без дифференциации",IF($V$100=0,"",$V$100))</f>
        <v/>
      </c>
      <c r="AN100" s="1133">
        <f>$I$100</f>
        <v>0</v>
      </c>
      <c r="AO100" s="1133" t="str">
        <f>$I$100&amp;"."&amp;$M$100</f>
        <v>.</v>
      </c>
      <c r="AP100" s="1133" t="str">
        <f>$I$100&amp;"."&amp;$M$100&amp;"."&amp;$Q$100</f>
        <v>..</v>
      </c>
      <c r="AQ100" s="1133" t="str">
        <f>$I$100&amp;"."&amp;$M$100&amp;"."&amp;$Q$100&amp;"."&amp;$U$100</f>
        <v>...</v>
      </c>
    </row>
    <row r="101" spans="1:43" s="1944" customFormat="1" ht="17.25" hidden="1" customHeight="1">
      <c r="A101" s="232"/>
      <c r="C101" s="231"/>
      <c r="D101" s="3426"/>
      <c r="E101" s="3427"/>
      <c r="F101" s="3430"/>
      <c r="G101" s="3427"/>
      <c r="H101" s="3433"/>
      <c r="I101" s="3435"/>
      <c r="J101" s="3437"/>
      <c r="K101" s="3421"/>
      <c r="L101" s="3421"/>
      <c r="M101" s="3421"/>
      <c r="N101" s="3423"/>
      <c r="O101" s="3421"/>
      <c r="P101" s="3421"/>
      <c r="Q101" s="3421"/>
      <c r="R101" s="3424"/>
      <c r="S101" s="3421"/>
      <c r="T101" s="1161"/>
      <c r="U101" s="1161"/>
      <c r="V101" s="1161"/>
      <c r="W101" s="1162"/>
      <c r="Y101" s="1126"/>
      <c r="Z101" s="1126"/>
      <c r="AA101" s="1126"/>
      <c r="AB101" s="1126"/>
      <c r="AC101" s="1126"/>
      <c r="AD101" s="1126"/>
      <c r="AE101" s="1126"/>
      <c r="AF101" s="1126"/>
      <c r="AG101" s="1126"/>
      <c r="AH101" s="1126"/>
      <c r="AI101" s="1126"/>
      <c r="AJ101" s="1126"/>
      <c r="AK101" s="1126"/>
      <c r="AL101" s="1126"/>
      <c r="AM101" s="1126"/>
      <c r="AN101" s="1126"/>
      <c r="AO101" s="1126"/>
      <c r="AP101" s="1126"/>
      <c r="AQ101" s="1126"/>
    </row>
    <row r="102" spans="1:43" s="1944" customFormat="1" ht="17.25" hidden="1" customHeight="1">
      <c r="A102" s="232"/>
      <c r="C102" s="125"/>
      <c r="D102" s="3426"/>
      <c r="E102" s="3427"/>
      <c r="F102" s="3430"/>
      <c r="G102" s="3427"/>
      <c r="H102" s="3433"/>
      <c r="I102" s="3435"/>
      <c r="J102" s="3438"/>
      <c r="K102" s="3421"/>
      <c r="L102" s="3421"/>
      <c r="M102" s="3421"/>
      <c r="N102" s="3424"/>
      <c r="O102" s="3421"/>
      <c r="P102" s="1327"/>
      <c r="Q102" s="1161"/>
      <c r="R102" s="1161"/>
      <c r="S102" s="240"/>
      <c r="T102" s="240"/>
      <c r="U102" s="240"/>
      <c r="V102" s="240"/>
      <c r="W102" s="1162"/>
      <c r="Y102" s="1133"/>
      <c r="Z102" s="1133"/>
      <c r="AA102" s="1133"/>
      <c r="AB102" s="1133"/>
      <c r="AC102" s="1133"/>
      <c r="AD102" s="1133"/>
      <c r="AE102" s="1133"/>
      <c r="AF102" s="1133"/>
      <c r="AG102" s="1133"/>
      <c r="AH102" s="1133"/>
      <c r="AI102" s="1133"/>
      <c r="AJ102" s="1133"/>
      <c r="AK102" s="1133"/>
      <c r="AL102" s="1133"/>
      <c r="AM102" s="1133"/>
      <c r="AN102" s="1133"/>
      <c r="AO102" s="1133"/>
      <c r="AP102" s="1133"/>
      <c r="AQ102" s="1133"/>
    </row>
    <row r="103" spans="1:43" s="1944" customFormat="1" ht="17.25" hidden="1" customHeight="1">
      <c r="A103" s="232"/>
      <c r="C103" s="231"/>
      <c r="D103" s="3426"/>
      <c r="E103" s="3427"/>
      <c r="F103" s="3430"/>
      <c r="G103" s="3427"/>
      <c r="H103" s="3433"/>
      <c r="I103" s="3435"/>
      <c r="J103" s="3438"/>
      <c r="K103" s="3421"/>
      <c r="L103" s="1161"/>
      <c r="M103" s="1161"/>
      <c r="N103" s="1161"/>
      <c r="O103" s="1161"/>
      <c r="P103" s="1161"/>
      <c r="Q103" s="1161"/>
      <c r="R103" s="1161"/>
      <c r="S103" s="240"/>
      <c r="T103" s="240"/>
      <c r="U103" s="240"/>
      <c r="V103" s="240"/>
      <c r="W103" s="1162"/>
      <c r="Y103" s="1126"/>
      <c r="Z103" s="1126"/>
      <c r="AA103" s="1126"/>
      <c r="AB103" s="1126"/>
      <c r="AC103" s="1126"/>
      <c r="AD103" s="1126"/>
      <c r="AE103" s="1126"/>
      <c r="AF103" s="1126"/>
      <c r="AG103" s="1126"/>
      <c r="AH103" s="1126"/>
      <c r="AI103" s="1126"/>
      <c r="AJ103" s="1126"/>
      <c r="AK103" s="1126"/>
      <c r="AL103" s="1126"/>
      <c r="AM103" s="1126"/>
      <c r="AN103" s="1126"/>
      <c r="AO103" s="1126"/>
      <c r="AP103" s="1126"/>
      <c r="AQ103" s="1126"/>
    </row>
    <row r="104" spans="1:43" s="1944" customFormat="1" ht="17.25" hidden="1" customHeight="1">
      <c r="A104" s="232"/>
      <c r="C104" s="231"/>
      <c r="D104" s="3410"/>
      <c r="E104" s="3428"/>
      <c r="F104" s="3431"/>
      <c r="G104" s="3428"/>
      <c r="H104" s="1163"/>
      <c r="I104" s="1164"/>
      <c r="J104" s="1164"/>
      <c r="K104" s="1164"/>
      <c r="L104" s="1164"/>
      <c r="M104" s="1164"/>
      <c r="N104" s="1164"/>
      <c r="O104" s="1164"/>
      <c r="P104" s="1164"/>
      <c r="Q104" s="1164"/>
      <c r="R104" s="1164"/>
      <c r="S104" s="1165"/>
      <c r="T104" s="1165"/>
      <c r="U104" s="1165"/>
      <c r="V104" s="1165"/>
      <c r="W104" s="1166"/>
      <c r="Y104" s="1126"/>
      <c r="Z104" s="1126"/>
      <c r="AA104" s="1126"/>
      <c r="AB104" s="1126"/>
      <c r="AC104" s="1126"/>
      <c r="AD104" s="1126"/>
      <c r="AE104" s="1126"/>
      <c r="AF104" s="1126"/>
      <c r="AG104" s="1126"/>
      <c r="AH104" s="1126"/>
      <c r="AI104" s="1126"/>
      <c r="AJ104" s="1126"/>
      <c r="AK104" s="1126"/>
      <c r="AL104" s="1126"/>
      <c r="AM104" s="1126"/>
      <c r="AN104" s="1126"/>
      <c r="AO104" s="1126"/>
      <c r="AP104" s="1126"/>
      <c r="AQ104" s="1126"/>
    </row>
    <row r="105" spans="1:43" s="1944" customFormat="1" ht="17.25" hidden="1" customHeight="1">
      <c r="A105" s="232"/>
      <c r="C105" s="125"/>
      <c r="D105" s="3426">
        <v>2</v>
      </c>
      <c r="E105" s="3427" t="s">
        <v>514</v>
      </c>
      <c r="F105" s="3429" t="s">
        <v>54</v>
      </c>
      <c r="G105" s="3427"/>
      <c r="H105" s="3432"/>
      <c r="I105" s="3434"/>
      <c r="J105" s="3436"/>
      <c r="K105" s="3420"/>
      <c r="L105" s="3420"/>
      <c r="M105" s="3420"/>
      <c r="N105" s="3422"/>
      <c r="O105" s="3420"/>
      <c r="P105" s="3420"/>
      <c r="Q105" s="3420"/>
      <c r="R105" s="3425"/>
      <c r="S105" s="3420"/>
      <c r="T105" s="1326"/>
      <c r="U105" s="1326"/>
      <c r="V105" s="1328"/>
      <c r="W105" s="1160"/>
      <c r="X105" s="1133"/>
      <c r="Y105" s="1133"/>
      <c r="Z105" s="1133"/>
      <c r="AA105" s="1133"/>
      <c r="AB105" s="1133"/>
      <c r="AC105" s="1133" t="s">
        <v>515</v>
      </c>
      <c r="AD105" s="1133" t="s">
        <v>516</v>
      </c>
      <c r="AE105" s="1133" t="s">
        <v>517</v>
      </c>
      <c r="AF105" s="1133" t="s">
        <v>518</v>
      </c>
      <c r="AG105" s="1133"/>
      <c r="AH105" s="1133" t="str">
        <f>IF($E$105=0,"",$E$105)</f>
        <v>Тариф на транспортировку горячей воды</v>
      </c>
      <c r="AI105" s="1133" t="str">
        <f>IF($G$105=0,"",$G$105)</f>
        <v/>
      </c>
      <c r="AJ105" s="1133" t="str">
        <f>IF($J$105=0,"",$J$105)</f>
        <v/>
      </c>
      <c r="AK105" s="1133" t="str">
        <f>IF($K$105="нет","без дифференциации",IF($N$105=0,"",$N$105))</f>
        <v/>
      </c>
      <c r="AL105" s="1133" t="str">
        <f>IF($O$105="нет","без дифференциации",IF($R$105=0,"",$R$105))</f>
        <v/>
      </c>
      <c r="AM105" s="1133" t="str">
        <f>IF($S$105="нет","без дифференциации",IF($V$105=0,"",$V$105))</f>
        <v/>
      </c>
      <c r="AN105" s="1615">
        <f>$I$105</f>
        <v>0</v>
      </c>
      <c r="AO105" s="1133" t="str">
        <f>$I$105&amp;"."&amp;$M$105</f>
        <v>.</v>
      </c>
      <c r="AP105" s="1126" t="str">
        <f>$I$105&amp;"."&amp;$M$105&amp;"."&amp;$Q$105</f>
        <v>..</v>
      </c>
      <c r="AQ105" s="1126" t="str">
        <f>$I$105&amp;"."&amp;$M$105&amp;"."&amp;$Q$105&amp;"."&amp;$U$105</f>
        <v>...</v>
      </c>
    </row>
    <row r="106" spans="1:43" s="1944" customFormat="1" ht="17.25" hidden="1" customHeight="1">
      <c r="A106" s="232"/>
      <c r="C106" s="231"/>
      <c r="D106" s="3426"/>
      <c r="E106" s="3427"/>
      <c r="F106" s="3430"/>
      <c r="G106" s="3427"/>
      <c r="H106" s="3433"/>
      <c r="I106" s="3435"/>
      <c r="J106" s="3437"/>
      <c r="K106" s="3421"/>
      <c r="L106" s="3421"/>
      <c r="M106" s="3421"/>
      <c r="N106" s="3423"/>
      <c r="O106" s="3421"/>
      <c r="P106" s="3421"/>
      <c r="Q106" s="3421"/>
      <c r="R106" s="3424"/>
      <c r="S106" s="3421"/>
      <c r="T106" s="1161"/>
      <c r="U106" s="1161"/>
      <c r="V106" s="1161"/>
      <c r="W106" s="1162"/>
      <c r="X106" s="1126"/>
      <c r="Y106" s="1126"/>
      <c r="Z106" s="1126"/>
      <c r="AA106" s="1126"/>
      <c r="AB106" s="1126"/>
      <c r="AC106" s="1126"/>
      <c r="AD106" s="1126"/>
      <c r="AE106" s="1126"/>
      <c r="AF106" s="1126"/>
      <c r="AG106" s="1126"/>
      <c r="AH106" s="1126"/>
      <c r="AI106" s="1126"/>
      <c r="AJ106" s="1126"/>
      <c r="AK106" s="1126"/>
      <c r="AL106" s="1126"/>
      <c r="AM106" s="1126"/>
      <c r="AN106" s="1126"/>
      <c r="AO106" s="1126"/>
      <c r="AP106" s="1126"/>
      <c r="AQ106" s="1126"/>
    </row>
    <row r="107" spans="1:43" s="1944" customFormat="1" ht="17.25" hidden="1" customHeight="1">
      <c r="A107" s="232"/>
      <c r="C107" s="231"/>
      <c r="D107" s="3410"/>
      <c r="E107" s="3428"/>
      <c r="F107" s="3430"/>
      <c r="G107" s="3428"/>
      <c r="H107" s="3433"/>
      <c r="I107" s="3435"/>
      <c r="J107" s="3438"/>
      <c r="K107" s="3421"/>
      <c r="L107" s="3421"/>
      <c r="M107" s="3421"/>
      <c r="N107" s="3424"/>
      <c r="O107" s="3421"/>
      <c r="P107" s="1327"/>
      <c r="Q107" s="1161"/>
      <c r="R107" s="1161"/>
      <c r="S107" s="240"/>
      <c r="T107" s="240"/>
      <c r="U107" s="240"/>
      <c r="V107" s="240"/>
      <c r="W107" s="1162"/>
      <c r="X107" s="1126"/>
      <c r="Y107" s="1126"/>
      <c r="Z107" s="1126"/>
      <c r="AA107" s="1126"/>
      <c r="AB107" s="1126"/>
      <c r="AC107" s="1126"/>
      <c r="AD107" s="1126"/>
      <c r="AE107" s="1126"/>
      <c r="AF107" s="1126"/>
      <c r="AG107" s="1126"/>
      <c r="AH107" s="1126"/>
      <c r="AI107" s="1126"/>
      <c r="AJ107" s="1126"/>
      <c r="AK107" s="1126"/>
      <c r="AL107" s="1126"/>
      <c r="AM107" s="1126"/>
      <c r="AN107" s="1126"/>
      <c r="AO107" s="1126"/>
      <c r="AP107" s="1126"/>
      <c r="AQ107" s="1126"/>
    </row>
    <row r="108" spans="1:43" s="1944" customFormat="1" ht="17.25" hidden="1" customHeight="1">
      <c r="A108" s="232"/>
      <c r="C108" s="231"/>
      <c r="D108" s="3410"/>
      <c r="E108" s="3428"/>
      <c r="F108" s="3430"/>
      <c r="G108" s="3428"/>
      <c r="H108" s="3433"/>
      <c r="I108" s="3435"/>
      <c r="J108" s="3438"/>
      <c r="K108" s="3421"/>
      <c r="L108" s="1161"/>
      <c r="M108" s="1161"/>
      <c r="N108" s="1161"/>
      <c r="O108" s="1161"/>
      <c r="P108" s="1161"/>
      <c r="Q108" s="1161"/>
      <c r="R108" s="1161"/>
      <c r="S108" s="240"/>
      <c r="T108" s="240"/>
      <c r="U108" s="240"/>
      <c r="V108" s="240"/>
      <c r="W108" s="1162"/>
      <c r="X108" s="1126"/>
      <c r="Y108" s="1126"/>
      <c r="Z108" s="1126"/>
      <c r="AA108" s="1126"/>
      <c r="AB108" s="1126"/>
      <c r="AC108" s="1126"/>
      <c r="AD108" s="1126"/>
      <c r="AE108" s="1126"/>
      <c r="AF108" s="1126"/>
      <c r="AG108" s="1126"/>
      <c r="AH108" s="1126"/>
      <c r="AI108" s="1126"/>
      <c r="AJ108" s="1126"/>
      <c r="AK108" s="1126"/>
      <c r="AL108" s="1126"/>
      <c r="AM108" s="1126"/>
      <c r="AN108" s="1126"/>
      <c r="AO108" s="1126"/>
      <c r="AP108" s="1126"/>
      <c r="AQ108" s="1126"/>
    </row>
    <row r="109" spans="1:43" s="1944" customFormat="1" ht="17.25" hidden="1" customHeight="1">
      <c r="A109" s="232"/>
      <c r="C109" s="231"/>
      <c r="D109" s="3410"/>
      <c r="E109" s="3428"/>
      <c r="F109" s="3431"/>
      <c r="G109" s="3428"/>
      <c r="H109" s="1163"/>
      <c r="I109" s="1164"/>
      <c r="J109" s="1164"/>
      <c r="K109" s="1164"/>
      <c r="L109" s="1164"/>
      <c r="M109" s="1164"/>
      <c r="N109" s="1164"/>
      <c r="O109" s="1164"/>
      <c r="P109" s="1164"/>
      <c r="Q109" s="1164"/>
      <c r="R109" s="1164"/>
      <c r="S109" s="1165"/>
      <c r="T109" s="1165"/>
      <c r="U109" s="1165"/>
      <c r="V109" s="1165"/>
      <c r="W109" s="1166"/>
      <c r="X109" s="1126"/>
      <c r="Y109" s="1126"/>
      <c r="Z109" s="1126"/>
      <c r="AA109" s="1126"/>
      <c r="AB109" s="1126"/>
      <c r="AC109" s="1126"/>
      <c r="AD109" s="1126"/>
      <c r="AE109" s="1126"/>
      <c r="AF109" s="1126"/>
      <c r="AG109" s="1126"/>
      <c r="AH109" s="1126"/>
      <c r="AI109" s="1126"/>
      <c r="AJ109" s="1126"/>
      <c r="AK109" s="1126"/>
      <c r="AL109" s="1126"/>
      <c r="AM109" s="1126"/>
      <c r="AN109" s="1126"/>
      <c r="AO109" s="1126"/>
      <c r="AP109" s="1126"/>
      <c r="AQ109" s="1126"/>
    </row>
    <row r="110" spans="1:43" s="1944" customFormat="1" ht="17.25" hidden="1" customHeight="1">
      <c r="A110" s="232"/>
      <c r="C110" s="125"/>
      <c r="D110" s="3426">
        <v>3</v>
      </c>
      <c r="E110" s="3427" t="s">
        <v>519</v>
      </c>
      <c r="F110" s="3429" t="s">
        <v>54</v>
      </c>
      <c r="G110" s="3427"/>
      <c r="H110" s="3432"/>
      <c r="I110" s="3434"/>
      <c r="J110" s="3436"/>
      <c r="K110" s="3420"/>
      <c r="L110" s="3420"/>
      <c r="M110" s="3420"/>
      <c r="N110" s="3422"/>
      <c r="O110" s="3420"/>
      <c r="P110" s="3420"/>
      <c r="Q110" s="3420"/>
      <c r="R110" s="3425"/>
      <c r="S110" s="3420"/>
      <c r="T110" s="1779"/>
      <c r="U110" s="1779"/>
      <c r="V110" s="1781"/>
      <c r="W110" s="1160"/>
      <c r="X110" s="1133"/>
      <c r="Y110" s="1133"/>
      <c r="Z110" s="1133"/>
      <c r="AA110" s="1133"/>
      <c r="AB110" s="1133"/>
      <c r="AC110" s="1133" t="s">
        <v>520</v>
      </c>
      <c r="AD110" s="1133" t="s">
        <v>521</v>
      </c>
      <c r="AE110" s="1133" t="s">
        <v>522</v>
      </c>
      <c r="AF110" s="1133" t="s">
        <v>523</v>
      </c>
      <c r="AG110" s="1133"/>
      <c r="AH110" s="1133" t="e">
        <f>IF(#REF!=0,"",#REF!)</f>
        <v>#REF!</v>
      </c>
      <c r="AI110" s="1133" t="e">
        <f>IF(#REF!=0,"",#REF!)</f>
        <v>#REF!</v>
      </c>
      <c r="AJ110" s="1133" t="e">
        <f>IF(#REF!=0,"",#REF!)</f>
        <v>#REF!</v>
      </c>
      <c r="AK110" s="1133" t="e">
        <f>IF(#REF!="нет","без дифференциации",IF(#REF!=0,"",#REF!))</f>
        <v>#REF!</v>
      </c>
      <c r="AL110" s="1133" t="e">
        <f>IF(#REF!="нет","без дифференциации",IF(#REF!=0,"",#REF!))</f>
        <v>#REF!</v>
      </c>
      <c r="AM110" s="1133" t="e">
        <f>IF(#REF!="нет","без дифференциации",IF(#REF!=0,"",#REF!))</f>
        <v>#REF!</v>
      </c>
      <c r="AN110" s="1615" t="e">
        <f>#REF!</f>
        <v>#REF!</v>
      </c>
      <c r="AO110" s="1133" t="e">
        <f>#REF!&amp;"."&amp;#REF!</f>
        <v>#REF!</v>
      </c>
      <c r="AP110" s="1132" t="e">
        <f>#REF!&amp;"."&amp;#REF!&amp;"."&amp;#REF!</f>
        <v>#REF!</v>
      </c>
      <c r="AQ110" s="1132" t="e">
        <f>#REF!&amp;"."&amp;#REF!&amp;"."&amp;#REF!&amp;"."&amp;#REF!</f>
        <v>#REF!</v>
      </c>
    </row>
    <row r="111" spans="1:43" s="1944" customFormat="1" ht="17.25" hidden="1" customHeight="1">
      <c r="A111" s="232"/>
      <c r="C111" s="231"/>
      <c r="D111" s="3426"/>
      <c r="E111" s="3427"/>
      <c r="F111" s="3430"/>
      <c r="G111" s="3427"/>
      <c r="H111" s="3433"/>
      <c r="I111" s="3435"/>
      <c r="J111" s="3437"/>
      <c r="K111" s="3421"/>
      <c r="L111" s="3421"/>
      <c r="M111" s="3421"/>
      <c r="N111" s="3423"/>
      <c r="O111" s="3421"/>
      <c r="P111" s="3421"/>
      <c r="Q111" s="3421"/>
      <c r="R111" s="3424"/>
      <c r="S111" s="3421"/>
      <c r="T111" s="1784"/>
      <c r="U111" s="1784"/>
      <c r="V111" s="1784"/>
      <c r="W111" s="1785"/>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row>
    <row r="112" spans="1:43" s="1944" customFormat="1" ht="17.25" hidden="1" customHeight="1">
      <c r="A112" s="232"/>
      <c r="C112" s="231"/>
      <c r="D112" s="3410"/>
      <c r="E112" s="3428"/>
      <c r="F112" s="3430"/>
      <c r="G112" s="3428"/>
      <c r="H112" s="3433"/>
      <c r="I112" s="3435"/>
      <c r="J112" s="3438"/>
      <c r="K112" s="3421"/>
      <c r="L112" s="3421"/>
      <c r="M112" s="3421"/>
      <c r="N112" s="3424"/>
      <c r="O112" s="3421"/>
      <c r="P112" s="1780"/>
      <c r="Q112" s="1784"/>
      <c r="R112" s="1784"/>
      <c r="S112" s="240"/>
      <c r="T112" s="240"/>
      <c r="U112" s="240"/>
      <c r="V112" s="240"/>
      <c r="W112" s="1785"/>
      <c r="X112" s="1132"/>
      <c r="Y112" s="1132"/>
      <c r="Z112" s="1132"/>
      <c r="AA112" s="1132"/>
      <c r="AB112" s="1132"/>
      <c r="AC112" s="1132"/>
      <c r="AD112" s="1132"/>
      <c r="AE112" s="1132"/>
      <c r="AF112" s="1132"/>
      <c r="AG112" s="1132"/>
      <c r="AH112" s="1132"/>
      <c r="AI112" s="1132"/>
      <c r="AJ112" s="1132"/>
      <c r="AK112" s="1132"/>
      <c r="AL112" s="1132"/>
      <c r="AM112" s="1132"/>
      <c r="AN112" s="1132"/>
      <c r="AO112" s="1132"/>
      <c r="AP112" s="1132"/>
      <c r="AQ112" s="1132"/>
    </row>
    <row r="113" spans="1:43" s="1944" customFormat="1" ht="17.25" hidden="1" customHeight="1">
      <c r="A113" s="232"/>
      <c r="C113" s="231"/>
      <c r="D113" s="3410"/>
      <c r="E113" s="3428"/>
      <c r="F113" s="3430"/>
      <c r="G113" s="3428"/>
      <c r="H113" s="3433"/>
      <c r="I113" s="3435"/>
      <c r="J113" s="3438"/>
      <c r="K113" s="3421"/>
      <c r="L113" s="1784"/>
      <c r="M113" s="1784"/>
      <c r="N113" s="1784"/>
      <c r="O113" s="1784"/>
      <c r="P113" s="1784"/>
      <c r="Q113" s="1784"/>
      <c r="R113" s="1784"/>
      <c r="S113" s="240"/>
      <c r="T113" s="240"/>
      <c r="U113" s="240"/>
      <c r="V113" s="240"/>
      <c r="W113" s="1785"/>
      <c r="X113" s="1132"/>
      <c r="Y113" s="1132"/>
      <c r="Z113" s="1132"/>
      <c r="AA113" s="1132"/>
      <c r="AB113" s="1132"/>
      <c r="AC113" s="1132"/>
      <c r="AD113" s="1132"/>
      <c r="AE113" s="1132"/>
      <c r="AF113" s="1132"/>
      <c r="AG113" s="1132"/>
      <c r="AH113" s="1132"/>
      <c r="AI113" s="1132"/>
      <c r="AJ113" s="1132"/>
      <c r="AK113" s="1132"/>
      <c r="AL113" s="1132"/>
      <c r="AM113" s="1132"/>
      <c r="AN113" s="1132"/>
      <c r="AO113" s="1132"/>
      <c r="AP113" s="1132"/>
      <c r="AQ113" s="1132"/>
    </row>
    <row r="114" spans="1:43" s="1944" customFormat="1" ht="17.25" hidden="1" customHeight="1">
      <c r="A114" s="232"/>
      <c r="C114" s="231"/>
      <c r="D114" s="3410"/>
      <c r="E114" s="3428"/>
      <c r="F114" s="3431"/>
      <c r="G114" s="3428"/>
      <c r="H114" s="1163"/>
      <c r="I114" s="1782"/>
      <c r="J114" s="1782"/>
      <c r="K114" s="1782"/>
      <c r="L114" s="1782"/>
      <c r="M114" s="1782"/>
      <c r="N114" s="1782"/>
      <c r="O114" s="1782"/>
      <c r="P114" s="1782"/>
      <c r="Q114" s="1782"/>
      <c r="R114" s="1782"/>
      <c r="S114" s="1165"/>
      <c r="T114" s="1165"/>
      <c r="U114" s="1165"/>
      <c r="V114" s="1165"/>
      <c r="W114" s="1783"/>
      <c r="X114" s="1132"/>
      <c r="Y114" s="1132"/>
      <c r="Z114" s="1132"/>
      <c r="AA114" s="1132"/>
      <c r="AB114" s="1132"/>
      <c r="AC114" s="1132"/>
      <c r="AD114" s="1132"/>
      <c r="AE114" s="1132"/>
      <c r="AF114" s="1132"/>
      <c r="AG114" s="1132"/>
      <c r="AH114" s="1132"/>
      <c r="AI114" s="1132"/>
      <c r="AJ114" s="1132"/>
      <c r="AK114" s="1132"/>
      <c r="AL114" s="1132"/>
      <c r="AM114" s="1132"/>
      <c r="AN114" s="1132"/>
      <c r="AO114" s="1132"/>
      <c r="AP114" s="1132"/>
      <c r="AQ114" s="1132"/>
    </row>
    <row r="115" spans="1:43" s="1944" customFormat="1" ht="11.25" hidden="1" customHeight="1">
      <c r="A115" s="190"/>
      <c r="B115" s="190"/>
      <c r="Y115" s="1126"/>
      <c r="Z115" s="1126"/>
      <c r="AA115" s="1126"/>
      <c r="AB115" s="1126"/>
      <c r="AC115" s="1126"/>
      <c r="AD115" s="1126"/>
      <c r="AE115" s="1126"/>
      <c r="AF115" s="1126"/>
      <c r="AG115" s="1126"/>
      <c r="AH115" s="1126"/>
      <c r="AI115" s="1126"/>
      <c r="AJ115" s="1126"/>
      <c r="AK115" s="1126"/>
      <c r="AL115" s="1126"/>
      <c r="AM115" s="1126"/>
      <c r="AN115" s="1126"/>
      <c r="AO115" s="1126"/>
      <c r="AP115" s="1126"/>
      <c r="AQ115" s="1126"/>
    </row>
    <row r="116" spans="1:43" s="1944" customFormat="1" ht="17.25" hidden="1" customHeight="1">
      <c r="A116" s="232"/>
      <c r="C116" s="125"/>
      <c r="D116" s="3426">
        <v>1</v>
      </c>
      <c r="E116" s="3427" t="s">
        <v>524</v>
      </c>
      <c r="F116" s="3429" t="s">
        <v>54</v>
      </c>
      <c r="G116" s="3427"/>
      <c r="H116" s="3432"/>
      <c r="I116" s="3434"/>
      <c r="J116" s="3436"/>
      <c r="K116" s="3420"/>
      <c r="L116" s="3420"/>
      <c r="M116" s="3420"/>
      <c r="N116" s="3422"/>
      <c r="O116" s="3420"/>
      <c r="P116" s="3420"/>
      <c r="Q116" s="3420"/>
      <c r="R116" s="3425"/>
      <c r="S116" s="3420"/>
      <c r="T116" s="1326"/>
      <c r="U116" s="1326"/>
      <c r="V116" s="1328"/>
      <c r="W116" s="1160"/>
      <c r="Y116" s="1133"/>
      <c r="Z116" s="1133"/>
      <c r="AA116" s="1133"/>
      <c r="AB116" s="1133"/>
      <c r="AC116" s="1133" t="s">
        <v>525</v>
      </c>
      <c r="AD116" s="1133" t="s">
        <v>526</v>
      </c>
      <c r="AE116" s="1133" t="s">
        <v>527</v>
      </c>
      <c r="AF116" s="1133" t="s">
        <v>528</v>
      </c>
      <c r="AG116" s="1133"/>
      <c r="AH116" s="1133" t="str">
        <f>IF($E$116=0,"",$E$116)</f>
        <v>Тариф на водоотведение</v>
      </c>
      <c r="AI116" s="1133" t="str">
        <f>IF($G$116=0,"",$G$116)</f>
        <v/>
      </c>
      <c r="AJ116" s="1133" t="str">
        <f>IF($J$116=0,"",$J$116)</f>
        <v/>
      </c>
      <c r="AK116" s="1133" t="str">
        <f>IF($K$116="нет","без дифференциации",IF($N$116=0,"",$N$116))</f>
        <v/>
      </c>
      <c r="AL116" s="1133" t="str">
        <f>IF($O$116="нет","без дифференциации",IF($R$116=0,"",$R$116))</f>
        <v/>
      </c>
      <c r="AM116" s="1133" t="str">
        <f>IF($S$116="нет","без дифференциации",IF($V$116=0,"",$V$116))</f>
        <v/>
      </c>
      <c r="AN116" s="1133">
        <f>$I$116</f>
        <v>0</v>
      </c>
      <c r="AO116" s="1133" t="str">
        <f>$I$116&amp;"."&amp;$M$116</f>
        <v>.</v>
      </c>
      <c r="AP116" s="1133" t="str">
        <f>$I$116&amp;"."&amp;$M$116&amp;"."&amp;$Q$116</f>
        <v>..</v>
      </c>
      <c r="AQ116" s="1133" t="str">
        <f>$I$116&amp;"."&amp;$M$116&amp;"."&amp;$Q$116&amp;"."&amp;$U$116</f>
        <v>...</v>
      </c>
    </row>
    <row r="117" spans="1:43" s="1944" customFormat="1" ht="17.25" hidden="1" customHeight="1">
      <c r="A117" s="232"/>
      <c r="C117" s="231"/>
      <c r="D117" s="3426"/>
      <c r="E117" s="3427"/>
      <c r="F117" s="3430"/>
      <c r="G117" s="3427"/>
      <c r="H117" s="3433"/>
      <c r="I117" s="3435"/>
      <c r="J117" s="3437"/>
      <c r="K117" s="3421"/>
      <c r="L117" s="3421"/>
      <c r="M117" s="3421"/>
      <c r="N117" s="3423"/>
      <c r="O117" s="3421"/>
      <c r="P117" s="3421"/>
      <c r="Q117" s="3421"/>
      <c r="R117" s="3424"/>
      <c r="S117" s="3421"/>
      <c r="T117" s="1161"/>
      <c r="U117" s="1161"/>
      <c r="V117" s="1161"/>
      <c r="W117" s="1162"/>
      <c r="Y117" s="1126"/>
      <c r="Z117" s="1126"/>
      <c r="AA117" s="1126"/>
      <c r="AB117" s="1126"/>
      <c r="AC117" s="1126"/>
      <c r="AD117" s="1126"/>
      <c r="AE117" s="1126"/>
      <c r="AF117" s="1126"/>
      <c r="AG117" s="1126"/>
      <c r="AH117" s="1126"/>
      <c r="AI117" s="1126"/>
      <c r="AJ117" s="1126"/>
      <c r="AK117" s="1126"/>
      <c r="AL117" s="1126"/>
      <c r="AM117" s="1126"/>
      <c r="AN117" s="1126"/>
      <c r="AO117" s="1126"/>
      <c r="AP117" s="1126"/>
      <c r="AQ117" s="1126"/>
    </row>
    <row r="118" spans="1:43" s="1944" customFormat="1" ht="17.25" hidden="1" customHeight="1">
      <c r="A118" s="232"/>
      <c r="C118" s="125"/>
      <c r="D118" s="3426"/>
      <c r="E118" s="3427"/>
      <c r="F118" s="3430"/>
      <c r="G118" s="3427"/>
      <c r="H118" s="3433"/>
      <c r="I118" s="3435"/>
      <c r="J118" s="3438"/>
      <c r="K118" s="3421"/>
      <c r="L118" s="3421"/>
      <c r="M118" s="3421"/>
      <c r="N118" s="3424"/>
      <c r="O118" s="3421"/>
      <c r="P118" s="1327"/>
      <c r="Q118" s="1161"/>
      <c r="R118" s="1161"/>
      <c r="S118" s="240"/>
      <c r="T118" s="240"/>
      <c r="U118" s="240"/>
      <c r="V118" s="240"/>
      <c r="W118" s="1162"/>
      <c r="Y118" s="1133"/>
      <c r="Z118" s="1133"/>
      <c r="AA118" s="1133"/>
      <c r="AB118" s="1133"/>
      <c r="AC118" s="1133"/>
      <c r="AD118" s="1133"/>
      <c r="AE118" s="1133"/>
      <c r="AF118" s="1133"/>
      <c r="AG118" s="1133"/>
      <c r="AH118" s="1133"/>
      <c r="AI118" s="1133"/>
      <c r="AJ118" s="1133"/>
      <c r="AK118" s="1133"/>
      <c r="AL118" s="1133"/>
      <c r="AM118" s="1133"/>
      <c r="AN118" s="1133"/>
      <c r="AO118" s="1133"/>
      <c r="AP118" s="1133"/>
      <c r="AQ118" s="1133"/>
    </row>
    <row r="119" spans="1:43" s="1944" customFormat="1" ht="17.25" hidden="1" customHeight="1">
      <c r="A119" s="232"/>
      <c r="C119" s="231"/>
      <c r="D119" s="3426"/>
      <c r="E119" s="3427"/>
      <c r="F119" s="3430"/>
      <c r="G119" s="3427"/>
      <c r="H119" s="3433"/>
      <c r="I119" s="3435"/>
      <c r="J119" s="3438"/>
      <c r="K119" s="3421"/>
      <c r="L119" s="1161"/>
      <c r="M119" s="1161"/>
      <c r="N119" s="1161"/>
      <c r="O119" s="1161"/>
      <c r="P119" s="1161"/>
      <c r="Q119" s="1161"/>
      <c r="R119" s="1161"/>
      <c r="S119" s="240"/>
      <c r="T119" s="240"/>
      <c r="U119" s="240"/>
      <c r="V119" s="240"/>
      <c r="W119" s="1162"/>
      <c r="Y119" s="1126"/>
      <c r="Z119" s="1126"/>
      <c r="AA119" s="1126"/>
      <c r="AB119" s="1126"/>
      <c r="AC119" s="1126"/>
      <c r="AD119" s="1126"/>
      <c r="AE119" s="1126"/>
      <c r="AF119" s="1126"/>
      <c r="AG119" s="1126"/>
      <c r="AH119" s="1126"/>
      <c r="AI119" s="1126"/>
      <c r="AJ119" s="1126"/>
      <c r="AK119" s="1126"/>
      <c r="AL119" s="1126"/>
      <c r="AM119" s="1126"/>
      <c r="AN119" s="1126"/>
      <c r="AO119" s="1126"/>
      <c r="AP119" s="1126"/>
      <c r="AQ119" s="1126"/>
    </row>
    <row r="120" spans="1:43" s="1944" customFormat="1" ht="17.25" hidden="1" customHeight="1">
      <c r="A120" s="232"/>
      <c r="C120" s="231"/>
      <c r="D120" s="3410"/>
      <c r="E120" s="3428"/>
      <c r="F120" s="3431"/>
      <c r="G120" s="3428"/>
      <c r="H120" s="1163"/>
      <c r="I120" s="1164"/>
      <c r="J120" s="1164"/>
      <c r="K120" s="1164"/>
      <c r="L120" s="1164"/>
      <c r="M120" s="1164"/>
      <c r="N120" s="1164"/>
      <c r="O120" s="1164"/>
      <c r="P120" s="1164"/>
      <c r="Q120" s="1164"/>
      <c r="R120" s="1164"/>
      <c r="S120" s="1165"/>
      <c r="T120" s="1165"/>
      <c r="U120" s="1165"/>
      <c r="V120" s="1165"/>
      <c r="W120" s="1166"/>
      <c r="Y120" s="1126"/>
      <c r="Z120" s="1126"/>
      <c r="AA120" s="1126"/>
      <c r="AB120" s="1126"/>
      <c r="AC120" s="1126"/>
      <c r="AD120" s="1126"/>
      <c r="AE120" s="1126"/>
      <c r="AF120" s="1126"/>
      <c r="AG120" s="1126"/>
      <c r="AH120" s="1126"/>
      <c r="AI120" s="1126"/>
      <c r="AJ120" s="1126"/>
      <c r="AK120" s="1126"/>
      <c r="AL120" s="1126"/>
      <c r="AM120" s="1126"/>
      <c r="AN120" s="1126"/>
      <c r="AO120" s="1126"/>
      <c r="AP120" s="1126"/>
      <c r="AQ120" s="1126"/>
    </row>
    <row r="121" spans="1:43" s="1944" customFormat="1" ht="17.25" hidden="1" customHeight="1">
      <c r="A121" s="232"/>
      <c r="C121" s="125"/>
      <c r="D121" s="3426">
        <v>2</v>
      </c>
      <c r="E121" s="3427" t="s">
        <v>529</v>
      </c>
      <c r="F121" s="3429" t="s">
        <v>54</v>
      </c>
      <c r="G121" s="3427"/>
      <c r="H121" s="3432"/>
      <c r="I121" s="3434"/>
      <c r="J121" s="3436"/>
      <c r="K121" s="3420"/>
      <c r="L121" s="3420"/>
      <c r="M121" s="3420"/>
      <c r="N121" s="3422"/>
      <c r="O121" s="3420"/>
      <c r="P121" s="3420"/>
      <c r="Q121" s="3420"/>
      <c r="R121" s="3425"/>
      <c r="S121" s="3420"/>
      <c r="T121" s="1326"/>
      <c r="U121" s="1326"/>
      <c r="V121" s="1328"/>
      <c r="W121" s="1160"/>
      <c r="X121" s="1133"/>
      <c r="Y121" s="1133"/>
      <c r="Z121" s="1133"/>
      <c r="AA121" s="1133"/>
      <c r="AB121" s="1133"/>
      <c r="AC121" s="1133" t="s">
        <v>530</v>
      </c>
      <c r="AD121" s="1133" t="s">
        <v>531</v>
      </c>
      <c r="AE121" s="1133" t="s">
        <v>532</v>
      </c>
      <c r="AF121" s="1133" t="s">
        <v>533</v>
      </c>
      <c r="AG121" s="1133"/>
      <c r="AH121" s="1133" t="str">
        <f>IF($E$121=0,"",$E$121)</f>
        <v>Тариф на транспортировку сточных вод</v>
      </c>
      <c r="AI121" s="1133" t="str">
        <f>IF($G$121=0,"",$G$121)</f>
        <v/>
      </c>
      <c r="AJ121" s="1133" t="str">
        <f>IF($J$121=0,"",$J$121)</f>
        <v/>
      </c>
      <c r="AK121" s="1133" t="str">
        <f>IF($K$121="нет","без дифференциации",IF($N$121=0,"",$N$121))</f>
        <v/>
      </c>
      <c r="AL121" s="1133" t="str">
        <f>IF($O$121="нет","без дифференциации",IF($R$121=0,"",$R$121))</f>
        <v/>
      </c>
      <c r="AM121" s="1133" t="str">
        <f>IF($S$121="нет","без дифференциации",IF($V$121=0,"",$V$121))</f>
        <v/>
      </c>
      <c r="AN121" s="1615">
        <f>$I$121</f>
        <v>0</v>
      </c>
      <c r="AO121" s="1133" t="str">
        <f>$I$121&amp;"."&amp;$M$121</f>
        <v>.</v>
      </c>
      <c r="AP121" s="1126" t="str">
        <f>$I$121&amp;"."&amp;$M$121&amp;"."&amp;$Q$121</f>
        <v>..</v>
      </c>
      <c r="AQ121" s="1126" t="str">
        <f>$I$121&amp;"."&amp;$M$121&amp;"."&amp;$Q$121&amp;"."&amp;$U$121</f>
        <v>...</v>
      </c>
    </row>
    <row r="122" spans="1:43" s="1944" customFormat="1" ht="17.25" hidden="1" customHeight="1">
      <c r="A122" s="232"/>
      <c r="C122" s="231"/>
      <c r="D122" s="3426"/>
      <c r="E122" s="3427"/>
      <c r="F122" s="3430"/>
      <c r="G122" s="3427"/>
      <c r="H122" s="3433"/>
      <c r="I122" s="3435"/>
      <c r="J122" s="3437"/>
      <c r="K122" s="3421"/>
      <c r="L122" s="3421"/>
      <c r="M122" s="3421"/>
      <c r="N122" s="3423"/>
      <c r="O122" s="3421"/>
      <c r="P122" s="3421"/>
      <c r="Q122" s="3421"/>
      <c r="R122" s="3424"/>
      <c r="S122" s="3421"/>
      <c r="T122" s="1161"/>
      <c r="U122" s="1161"/>
      <c r="V122" s="1161"/>
      <c r="W122" s="1162"/>
      <c r="X122" s="1126"/>
      <c r="Y122" s="1126"/>
      <c r="Z122" s="1126"/>
      <c r="AA122" s="1126"/>
      <c r="AB122" s="1126"/>
      <c r="AC122" s="1126"/>
      <c r="AD122" s="1126"/>
      <c r="AE122" s="1126"/>
      <c r="AF122" s="1126"/>
      <c r="AG122" s="1126"/>
      <c r="AH122" s="1126"/>
      <c r="AI122" s="1126"/>
      <c r="AJ122" s="1126"/>
      <c r="AK122" s="1126"/>
      <c r="AL122" s="1126"/>
      <c r="AM122" s="1126"/>
      <c r="AN122" s="1126"/>
      <c r="AO122" s="1126"/>
      <c r="AP122" s="1126"/>
      <c r="AQ122" s="1126"/>
    </row>
    <row r="123" spans="1:43" s="1944" customFormat="1" ht="17.25" hidden="1" customHeight="1">
      <c r="A123" s="232"/>
      <c r="C123" s="231"/>
      <c r="D123" s="3410"/>
      <c r="E123" s="3428"/>
      <c r="F123" s="3430"/>
      <c r="G123" s="3428"/>
      <c r="H123" s="3433"/>
      <c r="I123" s="3435"/>
      <c r="J123" s="3438"/>
      <c r="K123" s="3421"/>
      <c r="L123" s="3421"/>
      <c r="M123" s="3421"/>
      <c r="N123" s="3424"/>
      <c r="O123" s="3421"/>
      <c r="P123" s="1327"/>
      <c r="Q123" s="1161"/>
      <c r="R123" s="1161"/>
      <c r="S123" s="240"/>
      <c r="T123" s="240"/>
      <c r="U123" s="240"/>
      <c r="V123" s="240"/>
      <c r="W123" s="1162"/>
      <c r="X123" s="1126"/>
      <c r="Y123" s="1126"/>
      <c r="Z123" s="1126"/>
      <c r="AA123" s="1126"/>
      <c r="AB123" s="1126"/>
      <c r="AC123" s="1126"/>
      <c r="AD123" s="1126"/>
      <c r="AE123" s="1126"/>
      <c r="AF123" s="1126"/>
      <c r="AG123" s="1126"/>
      <c r="AH123" s="1126"/>
      <c r="AI123" s="1126"/>
      <c r="AJ123" s="1126"/>
      <c r="AK123" s="1126"/>
      <c r="AL123" s="1126"/>
      <c r="AM123" s="1126"/>
      <c r="AN123" s="1126"/>
      <c r="AO123" s="1126"/>
      <c r="AP123" s="1126"/>
      <c r="AQ123" s="1126"/>
    </row>
    <row r="124" spans="1:43" s="1944" customFormat="1" ht="17.25" hidden="1" customHeight="1">
      <c r="A124" s="232"/>
      <c r="C124" s="231"/>
      <c r="D124" s="3410"/>
      <c r="E124" s="3428"/>
      <c r="F124" s="3430"/>
      <c r="G124" s="3428"/>
      <c r="H124" s="3433"/>
      <c r="I124" s="3435"/>
      <c r="J124" s="3438"/>
      <c r="K124" s="3421"/>
      <c r="L124" s="1161"/>
      <c r="M124" s="1161"/>
      <c r="N124" s="1161"/>
      <c r="O124" s="1161"/>
      <c r="P124" s="1161"/>
      <c r="Q124" s="1161"/>
      <c r="R124" s="1161"/>
      <c r="S124" s="240"/>
      <c r="T124" s="240"/>
      <c r="U124" s="240"/>
      <c r="V124" s="240"/>
      <c r="W124" s="1162"/>
      <c r="X124" s="1126"/>
      <c r="Y124" s="1126"/>
      <c r="Z124" s="1126"/>
      <c r="AA124" s="1126"/>
      <c r="AB124" s="1126"/>
      <c r="AC124" s="1126"/>
      <c r="AD124" s="1126"/>
      <c r="AE124" s="1126"/>
      <c r="AF124" s="1126"/>
      <c r="AG124" s="1126"/>
      <c r="AH124" s="1126"/>
      <c r="AI124" s="1126"/>
      <c r="AJ124" s="1126"/>
      <c r="AK124" s="1126"/>
      <c r="AL124" s="1126"/>
      <c r="AM124" s="1126"/>
      <c r="AN124" s="1126"/>
      <c r="AO124" s="1126"/>
      <c r="AP124" s="1126"/>
      <c r="AQ124" s="1126"/>
    </row>
    <row r="125" spans="1:43" s="1944" customFormat="1" ht="17.25" hidden="1" customHeight="1">
      <c r="A125" s="232"/>
      <c r="C125" s="231"/>
      <c r="D125" s="3410"/>
      <c r="E125" s="3428"/>
      <c r="F125" s="3431"/>
      <c r="G125" s="3428"/>
      <c r="H125" s="1163"/>
      <c r="I125" s="1164"/>
      <c r="J125" s="1164"/>
      <c r="K125" s="1164"/>
      <c r="L125" s="1164"/>
      <c r="M125" s="1164"/>
      <c r="N125" s="1164"/>
      <c r="O125" s="1164"/>
      <c r="P125" s="1164"/>
      <c r="Q125" s="1164"/>
      <c r="R125" s="1164"/>
      <c r="S125" s="1165"/>
      <c r="T125" s="1165"/>
      <c r="U125" s="1165"/>
      <c r="V125" s="1165"/>
      <c r="W125" s="1166"/>
      <c r="X125" s="1126"/>
      <c r="Y125" s="1126"/>
      <c r="Z125" s="1126"/>
      <c r="AA125" s="1126"/>
      <c r="AB125" s="1126"/>
      <c r="AC125" s="1126"/>
      <c r="AD125" s="1126"/>
      <c r="AE125" s="1126"/>
      <c r="AF125" s="1126"/>
      <c r="AG125" s="1126"/>
      <c r="AH125" s="1126"/>
      <c r="AI125" s="1126"/>
      <c r="AJ125" s="1126"/>
      <c r="AK125" s="1126"/>
      <c r="AL125" s="1126"/>
      <c r="AM125" s="1126"/>
      <c r="AN125" s="1126"/>
      <c r="AO125" s="1126"/>
      <c r="AP125" s="1126"/>
      <c r="AQ125" s="1126"/>
    </row>
    <row r="126" spans="1:43" s="1944" customFormat="1" ht="17.25" hidden="1" customHeight="1">
      <c r="A126" s="232"/>
      <c r="C126" s="125"/>
      <c r="D126" s="3426">
        <v>3</v>
      </c>
      <c r="E126" s="3427" t="s">
        <v>534</v>
      </c>
      <c r="F126" s="3429" t="s">
        <v>54</v>
      </c>
      <c r="G126" s="3427"/>
      <c r="H126" s="3432"/>
      <c r="I126" s="3434"/>
      <c r="J126" s="3436"/>
      <c r="K126" s="3420"/>
      <c r="L126" s="3420"/>
      <c r="M126" s="3420"/>
      <c r="N126" s="3422"/>
      <c r="O126" s="3420"/>
      <c r="P126" s="3420"/>
      <c r="Q126" s="3420"/>
      <c r="R126" s="3425"/>
      <c r="S126" s="3420"/>
      <c r="T126" s="1779"/>
      <c r="U126" s="1779"/>
      <c r="V126" s="1781"/>
      <c r="W126" s="1160"/>
      <c r="X126" s="1133"/>
      <c r="Y126" s="1133"/>
      <c r="Z126" s="1133"/>
      <c r="AA126" s="1133"/>
      <c r="AB126" s="1133"/>
      <c r="AC126" s="1133" t="s">
        <v>535</v>
      </c>
      <c r="AD126" s="1133" t="s">
        <v>536</v>
      </c>
      <c r="AE126" s="1133" t="s">
        <v>537</v>
      </c>
      <c r="AF126" s="1133" t="s">
        <v>538</v>
      </c>
      <c r="AG126" s="1133"/>
      <c r="AH126" s="1133" t="e">
        <f>IF(#REF!=0,"",#REF!)</f>
        <v>#REF!</v>
      </c>
      <c r="AI126" s="1133" t="e">
        <f>IF(#REF!=0,"",#REF!)</f>
        <v>#REF!</v>
      </c>
      <c r="AJ126" s="1133" t="e">
        <f>IF(#REF!=0,"",#REF!)</f>
        <v>#REF!</v>
      </c>
      <c r="AK126" s="1133" t="e">
        <f>IF(#REF!="нет","без дифференциации",IF(#REF!=0,"",#REF!))</f>
        <v>#REF!</v>
      </c>
      <c r="AL126" s="1133" t="e">
        <f>IF(#REF!="нет","без дифференциации",IF(#REF!=0,"",#REF!))</f>
        <v>#REF!</v>
      </c>
      <c r="AM126" s="1133" t="e">
        <f>IF(#REF!="нет","без дифференциации",IF(#REF!=0,"",#REF!))</f>
        <v>#REF!</v>
      </c>
      <c r="AN126" s="1615" t="e">
        <f>#REF!</f>
        <v>#REF!</v>
      </c>
      <c r="AO126" s="1133" t="e">
        <f>#REF!&amp;"."&amp;#REF!</f>
        <v>#REF!</v>
      </c>
      <c r="AP126" s="1132" t="e">
        <f>#REF!&amp;"."&amp;#REF!&amp;"."&amp;#REF!</f>
        <v>#REF!</v>
      </c>
      <c r="AQ126" s="1132" t="e">
        <f>#REF!&amp;"."&amp;#REF!&amp;"."&amp;#REF!&amp;"."&amp;#REF!</f>
        <v>#REF!</v>
      </c>
    </row>
    <row r="127" spans="1:43" s="1944" customFormat="1" ht="17.25" hidden="1" customHeight="1">
      <c r="A127" s="232"/>
      <c r="C127" s="231"/>
      <c r="D127" s="3426"/>
      <c r="E127" s="3427"/>
      <c r="F127" s="3430"/>
      <c r="G127" s="3427"/>
      <c r="H127" s="3433"/>
      <c r="I127" s="3435"/>
      <c r="J127" s="3437"/>
      <c r="K127" s="3421"/>
      <c r="L127" s="3421"/>
      <c r="M127" s="3421"/>
      <c r="N127" s="3423"/>
      <c r="O127" s="3421"/>
      <c r="P127" s="3421"/>
      <c r="Q127" s="3421"/>
      <c r="R127" s="3424"/>
      <c r="S127" s="3421"/>
      <c r="T127" s="1784"/>
      <c r="U127" s="1784"/>
      <c r="V127" s="1784"/>
      <c r="W127" s="1785"/>
      <c r="X127" s="1132"/>
      <c r="Y127" s="1132"/>
      <c r="Z127" s="1132"/>
      <c r="AA127" s="1132"/>
      <c r="AB127" s="1132"/>
      <c r="AC127" s="1132"/>
      <c r="AD127" s="1132"/>
      <c r="AE127" s="1132"/>
      <c r="AF127" s="1132"/>
      <c r="AG127" s="1132"/>
      <c r="AH127" s="1132"/>
      <c r="AI127" s="1132"/>
      <c r="AJ127" s="1132"/>
      <c r="AK127" s="1132"/>
      <c r="AL127" s="1132"/>
      <c r="AM127" s="1132"/>
      <c r="AN127" s="1132"/>
      <c r="AO127" s="1132"/>
      <c r="AP127" s="1132"/>
      <c r="AQ127" s="1132"/>
    </row>
    <row r="128" spans="1:43" s="1944" customFormat="1" ht="17.25" hidden="1" customHeight="1">
      <c r="A128" s="232"/>
      <c r="C128" s="231"/>
      <c r="D128" s="3410"/>
      <c r="E128" s="3428"/>
      <c r="F128" s="3430"/>
      <c r="G128" s="3428"/>
      <c r="H128" s="3433"/>
      <c r="I128" s="3435"/>
      <c r="J128" s="3438"/>
      <c r="K128" s="3421"/>
      <c r="L128" s="3421"/>
      <c r="M128" s="3421"/>
      <c r="N128" s="3424"/>
      <c r="O128" s="3421"/>
      <c r="P128" s="1780"/>
      <c r="Q128" s="1784"/>
      <c r="R128" s="1784"/>
      <c r="S128" s="240"/>
      <c r="T128" s="240"/>
      <c r="U128" s="240"/>
      <c r="V128" s="240"/>
      <c r="W128" s="1785"/>
      <c r="X128" s="1132"/>
      <c r="Y128" s="1132"/>
      <c r="Z128" s="1132"/>
      <c r="AA128" s="1132"/>
      <c r="AB128" s="1132"/>
      <c r="AC128" s="1132"/>
      <c r="AD128" s="1132"/>
      <c r="AE128" s="1132"/>
      <c r="AF128" s="1132"/>
      <c r="AG128" s="1132"/>
      <c r="AH128" s="1132"/>
      <c r="AI128" s="1132"/>
      <c r="AJ128" s="1132"/>
      <c r="AK128" s="1132"/>
      <c r="AL128" s="1132"/>
      <c r="AM128" s="1132"/>
      <c r="AN128" s="1132"/>
      <c r="AO128" s="1132"/>
      <c r="AP128" s="1132"/>
      <c r="AQ128" s="1132"/>
    </row>
    <row r="129" spans="1:43" s="1944" customFormat="1" ht="17.25" hidden="1" customHeight="1">
      <c r="A129" s="232"/>
      <c r="C129" s="231"/>
      <c r="D129" s="3410"/>
      <c r="E129" s="3428"/>
      <c r="F129" s="3430"/>
      <c r="G129" s="3428"/>
      <c r="H129" s="3433"/>
      <c r="I129" s="3435"/>
      <c r="J129" s="3438"/>
      <c r="K129" s="3421"/>
      <c r="L129" s="1784"/>
      <c r="M129" s="1784"/>
      <c r="N129" s="1784"/>
      <c r="O129" s="1784"/>
      <c r="P129" s="1784"/>
      <c r="Q129" s="1784"/>
      <c r="R129" s="1784"/>
      <c r="S129" s="240"/>
      <c r="T129" s="240"/>
      <c r="U129" s="240"/>
      <c r="V129" s="240"/>
      <c r="W129" s="1785"/>
      <c r="X129" s="1132"/>
      <c r="Y129" s="1132"/>
      <c r="Z129" s="1132"/>
      <c r="AA129" s="1132"/>
      <c r="AB129" s="1132"/>
      <c r="AC129" s="1132"/>
      <c r="AD129" s="1132"/>
      <c r="AE129" s="1132"/>
      <c r="AF129" s="1132"/>
      <c r="AG129" s="1132"/>
      <c r="AH129" s="1132"/>
      <c r="AI129" s="1132"/>
      <c r="AJ129" s="1132"/>
      <c r="AK129" s="1132"/>
      <c r="AL129" s="1132"/>
      <c r="AM129" s="1132"/>
      <c r="AN129" s="1132"/>
      <c r="AO129" s="1132"/>
      <c r="AP129" s="1132"/>
      <c r="AQ129" s="1132"/>
    </row>
    <row r="130" spans="1:43" s="1944" customFormat="1" ht="17.25" hidden="1" customHeight="1">
      <c r="A130" s="232"/>
      <c r="C130" s="231"/>
      <c r="D130" s="3410"/>
      <c r="E130" s="3428"/>
      <c r="F130" s="3431"/>
      <c r="G130" s="3428"/>
      <c r="H130" s="1163"/>
      <c r="I130" s="1782"/>
      <c r="J130" s="1782"/>
      <c r="K130" s="1782"/>
      <c r="L130" s="1782"/>
      <c r="M130" s="1782"/>
      <c r="N130" s="1782"/>
      <c r="O130" s="1782"/>
      <c r="P130" s="1782"/>
      <c r="Q130" s="1782"/>
      <c r="R130" s="1782"/>
      <c r="S130" s="1165"/>
      <c r="T130" s="1165"/>
      <c r="U130" s="1165"/>
      <c r="V130" s="1165"/>
      <c r="W130" s="1783"/>
      <c r="X130" s="1132"/>
      <c r="Y130" s="1132"/>
      <c r="Z130" s="1132"/>
      <c r="AA130" s="1132"/>
      <c r="AB130" s="1132"/>
      <c r="AC130" s="1132"/>
      <c r="AD130" s="1132"/>
      <c r="AE130" s="1132"/>
      <c r="AF130" s="1132"/>
      <c r="AG130" s="1132"/>
      <c r="AH130" s="1132"/>
      <c r="AI130" s="1132"/>
      <c r="AJ130" s="1132"/>
      <c r="AK130" s="1132"/>
      <c r="AL130" s="1132"/>
      <c r="AM130" s="1132"/>
      <c r="AN130" s="1132"/>
      <c r="AO130" s="1132"/>
      <c r="AP130" s="1132"/>
      <c r="AQ130" s="1132"/>
    </row>
    <row r="134" spans="1:43" ht="11.25" customHeight="1">
      <c r="E134" s="1212"/>
    </row>
    <row r="135" spans="1:43" ht="11.25" customHeight="1">
      <c r="E135" s="1212"/>
    </row>
    <row r="136" spans="1:43" ht="11.25" customHeight="1">
      <c r="E136" s="1212"/>
    </row>
    <row r="137" spans="1:43" ht="11.25" customHeight="1">
      <c r="E137" s="1212"/>
    </row>
    <row r="138" spans="1:43" ht="11.25" customHeight="1">
      <c r="E138" s="1212"/>
    </row>
    <row r="139" spans="1:43" ht="11.25" customHeight="1">
      <c r="E139" s="1212"/>
    </row>
    <row r="140" spans="1:43" ht="11.25" customHeight="1">
      <c r="E140" s="1212"/>
    </row>
  </sheetData>
  <sheetProtection formatColumns="0" formatRows="0" insertRows="0" deleteColumns="0" deleteRows="0" sort="0" autoFilter="0"/>
  <mergeCells count="363">
    <mergeCell ref="D53:D57"/>
    <mergeCell ref="M94:M96"/>
    <mergeCell ref="M53:M55"/>
    <mergeCell ref="N53:N55"/>
    <mergeCell ref="O53:O55"/>
    <mergeCell ref="P53:P54"/>
    <mergeCell ref="Q53:Q54"/>
    <mergeCell ref="R53:R54"/>
    <mergeCell ref="S53:S54"/>
    <mergeCell ref="D58:D62"/>
    <mergeCell ref="E58:E62"/>
    <mergeCell ref="F58:F62"/>
    <mergeCell ref="G58:G62"/>
    <mergeCell ref="H58:H61"/>
    <mergeCell ref="I58:I61"/>
    <mergeCell ref="J58:J61"/>
    <mergeCell ref="K58:K61"/>
    <mergeCell ref="L58:L60"/>
    <mergeCell ref="M58:M60"/>
    <mergeCell ref="N58:N60"/>
    <mergeCell ref="O58:O60"/>
    <mergeCell ref="P58:P59"/>
    <mergeCell ref="Q58:Q59"/>
    <mergeCell ref="R58:R59"/>
    <mergeCell ref="S58:S59"/>
    <mergeCell ref="E53:E57"/>
    <mergeCell ref="F53:F57"/>
    <mergeCell ref="G53:G57"/>
    <mergeCell ref="H53:H56"/>
    <mergeCell ref="I53:I56"/>
    <mergeCell ref="J53:J56"/>
    <mergeCell ref="K53:K56"/>
    <mergeCell ref="L53:L55"/>
    <mergeCell ref="M89:M91"/>
    <mergeCell ref="N89:N91"/>
    <mergeCell ref="O89:O91"/>
    <mergeCell ref="P89:P90"/>
    <mergeCell ref="Q89:Q90"/>
    <mergeCell ref="R89:R90"/>
    <mergeCell ref="S89:S90"/>
    <mergeCell ref="D84:D88"/>
    <mergeCell ref="E84:E88"/>
    <mergeCell ref="M84:M86"/>
    <mergeCell ref="D89:D93"/>
    <mergeCell ref="E89:E93"/>
    <mergeCell ref="F89:F93"/>
    <mergeCell ref="G89:G93"/>
    <mergeCell ref="H89:H92"/>
    <mergeCell ref="I89:I92"/>
    <mergeCell ref="J89:J92"/>
    <mergeCell ref="K89:K92"/>
    <mergeCell ref="L89:L91"/>
    <mergeCell ref="F84:F88"/>
    <mergeCell ref="G84:G88"/>
    <mergeCell ref="H84:H87"/>
    <mergeCell ref="I84:I87"/>
    <mergeCell ref="J84:J87"/>
    <mergeCell ref="L84:L86"/>
    <mergeCell ref="Q79:Q80"/>
    <mergeCell ref="R79:R80"/>
    <mergeCell ref="S79:S80"/>
    <mergeCell ref="K79:K82"/>
    <mergeCell ref="K74:K77"/>
    <mergeCell ref="N79:N81"/>
    <mergeCell ref="O79:O81"/>
    <mergeCell ref="P79:P80"/>
    <mergeCell ref="S84:S85"/>
    <mergeCell ref="N84:N86"/>
    <mergeCell ref="O84:O86"/>
    <mergeCell ref="P84:P85"/>
    <mergeCell ref="Q84:Q85"/>
    <mergeCell ref="R84:R85"/>
    <mergeCell ref="L79:L81"/>
    <mergeCell ref="N74:N76"/>
    <mergeCell ref="O74:O76"/>
    <mergeCell ref="P74:P75"/>
    <mergeCell ref="Q74:Q75"/>
    <mergeCell ref="R74:R75"/>
    <mergeCell ref="S74:S75"/>
    <mergeCell ref="M79:M81"/>
    <mergeCell ref="W9:W10"/>
    <mergeCell ref="O9:R9"/>
    <mergeCell ref="K9:N9"/>
    <mergeCell ref="T11:U11"/>
    <mergeCell ref="S9:V9"/>
    <mergeCell ref="T10:U10"/>
    <mergeCell ref="D74:D78"/>
    <mergeCell ref="E74:E78"/>
    <mergeCell ref="D79:D83"/>
    <mergeCell ref="E79:E83"/>
    <mergeCell ref="F79:F83"/>
    <mergeCell ref="G79:G83"/>
    <mergeCell ref="H79:H82"/>
    <mergeCell ref="I79:I82"/>
    <mergeCell ref="J79:J82"/>
    <mergeCell ref="F74:F78"/>
    <mergeCell ref="G74:G78"/>
    <mergeCell ref="H74:H77"/>
    <mergeCell ref="I74:I77"/>
    <mergeCell ref="J74:J77"/>
    <mergeCell ref="K13:K16"/>
    <mergeCell ref="G18:G22"/>
    <mergeCell ref="K18:K21"/>
    <mergeCell ref="N23:N2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S18:S19"/>
    <mergeCell ref="M100:M102"/>
    <mergeCell ref="N100:N102"/>
    <mergeCell ref="O100:O102"/>
    <mergeCell ref="P100:P101"/>
    <mergeCell ref="Q100:Q101"/>
    <mergeCell ref="R100:R101"/>
    <mergeCell ref="S100:S101"/>
    <mergeCell ref="O48:O50"/>
    <mergeCell ref="E72:W72"/>
    <mergeCell ref="E64:W64"/>
    <mergeCell ref="E65:W65"/>
    <mergeCell ref="E66:W66"/>
    <mergeCell ref="E67:W67"/>
    <mergeCell ref="E68:W68"/>
    <mergeCell ref="L74:L76"/>
    <mergeCell ref="M74:M76"/>
    <mergeCell ref="E70:W70"/>
    <mergeCell ref="E71:W71"/>
    <mergeCell ref="K84:K87"/>
    <mergeCell ref="E38:E42"/>
    <mergeCell ref="F38:F42"/>
    <mergeCell ref="H38:H41"/>
    <mergeCell ref="G38:G42"/>
    <mergeCell ref="R13:R14"/>
    <mergeCell ref="S13:S14"/>
    <mergeCell ref="M43:M45"/>
    <mergeCell ref="N43:N45"/>
    <mergeCell ref="O43:O45"/>
    <mergeCell ref="N33:N35"/>
    <mergeCell ref="D100:D104"/>
    <mergeCell ref="E100:E104"/>
    <mergeCell ref="F100:F104"/>
    <mergeCell ref="G100:G104"/>
    <mergeCell ref="H100:H103"/>
    <mergeCell ref="I100:I103"/>
    <mergeCell ref="J100:J103"/>
    <mergeCell ref="K100:K103"/>
    <mergeCell ref="L100:L102"/>
    <mergeCell ref="P48:P49"/>
    <mergeCell ref="Q48:Q49"/>
    <mergeCell ref="R48:R49"/>
    <mergeCell ref="S48:S49"/>
    <mergeCell ref="P43:P44"/>
    <mergeCell ref="Q43:Q44"/>
    <mergeCell ref="R43:R44"/>
    <mergeCell ref="S43:S44"/>
    <mergeCell ref="S23:S24"/>
    <mergeCell ref="S116:S117"/>
    <mergeCell ref="D116:D120"/>
    <mergeCell ref="E116:E120"/>
    <mergeCell ref="F116:F120"/>
    <mergeCell ref="G116:G120"/>
    <mergeCell ref="M105:M107"/>
    <mergeCell ref="N105:N107"/>
    <mergeCell ref="O105:O107"/>
    <mergeCell ref="P105:P106"/>
    <mergeCell ref="Q105:Q106"/>
    <mergeCell ref="R105:R106"/>
    <mergeCell ref="S105:S106"/>
    <mergeCell ref="D105:D109"/>
    <mergeCell ref="E105:E109"/>
    <mergeCell ref="F105:F109"/>
    <mergeCell ref="G105:G109"/>
    <mergeCell ref="H105:H108"/>
    <mergeCell ref="I105:I108"/>
    <mergeCell ref="J105:J108"/>
    <mergeCell ref="K105:K108"/>
    <mergeCell ref="L105:L107"/>
    <mergeCell ref="O116:O118"/>
    <mergeCell ref="M121:M123"/>
    <mergeCell ref="N121:N123"/>
    <mergeCell ref="O121:O123"/>
    <mergeCell ref="P116:P117"/>
    <mergeCell ref="Q116:Q117"/>
    <mergeCell ref="R116:R117"/>
    <mergeCell ref="P121:P122"/>
    <mergeCell ref="Q121:Q122"/>
    <mergeCell ref="R121:R122"/>
    <mergeCell ref="F94:F98"/>
    <mergeCell ref="G94:G98"/>
    <mergeCell ref="H94:H97"/>
    <mergeCell ref="I94:I97"/>
    <mergeCell ref="J94:J97"/>
    <mergeCell ref="K94:K97"/>
    <mergeCell ref="L94:L96"/>
    <mergeCell ref="S121:S122"/>
    <mergeCell ref="D121:D125"/>
    <mergeCell ref="E121:E125"/>
    <mergeCell ref="F121:F125"/>
    <mergeCell ref="G121:G125"/>
    <mergeCell ref="H121:H124"/>
    <mergeCell ref="I121:I124"/>
    <mergeCell ref="J121:J124"/>
    <mergeCell ref="K121:K124"/>
    <mergeCell ref="L121:L123"/>
    <mergeCell ref="H116:H119"/>
    <mergeCell ref="I116:I119"/>
    <mergeCell ref="J116:J119"/>
    <mergeCell ref="K116:K119"/>
    <mergeCell ref="L116:L118"/>
    <mergeCell ref="M116:M118"/>
    <mergeCell ref="N116:N118"/>
    <mergeCell ref="N94:N96"/>
    <mergeCell ref="O94:O96"/>
    <mergeCell ref="P94:P95"/>
    <mergeCell ref="Q94:Q95"/>
    <mergeCell ref="R94:R95"/>
    <mergeCell ref="S94:S95"/>
    <mergeCell ref="D110:D114"/>
    <mergeCell ref="E110:E114"/>
    <mergeCell ref="F110:F114"/>
    <mergeCell ref="G110:G114"/>
    <mergeCell ref="H110:H113"/>
    <mergeCell ref="I110:I113"/>
    <mergeCell ref="J110:J113"/>
    <mergeCell ref="K110:K113"/>
    <mergeCell ref="L110:L112"/>
    <mergeCell ref="M110:M112"/>
    <mergeCell ref="N110:N112"/>
    <mergeCell ref="O110:O112"/>
    <mergeCell ref="P110:P111"/>
    <mergeCell ref="Q110:Q111"/>
    <mergeCell ref="R110:R111"/>
    <mergeCell ref="S110:S111"/>
    <mergeCell ref="D94:D98"/>
    <mergeCell ref="E94:E98"/>
    <mergeCell ref="M126:M128"/>
    <mergeCell ref="N126:N128"/>
    <mergeCell ref="O126:O128"/>
    <mergeCell ref="P126:P127"/>
    <mergeCell ref="Q126:Q127"/>
    <mergeCell ref="R126:R127"/>
    <mergeCell ref="S126:S127"/>
    <mergeCell ref="D126:D130"/>
    <mergeCell ref="E126:E130"/>
    <mergeCell ref="F126:F130"/>
    <mergeCell ref="G126:G130"/>
    <mergeCell ref="H126:H129"/>
    <mergeCell ref="I126:I129"/>
    <mergeCell ref="J126:J129"/>
    <mergeCell ref="K126:K129"/>
    <mergeCell ref="L126:L128"/>
  </mergeCells>
  <dataValidations count="4">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O13:O14 S13:S14 K28:K29 O28:O29 S28:S29 K74:K75 O74:O75 S74:S75 K79:K80 O79:O80 S79:S80 K89:K90 O89:O90 S89:S90 K84:K85 O84:O85 S48:S49 S84:S85 K48:K49 O48:O49 F13:F62 O100:O101 S100:S101 O105:O106 S105:S106 K100:K101 K105:K106 S94:S95 K121:K122 O121:O122 K116:K117 O116:O117 S121:S122 O110:O111 S116:S117 O53:O54 S53:S54 K53:K54 K58:K59 O58:O59 S58:S59 F74:F98 K94:K95 O94:O95 F100:F114 S110:S111 K110:K111 F116:F130 S126:S127 K126:K127 O126:O127" xr:uid="{00000000-0002-0000-0400-000000000000}"/>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74:J75 R74:R75 V74:W74 J79:J80 R79:R80 V79:W79 J89:J90 R89:R90 V89:W89 J84:J85 R84:R85 V84:W84 J48:J49 R48:R49 V48:W48 J100:J101 R100:R101 V100:W100 J105:J106 R105:R106 V105:W105 J121:J122 R121:R122 V121:W121 J116:J117 R116:R117 V116:W116 J53:J54 R53:R54 V53:W53 J58:J59 R58:R59 V58:W58 J94:J95 R94:R95 V94:W94 J110:J111 R110:R111 V110:W110 J126:J127 R126:R127 V126:W126"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4:N76 N89:N91 N79:N81 N84:N86 N48:N50 N100:N102 N105:N107 N121:N123 N116:N118 N53:N55 N58:N60 N94:N96 N110:N112 N126:N128"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0:G114 G13:G62 G74:G98 G116:G130" xr:uid="{00000000-0002-0000-04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53AD3-6428-61E4-F82C-B01FBC1B79F4}">
  <dimension ref="A1:I24"/>
  <sheetViews>
    <sheetView showGridLines="0" topLeftCell="C4" zoomScale="90" workbookViewId="0"/>
  </sheetViews>
  <sheetFormatPr defaultColWidth="9.140625" defaultRowHeight="11.25" customHeight="1"/>
  <cols>
    <col min="1" max="2" width="15" style="1825" hidden="1" customWidth="1"/>
    <col min="3" max="3" width="3.7109375" style="1828" customWidth="1"/>
    <col min="4" max="4" width="6.85546875" style="1829" customWidth="1"/>
    <col min="5" max="5" width="52.28515625" style="1828" customWidth="1"/>
    <col min="6" max="6" width="48.85546875" style="1828" customWidth="1"/>
    <col min="7" max="7" width="93.42578125" style="1828" customWidth="1"/>
    <col min="8" max="8" width="9.140625" style="1828"/>
    <col min="9" max="9" width="65" style="1828" customWidth="1"/>
  </cols>
  <sheetData>
    <row r="1" spans="1:9" ht="11.25" hidden="1" customHeight="1">
      <c r="A1" s="399" t="s">
        <v>559</v>
      </c>
    </row>
    <row r="2" spans="1:9" ht="22.5" hidden="1" customHeight="1">
      <c r="A2" s="400"/>
      <c r="B2" s="400"/>
      <c r="C2" s="1573" t="s">
        <v>118</v>
      </c>
      <c r="D2" s="1375"/>
      <c r="E2" s="1381"/>
      <c r="F2" s="1402"/>
      <c r="H2" s="374"/>
    </row>
    <row r="3" spans="1:9" ht="11.25" hidden="1" customHeight="1"/>
    <row r="4" spans="1:9" ht="11.25" customHeight="1">
      <c r="A4" s="1403"/>
      <c r="B4" s="1403"/>
    </row>
    <row r="5" spans="1:9" ht="26.25" customHeight="1">
      <c r="D5" s="339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3395"/>
      <c r="F5" s="3396"/>
      <c r="I5" s="605"/>
    </row>
    <row r="6" spans="1:9" ht="17.25" customHeight="1">
      <c r="D6" s="3480" t="str">
        <f>IF(region_name=0,"Не определено",region_name)</f>
        <v>Орловская область</v>
      </c>
      <c r="E6" s="3480"/>
      <c r="F6" s="3480"/>
      <c r="I6" s="605"/>
    </row>
    <row r="7" spans="1:9" s="1824" customFormat="1" ht="11.25" customHeight="1">
      <c r="A7" s="399"/>
      <c r="B7" s="399"/>
      <c r="D7" s="604"/>
      <c r="E7" s="604"/>
      <c r="F7" s="640"/>
      <c r="G7" s="604"/>
    </row>
    <row r="8" spans="1:9" ht="11.25" hidden="1" customHeight="1">
      <c r="A8" s="400"/>
      <c r="B8" s="400"/>
      <c r="C8" s="357"/>
      <c r="D8" s="362"/>
      <c r="E8" s="3487"/>
      <c r="F8" s="3487"/>
    </row>
    <row r="9" spans="1:9" ht="11.25" customHeight="1">
      <c r="A9" s="400"/>
      <c r="B9" s="400"/>
      <c r="C9" s="357"/>
      <c r="D9" s="3483" t="s">
        <v>560</v>
      </c>
      <c r="E9" s="3484"/>
      <c r="F9" s="3484"/>
      <c r="G9" s="3488" t="s">
        <v>561</v>
      </c>
    </row>
    <row r="10" spans="1:9" ht="11.25" customHeight="1">
      <c r="A10" s="400"/>
      <c r="B10" s="400"/>
      <c r="C10" s="357"/>
      <c r="D10" s="1329" t="s">
        <v>85</v>
      </c>
      <c r="E10" s="1331" t="s">
        <v>562</v>
      </c>
      <c r="F10" s="1331" t="s">
        <v>563</v>
      </c>
      <c r="G10" s="3489"/>
    </row>
    <row r="11" spans="1:9" ht="0.75" customHeight="1">
      <c r="A11" s="400"/>
      <c r="B11" s="400"/>
      <c r="C11" s="357"/>
      <c r="D11" s="363"/>
      <c r="E11" s="363"/>
      <c r="F11" s="363"/>
      <c r="G11" s="363"/>
    </row>
    <row r="12" spans="1:9" ht="22.5" customHeight="1">
      <c r="A12" s="400"/>
      <c r="B12" s="400"/>
      <c r="C12" s="357"/>
      <c r="D12" s="1375">
        <v>1</v>
      </c>
      <c r="E12" s="373"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747" t="str">
        <f>IF(org="","",org)</f>
        <v>АО "Орелгортеплоэнерго"</v>
      </c>
      <c r="G12" s="373"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387"/>
    </row>
    <row r="13" spans="1:9" ht="18.75" customHeight="1">
      <c r="A13" s="400"/>
      <c r="B13" s="400"/>
      <c r="C13" s="357"/>
      <c r="D13" s="1375">
        <v>2</v>
      </c>
      <c r="E13" s="1382" t="s">
        <v>2168</v>
      </c>
      <c r="F13" s="1376" t="s">
        <v>566</v>
      </c>
      <c r="G13" s="373"/>
      <c r="H13" s="1387"/>
    </row>
    <row r="14" spans="1:9" ht="18.75" customHeight="1">
      <c r="A14" s="400"/>
      <c r="B14" s="400"/>
      <c r="C14" s="357"/>
      <c r="D14" s="1378" t="s">
        <v>979</v>
      </c>
      <c r="E14" s="1379" t="s">
        <v>2169</v>
      </c>
      <c r="F14" s="1381"/>
      <c r="G14" s="1380" t="s">
        <v>2170</v>
      </c>
      <c r="H14" s="1387"/>
    </row>
    <row r="15" spans="1:9" ht="18.75" customHeight="1">
      <c r="A15" s="400"/>
      <c r="B15" s="400"/>
      <c r="C15" s="357"/>
      <c r="D15" s="1378" t="s">
        <v>567</v>
      </c>
      <c r="E15" s="1379" t="s">
        <v>2171</v>
      </c>
      <c r="F15" s="1381"/>
      <c r="G15" s="1380" t="s">
        <v>2172</v>
      </c>
      <c r="H15" s="1387"/>
    </row>
    <row r="16" spans="1:9" ht="22.5" customHeight="1">
      <c r="A16" s="400"/>
      <c r="B16" s="400"/>
      <c r="C16" s="357"/>
      <c r="D16" s="1378" t="s">
        <v>570</v>
      </c>
      <c r="E16" s="1377" t="s">
        <v>2173</v>
      </c>
      <c r="F16" s="1385"/>
      <c r="G16" s="373" t="s">
        <v>2174</v>
      </c>
      <c r="H16" s="1387"/>
    </row>
    <row r="17" spans="1:9" ht="45" customHeight="1">
      <c r="A17" s="400"/>
      <c r="B17" s="400"/>
      <c r="C17" s="357"/>
      <c r="D17" s="1375">
        <v>3</v>
      </c>
      <c r="E17" s="1382" t="s">
        <v>2175</v>
      </c>
      <c r="F17" s="1381"/>
      <c r="G17" s="373" t="s">
        <v>2176</v>
      </c>
      <c r="H17" s="1387"/>
    </row>
    <row r="18" spans="1:9" ht="45" customHeight="1">
      <c r="A18" s="1330">
        <v>1</v>
      </c>
      <c r="B18" s="400"/>
      <c r="C18" s="1332"/>
      <c r="D18" s="1375" t="s">
        <v>88</v>
      </c>
      <c r="E18" s="1382" t="s">
        <v>2177</v>
      </c>
      <c r="F18" s="1381"/>
      <c r="G18" s="373" t="s">
        <v>2176</v>
      </c>
      <c r="H18" s="1387"/>
      <c r="I18" s="729"/>
    </row>
    <row r="19" spans="1:9" ht="22.5" customHeight="1">
      <c r="A19" s="400"/>
      <c r="B19" s="400"/>
      <c r="C19" s="357"/>
      <c r="D19" s="1375" t="s">
        <v>108</v>
      </c>
      <c r="E19" s="1382" t="s">
        <v>2178</v>
      </c>
      <c r="F19" s="1376" t="s">
        <v>566</v>
      </c>
      <c r="G19" s="3688" t="s">
        <v>2179</v>
      </c>
      <c r="H19" s="374"/>
    </row>
    <row r="20" spans="1:9" s="1920" customFormat="1" ht="5.25" hidden="1" customHeight="1">
      <c r="A20" s="400"/>
      <c r="B20" s="400"/>
      <c r="C20" s="1384"/>
      <c r="D20" s="1383" t="s">
        <v>1389</v>
      </c>
      <c r="E20" s="884"/>
      <c r="F20" s="883"/>
      <c r="G20" s="3689"/>
    </row>
    <row r="21" spans="1:9" ht="15" customHeight="1">
      <c r="A21" s="400"/>
      <c r="B21" s="400"/>
      <c r="C21" s="357"/>
      <c r="D21" s="366"/>
      <c r="E21" s="322" t="s">
        <v>601</v>
      </c>
      <c r="F21" s="368"/>
      <c r="G21" s="3690"/>
      <c r="H21" s="1387"/>
    </row>
    <row r="22" spans="1:9" s="1825" customFormat="1" ht="24.75" customHeight="1">
      <c r="A22" s="400"/>
      <c r="B22" s="400"/>
      <c r="C22" s="400"/>
      <c r="D22" s="1375" t="s">
        <v>89</v>
      </c>
      <c r="E22" s="373" t="s">
        <v>2180</v>
      </c>
      <c r="F22" s="1381"/>
      <c r="G22" s="373" t="s">
        <v>2181</v>
      </c>
      <c r="H22" s="1386"/>
    </row>
    <row r="23" spans="1:9" s="1825" customFormat="1" ht="18.75" customHeight="1">
      <c r="A23" s="400"/>
      <c r="B23" s="400"/>
      <c r="C23" s="400"/>
      <c r="D23" s="1375" t="s">
        <v>90</v>
      </c>
      <c r="E23" s="1382" t="s">
        <v>2182</v>
      </c>
      <c r="F23" s="1385"/>
      <c r="G23" s="373" t="s">
        <v>2183</v>
      </c>
      <c r="H23" s="1386"/>
    </row>
    <row r="24" spans="1:9" s="1825" customFormat="1" ht="144" hidden="1" customHeight="1">
      <c r="A24" s="400"/>
      <c r="B24" s="400"/>
      <c r="C24" s="400"/>
      <c r="D24" s="1375" t="s">
        <v>109</v>
      </c>
      <c r="E24" s="1736"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737"/>
      <c r="G24" s="1735"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386"/>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1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xr:uid="{00000000-0002-0000-31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5A578-D563-2EDD-D96D-AE26D578F148}">
  <dimension ref="A1:IT23"/>
  <sheetViews>
    <sheetView showGridLines="0" topLeftCell="D4" zoomScale="90" workbookViewId="0"/>
  </sheetViews>
  <sheetFormatPr defaultColWidth="9.140625" defaultRowHeight="14.25" customHeight="1"/>
  <cols>
    <col min="1" max="1" width="9.140625" style="1910" hidden="1"/>
    <col min="2" max="2" width="9.140625" style="1903" hidden="1"/>
    <col min="3" max="3" width="3.7109375" style="1910" hidden="1" customWidth="1"/>
    <col min="4" max="4" width="3.85546875" style="1940" customWidth="1"/>
    <col min="5" max="5" width="6.28515625" style="1910" customWidth="1"/>
    <col min="6" max="6" width="46.7109375" style="1910" customWidth="1"/>
    <col min="7" max="8" width="16.7109375" style="1910" customWidth="1"/>
    <col min="9" max="9" width="35.28515625" style="1910" customWidth="1"/>
    <col min="10" max="10" width="89.5703125" style="1910" customWidth="1"/>
    <col min="11" max="11" width="3.7109375" style="1904" customWidth="1"/>
    <col min="12" max="14" width="9.140625" style="1904"/>
    <col min="15" max="15" width="25.7109375" style="1904" customWidth="1"/>
    <col min="16" max="16" width="14.42578125" style="1904" customWidth="1"/>
    <col min="17" max="20" width="9.140625" style="1819"/>
    <col min="21" max="254" width="9.140625" style="1910"/>
  </cols>
  <sheetData>
    <row r="1" spans="1:254" ht="14.25" hidden="1" customHeight="1"/>
    <row r="2" spans="1:254" s="1962" customFormat="1" ht="22.5" hidden="1" customHeight="1">
      <c r="A2" s="712"/>
      <c r="B2" s="1023">
        <v>1</v>
      </c>
      <c r="C2" s="1023"/>
      <c r="D2" s="1764" t="s">
        <v>118</v>
      </c>
      <c r="E2" s="1339"/>
      <c r="F2" s="1346"/>
      <c r="G2" s="1346"/>
      <c r="H2" s="1346"/>
      <c r="I2" s="1392"/>
      <c r="J2" s="144"/>
      <c r="K2" s="1389"/>
      <c r="L2" s="409"/>
      <c r="M2" s="409"/>
      <c r="N2" s="398" t="str">
        <f t="array" ref="N2">IF(ISERROR(MATCH(MID(O2,1,250),MID(note_ter,1,250),0)),"n","y")</f>
        <v>n</v>
      </c>
      <c r="O2" s="409"/>
      <c r="P2" s="398" t="str">
        <f>G2&amp;"("&amp;J2&amp;")"</f>
        <v>()</v>
      </c>
      <c r="Q2" s="1023"/>
      <c r="R2" s="1023"/>
      <c r="S2" s="326"/>
      <c r="T2" s="1023"/>
      <c r="U2" s="1023"/>
      <c r="V2" s="1023"/>
      <c r="W2" s="328"/>
      <c r="X2" s="328"/>
      <c r="Y2" s="325"/>
      <c r="Z2" s="325"/>
      <c r="AA2" s="325"/>
      <c r="AB2" s="325"/>
      <c r="AC2" s="325"/>
      <c r="AD2" s="325"/>
      <c r="AE2" s="325"/>
      <c r="AF2" s="325"/>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5"/>
      <c r="BQ2" s="325"/>
      <c r="BR2" s="325"/>
      <c r="BS2" s="325"/>
      <c r="BT2" s="328"/>
      <c r="BU2" s="328"/>
      <c r="BV2" s="328"/>
      <c r="BW2" s="328"/>
      <c r="BX2" s="328"/>
      <c r="BY2" s="328"/>
      <c r="BZ2" s="328"/>
      <c r="CA2" s="328"/>
      <c r="CB2" s="328"/>
      <c r="CC2" s="328"/>
    </row>
    <row r="3" spans="1:254" s="1866" customFormat="1" ht="5.25" hidden="1" customHeight="1">
      <c r="A3" s="394"/>
      <c r="D3" s="392"/>
      <c r="F3" s="161" t="s">
        <v>80</v>
      </c>
      <c r="G3" s="392" t="s">
        <v>81</v>
      </c>
      <c r="H3" s="392"/>
      <c r="I3" s="392"/>
      <c r="J3" s="143" t="s">
        <v>82</v>
      </c>
      <c r="K3" s="161" t="s">
        <v>80</v>
      </c>
      <c r="L3" s="161"/>
      <c r="M3" s="161"/>
      <c r="N3" s="161"/>
      <c r="O3" s="162"/>
      <c r="P3" s="161"/>
      <c r="Q3" s="161"/>
      <c r="R3" s="161"/>
      <c r="S3" s="161"/>
      <c r="T3" s="161"/>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43"/>
      <c r="HM3" s="143"/>
      <c r="HN3" s="143"/>
      <c r="HO3" s="143"/>
      <c r="HP3" s="143"/>
      <c r="HQ3" s="143"/>
      <c r="HR3" s="143"/>
      <c r="HS3" s="143"/>
      <c r="HT3" s="143"/>
      <c r="HU3" s="143"/>
      <c r="HV3" s="143"/>
      <c r="HW3" s="143"/>
      <c r="HX3" s="143"/>
      <c r="HY3" s="143"/>
      <c r="HZ3" s="143"/>
      <c r="IA3" s="143"/>
      <c r="IB3" s="143"/>
      <c r="IC3" s="143"/>
      <c r="ID3" s="143"/>
      <c r="IE3" s="143"/>
      <c r="IF3" s="143"/>
      <c r="IG3" s="143"/>
      <c r="IH3" s="143"/>
      <c r="II3" s="143"/>
      <c r="IJ3" s="143"/>
      <c r="IK3" s="143"/>
      <c r="IL3" s="143"/>
      <c r="IM3" s="143"/>
      <c r="IN3" s="143"/>
      <c r="IO3" s="143"/>
      <c r="IP3" s="143"/>
      <c r="IQ3" s="143"/>
      <c r="IR3" s="143"/>
      <c r="IS3" s="143"/>
      <c r="IT3" s="143"/>
    </row>
    <row r="4" spans="1:254" s="1932" customFormat="1" ht="14.25" customHeight="1">
      <c r="A4" s="1018"/>
      <c r="B4" s="1023"/>
      <c r="C4" s="1018"/>
      <c r="D4" s="1350"/>
      <c r="E4" s="407"/>
      <c r="F4" s="407"/>
      <c r="G4" s="407"/>
      <c r="H4" s="407"/>
      <c r="I4" s="407"/>
      <c r="J4" s="83"/>
      <c r="K4" s="161"/>
      <c r="L4" s="398"/>
      <c r="M4" s="398"/>
      <c r="N4" s="398"/>
      <c r="O4" s="142"/>
      <c r="P4" s="398"/>
      <c r="Q4" s="141"/>
      <c r="R4" s="141"/>
      <c r="S4" s="141"/>
      <c r="T4" s="141"/>
    </row>
    <row r="5" spans="1:254" s="1932" customFormat="1" ht="25.5" customHeight="1">
      <c r="A5" s="1018"/>
      <c r="B5" s="1023"/>
      <c r="C5" s="1018"/>
      <c r="D5" s="1350"/>
      <c r="E5" s="338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3387"/>
      <c r="G5" s="3387"/>
      <c r="H5" s="3387"/>
      <c r="I5" s="3387"/>
      <c r="J5" s="3387"/>
      <c r="K5" s="161"/>
      <c r="L5" s="398"/>
      <c r="M5" s="398"/>
      <c r="N5" s="398"/>
      <c r="O5" s="142"/>
      <c r="P5" s="398"/>
      <c r="Q5" s="141"/>
      <c r="R5" s="141"/>
      <c r="S5" s="141"/>
      <c r="T5" s="141"/>
    </row>
    <row r="6" spans="1:254" s="1932" customFormat="1" ht="14.25" customHeight="1">
      <c r="A6" s="1018"/>
      <c r="B6" s="1023"/>
      <c r="C6" s="1018"/>
      <c r="D6" s="1350"/>
      <c r="E6" s="407"/>
      <c r="F6" s="84"/>
      <c r="G6" s="84"/>
      <c r="H6" s="84"/>
      <c r="I6" s="84"/>
      <c r="J6" s="85"/>
      <c r="K6" s="398"/>
      <c r="L6" s="398"/>
      <c r="M6" s="398"/>
      <c r="N6" s="398"/>
      <c r="O6" s="142"/>
      <c r="P6" s="398"/>
      <c r="Q6" s="141"/>
      <c r="R6" s="141"/>
      <c r="S6" s="141"/>
      <c r="T6" s="141"/>
    </row>
    <row r="7" spans="1:254" s="1932" customFormat="1" ht="14.25" customHeight="1">
      <c r="A7" s="1018"/>
      <c r="B7" s="1023"/>
      <c r="C7" s="1018"/>
      <c r="D7" s="1350"/>
      <c r="E7" s="3383" t="s">
        <v>560</v>
      </c>
      <c r="F7" s="3388"/>
      <c r="G7" s="3388"/>
      <c r="H7" s="3388"/>
      <c r="I7" s="3388"/>
      <c r="J7" s="3691" t="s">
        <v>561</v>
      </c>
      <c r="K7" s="398"/>
      <c r="L7" s="398"/>
      <c r="M7" s="398"/>
      <c r="N7" s="398"/>
      <c r="O7" s="142"/>
      <c r="P7" s="398"/>
      <c r="Q7" s="141"/>
      <c r="R7" s="141"/>
      <c r="S7" s="141"/>
      <c r="T7" s="141"/>
    </row>
    <row r="8" spans="1:254" s="1932" customFormat="1" ht="20.25" customHeight="1">
      <c r="A8" s="1018"/>
      <c r="B8" s="1023"/>
      <c r="C8" s="1018"/>
      <c r="D8" s="1350"/>
      <c r="E8" s="1401" t="s">
        <v>85</v>
      </c>
      <c r="F8" s="1394" t="s">
        <v>2184</v>
      </c>
      <c r="G8" s="1394" t="s">
        <v>45</v>
      </c>
      <c r="H8" s="1394" t="s">
        <v>47</v>
      </c>
      <c r="I8" s="1394" t="s">
        <v>2185</v>
      </c>
      <c r="J8" s="3692"/>
      <c r="K8" s="398"/>
      <c r="L8" s="398"/>
      <c r="M8" s="398"/>
      <c r="N8" s="398"/>
      <c r="O8" s="142"/>
      <c r="P8" s="398"/>
      <c r="Q8" s="141"/>
      <c r="R8" s="141"/>
      <c r="S8" s="141"/>
      <c r="T8" s="141"/>
    </row>
    <row r="9" spans="1:254" s="1962" customFormat="1" ht="22.5" customHeight="1">
      <c r="A9" s="3386"/>
      <c r="B9" s="1023">
        <v>1</v>
      </c>
      <c r="C9" s="1023"/>
      <c r="D9" s="682"/>
      <c r="E9" s="1339">
        <v>1</v>
      </c>
      <c r="F9" s="1400"/>
      <c r="G9" s="1346"/>
      <c r="H9" s="1346"/>
      <c r="I9" s="1392"/>
      <c r="J9" s="344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389"/>
      <c r="L9" s="409"/>
      <c r="M9" s="409"/>
      <c r="N9" s="398" t="str">
        <f t="array" ref="N9">IF(ISERROR(MATCH(MID(O9,1,250),MID(note_ter,1,250),0)),"n","y")</f>
        <v>n</v>
      </c>
      <c r="O9" s="409"/>
      <c r="P9" s="39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23"/>
      <c r="R9" s="1023"/>
      <c r="S9" s="326"/>
      <c r="T9" s="1023"/>
      <c r="U9" s="1023"/>
      <c r="V9" s="1023"/>
      <c r="W9" s="328"/>
      <c r="X9" s="328"/>
      <c r="Y9" s="325"/>
      <c r="Z9" s="325"/>
      <c r="AA9" s="325"/>
      <c r="AB9" s="325"/>
      <c r="AC9" s="325"/>
      <c r="AD9" s="325"/>
      <c r="AE9" s="325"/>
      <c r="AF9" s="325"/>
      <c r="AG9" s="325"/>
      <c r="AH9" s="325"/>
      <c r="AI9" s="325"/>
      <c r="AJ9" s="325"/>
      <c r="AK9" s="325"/>
      <c r="AL9" s="325"/>
      <c r="AM9" s="325"/>
      <c r="AN9" s="325"/>
      <c r="AO9" s="325"/>
      <c r="AP9" s="325"/>
      <c r="AQ9" s="325"/>
      <c r="AR9" s="325"/>
      <c r="AS9" s="325"/>
      <c r="AT9" s="325"/>
      <c r="AU9" s="325"/>
      <c r="AV9" s="325"/>
      <c r="AW9" s="325"/>
      <c r="AX9" s="325"/>
      <c r="AY9" s="325"/>
      <c r="AZ9" s="325"/>
      <c r="BA9" s="325"/>
      <c r="BB9" s="325"/>
      <c r="BC9" s="325"/>
      <c r="BD9" s="325"/>
      <c r="BE9" s="325"/>
      <c r="BF9" s="325"/>
      <c r="BG9" s="325"/>
      <c r="BH9" s="325"/>
      <c r="BI9" s="325"/>
      <c r="BJ9" s="325"/>
      <c r="BK9" s="325"/>
      <c r="BL9" s="325"/>
      <c r="BM9" s="325"/>
      <c r="BN9" s="325"/>
      <c r="BO9" s="325"/>
      <c r="BP9" s="325"/>
      <c r="BQ9" s="325"/>
      <c r="BR9" s="325"/>
      <c r="BS9" s="325"/>
      <c r="BT9" s="328"/>
      <c r="BU9" s="328"/>
      <c r="BV9" s="328"/>
      <c r="BW9" s="328"/>
      <c r="BX9" s="328"/>
      <c r="BY9" s="328"/>
      <c r="BZ9" s="328"/>
      <c r="CA9" s="328"/>
      <c r="CB9" s="328"/>
      <c r="CC9" s="328"/>
    </row>
    <row r="10" spans="1:254" s="1962" customFormat="1" ht="15" customHeight="1">
      <c r="A10" s="3386"/>
      <c r="B10" s="1023"/>
      <c r="C10" s="319"/>
      <c r="D10" s="682"/>
      <c r="E10" s="1395"/>
      <c r="F10" s="1355" t="s">
        <v>2186</v>
      </c>
      <c r="G10" s="1396"/>
      <c r="H10" s="1396"/>
      <c r="I10" s="1738"/>
      <c r="J10" s="3447"/>
      <c r="K10" s="1390"/>
      <c r="L10" s="409"/>
      <c r="M10" s="409"/>
      <c r="N10" s="409"/>
      <c r="O10" s="398"/>
      <c r="P10" s="409"/>
      <c r="Q10" s="1023"/>
      <c r="R10" s="1023"/>
      <c r="S10" s="326"/>
      <c r="T10" s="1023"/>
      <c r="U10" s="1023"/>
      <c r="V10" s="1023"/>
      <c r="W10" s="328"/>
      <c r="X10" s="328"/>
      <c r="Y10" s="325"/>
      <c r="Z10" s="325"/>
      <c r="AA10" s="325"/>
      <c r="AB10" s="325"/>
      <c r="AC10" s="325"/>
      <c r="AD10" s="325"/>
      <c r="AE10" s="325"/>
      <c r="AF10" s="325"/>
      <c r="AG10" s="325"/>
      <c r="AH10" s="325"/>
      <c r="AI10" s="325"/>
      <c r="AJ10" s="325"/>
      <c r="AK10" s="325"/>
      <c r="AL10" s="325"/>
      <c r="AM10" s="325"/>
      <c r="AN10" s="325"/>
      <c r="AO10" s="325"/>
      <c r="AP10" s="325"/>
      <c r="AQ10" s="325"/>
      <c r="AR10" s="325"/>
      <c r="AS10" s="325"/>
      <c r="AT10" s="325"/>
      <c r="AU10" s="325"/>
      <c r="AV10" s="325"/>
      <c r="AW10" s="325"/>
      <c r="AX10" s="325"/>
      <c r="AY10" s="325"/>
      <c r="AZ10" s="325"/>
      <c r="BA10" s="325"/>
      <c r="BB10" s="325"/>
      <c r="BC10" s="325"/>
      <c r="BD10" s="325"/>
      <c r="BE10" s="325"/>
      <c r="BF10" s="325"/>
      <c r="BG10" s="325"/>
      <c r="BH10" s="325"/>
      <c r="BI10" s="325"/>
      <c r="BJ10" s="325"/>
      <c r="BK10" s="325"/>
      <c r="BL10" s="325"/>
      <c r="BM10" s="325"/>
      <c r="BN10" s="325"/>
      <c r="BO10" s="325"/>
      <c r="BP10" s="325"/>
      <c r="BQ10" s="325"/>
      <c r="BR10" s="325"/>
      <c r="BS10" s="325"/>
      <c r="BT10" s="328"/>
      <c r="BU10" s="328"/>
      <c r="BV10" s="328"/>
      <c r="BW10" s="328"/>
      <c r="BX10" s="328"/>
      <c r="BY10" s="328"/>
      <c r="BZ10" s="328"/>
      <c r="CA10" s="328"/>
      <c r="CB10" s="328"/>
      <c r="CC10" s="328"/>
    </row>
    <row r="11" spans="1:254" s="1932" customFormat="1" ht="21" customHeight="1">
      <c r="A11" s="1018"/>
      <c r="B11" s="1023"/>
      <c r="C11" s="1018"/>
      <c r="D11" s="354"/>
      <c r="E11" s="97"/>
      <c r="F11" s="97"/>
      <c r="G11" s="97"/>
      <c r="H11" s="97"/>
      <c r="I11" s="97"/>
      <c r="J11" s="97"/>
      <c r="K11" s="398"/>
      <c r="L11" s="398"/>
      <c r="M11" s="398"/>
      <c r="N11" s="398"/>
      <c r="O11" s="142"/>
      <c r="P11" s="398"/>
      <c r="Q11" s="141"/>
      <c r="R11" s="141"/>
      <c r="S11" s="141"/>
      <c r="T11" s="141"/>
    </row>
    <row r="12" spans="1:254" s="1932" customFormat="1" ht="14.25" customHeight="1">
      <c r="A12" s="1018"/>
      <c r="B12" s="1023"/>
      <c r="C12" s="1018"/>
      <c r="D12" s="354"/>
      <c r="E12" s="1018"/>
      <c r="F12" s="1018"/>
      <c r="G12" s="1018"/>
      <c r="H12" s="1018"/>
      <c r="I12" s="1018"/>
      <c r="J12" s="1018"/>
      <c r="K12" s="398"/>
      <c r="L12" s="398"/>
      <c r="M12" s="398"/>
      <c r="N12" s="398"/>
      <c r="O12" s="142"/>
      <c r="P12" s="398"/>
      <c r="Q12" s="141"/>
      <c r="R12" s="141"/>
      <c r="S12" s="141"/>
      <c r="T12" s="141"/>
    </row>
    <row r="13" spans="1:254" s="1932" customFormat="1" ht="0.75" customHeight="1">
      <c r="A13" s="1018"/>
      <c r="B13" s="1023"/>
      <c r="C13" s="1018"/>
      <c r="D13" s="354"/>
      <c r="E13" s="1018"/>
      <c r="F13" s="1018"/>
      <c r="G13" s="1018"/>
      <c r="H13" s="1018"/>
      <c r="I13" s="1018"/>
      <c r="J13" s="1018"/>
      <c r="K13" s="398"/>
      <c r="L13" s="398"/>
      <c r="M13" s="398"/>
      <c r="N13" s="398"/>
      <c r="O13" s="142"/>
      <c r="P13" s="398"/>
      <c r="Q13" s="141"/>
      <c r="R13" s="141"/>
      <c r="S13" s="141"/>
      <c r="T13" s="141"/>
    </row>
    <row r="14" spans="1:254" s="1897" customFormat="1" ht="10.5" customHeight="1">
      <c r="B14" s="715"/>
      <c r="D14" s="99"/>
      <c r="K14" s="398"/>
      <c r="L14" s="398"/>
      <c r="M14" s="398"/>
      <c r="N14" s="398"/>
      <c r="O14" s="142"/>
      <c r="P14" s="398"/>
      <c r="Q14" s="141"/>
      <c r="R14" s="141"/>
      <c r="S14" s="141"/>
      <c r="T14" s="141"/>
    </row>
    <row r="15" spans="1:254" s="1897" customFormat="1" ht="10.5" customHeight="1">
      <c r="B15" s="715"/>
      <c r="D15" s="99"/>
      <c r="K15" s="398"/>
      <c r="L15" s="398"/>
      <c r="M15" s="398"/>
      <c r="N15" s="398"/>
      <c r="O15" s="142"/>
      <c r="P15" s="398"/>
      <c r="Q15" s="141"/>
      <c r="R15" s="141"/>
      <c r="S15" s="141"/>
      <c r="T15" s="141"/>
    </row>
    <row r="19" spans="7:13" ht="14.25" customHeight="1">
      <c r="G19"/>
      <c r="H19"/>
      <c r="I19"/>
    </row>
    <row r="23" spans="7:13" ht="14.25" customHeight="1">
      <c r="K23" s="1018"/>
      <c r="L23" s="1018"/>
      <c r="M23" s="1018"/>
    </row>
  </sheetData>
  <sheetProtection formatColumns="0" formatRows="0" insertRows="0" deleteColumns="0" deleteRows="0" sort="0" autoFilter="0"/>
  <mergeCells count="5">
    <mergeCell ref="E5:J5"/>
    <mergeCell ref="A9:A10"/>
    <mergeCell ref="E7:I7"/>
    <mergeCell ref="J7:J8"/>
    <mergeCell ref="J9:J10"/>
  </mergeCells>
  <dataValidations count="2">
    <dataValidation type="textLength" allowBlank="1" showInputMessage="1" showErrorMessage="1" sqref="I3" xr:uid="{00000000-0002-0000-3200-000000000000}">
      <formula1>13</formula1>
      <formula2>15</formula2>
    </dataValidation>
    <dataValidation type="textLength" allowBlank="1" showInputMessage="1" showErrorMessage="1" prompt="ОГРН состоит из 13 цифр, ОГРНИП - из 15" sqref="I9 I2" xr:uid="{00000000-0002-0000-3200-000001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5E007-39C2-F113-ABF1-1C52D90D576D}">
  <dimension ref="A1:IV14"/>
  <sheetViews>
    <sheetView showGridLines="0" topLeftCell="D4" zoomScale="90" workbookViewId="0"/>
  </sheetViews>
  <sheetFormatPr defaultColWidth="9.140625" defaultRowHeight="14.25" customHeight="1"/>
  <cols>
    <col min="1" max="1" width="9.140625" style="1910" hidden="1"/>
    <col min="2" max="2" width="9.140625" style="1903" hidden="1"/>
    <col min="3" max="3" width="3.7109375" style="1910" hidden="1" customWidth="1"/>
    <col min="4" max="4" width="3.85546875" style="1940" customWidth="1"/>
    <col min="5" max="5" width="6.28515625" style="1910" customWidth="1"/>
    <col min="6" max="6" width="27.28515625" style="1910" customWidth="1"/>
    <col min="7" max="7" width="16.7109375" style="1910" customWidth="1"/>
    <col min="8" max="8" width="12.7109375" style="1910" customWidth="1"/>
    <col min="9" max="9" width="32.140625" style="1910" customWidth="1"/>
    <col min="10" max="11" width="41.85546875" style="1910" customWidth="1"/>
    <col min="12" max="12" width="89.5703125" style="1910" customWidth="1"/>
    <col min="13" max="13" width="3.7109375" style="1904" customWidth="1"/>
    <col min="14" max="16" width="9.140625" style="1904"/>
    <col min="17" max="17" width="25.7109375" style="1904" customWidth="1"/>
    <col min="18" max="18" width="14.42578125" style="1904" customWidth="1"/>
    <col min="19" max="22" width="9.140625" style="1819"/>
    <col min="23" max="256" width="9.140625" style="1910"/>
  </cols>
  <sheetData>
    <row r="1" spans="1:256" ht="14.25" hidden="1" customHeight="1"/>
    <row r="2" spans="1:256" s="1962" customFormat="1" ht="22.5" hidden="1" customHeight="1">
      <c r="A2" s="712"/>
      <c r="B2" s="1023">
        <v>1</v>
      </c>
      <c r="C2" s="1023"/>
      <c r="D2" s="1764" t="s">
        <v>118</v>
      </c>
      <c r="E2" s="1728"/>
      <c r="F2" s="1731" t="str">
        <f>IF(ROIV_INFO_NAME="","",ROIV_INFO_NAME)</f>
        <v>АО "Орелгортеплоэнерго"</v>
      </c>
      <c r="G2" s="1756" t="s">
        <v>18</v>
      </c>
      <c r="H2" s="1755"/>
      <c r="I2" s="1392"/>
      <c r="J2" s="699"/>
      <c r="K2" s="699"/>
      <c r="L2" s="144"/>
      <c r="M2" s="1389" t="e">
        <f ca="1">MERGEVALUE(F2)</f>
        <v>#NAME?</v>
      </c>
      <c r="N2" s="409"/>
      <c r="O2" s="409"/>
      <c r="P2" s="398" t="str">
        <f t="array" ref="P2">IF(ISERROR(MATCH(MID(Q2,1,250),MID(note_ter,1,250),0)),"n","y")</f>
        <v>n</v>
      </c>
      <c r="Q2" s="409"/>
      <c r="R2" s="398" t="str">
        <f>G2&amp;"("&amp;L2&amp;")"</f>
        <v>()</v>
      </c>
      <c r="S2" s="1023"/>
      <c r="T2" s="1023"/>
      <c r="U2" s="326"/>
      <c r="V2" s="1023"/>
      <c r="W2" s="1023"/>
      <c r="X2" s="1023"/>
      <c r="Y2" s="328"/>
      <c r="Z2" s="328"/>
      <c r="AA2" s="325"/>
      <c r="AB2" s="325"/>
      <c r="AC2" s="325"/>
      <c r="AD2" s="325"/>
      <c r="AE2" s="325"/>
      <c r="AF2" s="325"/>
      <c r="AG2" s="325"/>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5"/>
      <c r="BQ2" s="325"/>
      <c r="BR2" s="325"/>
      <c r="BS2" s="325"/>
      <c r="BT2" s="325"/>
      <c r="BU2" s="325"/>
      <c r="BV2" s="328"/>
      <c r="BW2" s="328"/>
      <c r="BX2" s="328"/>
      <c r="BY2" s="328"/>
      <c r="BZ2" s="328"/>
      <c r="CA2" s="328"/>
      <c r="CB2" s="328"/>
      <c r="CC2" s="328"/>
      <c r="CD2" s="328"/>
      <c r="CE2" s="328"/>
    </row>
    <row r="3" spans="1:256" s="1866" customFormat="1" ht="5.25" hidden="1" customHeight="1">
      <c r="A3" s="394"/>
      <c r="D3" s="392"/>
      <c r="F3" s="161" t="s">
        <v>80</v>
      </c>
      <c r="G3" s="1578" t="s">
        <v>81</v>
      </c>
      <c r="H3" s="392"/>
      <c r="I3" s="392"/>
      <c r="J3" s="392"/>
      <c r="K3" s="392"/>
      <c r="L3" s="143" t="s">
        <v>82</v>
      </c>
      <c r="M3" s="161" t="s">
        <v>80</v>
      </c>
      <c r="N3" s="161"/>
      <c r="O3" s="161"/>
      <c r="P3" s="161"/>
      <c r="Q3" s="162"/>
      <c r="R3" s="161"/>
      <c r="S3" s="161"/>
      <c r="T3" s="161"/>
      <c r="U3" s="161"/>
      <c r="V3" s="161"/>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43"/>
      <c r="HM3" s="143"/>
      <c r="HN3" s="143"/>
      <c r="HO3" s="143"/>
      <c r="HP3" s="143"/>
      <c r="HQ3" s="143"/>
      <c r="HR3" s="143"/>
      <c r="HS3" s="143"/>
      <c r="HT3" s="143"/>
      <c r="HU3" s="143"/>
      <c r="HV3" s="143"/>
      <c r="HW3" s="143"/>
      <c r="HX3" s="143"/>
      <c r="HY3" s="143"/>
      <c r="HZ3" s="143"/>
      <c r="IA3" s="143"/>
      <c r="IB3" s="143"/>
      <c r="IC3" s="143"/>
      <c r="ID3" s="143"/>
      <c r="IE3" s="143"/>
      <c r="IF3" s="143"/>
      <c r="IG3" s="143"/>
      <c r="IH3" s="143"/>
      <c r="II3" s="143"/>
      <c r="IJ3" s="143"/>
      <c r="IK3" s="143"/>
      <c r="IL3" s="143"/>
      <c r="IM3" s="143"/>
      <c r="IN3" s="143"/>
      <c r="IO3" s="143"/>
      <c r="IP3" s="143"/>
      <c r="IQ3" s="143"/>
      <c r="IR3" s="143"/>
      <c r="IS3" s="143"/>
      <c r="IT3" s="143"/>
      <c r="IU3" s="143"/>
      <c r="IV3" s="143"/>
    </row>
    <row r="4" spans="1:256" s="1932" customFormat="1" ht="14.25" customHeight="1">
      <c r="A4" s="1018"/>
      <c r="B4" s="1023"/>
      <c r="C4" s="1018"/>
      <c r="D4" s="1350"/>
      <c r="E4" s="407"/>
      <c r="F4" s="407"/>
      <c r="G4" s="407"/>
      <c r="H4" s="407"/>
      <c r="I4" s="407"/>
      <c r="J4" s="407"/>
      <c r="K4" s="407"/>
      <c r="L4" s="83"/>
      <c r="M4" s="161"/>
      <c r="N4" s="398"/>
      <c r="O4" s="398"/>
      <c r="P4" s="398"/>
      <c r="Q4" s="142"/>
      <c r="R4" s="398"/>
      <c r="S4" s="141"/>
      <c r="T4" s="141"/>
      <c r="U4" s="141"/>
      <c r="V4" s="141"/>
    </row>
    <row r="5" spans="1:256" s="1932" customFormat="1" ht="25.5" customHeight="1">
      <c r="A5" s="1018"/>
      <c r="B5" s="1023"/>
      <c r="C5" s="1018"/>
      <c r="D5" s="1350"/>
      <c r="E5" s="33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387"/>
      <c r="G5" s="3387"/>
      <c r="H5" s="3387"/>
      <c r="I5" s="3387"/>
      <c r="J5" s="3387"/>
      <c r="K5" s="3387"/>
      <c r="L5" s="483"/>
      <c r="M5" s="161"/>
      <c r="N5" s="398"/>
      <c r="O5" s="398"/>
      <c r="P5" s="398"/>
      <c r="Q5" s="142"/>
      <c r="R5" s="398"/>
      <c r="S5" s="141"/>
      <c r="T5" s="141"/>
      <c r="U5" s="141"/>
      <c r="V5" s="141"/>
    </row>
    <row r="6" spans="1:256" s="1932" customFormat="1" ht="14.25" customHeight="1">
      <c r="A6" s="1018"/>
      <c r="B6" s="1023"/>
      <c r="C6" s="1018"/>
      <c r="D6" s="1350"/>
      <c r="E6" s="407"/>
      <c r="F6" s="84"/>
      <c r="G6" s="84"/>
      <c r="H6" s="84"/>
      <c r="I6" s="84"/>
      <c r="J6" s="84"/>
      <c r="K6" s="84"/>
      <c r="L6" s="85"/>
      <c r="M6" s="398"/>
      <c r="N6" s="398"/>
      <c r="O6" s="398"/>
      <c r="P6" s="398"/>
      <c r="Q6" s="142"/>
      <c r="R6" s="398"/>
      <c r="S6" s="141"/>
      <c r="T6" s="141"/>
      <c r="U6" s="141"/>
      <c r="V6" s="141"/>
    </row>
    <row r="7" spans="1:256" s="1932" customFormat="1" ht="14.25" customHeight="1">
      <c r="A7" s="1018"/>
      <c r="B7" s="1023"/>
      <c r="C7" s="1018"/>
      <c r="D7" s="1350"/>
      <c r="E7" s="3383" t="s">
        <v>560</v>
      </c>
      <c r="F7" s="3388"/>
      <c r="G7" s="3388"/>
      <c r="H7" s="3388"/>
      <c r="I7" s="3388"/>
      <c r="J7" s="3388"/>
      <c r="K7" s="3388"/>
      <c r="L7" s="3691" t="s">
        <v>561</v>
      </c>
      <c r="M7" s="398"/>
      <c r="N7" s="398"/>
      <c r="O7" s="398"/>
      <c r="P7" s="398"/>
      <c r="Q7" s="142"/>
      <c r="R7" s="398"/>
      <c r="S7" s="141"/>
      <c r="T7" s="141"/>
      <c r="U7" s="141"/>
      <c r="V7" s="141"/>
    </row>
    <row r="8" spans="1:256" s="1932" customFormat="1" ht="64.5" customHeight="1">
      <c r="A8" s="1018"/>
      <c r="B8" s="1023"/>
      <c r="C8" s="1018"/>
      <c r="D8" s="1350"/>
      <c r="E8" s="3695" t="s">
        <v>85</v>
      </c>
      <c r="F8" s="369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69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698"/>
      <c r="I8" s="3699"/>
      <c r="J8" s="369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69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693"/>
      <c r="M8" s="398"/>
      <c r="N8" s="398"/>
      <c r="O8" s="398"/>
      <c r="P8" s="398"/>
      <c r="Q8" s="142"/>
      <c r="R8" s="398"/>
      <c r="S8" s="141"/>
      <c r="T8" s="141"/>
      <c r="U8" s="141"/>
      <c r="V8" s="141"/>
    </row>
    <row r="9" spans="1:256" s="1932" customFormat="1" ht="27.75" customHeight="1">
      <c r="A9" s="1018"/>
      <c r="B9" s="1023"/>
      <c r="C9" s="1018"/>
      <c r="D9" s="1350"/>
      <c r="E9" s="3696"/>
      <c r="F9" s="3696"/>
      <c r="G9" s="1391" t="s">
        <v>2187</v>
      </c>
      <c r="H9" s="1391" t="s">
        <v>2188</v>
      </c>
      <c r="I9" s="1391" t="s">
        <v>2189</v>
      </c>
      <c r="J9" s="3696"/>
      <c r="K9" s="3696"/>
      <c r="L9" s="3692"/>
      <c r="M9" s="398"/>
      <c r="N9" s="398"/>
      <c r="O9" s="398"/>
      <c r="P9" s="398"/>
      <c r="Q9" s="142"/>
      <c r="R9" s="398"/>
      <c r="S9" s="141"/>
      <c r="T9" s="141"/>
      <c r="U9" s="141"/>
      <c r="V9" s="141"/>
    </row>
    <row r="10" spans="1:256" s="1962" customFormat="1" ht="22.5" customHeight="1">
      <c r="A10" s="3386"/>
      <c r="B10" s="1023">
        <v>1</v>
      </c>
      <c r="C10" s="1023"/>
      <c r="D10" s="681"/>
      <c r="E10" s="679">
        <v>1</v>
      </c>
      <c r="F10" s="1393" t="str">
        <f>IF(ROIV_INFO_NAME="","",ROIV_INFO_NAME)</f>
        <v>АО "Орелгортеплоэнерго"</v>
      </c>
      <c r="G10" s="1575" t="s">
        <v>18</v>
      </c>
      <c r="H10" s="1755"/>
      <c r="I10" s="1388"/>
      <c r="J10" s="699"/>
      <c r="K10" s="699"/>
      <c r="L10" s="367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389" t="e">
        <f ca="1">MERGEVALUE(F10)</f>
        <v>#NAME?</v>
      </c>
      <c r="N10" s="409"/>
      <c r="O10" s="409"/>
      <c r="P10" s="398" t="str">
        <f t="array" ref="P10">IF(ISERROR(MATCH(MID(Q10,1,250),MID(note_ter,1,250),0)),"n","y")</f>
        <v>n</v>
      </c>
      <c r="Q10" s="409"/>
      <c r="R10" s="39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23"/>
      <c r="T10" s="1023"/>
      <c r="U10" s="326"/>
      <c r="V10" s="1023"/>
      <c r="W10" s="1023"/>
      <c r="X10" s="1023"/>
      <c r="Y10" s="328"/>
      <c r="Z10" s="328"/>
      <c r="AA10" s="325"/>
      <c r="AB10" s="325"/>
      <c r="AC10" s="325"/>
      <c r="AD10" s="325"/>
      <c r="AE10" s="325"/>
      <c r="AF10" s="325"/>
      <c r="AG10" s="325"/>
      <c r="AH10" s="325"/>
      <c r="AI10" s="325"/>
      <c r="AJ10" s="325"/>
      <c r="AK10" s="325"/>
      <c r="AL10" s="325"/>
      <c r="AM10" s="325"/>
      <c r="AN10" s="325"/>
      <c r="AO10" s="325"/>
      <c r="AP10" s="325"/>
      <c r="AQ10" s="325"/>
      <c r="AR10" s="325"/>
      <c r="AS10" s="325"/>
      <c r="AT10" s="325"/>
      <c r="AU10" s="325"/>
      <c r="AV10" s="325"/>
      <c r="AW10" s="325"/>
      <c r="AX10" s="325"/>
      <c r="AY10" s="325"/>
      <c r="AZ10" s="325"/>
      <c r="BA10" s="325"/>
      <c r="BB10" s="325"/>
      <c r="BC10" s="325"/>
      <c r="BD10" s="325"/>
      <c r="BE10" s="325"/>
      <c r="BF10" s="325"/>
      <c r="BG10" s="325"/>
      <c r="BH10" s="325"/>
      <c r="BI10" s="325"/>
      <c r="BJ10" s="325"/>
      <c r="BK10" s="325"/>
      <c r="BL10" s="325"/>
      <c r="BM10" s="325"/>
      <c r="BN10" s="325"/>
      <c r="BO10" s="325"/>
      <c r="BP10" s="325"/>
      <c r="BQ10" s="325"/>
      <c r="BR10" s="325"/>
      <c r="BS10" s="325"/>
      <c r="BT10" s="325"/>
      <c r="BU10" s="325"/>
      <c r="BV10" s="328"/>
      <c r="BW10" s="328"/>
      <c r="BX10" s="328"/>
      <c r="BY10" s="328"/>
      <c r="BZ10" s="328"/>
      <c r="CA10" s="328"/>
      <c r="CB10" s="328"/>
      <c r="CC10" s="328"/>
      <c r="CD10" s="328"/>
      <c r="CE10" s="328"/>
    </row>
    <row r="11" spans="1:256" s="1962" customFormat="1" ht="15" customHeight="1">
      <c r="A11" s="3386"/>
      <c r="B11" s="1023"/>
      <c r="C11" s="319"/>
      <c r="D11" s="682"/>
      <c r="E11" s="327"/>
      <c r="F11" s="323" t="s">
        <v>2190</v>
      </c>
      <c r="G11" s="104"/>
      <c r="H11" s="104"/>
      <c r="I11" s="104"/>
      <c r="J11" s="104"/>
      <c r="K11" s="329"/>
      <c r="L11" s="3694"/>
      <c r="M11" s="1390"/>
      <c r="N11" s="409"/>
      <c r="O11" s="409"/>
      <c r="P11" s="409"/>
      <c r="Q11" s="398"/>
      <c r="R11" s="409"/>
      <c r="S11" s="1023"/>
      <c r="T11" s="1023"/>
      <c r="U11" s="326"/>
      <c r="V11" s="1023"/>
      <c r="W11" s="1023"/>
      <c r="X11" s="1023"/>
      <c r="Y11" s="328"/>
      <c r="Z11" s="328"/>
      <c r="AA11" s="325"/>
      <c r="AB11" s="325"/>
      <c r="AC11" s="325"/>
      <c r="AD11" s="325"/>
      <c r="AE11" s="325"/>
      <c r="AF11" s="325"/>
      <c r="AG11" s="325"/>
      <c r="AH11" s="325"/>
      <c r="AI11" s="325"/>
      <c r="AJ11" s="325"/>
      <c r="AK11" s="325"/>
      <c r="AL11" s="325"/>
      <c r="AM11" s="325"/>
      <c r="AN11" s="325"/>
      <c r="AO11" s="325"/>
      <c r="AP11" s="325"/>
      <c r="AQ11" s="325"/>
      <c r="AR11" s="325"/>
      <c r="AS11" s="325"/>
      <c r="AT11" s="325"/>
      <c r="AU11" s="325"/>
      <c r="AV11" s="325"/>
      <c r="AW11" s="325"/>
      <c r="AX11" s="325"/>
      <c r="AY11" s="325"/>
      <c r="AZ11" s="325"/>
      <c r="BA11" s="325"/>
      <c r="BB11" s="325"/>
      <c r="BC11" s="325"/>
      <c r="BD11" s="325"/>
      <c r="BE11" s="325"/>
      <c r="BF11" s="325"/>
      <c r="BG11" s="325"/>
      <c r="BH11" s="325"/>
      <c r="BI11" s="325"/>
      <c r="BJ11" s="325"/>
      <c r="BK11" s="325"/>
      <c r="BL11" s="325"/>
      <c r="BM11" s="325"/>
      <c r="BN11" s="325"/>
      <c r="BO11" s="325"/>
      <c r="BP11" s="325"/>
      <c r="BQ11" s="325"/>
      <c r="BR11" s="325"/>
      <c r="BS11" s="325"/>
      <c r="BT11" s="325"/>
      <c r="BU11" s="325"/>
      <c r="BV11" s="328"/>
      <c r="BW11" s="328"/>
      <c r="BX11" s="328"/>
      <c r="BY11" s="328"/>
      <c r="BZ11" s="328"/>
      <c r="CA11" s="328"/>
      <c r="CB11" s="328"/>
      <c r="CC11" s="328"/>
      <c r="CD11" s="328"/>
      <c r="CE11" s="328"/>
    </row>
    <row r="12" spans="1:256" s="1932" customFormat="1" ht="21" customHeight="1">
      <c r="A12" s="1018"/>
      <c r="B12" s="1023"/>
      <c r="C12" s="1018"/>
      <c r="D12" s="354"/>
      <c r="E12" s="97"/>
      <c r="F12" s="97"/>
      <c r="G12" s="97"/>
      <c r="H12" s="97"/>
      <c r="I12" s="97"/>
      <c r="J12" s="97"/>
      <c r="K12" s="97"/>
      <c r="L12" s="97"/>
      <c r="M12" s="398"/>
      <c r="N12" s="398"/>
      <c r="O12" s="398"/>
      <c r="P12" s="398"/>
      <c r="Q12" s="142"/>
      <c r="R12" s="398"/>
      <c r="S12" s="141"/>
      <c r="T12" s="141"/>
      <c r="U12" s="141"/>
      <c r="V12" s="141"/>
    </row>
    <row r="13" spans="1:256" s="1932" customFormat="1" ht="14.25" customHeight="1">
      <c r="A13" s="1018"/>
      <c r="B13" s="1023"/>
      <c r="C13" s="1018"/>
      <c r="D13" s="354"/>
      <c r="E13" s="1018"/>
      <c r="F13" s="1018"/>
      <c r="G13" s="1018"/>
      <c r="H13" s="1018"/>
      <c r="I13" s="1018"/>
      <c r="J13" s="1018"/>
      <c r="K13" s="1018"/>
      <c r="L13" s="1018"/>
      <c r="M13" s="398"/>
      <c r="N13" s="398"/>
      <c r="O13" s="398"/>
      <c r="P13" s="398"/>
      <c r="Q13" s="142"/>
      <c r="R13" s="398"/>
      <c r="S13" s="141"/>
      <c r="T13" s="141"/>
      <c r="U13" s="141"/>
      <c r="V13" s="141"/>
    </row>
    <row r="14" spans="1:256" s="1932" customFormat="1" ht="0.75" customHeight="1">
      <c r="A14" s="1018"/>
      <c r="B14" s="1023"/>
      <c r="C14" s="1018"/>
      <c r="D14" s="354"/>
      <c r="E14" s="1018"/>
      <c r="F14" s="1018"/>
      <c r="G14" s="1018"/>
      <c r="H14" s="1018"/>
      <c r="I14" s="1018"/>
      <c r="J14" s="1018"/>
      <c r="K14" s="1018"/>
      <c r="L14" s="1018"/>
      <c r="M14" s="398"/>
      <c r="N14" s="398"/>
      <c r="O14" s="398"/>
      <c r="P14" s="398"/>
      <c r="Q14" s="142"/>
      <c r="R14" s="398"/>
      <c r="S14" s="141"/>
      <c r="T14" s="141"/>
      <c r="U14" s="141"/>
      <c r="V14" s="141"/>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3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3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xr:uid="{00000000-0002-0000-3300-000002000000}">
      <formula1>900</formula1>
    </dataValidation>
    <dataValidation type="time" allowBlank="1" showInputMessage="1" showErrorMessage="1" prompt="Укажите время в формате ЧЧ:ММ" sqref="H10 H2" xr:uid="{00000000-0002-0000-3300-000003000000}">
      <formula1>0</formula1>
      <formula2>0.999305555555555</formula2>
    </dataValidation>
    <dataValidation type="textLength" operator="lessThanOrEqual" allowBlank="1" showInputMessage="1" showErrorMessage="1" sqref="I10 I2" xr:uid="{00000000-0002-0000-33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30382-FA5A-E61E-81CD-A5D874A2CD9A}">
  <dimension ref="A1:IV14"/>
  <sheetViews>
    <sheetView showGridLines="0" topLeftCell="D4" zoomScale="90" workbookViewId="0"/>
  </sheetViews>
  <sheetFormatPr defaultColWidth="9.140625" defaultRowHeight="14.25" customHeight="1"/>
  <cols>
    <col min="1" max="1" width="9.140625" style="1910" hidden="1"/>
    <col min="2" max="2" width="9.140625" style="1903" hidden="1"/>
    <col min="3" max="3" width="3.7109375" style="1910" hidden="1" customWidth="1"/>
    <col min="4" max="4" width="3.85546875" style="1940" customWidth="1"/>
    <col min="5" max="5" width="6.28515625" style="1910" customWidth="1"/>
    <col min="6" max="6" width="27.28515625" style="1910" customWidth="1"/>
    <col min="7" max="7" width="16.7109375" style="1910" customWidth="1"/>
    <col min="8" max="8" width="12.7109375" style="1910" customWidth="1"/>
    <col min="9" max="9" width="32.140625" style="1910" customWidth="1"/>
    <col min="10" max="11" width="41.85546875" style="1910" customWidth="1"/>
    <col min="12" max="12" width="89.5703125" style="1910" customWidth="1"/>
    <col min="13" max="13" width="3.7109375" style="1904" customWidth="1"/>
    <col min="14" max="16" width="9.140625" style="1904"/>
    <col min="17" max="17" width="25.7109375" style="1904" customWidth="1"/>
    <col min="18" max="18" width="14.42578125" style="1904" customWidth="1"/>
    <col min="19" max="22" width="9.140625" style="1819"/>
    <col min="23" max="256" width="9.140625" style="1910"/>
  </cols>
  <sheetData>
    <row r="1" spans="1:256" ht="14.25" hidden="1" customHeight="1"/>
    <row r="2" spans="1:256" s="1962" customFormat="1" ht="22.5" hidden="1" customHeight="1">
      <c r="A2" s="712"/>
      <c r="B2" s="1227">
        <v>1</v>
      </c>
      <c r="C2" s="1227"/>
      <c r="D2" s="1764" t="s">
        <v>118</v>
      </c>
      <c r="E2" s="1743"/>
      <c r="F2" s="1745" t="str">
        <f>IF(ROIV_INFO_NAME="","",ROIV_INFO_NAME)</f>
        <v>АО "Орелгортеплоэнерго"</v>
      </c>
      <c r="G2" s="1575" t="s">
        <v>18</v>
      </c>
      <c r="H2" s="1755"/>
      <c r="I2" s="1392"/>
      <c r="J2" s="699"/>
      <c r="K2" s="699"/>
      <c r="L2" s="144"/>
      <c r="M2" s="1389" t="e">
        <f ca="1">MERGEVALUE(F2)</f>
        <v>#NAME?</v>
      </c>
      <c r="N2" s="1481"/>
      <c r="O2" s="1481"/>
      <c r="P2" s="1469" t="str">
        <f t="array" ref="P2">IF(ISERROR(MATCH(MID(Q2,1,250),MID(note_ter,1,250),0)),"n","y")</f>
        <v>n</v>
      </c>
      <c r="Q2" s="1481"/>
      <c r="R2" s="1469" t="str">
        <f>G2&amp;"("&amp;L2&amp;")"</f>
        <v>()</v>
      </c>
      <c r="S2" s="1227"/>
      <c r="T2" s="1227"/>
      <c r="U2" s="326"/>
      <c r="V2" s="1227"/>
      <c r="W2" s="1227"/>
      <c r="X2" s="1227"/>
      <c r="Y2" s="714"/>
      <c r="Z2" s="714"/>
      <c r="AA2" s="519"/>
      <c r="AB2" s="519"/>
      <c r="AC2" s="519"/>
      <c r="AD2" s="519"/>
      <c r="AE2" s="519"/>
      <c r="AF2" s="519"/>
      <c r="AG2" s="519"/>
      <c r="AH2" s="519"/>
      <c r="AI2" s="519"/>
      <c r="AJ2" s="519"/>
      <c r="AK2" s="519"/>
      <c r="AL2" s="519"/>
      <c r="AM2" s="519"/>
      <c r="AN2" s="519"/>
      <c r="AO2" s="519"/>
      <c r="AP2" s="519"/>
      <c r="AQ2" s="519"/>
      <c r="AR2" s="519"/>
      <c r="AS2" s="519"/>
      <c r="AT2" s="519"/>
      <c r="AU2" s="519"/>
      <c r="AV2" s="519"/>
      <c r="AW2" s="519"/>
      <c r="AX2" s="519"/>
      <c r="AY2" s="519"/>
      <c r="AZ2" s="519"/>
      <c r="BA2" s="519"/>
      <c r="BB2" s="519"/>
      <c r="BC2" s="519"/>
      <c r="BD2" s="519"/>
      <c r="BE2" s="519"/>
      <c r="BF2" s="519"/>
      <c r="BG2" s="519"/>
      <c r="BH2" s="519"/>
      <c r="BI2" s="519"/>
      <c r="BJ2" s="519"/>
      <c r="BK2" s="519"/>
      <c r="BL2" s="519"/>
      <c r="BM2" s="519"/>
      <c r="BN2" s="519"/>
      <c r="BO2" s="519"/>
      <c r="BP2" s="519"/>
      <c r="BQ2" s="519"/>
      <c r="BR2" s="519"/>
      <c r="BS2" s="519"/>
      <c r="BT2" s="519"/>
      <c r="BU2" s="519"/>
      <c r="BV2" s="714"/>
      <c r="BW2" s="714"/>
      <c r="BX2" s="714"/>
      <c r="BY2" s="714"/>
      <c r="BZ2" s="714"/>
      <c r="CA2" s="714"/>
      <c r="CB2" s="714"/>
      <c r="CC2" s="714"/>
      <c r="CD2" s="714"/>
      <c r="CE2" s="714"/>
    </row>
    <row r="3" spans="1:256" s="1866" customFormat="1" ht="5.25" hidden="1" customHeight="1">
      <c r="A3" s="1486"/>
      <c r="D3" s="1732"/>
      <c r="F3" s="162" t="s">
        <v>80</v>
      </c>
      <c r="G3" s="1578" t="s">
        <v>81</v>
      </c>
      <c r="H3" s="1732"/>
      <c r="I3" s="1732"/>
      <c r="J3" s="1732"/>
      <c r="K3" s="1732"/>
      <c r="L3" s="143" t="s">
        <v>82</v>
      </c>
      <c r="M3" s="162" t="s">
        <v>80</v>
      </c>
      <c r="N3" s="162"/>
      <c r="O3" s="162"/>
      <c r="P3" s="162"/>
      <c r="Q3" s="162"/>
      <c r="R3" s="162"/>
      <c r="S3" s="162"/>
      <c r="T3" s="162"/>
      <c r="U3" s="162"/>
      <c r="V3" s="162"/>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43"/>
      <c r="HM3" s="143"/>
      <c r="HN3" s="143"/>
      <c r="HO3" s="143"/>
      <c r="HP3" s="143"/>
      <c r="HQ3" s="143"/>
      <c r="HR3" s="143"/>
      <c r="HS3" s="143"/>
      <c r="HT3" s="143"/>
      <c r="HU3" s="143"/>
      <c r="HV3" s="143"/>
      <c r="HW3" s="143"/>
      <c r="HX3" s="143"/>
      <c r="HY3" s="143"/>
      <c r="HZ3" s="143"/>
      <c r="IA3" s="143"/>
      <c r="IB3" s="143"/>
      <c r="IC3" s="143"/>
      <c r="ID3" s="143"/>
      <c r="IE3" s="143"/>
      <c r="IF3" s="143"/>
      <c r="IG3" s="143"/>
      <c r="IH3" s="143"/>
      <c r="II3" s="143"/>
      <c r="IJ3" s="143"/>
      <c r="IK3" s="143"/>
      <c r="IL3" s="143"/>
      <c r="IM3" s="143"/>
      <c r="IN3" s="143"/>
      <c r="IO3" s="143"/>
      <c r="IP3" s="143"/>
      <c r="IQ3" s="143"/>
      <c r="IR3" s="143"/>
      <c r="IS3" s="143"/>
      <c r="IT3" s="143"/>
      <c r="IU3" s="143"/>
      <c r="IV3" s="143"/>
    </row>
    <row r="4" spans="1:256" s="1932" customFormat="1" ht="14.25" customHeight="1">
      <c r="A4" s="1476"/>
      <c r="B4" s="1227"/>
      <c r="C4" s="1476"/>
      <c r="D4" s="1370"/>
      <c r="E4" s="1480"/>
      <c r="F4" s="1480"/>
      <c r="G4" s="1480"/>
      <c r="H4" s="1480"/>
      <c r="I4" s="1480"/>
      <c r="J4" s="1480"/>
      <c r="K4" s="1480"/>
      <c r="L4" s="1734"/>
      <c r="M4" s="162"/>
      <c r="N4" s="1469"/>
      <c r="O4" s="1469"/>
      <c r="P4" s="1469"/>
      <c r="Q4" s="1469"/>
      <c r="R4" s="1469"/>
      <c r="S4" s="141"/>
      <c r="T4" s="141"/>
      <c r="U4" s="141"/>
      <c r="V4" s="141"/>
    </row>
    <row r="5" spans="1:256" s="1932" customFormat="1" ht="25.5" customHeight="1">
      <c r="A5" s="1476"/>
      <c r="B5" s="1227"/>
      <c r="C5" s="1476"/>
      <c r="D5" s="1370"/>
      <c r="E5" s="33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387"/>
      <c r="G5" s="3387"/>
      <c r="H5" s="3387"/>
      <c r="I5" s="3387"/>
      <c r="J5" s="3387"/>
      <c r="K5" s="3387"/>
      <c r="L5" s="1480"/>
      <c r="M5" s="162"/>
      <c r="N5" s="1469"/>
      <c r="O5" s="1469"/>
      <c r="P5" s="1469"/>
      <c r="Q5" s="1469"/>
      <c r="R5" s="1469"/>
      <c r="S5" s="141"/>
      <c r="T5" s="141"/>
      <c r="U5" s="141"/>
      <c r="V5" s="141"/>
    </row>
    <row r="6" spans="1:256" s="1932" customFormat="1" ht="14.25" customHeight="1">
      <c r="A6" s="1476"/>
      <c r="B6" s="1227"/>
      <c r="C6" s="1476"/>
      <c r="D6" s="1370"/>
      <c r="E6" s="1480"/>
      <c r="F6" s="509"/>
      <c r="G6" s="509"/>
      <c r="H6" s="509"/>
      <c r="I6" s="509"/>
      <c r="J6" s="509"/>
      <c r="K6" s="509"/>
      <c r="L6" s="1118"/>
      <c r="M6" s="1469"/>
      <c r="N6" s="1469"/>
      <c r="O6" s="1469"/>
      <c r="P6" s="1469"/>
      <c r="Q6" s="1469"/>
      <c r="R6" s="1469"/>
      <c r="S6" s="141"/>
      <c r="T6" s="141"/>
      <c r="U6" s="141"/>
      <c r="V6" s="141"/>
    </row>
    <row r="7" spans="1:256" s="1932" customFormat="1" ht="14.25" customHeight="1">
      <c r="A7" s="1476"/>
      <c r="B7" s="1227"/>
      <c r="C7" s="1476"/>
      <c r="D7" s="1370"/>
      <c r="E7" s="3383" t="s">
        <v>560</v>
      </c>
      <c r="F7" s="3388"/>
      <c r="G7" s="3388"/>
      <c r="H7" s="3388"/>
      <c r="I7" s="3388"/>
      <c r="J7" s="3388"/>
      <c r="K7" s="3388"/>
      <c r="L7" s="3691" t="s">
        <v>561</v>
      </c>
      <c r="M7" s="1469"/>
      <c r="N7" s="1469"/>
      <c r="O7" s="1469"/>
      <c r="P7" s="1469"/>
      <c r="Q7" s="1469"/>
      <c r="R7" s="1469"/>
      <c r="S7" s="141"/>
      <c r="T7" s="141"/>
      <c r="U7" s="141"/>
      <c r="V7" s="141"/>
    </row>
    <row r="8" spans="1:256" s="1932" customFormat="1" ht="64.5" customHeight="1">
      <c r="A8" s="1476"/>
      <c r="B8" s="1227"/>
      <c r="C8" s="1476"/>
      <c r="D8" s="1370"/>
      <c r="E8" s="3695" t="s">
        <v>85</v>
      </c>
      <c r="F8" s="3695" t="s">
        <v>2191</v>
      </c>
      <c r="G8" s="3697" t="s">
        <v>2192</v>
      </c>
      <c r="H8" s="3698"/>
      <c r="I8" s="3699"/>
      <c r="J8" s="3695" t="s">
        <v>2193</v>
      </c>
      <c r="K8" s="369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693"/>
      <c r="M8" s="1469"/>
      <c r="N8" s="1469"/>
      <c r="O8" s="1469"/>
      <c r="P8" s="1469"/>
      <c r="Q8" s="1469"/>
      <c r="R8" s="1469"/>
      <c r="S8" s="141"/>
      <c r="T8" s="141"/>
      <c r="U8" s="141"/>
      <c r="V8" s="141"/>
    </row>
    <row r="9" spans="1:256" s="1932" customFormat="1" ht="27.75" customHeight="1">
      <c r="A9" s="1476"/>
      <c r="B9" s="1227"/>
      <c r="C9" s="1476"/>
      <c r="D9" s="1370"/>
      <c r="E9" s="3696"/>
      <c r="F9" s="3696"/>
      <c r="G9" s="1733" t="s">
        <v>2187</v>
      </c>
      <c r="H9" s="1733" t="s">
        <v>2188</v>
      </c>
      <c r="I9" s="1733" t="s">
        <v>2189</v>
      </c>
      <c r="J9" s="3696"/>
      <c r="K9" s="3696"/>
      <c r="L9" s="3692"/>
      <c r="M9" s="1469"/>
      <c r="N9" s="1469"/>
      <c r="O9" s="1469"/>
      <c r="P9" s="1469"/>
      <c r="Q9" s="1469"/>
      <c r="R9" s="1469"/>
      <c r="S9" s="141"/>
      <c r="T9" s="141"/>
      <c r="U9" s="141"/>
      <c r="V9" s="141"/>
    </row>
    <row r="10" spans="1:256" s="1962" customFormat="1" ht="0.75" customHeight="1">
      <c r="A10" s="3386"/>
      <c r="B10" s="1227">
        <v>1</v>
      </c>
      <c r="C10" s="1227"/>
      <c r="D10" s="681"/>
      <c r="E10" s="676">
        <v>0</v>
      </c>
      <c r="F10" s="1730" t="str">
        <f>IF(ROIV_INFO_NAME="","",ROIV_INFO_NAME)</f>
        <v>АО "Орелгортеплоэнерго"</v>
      </c>
      <c r="G10" s="1576" t="s">
        <v>18</v>
      </c>
      <c r="H10" s="1742"/>
      <c r="I10" s="1742"/>
      <c r="J10" s="417"/>
      <c r="K10" s="417"/>
      <c r="L10" s="367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389" t="e">
        <f ca="1">MERGEVALUE(F10)</f>
        <v>#NAME?</v>
      </c>
      <c r="N10" s="1481"/>
      <c r="O10" s="1481"/>
      <c r="P10" s="1469" t="str">
        <f t="array" ref="P10">IF(ISERROR(MATCH(MID(Q10,1,250),MID(note_ter,1,250),0)),"n","y")</f>
        <v>n</v>
      </c>
      <c r="Q10" s="1481"/>
      <c r="R10" s="14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27"/>
      <c r="T10" s="1227"/>
      <c r="U10" s="326"/>
      <c r="V10" s="1227"/>
      <c r="W10" s="1227"/>
      <c r="X10" s="1227"/>
      <c r="Y10" s="714"/>
      <c r="Z10" s="714"/>
      <c r="AA10" s="519"/>
      <c r="AB10" s="519"/>
      <c r="AC10" s="519"/>
      <c r="AD10" s="519"/>
      <c r="AE10" s="519"/>
      <c r="AF10" s="519"/>
      <c r="AG10" s="519"/>
      <c r="AH10" s="519"/>
      <c r="AI10" s="519"/>
      <c r="AJ10" s="519"/>
      <c r="AK10" s="519"/>
      <c r="AL10" s="519"/>
      <c r="AM10" s="519"/>
      <c r="AN10" s="519"/>
      <c r="AO10" s="519"/>
      <c r="AP10" s="519"/>
      <c r="AQ10" s="519"/>
      <c r="AR10" s="519"/>
      <c r="AS10" s="519"/>
      <c r="AT10" s="519"/>
      <c r="AU10" s="519"/>
      <c r="AV10" s="519"/>
      <c r="AW10" s="519"/>
      <c r="AX10" s="519"/>
      <c r="AY10" s="519"/>
      <c r="AZ10" s="519"/>
      <c r="BA10" s="519"/>
      <c r="BB10" s="519"/>
      <c r="BC10" s="519"/>
      <c r="BD10" s="519"/>
      <c r="BE10" s="519"/>
      <c r="BF10" s="519"/>
      <c r="BG10" s="519"/>
      <c r="BH10" s="519"/>
      <c r="BI10" s="519"/>
      <c r="BJ10" s="519"/>
      <c r="BK10" s="519"/>
      <c r="BL10" s="519"/>
      <c r="BM10" s="519"/>
      <c r="BN10" s="519"/>
      <c r="BO10" s="519"/>
      <c r="BP10" s="519"/>
      <c r="BQ10" s="519"/>
      <c r="BR10" s="519"/>
      <c r="BS10" s="519"/>
      <c r="BT10" s="519"/>
      <c r="BU10" s="519"/>
      <c r="BV10" s="714"/>
      <c r="BW10" s="714"/>
      <c r="BX10" s="714"/>
      <c r="BY10" s="714"/>
      <c r="BZ10" s="714"/>
      <c r="CA10" s="714"/>
      <c r="CB10" s="714"/>
      <c r="CC10" s="714"/>
      <c r="CD10" s="714"/>
      <c r="CE10" s="714"/>
    </row>
    <row r="11" spans="1:256" s="1962" customFormat="1" ht="15" customHeight="1">
      <c r="A11" s="3386"/>
      <c r="B11" s="1227"/>
      <c r="C11" s="319"/>
      <c r="D11" s="682"/>
      <c r="E11" s="327"/>
      <c r="F11" s="543" t="s">
        <v>2190</v>
      </c>
      <c r="G11" s="104"/>
      <c r="H11" s="104"/>
      <c r="I11" s="104"/>
      <c r="J11" s="104"/>
      <c r="K11" s="329"/>
      <c r="L11" s="3694"/>
      <c r="M11" s="1390"/>
      <c r="N11" s="1481"/>
      <c r="O11" s="1481"/>
      <c r="P11" s="1481"/>
      <c r="Q11" s="1469"/>
      <c r="R11" s="1481"/>
      <c r="S11" s="1227"/>
      <c r="T11" s="1227"/>
      <c r="U11" s="326"/>
      <c r="V11" s="1227"/>
      <c r="W11" s="1227"/>
      <c r="X11" s="1227"/>
      <c r="Y11" s="714"/>
      <c r="Z11" s="714"/>
      <c r="AA11" s="519"/>
      <c r="AB11" s="519"/>
      <c r="AC11" s="519"/>
      <c r="AD11" s="519"/>
      <c r="AE11" s="519"/>
      <c r="AF11" s="519"/>
      <c r="AG11" s="519"/>
      <c r="AH11" s="519"/>
      <c r="AI11" s="519"/>
      <c r="AJ11" s="519"/>
      <c r="AK11" s="519"/>
      <c r="AL11" s="519"/>
      <c r="AM11" s="519"/>
      <c r="AN11" s="519"/>
      <c r="AO11" s="519"/>
      <c r="AP11" s="519"/>
      <c r="AQ11" s="519"/>
      <c r="AR11" s="519"/>
      <c r="AS11" s="519"/>
      <c r="AT11" s="519"/>
      <c r="AU11" s="519"/>
      <c r="AV11" s="519"/>
      <c r="AW11" s="519"/>
      <c r="AX11" s="519"/>
      <c r="AY11" s="519"/>
      <c r="AZ11" s="519"/>
      <c r="BA11" s="519"/>
      <c r="BB11" s="519"/>
      <c r="BC11" s="519"/>
      <c r="BD11" s="519"/>
      <c r="BE11" s="519"/>
      <c r="BF11" s="519"/>
      <c r="BG11" s="519"/>
      <c r="BH11" s="519"/>
      <c r="BI11" s="519"/>
      <c r="BJ11" s="519"/>
      <c r="BK11" s="519"/>
      <c r="BL11" s="519"/>
      <c r="BM11" s="519"/>
      <c r="BN11" s="519"/>
      <c r="BO11" s="519"/>
      <c r="BP11" s="519"/>
      <c r="BQ11" s="519"/>
      <c r="BR11" s="519"/>
      <c r="BS11" s="519"/>
      <c r="BT11" s="519"/>
      <c r="BU11" s="519"/>
      <c r="BV11" s="714"/>
      <c r="BW11" s="714"/>
      <c r="BX11" s="714"/>
      <c r="BY11" s="714"/>
      <c r="BZ11" s="714"/>
      <c r="CA11" s="714"/>
      <c r="CB11" s="714"/>
      <c r="CC11" s="714"/>
      <c r="CD11" s="714"/>
      <c r="CE11" s="714"/>
    </row>
    <row r="12" spans="1:256" s="1932" customFormat="1" ht="21" customHeight="1">
      <c r="A12" s="1476"/>
      <c r="B12" s="1227"/>
      <c r="C12" s="1476"/>
      <c r="D12" s="1478"/>
      <c r="E12" s="97"/>
      <c r="F12" s="97"/>
      <c r="G12" s="97"/>
      <c r="H12" s="97"/>
      <c r="I12" s="97"/>
      <c r="J12" s="97"/>
      <c r="K12" s="97"/>
      <c r="L12" s="97"/>
      <c r="M12" s="1469"/>
      <c r="N12" s="1469"/>
      <c r="O12" s="1469"/>
      <c r="P12" s="1469"/>
      <c r="Q12" s="1469"/>
      <c r="R12" s="1469"/>
      <c r="S12" s="141"/>
      <c r="T12" s="141"/>
      <c r="U12" s="141"/>
      <c r="V12" s="141"/>
    </row>
    <row r="13" spans="1:256" s="1932" customFormat="1" ht="14.25" customHeight="1">
      <c r="A13" s="1476"/>
      <c r="B13" s="1227"/>
      <c r="C13" s="1476"/>
      <c r="D13" s="1478"/>
      <c r="E13" s="1476"/>
      <c r="F13" s="1476"/>
      <c r="G13" s="1476"/>
      <c r="H13" s="1476"/>
      <c r="I13" s="1476"/>
      <c r="J13" s="1476"/>
      <c r="K13" s="1476"/>
      <c r="L13" s="1476"/>
      <c r="M13" s="1469"/>
      <c r="N13" s="1469"/>
      <c r="O13" s="1469"/>
      <c r="P13" s="1469"/>
      <c r="Q13" s="1469"/>
      <c r="R13" s="1469"/>
      <c r="S13" s="141"/>
      <c r="T13" s="141"/>
      <c r="U13" s="141"/>
      <c r="V13" s="141"/>
    </row>
    <row r="14" spans="1:256" s="1932" customFormat="1" ht="0.75" customHeight="1">
      <c r="A14" s="1476"/>
      <c r="B14" s="1227"/>
      <c r="C14" s="1476"/>
      <c r="D14" s="1478"/>
      <c r="E14" s="1476"/>
      <c r="F14" s="1476"/>
      <c r="G14" s="1476"/>
      <c r="H14" s="1476"/>
      <c r="I14" s="1476"/>
      <c r="J14" s="1476"/>
      <c r="K14" s="1476"/>
      <c r="L14" s="1476"/>
      <c r="M14" s="1469"/>
      <c r="N14" s="1469"/>
      <c r="O14" s="1469"/>
      <c r="P14" s="1469"/>
      <c r="Q14" s="1469"/>
      <c r="R14" s="1469"/>
      <c r="S14" s="141"/>
      <c r="T14" s="141"/>
      <c r="U14" s="141"/>
      <c r="V14" s="141"/>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xr:uid="{00000000-0002-0000-34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400-000001000000}"/>
    <dataValidation type="textLength" allowBlank="1" showInputMessage="1" showErrorMessage="1" sqref="H3:I3" xr:uid="{00000000-0002-0000-3400-000002000000}">
      <formula1>13</formula1>
      <formula2>15</formula2>
    </dataValidation>
    <dataValidation type="textLength" operator="lessThanOrEqual" allowBlank="1" showInputMessage="1" showErrorMessage="1" sqref="I2" xr:uid="{00000000-0002-0000-3400-000003000000}">
      <formula1>990</formula1>
    </dataValidation>
    <dataValidation type="time" allowBlank="1" showInputMessage="1" showErrorMessage="1" prompt="Укажите время в формате ЧЧ:ММ" sqref="H2" xr:uid="{00000000-0002-0000-34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2F455-B64A-93CC-87F3-044FADBE6EC6}">
  <dimension ref="A1:P18"/>
  <sheetViews>
    <sheetView showGridLines="0" topLeftCell="D6" zoomScale="90" workbookViewId="0"/>
  </sheetViews>
  <sheetFormatPr defaultColWidth="9.140625" defaultRowHeight="14.25" customHeight="1"/>
  <cols>
    <col min="1" max="1" width="9.140625" style="1910" hidden="1"/>
    <col min="2" max="2" width="9.140625" style="1903" hidden="1"/>
    <col min="3" max="3" width="3.7109375" style="1910" hidden="1" customWidth="1"/>
    <col min="4" max="4" width="3.85546875" style="1940" customWidth="1"/>
    <col min="5" max="5" width="6.28515625" style="1910" customWidth="1"/>
    <col min="6" max="6" width="27.28515625" style="1910" customWidth="1"/>
    <col min="7" max="7" width="29.28515625" style="1910" customWidth="1"/>
    <col min="8" max="8" width="25.42578125" style="1910" customWidth="1"/>
    <col min="9" max="9" width="5.5703125" style="1910" customWidth="1"/>
    <col min="10" max="10" width="6.5703125" style="1910" customWidth="1"/>
    <col min="11" max="11" width="41.85546875" style="1910" customWidth="1"/>
    <col min="12" max="12" width="42.42578125" style="1910" customWidth="1"/>
    <col min="13" max="13" width="41.5703125" style="1910" customWidth="1"/>
    <col min="14" max="14" width="89.5703125" style="1910" customWidth="1"/>
    <col min="15" max="15" width="3.7109375" style="1904" customWidth="1"/>
    <col min="16" max="16" width="9.140625" style="1904"/>
  </cols>
  <sheetData>
    <row r="1" spans="1:16" ht="14.25" hidden="1" customHeight="1"/>
    <row r="2" spans="1:16" s="1962" customFormat="1" ht="22.5" hidden="1" customHeight="1">
      <c r="A2" s="394"/>
      <c r="B2" s="1023">
        <v>1</v>
      </c>
      <c r="C2" s="1023"/>
      <c r="D2" s="1764" t="s">
        <v>118</v>
      </c>
      <c r="E2" s="3401">
        <v>1</v>
      </c>
      <c r="F2" s="3708" t="str">
        <f>IF(region_name="","",region_name)</f>
        <v>Орловская область</v>
      </c>
      <c r="G2" s="3709"/>
      <c r="H2" s="3710"/>
      <c r="I2" s="373"/>
      <c r="J2" s="1749">
        <v>1</v>
      </c>
      <c r="K2" s="1751"/>
      <c r="L2" s="1751"/>
      <c r="M2" s="1751"/>
      <c r="N2" s="390"/>
      <c r="O2" s="1389"/>
      <c r="P2" s="409"/>
    </row>
    <row r="3" spans="1:16" s="1962" customFormat="1" ht="22.5" hidden="1" customHeight="1">
      <c r="A3" s="712"/>
      <c r="B3" s="1023"/>
      <c r="C3" s="1023"/>
      <c r="D3" s="682"/>
      <c r="E3" s="3401"/>
      <c r="F3" s="3708"/>
      <c r="G3" s="3709"/>
      <c r="H3" s="3711"/>
      <c r="I3" s="327"/>
      <c r="J3" s="1355"/>
      <c r="K3" s="1355" t="s">
        <v>2194</v>
      </c>
      <c r="L3" s="1397"/>
      <c r="M3" s="1759"/>
      <c r="N3" s="1752"/>
      <c r="O3" s="1389"/>
      <c r="P3" s="409"/>
    </row>
    <row r="4" spans="1:16" s="1866" customFormat="1" ht="5.25" hidden="1" customHeight="1">
      <c r="A4" s="394"/>
      <c r="D4" s="392"/>
      <c r="F4" s="161" t="s">
        <v>80</v>
      </c>
      <c r="G4" s="392" t="s">
        <v>81</v>
      </c>
      <c r="H4" s="392"/>
      <c r="I4" s="1762"/>
      <c r="J4" s="1398"/>
      <c r="K4" s="1750"/>
      <c r="L4" s="1750"/>
      <c r="M4" s="1750"/>
      <c r="N4" s="1746"/>
      <c r="O4" s="161" t="s">
        <v>80</v>
      </c>
      <c r="P4" s="161"/>
    </row>
    <row r="5" spans="1:16" s="1962" customFormat="1" ht="22.5" hidden="1" customHeight="1">
      <c r="A5" s="1486"/>
      <c r="B5" s="1227">
        <v>1</v>
      </c>
      <c r="C5" s="1227"/>
      <c r="D5" s="682"/>
      <c r="E5" s="1752"/>
      <c r="F5" s="1752"/>
      <c r="G5" s="1752"/>
      <c r="H5" s="1763"/>
      <c r="I5" s="1765" t="s">
        <v>118</v>
      </c>
      <c r="J5" s="1761">
        <v>1</v>
      </c>
      <c r="K5" s="1751"/>
      <c r="L5" s="1751"/>
      <c r="M5" s="1751"/>
      <c r="N5" s="390"/>
      <c r="O5" s="1389"/>
      <c r="P5" s="1481"/>
    </row>
    <row r="6" spans="1:16" s="1932" customFormat="1" ht="14.25" customHeight="1">
      <c r="A6" s="1018"/>
      <c r="B6" s="1023"/>
      <c r="C6" s="1018"/>
      <c r="D6" s="1350"/>
      <c r="E6" s="407"/>
      <c r="F6" s="407"/>
      <c r="G6" s="407"/>
      <c r="H6" s="407"/>
      <c r="I6" s="407"/>
      <c r="J6" s="407"/>
      <c r="K6" s="407"/>
      <c r="L6" s="407"/>
      <c r="M6" s="407"/>
      <c r="N6" s="1480"/>
      <c r="O6" s="161"/>
      <c r="P6" s="398"/>
    </row>
    <row r="7" spans="1:16" s="1932" customFormat="1" ht="25.5" customHeight="1">
      <c r="A7" s="1018"/>
      <c r="B7" s="1023"/>
      <c r="C7" s="1018"/>
      <c r="D7" s="1350"/>
      <c r="E7" s="370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702"/>
      <c r="G7" s="3702"/>
      <c r="H7" s="3702"/>
      <c r="I7" s="3702"/>
      <c r="J7" s="3702"/>
      <c r="K7" s="3702"/>
      <c r="L7" s="3702"/>
      <c r="M7" s="3702"/>
      <c r="N7" s="1118"/>
      <c r="O7" s="161"/>
      <c r="P7" s="398"/>
    </row>
    <row r="8" spans="1:16" s="1932" customFormat="1" ht="14.25" customHeight="1">
      <c r="A8" s="1018"/>
      <c r="B8" s="1023"/>
      <c r="C8" s="1018"/>
      <c r="D8" s="1350"/>
      <c r="E8" s="407"/>
      <c r="F8" s="84"/>
      <c r="G8" s="84"/>
      <c r="H8" s="84"/>
      <c r="I8" s="84"/>
      <c r="J8" s="84"/>
      <c r="K8" s="84"/>
      <c r="L8" s="84"/>
      <c r="M8" s="84"/>
      <c r="N8" s="509"/>
      <c r="O8" s="398"/>
      <c r="P8" s="398"/>
    </row>
    <row r="9" spans="1:16" s="1925" customFormat="1" ht="14.25" hidden="1" customHeight="1">
      <c r="A9" s="1324"/>
      <c r="B9" s="1333"/>
      <c r="C9" s="1324"/>
      <c r="D9" s="1350"/>
      <c r="E9" s="1753"/>
      <c r="F9" s="1753"/>
      <c r="G9" s="1753"/>
      <c r="H9" s="1753"/>
      <c r="I9" s="3705"/>
      <c r="J9" s="3705"/>
      <c r="K9" s="3705"/>
      <c r="L9" s="1753"/>
      <c r="M9" s="1754"/>
      <c r="O9" s="1399"/>
      <c r="P9" s="1399"/>
    </row>
    <row r="10" spans="1:16" s="1932" customFormat="1" ht="14.25" customHeight="1">
      <c r="A10" s="1018"/>
      <c r="B10" s="1023"/>
      <c r="C10" s="1018"/>
      <c r="D10" s="1350"/>
      <c r="E10" s="3401" t="s">
        <v>560</v>
      </c>
      <c r="F10" s="3401"/>
      <c r="G10" s="3401"/>
      <c r="H10" s="3401"/>
      <c r="I10" s="3401"/>
      <c r="J10" s="3401"/>
      <c r="K10" s="3401"/>
      <c r="L10" s="3401"/>
      <c r="M10" s="3383"/>
      <c r="N10" s="3695" t="s">
        <v>561</v>
      </c>
      <c r="O10" s="398"/>
      <c r="P10" s="398"/>
    </row>
    <row r="11" spans="1:16" s="1932" customFormat="1" ht="42" customHeight="1">
      <c r="A11" s="1476"/>
      <c r="B11" s="1227"/>
      <c r="C11" s="1476"/>
      <c r="D11" s="1370"/>
      <c r="E11" s="3704" t="s">
        <v>85</v>
      </c>
      <c r="F11" s="3704" t="s">
        <v>564</v>
      </c>
      <c r="G11" s="3704" t="s">
        <v>2195</v>
      </c>
      <c r="H11" s="3704"/>
      <c r="I11" s="3704" t="s">
        <v>2196</v>
      </c>
      <c r="J11" s="3704"/>
      <c r="K11" s="3704"/>
      <c r="L11" s="3704" t="s">
        <v>2197</v>
      </c>
      <c r="M11" s="3697" t="s">
        <v>2198</v>
      </c>
      <c r="N11" s="3703"/>
      <c r="O11" s="1469"/>
      <c r="P11" s="1469"/>
    </row>
    <row r="12" spans="1:16" s="1932" customFormat="1" ht="27.75" customHeight="1">
      <c r="A12" s="1018"/>
      <c r="B12" s="1023"/>
      <c r="C12" s="1018"/>
      <c r="D12" s="1350"/>
      <c r="E12" s="3695"/>
      <c r="F12" s="3704"/>
      <c r="G12" s="1748" t="s">
        <v>2199</v>
      </c>
      <c r="H12" s="1748" t="s">
        <v>568</v>
      </c>
      <c r="I12" s="3704"/>
      <c r="J12" s="3704"/>
      <c r="K12" s="3704"/>
      <c r="L12" s="3704"/>
      <c r="M12" s="3697"/>
      <c r="N12" s="3696"/>
      <c r="O12" s="398"/>
      <c r="P12" s="398"/>
    </row>
    <row r="13" spans="1:16" s="1962" customFormat="1" ht="22.5" customHeight="1">
      <c r="A13" s="3386">
        <v>26379339</v>
      </c>
      <c r="B13" s="1023">
        <v>1</v>
      </c>
      <c r="C13" s="1023"/>
      <c r="D13" s="682"/>
      <c r="E13" s="3401">
        <v>1</v>
      </c>
      <c r="F13" s="3712" t="str">
        <f>IF(region_name="","",region_name)</f>
        <v>Орловская область</v>
      </c>
      <c r="G13" s="3713"/>
      <c r="H13" s="3706"/>
      <c r="I13" s="373"/>
      <c r="J13" s="1744">
        <v>1</v>
      </c>
      <c r="K13" s="1757"/>
      <c r="L13" s="1758"/>
      <c r="M13" s="1758"/>
      <c r="N13" s="3700" t="s">
        <v>2200</v>
      </c>
      <c r="O13" s="1389"/>
      <c r="P13" s="409"/>
    </row>
    <row r="14" spans="1:16" s="1962" customFormat="1" ht="22.5" customHeight="1">
      <c r="A14" s="3386"/>
      <c r="B14" s="1023"/>
      <c r="C14" s="1023"/>
      <c r="D14" s="682"/>
      <c r="E14" s="3401"/>
      <c r="F14" s="3712"/>
      <c r="G14" s="3713"/>
      <c r="H14" s="3707"/>
      <c r="I14" s="327"/>
      <c r="J14" s="1355"/>
      <c r="K14" s="1355" t="s">
        <v>2194</v>
      </c>
      <c r="L14" s="1397"/>
      <c r="M14" s="1397"/>
      <c r="N14" s="3701"/>
      <c r="O14" s="1389"/>
      <c r="P14" s="409"/>
    </row>
    <row r="15" spans="1:16" s="1962" customFormat="1" ht="22.5" customHeight="1">
      <c r="A15" s="3386"/>
      <c r="B15" s="1023"/>
      <c r="C15" s="319"/>
      <c r="D15" s="682"/>
      <c r="E15" s="327"/>
      <c r="F15" s="1355" t="s">
        <v>2186</v>
      </c>
      <c r="G15" s="1396"/>
      <c r="H15" s="1396"/>
      <c r="I15" s="104"/>
      <c r="J15" s="104"/>
      <c r="K15" s="104"/>
      <c r="L15" s="104"/>
      <c r="M15" s="104"/>
      <c r="N15" s="3701"/>
      <c r="O15" s="1390"/>
      <c r="P15" s="409"/>
    </row>
    <row r="16" spans="1:16" s="1932" customFormat="1" ht="21" customHeight="1">
      <c r="A16" s="1018"/>
      <c r="B16" s="1023"/>
      <c r="C16" s="1018"/>
      <c r="D16" s="354"/>
      <c r="E16" s="97"/>
      <c r="F16" s="97"/>
      <c r="G16" s="97"/>
      <c r="H16" s="97"/>
      <c r="I16" s="97"/>
      <c r="J16" s="97"/>
      <c r="K16" s="97"/>
      <c r="L16" s="97"/>
      <c r="M16" s="407"/>
      <c r="N16" s="1480"/>
      <c r="O16" s="398"/>
      <c r="P16" s="398"/>
    </row>
    <row r="17" spans="1:16" s="1932" customFormat="1" ht="14.25" customHeight="1">
      <c r="A17" s="1018"/>
      <c r="B17" s="1023"/>
      <c r="C17" s="1018"/>
      <c r="D17" s="354"/>
      <c r="E17" s="1018"/>
      <c r="F17" s="1018"/>
      <c r="G17" s="1018"/>
      <c r="H17" s="1018"/>
      <c r="I17" s="1018"/>
      <c r="J17" s="1018"/>
      <c r="K17" s="1018"/>
      <c r="L17" s="1018"/>
      <c r="M17" s="1018"/>
      <c r="N17" s="1476"/>
      <c r="O17" s="398"/>
      <c r="P17" s="398"/>
    </row>
    <row r="18" spans="1:16" s="1932" customFormat="1" ht="0.75" customHeight="1">
      <c r="A18" s="1018"/>
      <c r="B18" s="1023"/>
      <c r="C18" s="1018"/>
      <c r="D18" s="354"/>
      <c r="E18" s="1018"/>
      <c r="F18" s="1018"/>
      <c r="G18" s="1018"/>
      <c r="H18" s="1018"/>
      <c r="I18" s="1018"/>
      <c r="J18" s="1018"/>
      <c r="K18" s="1018"/>
      <c r="L18" s="1018"/>
      <c r="M18" s="1018"/>
      <c r="N18" s="1476"/>
      <c r="O18" s="398"/>
      <c r="P18" s="398"/>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xr:uid="{00000000-0002-0000-3500-000000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497FE-254D-4B99-8251-854C6D994B0E}">
  <sheetPr>
    <tabColor rgb="FFEAEBEE"/>
    <pageSetUpPr fitToPage="1"/>
  </sheetPr>
  <dimension ref="A1:L15"/>
  <sheetViews>
    <sheetView showGridLines="0" topLeftCell="C4" zoomScale="90" workbookViewId="0"/>
  </sheetViews>
  <sheetFormatPr defaultColWidth="9.140625" defaultRowHeight="14.25" customHeight="1"/>
  <cols>
    <col min="1" max="1" width="9.140625" style="1955" hidden="1"/>
    <col min="2" max="2" width="9.140625" style="1937" hidden="1"/>
    <col min="3" max="3" width="3.7109375" style="1927" customWidth="1"/>
    <col min="4" max="4" width="7" style="1937" customWidth="1"/>
    <col min="5" max="5" width="23.140625" style="1937" customWidth="1"/>
    <col min="6" max="6" width="16" style="1937" customWidth="1"/>
    <col min="7" max="7" width="14.85546875" style="1937" customWidth="1"/>
    <col min="8" max="8" width="47.85546875" style="1937" customWidth="1"/>
    <col min="9" max="9" width="115.7109375" style="1937" customWidth="1"/>
    <col min="10" max="10" width="3.7109375" style="1937" customWidth="1"/>
    <col min="11" max="12" width="9.140625" style="1937"/>
  </cols>
  <sheetData>
    <row r="1" spans="1:12" ht="14.25" hidden="1" customHeight="1"/>
    <row r="2" spans="1:12" ht="14.25" hidden="1" customHeight="1"/>
    <row r="3" spans="1:12" ht="14.25" hidden="1" customHeight="1"/>
    <row r="4" spans="1:12" ht="3" customHeight="1"/>
    <row r="5" spans="1:12" s="1910" customFormat="1" ht="30" customHeight="1">
      <c r="A5" s="41"/>
      <c r="C5" s="20"/>
      <c r="D5" s="3387" t="s">
        <v>2201</v>
      </c>
      <c r="E5" s="3387"/>
      <c r="F5" s="3387"/>
      <c r="G5" s="3387"/>
      <c r="H5" s="3387"/>
      <c r="I5" s="179"/>
    </row>
    <row r="6" spans="1:12" ht="3" hidden="1" customHeight="1">
      <c r="D6" s="45"/>
      <c r="E6" s="45"/>
      <c r="F6" s="45"/>
      <c r="G6" s="45"/>
      <c r="H6" s="45"/>
      <c r="I6" s="45"/>
    </row>
    <row r="7" spans="1:12" s="1955" customFormat="1" ht="14.25" customHeight="1">
      <c r="B7" s="42"/>
      <c r="C7" s="43"/>
      <c r="D7" s="46"/>
      <c r="E7" s="46"/>
      <c r="F7" s="46"/>
      <c r="G7" s="46"/>
      <c r="H7" s="640"/>
      <c r="I7" s="46"/>
      <c r="J7" s="47"/>
    </row>
    <row r="8" spans="1:12" ht="14.25" customHeight="1">
      <c r="D8" s="3489" t="s">
        <v>560</v>
      </c>
      <c r="E8" s="3489"/>
      <c r="F8" s="3489"/>
      <c r="G8" s="3489"/>
      <c r="H8" s="3489"/>
      <c r="I8" s="3489" t="s">
        <v>561</v>
      </c>
    </row>
    <row r="9" spans="1:12" ht="27.75" customHeight="1">
      <c r="D9" s="3489" t="s">
        <v>85</v>
      </c>
      <c r="E9" s="3489" t="s">
        <v>2202</v>
      </c>
      <c r="F9" s="3489"/>
      <c r="G9" s="3489"/>
      <c r="H9" s="3489"/>
      <c r="I9" s="3489"/>
    </row>
    <row r="10" spans="1:12" ht="22.5" customHeight="1">
      <c r="D10" s="3489"/>
      <c r="E10" s="50" t="s">
        <v>2203</v>
      </c>
      <c r="F10" s="50" t="s">
        <v>2204</v>
      </c>
      <c r="G10" s="50" t="s">
        <v>2205</v>
      </c>
      <c r="H10" s="50" t="s">
        <v>652</v>
      </c>
      <c r="I10" s="3489"/>
    </row>
    <row r="11" spans="1:12" ht="12" hidden="1" customHeight="1">
      <c r="D11" s="19" t="s">
        <v>106</v>
      </c>
      <c r="E11" s="19" t="s">
        <v>88</v>
      </c>
      <c r="F11" s="19" t="s">
        <v>108</v>
      </c>
      <c r="G11" s="19" t="s">
        <v>89</v>
      </c>
      <c r="H11" s="19" t="s">
        <v>90</v>
      </c>
      <c r="I11" s="19" t="s">
        <v>109</v>
      </c>
    </row>
    <row r="12" spans="1:12" s="1937" customFormat="1" ht="24.75" customHeight="1">
      <c r="A12" s="65" t="s">
        <v>87</v>
      </c>
      <c r="B12" s="48" t="s">
        <v>18</v>
      </c>
      <c r="C12" s="49"/>
      <c r="D12" s="51" t="s">
        <v>106</v>
      </c>
      <c r="E12" s="288"/>
      <c r="F12" s="288"/>
      <c r="G12" s="1577" t="s">
        <v>18</v>
      </c>
      <c r="H12" s="289"/>
      <c r="I12" s="3445" t="s">
        <v>2206</v>
      </c>
      <c r="K12" s="186"/>
      <c r="L12" s="187"/>
    </row>
    <row r="13" spans="1:12" ht="15" customHeight="1">
      <c r="A13" s="44"/>
      <c r="B13" s="44"/>
      <c r="C13" s="44"/>
      <c r="D13" s="36"/>
      <c r="E13" s="53" t="s">
        <v>730</v>
      </c>
      <c r="F13" s="52"/>
      <c r="G13" s="52"/>
      <c r="H13" s="130"/>
      <c r="I13" s="3447"/>
    </row>
    <row r="14" spans="1:12" ht="3" customHeight="1">
      <c r="A14" s="44"/>
      <c r="B14" s="44"/>
      <c r="C14" s="44"/>
    </row>
    <row r="15" spans="1:12" ht="27.75" customHeight="1">
      <c r="E15" s="3714" t="s">
        <v>2207</v>
      </c>
      <c r="F15" s="3714"/>
      <c r="G15" s="3714"/>
      <c r="H15" s="3714"/>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6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xr:uid="{00000000-0002-0000-36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6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F50B9-4378-7EF9-53CC-0F59BE305DF1}">
  <sheetPr>
    <tabColor rgb="FFCCCCFF"/>
    <pageSetUpPr fitToPage="1"/>
  </sheetPr>
  <dimension ref="A1:I15"/>
  <sheetViews>
    <sheetView showGridLines="0" topLeftCell="C6" zoomScale="90" workbookViewId="0"/>
  </sheetViews>
  <sheetFormatPr defaultColWidth="9.140625" defaultRowHeight="14.25" customHeight="1"/>
  <cols>
    <col min="1" max="2" width="9.140625" style="1930" hidden="1"/>
    <col min="3" max="3" width="3.7109375" style="1929" customWidth="1"/>
    <col min="4" max="4" width="6.28515625" style="1930" customWidth="1"/>
    <col min="5" max="5" width="94.85546875" style="1930" customWidth="1"/>
    <col min="6" max="9" width="9.140625" style="1930"/>
  </cols>
  <sheetData>
    <row r="1" spans="3:9" ht="14.25" hidden="1" customHeight="1"/>
    <row r="2" spans="3:9" ht="14.25" hidden="1" customHeight="1"/>
    <row r="3" spans="3:9" ht="14.25" hidden="1" customHeight="1"/>
    <row r="4" spans="3:9" ht="14.25" hidden="1" customHeight="1"/>
    <row r="5" spans="3:9" ht="14.25" hidden="1" customHeight="1"/>
    <row r="6" spans="3:9" ht="3" customHeight="1">
      <c r="C6" s="21"/>
      <c r="D6" s="4"/>
      <c r="E6" s="4"/>
    </row>
    <row r="7" spans="3:9" ht="22.5" customHeight="1">
      <c r="C7" s="21"/>
      <c r="D7" s="3715" t="s">
        <v>2208</v>
      </c>
      <c r="E7" s="3716"/>
      <c r="F7" s="181"/>
    </row>
    <row r="8" spans="3:9" ht="3" customHeight="1">
      <c r="C8" s="21"/>
      <c r="D8" s="4"/>
      <c r="E8" s="4"/>
    </row>
    <row r="9" spans="3:9" ht="15.75" customHeight="1">
      <c r="C9" s="21"/>
      <c r="D9" s="32" t="s">
        <v>85</v>
      </c>
      <c r="E9" s="174" t="s">
        <v>2209</v>
      </c>
    </row>
    <row r="10" spans="3:9" ht="0.75" customHeight="1">
      <c r="C10" s="21"/>
      <c r="D10" s="19"/>
      <c r="E10" s="19"/>
    </row>
    <row r="11" spans="3:9" ht="11.25" hidden="1" customHeight="1">
      <c r="C11" s="21"/>
      <c r="D11" s="70">
        <v>0</v>
      </c>
      <c r="E11" s="175"/>
    </row>
    <row r="12" spans="3:9" ht="15" customHeight="1">
      <c r="C12" s="58"/>
      <c r="D12" s="39">
        <v>1</v>
      </c>
      <c r="E12" s="284"/>
    </row>
    <row r="13" spans="3:9" ht="12" customHeight="1">
      <c r="C13" s="21"/>
      <c r="D13" s="176"/>
      <c r="E13" s="177" t="s">
        <v>2210</v>
      </c>
    </row>
    <row r="14" spans="3:9" ht="3" customHeight="1"/>
    <row r="15" spans="3:9" ht="22.5" customHeight="1">
      <c r="C15" s="59"/>
      <c r="D15" s="3714" t="s">
        <v>2211</v>
      </c>
      <c r="E15" s="3714"/>
      <c r="F15" s="60"/>
      <c r="G15" s="60"/>
      <c r="H15" s="60"/>
      <c r="I15" s="60"/>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7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BF076-5A23-5E12-E984-BADC1058AB06}">
  <sheetPr>
    <tabColor rgb="FFCCCCFF"/>
    <pageSetUpPr fitToPage="1"/>
  </sheetPr>
  <dimension ref="A1:L12"/>
  <sheetViews>
    <sheetView showGridLines="0" topLeftCell="C6" zoomScale="90" workbookViewId="0"/>
  </sheetViews>
  <sheetFormatPr defaultColWidth="9.140625" defaultRowHeight="14.25" customHeight="1"/>
  <cols>
    <col min="1" max="2" width="9.140625" style="1930" hidden="1"/>
    <col min="3" max="3" width="3.7109375" style="1929" customWidth="1"/>
    <col min="4" max="4" width="6.28515625" style="1930" customWidth="1"/>
    <col min="5" max="5" width="94.85546875" style="1930" customWidth="1"/>
    <col min="6" max="12" width="9.140625" style="1930"/>
  </cols>
  <sheetData>
    <row r="1" spans="3:12" ht="14.25" hidden="1" customHeight="1">
      <c r="L1" s="178"/>
    </row>
    <row r="2" spans="3:12" ht="14.25" hidden="1" customHeight="1"/>
    <row r="3" spans="3:12" ht="14.25" hidden="1" customHeight="1"/>
    <row r="4" spans="3:12" ht="14.25" hidden="1" customHeight="1"/>
    <row r="5" spans="3:12" ht="14.25" hidden="1" customHeight="1"/>
    <row r="6" spans="3:12" ht="3" customHeight="1">
      <c r="C6" s="21"/>
      <c r="D6" s="4"/>
      <c r="E6" s="4"/>
    </row>
    <row r="7" spans="3:12" ht="22.5" customHeight="1">
      <c r="C7" s="21"/>
      <c r="D7" s="3387" t="s">
        <v>2212</v>
      </c>
      <c r="E7" s="3387"/>
      <c r="F7" s="181"/>
    </row>
    <row r="8" spans="3:12" ht="3" customHeight="1">
      <c r="C8" s="21"/>
      <c r="D8" s="4"/>
      <c r="E8" s="4"/>
    </row>
    <row r="9" spans="3:12" ht="15.75" customHeight="1">
      <c r="C9" s="21"/>
      <c r="D9" s="32" t="s">
        <v>85</v>
      </c>
      <c r="E9" s="35" t="s">
        <v>547</v>
      </c>
    </row>
    <row r="10" spans="3:12" ht="12" customHeight="1">
      <c r="C10" s="21"/>
      <c r="D10" s="19" t="s">
        <v>106</v>
      </c>
      <c r="E10" s="19" t="s">
        <v>107</v>
      </c>
    </row>
    <row r="11" spans="3:12" ht="15" hidden="1" customHeight="1">
      <c r="C11" s="21"/>
      <c r="D11" s="39">
        <v>0</v>
      </c>
      <c r="E11" s="69"/>
    </row>
    <row r="12" spans="3:12" ht="14.25" customHeight="1">
      <c r="C12" s="21"/>
      <c r="D12" s="36"/>
      <c r="E12" s="34" t="s">
        <v>2210</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8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4DAF3-E86E-1EF7-3A4D-C70D5583D5F9}">
  <sheetPr>
    <tabColor rgb="FFCCCCFF"/>
  </sheetPr>
  <dimension ref="A1:E4"/>
  <sheetViews>
    <sheetView showGridLines="0" zoomScale="90" workbookViewId="0"/>
  </sheetViews>
  <sheetFormatPr defaultColWidth="9.140625" defaultRowHeight="11.25" customHeight="1"/>
  <cols>
    <col min="1" max="1" width="1.7109375" style="1962" customWidth="1"/>
    <col min="2" max="2" width="34.5703125" style="1962" customWidth="1"/>
    <col min="3" max="3" width="85.5703125" style="1962" customWidth="1"/>
    <col min="4" max="4" width="17.7109375" style="1962" customWidth="1"/>
    <col min="5" max="5" width="9.140625" style="1962"/>
  </cols>
  <sheetData>
    <row r="1" spans="2:5" ht="3" customHeight="1"/>
    <row r="2" spans="2:5" ht="22.5" customHeight="1">
      <c r="B2" s="3717" t="s">
        <v>2213</v>
      </c>
      <c r="C2" s="3717"/>
      <c r="D2" s="3717"/>
      <c r="E2" s="182"/>
    </row>
    <row r="3" spans="2:5" ht="3" customHeight="1"/>
    <row r="4" spans="2:5" ht="21.75" customHeight="1">
      <c r="B4" s="290" t="s">
        <v>2214</v>
      </c>
      <c r="C4" s="290" t="s">
        <v>2215</v>
      </c>
      <c r="D4" s="290" t="s">
        <v>2216</v>
      </c>
    </row>
  </sheetData>
  <sheetProtection formatColumns="0" formatRows="0" insertRows="0" deleteColumns="0" deleteRows="0" sort="0" autoFilter="0"/>
  <autoFilter ref="B4:D4" xr:uid="{00000000-0009-0000-0000-000039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858C8-BDD9-500E-2543-ACB96F275823}">
  <sheetPr>
    <tabColor rgb="FFFFCC99"/>
  </sheetPr>
  <dimension ref="A2:GB207"/>
  <sheetViews>
    <sheetView showGridLines="0" zoomScale="85" workbookViewId="0"/>
  </sheetViews>
  <sheetFormatPr defaultRowHeight="17.100000000000001" customHeight="1"/>
  <cols>
    <col min="1" max="1" width="26.5703125" style="1962" customWidth="1"/>
    <col min="2" max="2" width="10" style="1962" customWidth="1"/>
    <col min="3" max="3" width="9.140625" style="1962"/>
    <col min="4" max="4" width="11.140625" style="1962" customWidth="1"/>
    <col min="5" max="5" width="16.5703125" style="1962" customWidth="1"/>
    <col min="6" max="6" width="16.28515625" style="1962" customWidth="1"/>
    <col min="7" max="7" width="19.140625" style="1962" customWidth="1"/>
    <col min="8" max="11" width="10" style="1962" customWidth="1"/>
    <col min="12" max="12" width="12.7109375" style="1962" customWidth="1"/>
    <col min="13" max="13" width="61.28515625" style="1962" customWidth="1"/>
    <col min="14" max="14" width="10" style="1962" customWidth="1"/>
    <col min="15" max="17" width="23.7109375" style="1962" customWidth="1"/>
    <col min="18" max="18" width="11.7109375" style="1962" customWidth="1"/>
    <col min="19" max="19" width="8.5703125" style="1962" customWidth="1"/>
    <col min="20" max="20" width="11.7109375" style="1962" customWidth="1"/>
    <col min="21" max="21" width="8.5703125" style="1962" customWidth="1"/>
    <col min="22" max="22" width="4.7109375" style="1962" customWidth="1"/>
    <col min="23" max="23" width="115.7109375" style="1962" customWidth="1"/>
    <col min="24" max="24" width="115.28515625" style="1962" customWidth="1"/>
    <col min="25" max="27" width="9.140625" style="1962"/>
    <col min="28" max="28" width="115.7109375" style="1962" customWidth="1"/>
    <col min="29" max="29" width="9.140625" style="1962"/>
    <col min="30" max="90" width="115.7109375" style="1962" customWidth="1"/>
    <col min="91" max="184" width="9.140625" style="1962"/>
  </cols>
  <sheetData>
    <row r="2" spans="1:80" s="1931" customFormat="1" ht="17.25" customHeight="1">
      <c r="A2" s="1658" t="s">
        <v>2217</v>
      </c>
    </row>
    <row r="4" spans="1:80" s="1930" customFormat="1" ht="15" customHeight="1">
      <c r="C4" s="1659"/>
      <c r="D4" s="39"/>
      <c r="E4" s="284"/>
    </row>
    <row r="6" spans="1:80" s="1931" customFormat="1" ht="17.25" customHeight="1">
      <c r="A6" s="1658" t="s">
        <v>2218</v>
      </c>
    </row>
    <row r="8" spans="1:80" s="1930" customFormat="1" ht="17.25" customHeight="1">
      <c r="C8" s="1660"/>
      <c r="D8" s="39"/>
      <c r="E8" s="40"/>
    </row>
    <row r="11" spans="1:80" s="1931" customFormat="1" ht="17.25" customHeight="1">
      <c r="A11" s="1658" t="s">
        <v>2219</v>
      </c>
    </row>
    <row r="13" spans="1:80" s="1932" customFormat="1" ht="15" customHeight="1">
      <c r="A13" s="3506">
        <v>1</v>
      </c>
      <c r="B13" s="1023"/>
      <c r="C13" s="682" t="s">
        <v>118</v>
      </c>
      <c r="D13" s="1661"/>
      <c r="E13" s="1648">
        <f>A13</f>
        <v>1</v>
      </c>
      <c r="F13" s="685"/>
      <c r="G13" s="437" t="str">
        <f>"Территория "&amp;E13</f>
        <v>Территория 1</v>
      </c>
      <c r="H13" s="673"/>
      <c r="I13" s="673"/>
      <c r="J13" s="670"/>
      <c r="K13" s="1469"/>
      <c r="L13" s="1469"/>
      <c r="M13" s="1469"/>
      <c r="N13" s="142"/>
      <c r="O13" s="1469"/>
      <c r="P13" s="141"/>
      <c r="Q13" s="141"/>
      <c r="R13" s="141"/>
      <c r="S13" s="141"/>
    </row>
    <row r="14" spans="1:80" s="1962" customFormat="1" ht="15" customHeight="1">
      <c r="A14" s="3506"/>
      <c r="B14" s="1023">
        <v>1</v>
      </c>
      <c r="C14" s="1023"/>
      <c r="D14" s="681"/>
      <c r="E14" s="1656" t="str">
        <f>A13&amp;"."&amp;B14</f>
        <v>1.1</v>
      </c>
      <c r="F14" s="684">
        <f>$F$20</f>
        <v>0</v>
      </c>
      <c r="G14" s="674"/>
      <c r="H14" s="674"/>
      <c r="I14" s="672"/>
      <c r="J14" s="1469"/>
      <c r="K14" s="1481"/>
      <c r="L14" s="1481"/>
      <c r="M14" s="1469" t="str">
        <f t="array" ref="M14">IF(ISERROR(MATCH(MID(N14,1,250),MID(note_ter,1,250),0)),"n","y")</f>
        <v>n</v>
      </c>
      <c r="N14" s="1481"/>
      <c r="O14" s="1469" t="str">
        <f>H14&amp;"("&amp;I14&amp;")"</f>
        <v>()</v>
      </c>
      <c r="P14" s="1023"/>
      <c r="Q14" s="1023"/>
      <c r="R14" s="326"/>
      <c r="S14" s="1023"/>
      <c r="T14" s="1023"/>
      <c r="U14" s="1023"/>
      <c r="V14" s="328"/>
      <c r="W14" s="328"/>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5"/>
      <c r="BP14" s="325"/>
      <c r="BQ14" s="325"/>
      <c r="BR14" s="325"/>
      <c r="BS14" s="328"/>
      <c r="BT14" s="328"/>
      <c r="BU14" s="328"/>
      <c r="BV14" s="328"/>
      <c r="BW14" s="328"/>
      <c r="BX14" s="328"/>
      <c r="BY14" s="328"/>
      <c r="BZ14" s="328"/>
      <c r="CA14" s="328"/>
      <c r="CB14" s="328"/>
    </row>
    <row r="15" spans="1:80" s="1962" customFormat="1" ht="15" customHeight="1">
      <c r="A15" s="3506"/>
      <c r="B15" s="1023"/>
      <c r="C15" s="319"/>
      <c r="D15" s="682"/>
      <c r="E15" s="327"/>
      <c r="F15" s="94"/>
      <c r="G15" s="322" t="s">
        <v>99</v>
      </c>
      <c r="H15" s="104"/>
      <c r="I15" s="329"/>
      <c r="J15" s="1481"/>
      <c r="K15" s="1481"/>
      <c r="L15" s="1481"/>
      <c r="M15" s="1481"/>
      <c r="N15" s="1469"/>
      <c r="O15" s="1481"/>
      <c r="P15" s="1023"/>
      <c r="Q15" s="1023"/>
      <c r="R15" s="326"/>
      <c r="S15" s="1023"/>
      <c r="T15" s="1023"/>
      <c r="U15" s="1023"/>
      <c r="V15" s="328"/>
      <c r="W15" s="328"/>
      <c r="X15" s="325"/>
      <c r="Y15" s="325"/>
      <c r="Z15" s="325"/>
      <c r="AA15" s="325"/>
      <c r="AB15" s="325"/>
      <c r="AC15" s="325"/>
      <c r="AD15" s="325"/>
      <c r="AE15" s="325"/>
      <c r="AF15" s="325"/>
      <c r="AG15" s="325"/>
      <c r="AH15" s="325"/>
      <c r="AI15" s="325"/>
      <c r="AJ15" s="325"/>
      <c r="AK15" s="325"/>
      <c r="AL15" s="325"/>
      <c r="AM15" s="325"/>
      <c r="AN15" s="325"/>
      <c r="AO15" s="325"/>
      <c r="AP15" s="325"/>
      <c r="AQ15" s="325"/>
      <c r="AR15" s="325"/>
      <c r="AS15" s="325"/>
      <c r="AT15" s="325"/>
      <c r="AU15" s="325"/>
      <c r="AV15" s="325"/>
      <c r="AW15" s="325"/>
      <c r="AX15" s="325"/>
      <c r="AY15" s="325"/>
      <c r="AZ15" s="325"/>
      <c r="BA15" s="325"/>
      <c r="BB15" s="325"/>
      <c r="BC15" s="325"/>
      <c r="BD15" s="325"/>
      <c r="BE15" s="325"/>
      <c r="BF15" s="325"/>
      <c r="BG15" s="325"/>
      <c r="BH15" s="325"/>
      <c r="BI15" s="325"/>
      <c r="BJ15" s="325"/>
      <c r="BK15" s="325"/>
      <c r="BL15" s="325"/>
      <c r="BM15" s="325"/>
      <c r="BN15" s="325"/>
      <c r="BO15" s="325"/>
      <c r="BP15" s="325"/>
      <c r="BQ15" s="325"/>
      <c r="BR15" s="325"/>
      <c r="BS15" s="328"/>
      <c r="BT15" s="328"/>
      <c r="BU15" s="328"/>
      <c r="BV15" s="328"/>
      <c r="BW15" s="328"/>
      <c r="BX15" s="328"/>
      <c r="BY15" s="328"/>
      <c r="BZ15" s="328"/>
      <c r="CA15" s="328"/>
      <c r="CB15" s="328"/>
    </row>
    <row r="17" spans="1:80" s="1931" customFormat="1" ht="17.25" customHeight="1">
      <c r="A17" s="1658" t="s">
        <v>2220</v>
      </c>
    </row>
    <row r="19" spans="1:80" s="1962" customFormat="1" ht="15" customHeight="1">
      <c r="A19" s="1721"/>
      <c r="B19" s="1227">
        <v>1</v>
      </c>
      <c r="C19" s="1227"/>
      <c r="D19" s="681" t="s">
        <v>118</v>
      </c>
      <c r="E19" s="1717"/>
      <c r="F19" s="1722">
        <f>$F$20</f>
        <v>0</v>
      </c>
      <c r="G19" s="1726"/>
      <c r="H19" s="1726"/>
      <c r="I19" s="1724"/>
      <c r="J19" s="1469"/>
      <c r="K19" s="1481"/>
      <c r="L19" s="1481"/>
      <c r="M19" s="1469" t="str">
        <f t="array" ref="M19">IF(ISERROR(MATCH(MID(N19,1,250),MID(note_ter,1,250),0)),"n","y")</f>
        <v>n</v>
      </c>
      <c r="N19" s="1481"/>
      <c r="O19" s="1469" t="str">
        <f>H19&amp;"("&amp;I19&amp;")"</f>
        <v>()</v>
      </c>
      <c r="P19" s="1227"/>
      <c r="Q19" s="1227"/>
      <c r="R19" s="326"/>
      <c r="S19" s="1227"/>
      <c r="T19" s="1227"/>
      <c r="U19" s="1227"/>
      <c r="V19" s="714"/>
      <c r="W19" s="714"/>
      <c r="X19" s="519"/>
      <c r="Y19" s="519"/>
      <c r="Z19" s="519"/>
      <c r="AA19" s="519"/>
      <c r="AB19" s="519"/>
      <c r="AC19" s="519"/>
      <c r="AD19" s="519"/>
      <c r="AE19" s="519"/>
      <c r="AF19" s="519"/>
      <c r="AG19" s="519"/>
      <c r="AH19" s="519"/>
      <c r="AI19" s="519"/>
      <c r="AJ19" s="519"/>
      <c r="AK19" s="519"/>
      <c r="AL19" s="519"/>
      <c r="AM19" s="519"/>
      <c r="AN19" s="519"/>
      <c r="AO19" s="519"/>
      <c r="AP19" s="519"/>
      <c r="AQ19" s="519"/>
      <c r="AR19" s="519"/>
      <c r="AS19" s="519"/>
      <c r="AT19" s="519"/>
      <c r="AU19" s="519"/>
      <c r="AV19" s="519"/>
      <c r="AW19" s="519"/>
      <c r="AX19" s="519"/>
      <c r="AY19" s="519"/>
      <c r="AZ19" s="519"/>
      <c r="BA19" s="519"/>
      <c r="BB19" s="519"/>
      <c r="BC19" s="519"/>
      <c r="BD19" s="519"/>
      <c r="BE19" s="519"/>
      <c r="BF19" s="519"/>
      <c r="BG19" s="519"/>
      <c r="BH19" s="519"/>
      <c r="BI19" s="519"/>
      <c r="BJ19" s="519"/>
      <c r="BK19" s="519"/>
      <c r="BL19" s="519"/>
      <c r="BM19" s="519"/>
      <c r="BN19" s="519"/>
      <c r="BO19" s="519"/>
      <c r="BP19" s="519"/>
      <c r="BQ19" s="519"/>
      <c r="BR19" s="519"/>
      <c r="BS19" s="714"/>
      <c r="BT19" s="714"/>
      <c r="BU19" s="714"/>
      <c r="BV19" s="714"/>
      <c r="BW19" s="714"/>
      <c r="BX19" s="714"/>
      <c r="BY19" s="714"/>
      <c r="BZ19" s="714"/>
      <c r="CA19" s="714"/>
      <c r="CB19" s="714"/>
    </row>
    <row r="21" spans="1:80" s="1962" customFormat="1" ht="15" customHeight="1">
      <c r="A21" s="1658" t="s">
        <v>2221</v>
      </c>
      <c r="B21" s="1658"/>
      <c r="C21" s="1658"/>
      <c r="D21" s="1658"/>
      <c r="E21" s="1658"/>
      <c r="F21" s="1658"/>
      <c r="G21" s="1658"/>
      <c r="H21" s="1658"/>
      <c r="I21" s="1658"/>
      <c r="J21" s="1658"/>
      <c r="K21" s="1658"/>
      <c r="L21" s="1658"/>
      <c r="M21" s="1658"/>
      <c r="N21" s="1658"/>
      <c r="O21" s="1658"/>
      <c r="P21" s="1658"/>
      <c r="Q21" s="1658"/>
      <c r="R21" s="1658"/>
      <c r="S21" s="1658"/>
      <c r="T21" s="1658"/>
      <c r="U21" s="101"/>
      <c r="V21" s="1658"/>
      <c r="W21" s="1658"/>
    </row>
    <row r="22" spans="1:80" s="1962" customFormat="1" ht="15" customHeight="1">
      <c r="U22" s="102"/>
    </row>
    <row r="23" spans="1:80" s="1944" customFormat="1" ht="15" customHeight="1">
      <c r="A23"/>
      <c r="B23"/>
      <c r="C23" s="1571" t="s">
        <v>118</v>
      </c>
      <c r="D23" s="3413" t="s">
        <v>106</v>
      </c>
      <c r="E23" s="3414"/>
      <c r="F23" s="3412" t="s">
        <v>54</v>
      </c>
      <c r="G23" s="3749"/>
      <c r="H23" s="3401">
        <v>1</v>
      </c>
      <c r="I23" s="3751" t="str">
        <f>IF(U23="","",INDEX(TERRITORY_MR_LIST,MATCH(U23,TERRITORY_LIST_ID,0)))</f>
        <v/>
      </c>
      <c r="J23" s="3412" t="s">
        <v>54</v>
      </c>
      <c r="K23" s="713"/>
      <c r="L23" s="1625" t="s">
        <v>106</v>
      </c>
      <c r="M23" s="497"/>
      <c r="N23" s="498"/>
      <c r="O23" s="498"/>
      <c r="P23" s="498"/>
      <c r="Q23" s="498"/>
      <c r="R23" s="498"/>
      <c r="S23" s="498"/>
      <c r="T23" s="498"/>
      <c r="U23" s="499"/>
      <c r="V23" s="498"/>
      <c r="W23" s="498"/>
      <c r="X23" s="490"/>
      <c r="Y23" s="490" t="s">
        <v>117</v>
      </c>
      <c r="Z23" s="490">
        <v>1705000</v>
      </c>
      <c r="AA23" s="490"/>
      <c r="AB23" s="490"/>
      <c r="AC23" s="490"/>
      <c r="AD23" s="490"/>
      <c r="AE23" s="490"/>
      <c r="AF23" s="490"/>
      <c r="AG23" s="490"/>
      <c r="AH23" s="490"/>
      <c r="AI23" s="490"/>
      <c r="AJ23" s="490"/>
      <c r="AK23" s="490"/>
      <c r="AL23" s="490"/>
    </row>
    <row r="24" spans="1:80" s="1944" customFormat="1" ht="15" customHeight="1">
      <c r="A24"/>
      <c r="B24"/>
      <c r="C24" s="93"/>
      <c r="D24" s="3413"/>
      <c r="E24" s="3415"/>
      <c r="F24" s="3412"/>
      <c r="G24" s="3750"/>
      <c r="H24" s="3401"/>
      <c r="I24" s="3752"/>
      <c r="J24" s="3412"/>
      <c r="K24" s="327"/>
      <c r="L24" s="94"/>
      <c r="M24" s="500" t="s">
        <v>387</v>
      </c>
      <c r="N24" s="498"/>
      <c r="O24" s="498"/>
      <c r="P24" s="498"/>
      <c r="Q24" s="498"/>
      <c r="R24" s="498"/>
      <c r="S24" s="498"/>
      <c r="T24" s="498"/>
      <c r="U24" s="499"/>
      <c r="V24" s="498"/>
      <c r="W24" s="498"/>
      <c r="X24" s="490"/>
      <c r="Y24" s="490"/>
      <c r="Z24" s="490"/>
      <c r="AA24" s="490"/>
      <c r="AB24" s="490"/>
      <c r="AC24" s="490"/>
      <c r="AD24" s="490"/>
      <c r="AE24" s="490"/>
      <c r="AF24" s="490"/>
      <c r="AG24" s="490"/>
      <c r="AH24" s="490"/>
      <c r="AI24" s="490"/>
      <c r="AJ24" s="490"/>
      <c r="AK24" s="490"/>
      <c r="AL24" s="490"/>
    </row>
    <row r="25" spans="1:80" s="1944" customFormat="1" ht="15" customHeight="1">
      <c r="A25"/>
      <c r="B25"/>
      <c r="C25" s="93"/>
      <c r="D25" s="3413"/>
      <c r="E25" s="3416"/>
      <c r="F25" s="3412"/>
      <c r="G25" s="327"/>
      <c r="H25" s="94"/>
      <c r="I25" s="477" t="s">
        <v>388</v>
      </c>
      <c r="J25" s="94"/>
      <c r="K25" s="94"/>
      <c r="L25" s="94"/>
      <c r="M25" s="501"/>
      <c r="N25" s="498"/>
      <c r="O25" s="498"/>
      <c r="P25" s="498"/>
      <c r="Q25" s="498"/>
      <c r="R25" s="498"/>
      <c r="S25" s="498"/>
      <c r="T25" s="498"/>
      <c r="U25" s="499"/>
      <c r="V25" s="498"/>
      <c r="W25" s="498"/>
      <c r="X25" s="490"/>
      <c r="Y25" s="490"/>
      <c r="Z25" s="490"/>
      <c r="AA25" s="490"/>
      <c r="AB25" s="490"/>
      <c r="AC25" s="490"/>
      <c r="AD25" s="490"/>
      <c r="AE25" s="490"/>
      <c r="AF25" s="490"/>
      <c r="AG25" s="490"/>
      <c r="AH25" s="490"/>
      <c r="AI25" s="490"/>
      <c r="AJ25" s="490"/>
      <c r="AK25" s="490"/>
      <c r="AL25" s="490"/>
    </row>
    <row r="26" spans="1:80" s="1962" customFormat="1" ht="15" customHeight="1">
      <c r="U26" s="102"/>
    </row>
    <row r="27" spans="1:80" s="1962" customFormat="1" ht="15" customHeight="1">
      <c r="A27" s="1658" t="s">
        <v>2222</v>
      </c>
      <c r="B27" s="1658"/>
      <c r="C27" s="1658"/>
      <c r="D27" s="1658"/>
      <c r="E27" s="1658"/>
      <c r="F27" s="1658"/>
      <c r="G27" s="1658"/>
      <c r="H27" s="1658"/>
      <c r="I27" s="1658"/>
      <c r="J27" s="1658"/>
      <c r="K27" s="1658"/>
      <c r="L27" s="1658"/>
      <c r="M27" s="1658"/>
      <c r="N27" s="1658"/>
      <c r="O27" s="1658"/>
      <c r="P27" s="1658"/>
      <c r="Q27" s="1658"/>
      <c r="R27" s="1658"/>
      <c r="S27" s="1658"/>
      <c r="T27" s="1658"/>
      <c r="U27" s="101"/>
      <c r="V27" s="1658"/>
      <c r="W27" s="1658"/>
    </row>
    <row r="28" spans="1:80" s="1962" customFormat="1" ht="15" customHeight="1">
      <c r="U28" s="102"/>
    </row>
    <row r="29" spans="1:80" s="1944" customFormat="1" ht="15" customHeight="1">
      <c r="A29"/>
      <c r="B29"/>
      <c r="C29" s="93"/>
      <c r="D29" s="1662"/>
      <c r="E29" s="1662"/>
      <c r="F29" s="1662"/>
      <c r="G29" s="3753" t="s">
        <v>118</v>
      </c>
      <c r="H29" s="3382">
        <v>1</v>
      </c>
      <c r="I29" s="3754" t="str">
        <f>IF(U29="","",INDEX(TERRITORY_MR_LIST,MATCH(U29,TERRITORY_LIST_ID,0)))</f>
        <v/>
      </c>
      <c r="J29" s="3412" t="s">
        <v>54</v>
      </c>
      <c r="K29" s="713"/>
      <c r="L29" s="1625" t="s">
        <v>106</v>
      </c>
      <c r="M29" s="497"/>
      <c r="N29" s="498"/>
      <c r="O29" s="498"/>
      <c r="P29" s="498"/>
      <c r="Q29" s="498"/>
      <c r="R29" s="498"/>
      <c r="S29" s="498"/>
      <c r="T29" s="498"/>
      <c r="U29" s="499"/>
      <c r="V29" s="498"/>
      <c r="W29" s="498"/>
      <c r="X29" s="490"/>
      <c r="Y29" s="490" t="s">
        <v>117</v>
      </c>
      <c r="Z29" s="490">
        <v>1705000</v>
      </c>
      <c r="AA29" s="490"/>
      <c r="AB29" s="490"/>
      <c r="AC29" s="490"/>
      <c r="AD29" s="490"/>
      <c r="AE29" s="490"/>
      <c r="AF29" s="490"/>
      <c r="AG29" s="490"/>
      <c r="AH29" s="490"/>
      <c r="AI29" s="490"/>
      <c r="AJ29" s="490"/>
      <c r="AK29" s="490"/>
      <c r="AL29" s="490"/>
    </row>
    <row r="30" spans="1:80" s="1944" customFormat="1" ht="15" customHeight="1">
      <c r="A30"/>
      <c r="B30"/>
      <c r="C30" s="93"/>
      <c r="D30" s="1662"/>
      <c r="E30" s="1662"/>
      <c r="F30" s="1662"/>
      <c r="G30" s="3753"/>
      <c r="H30" s="3382"/>
      <c r="I30" s="3754"/>
      <c r="J30" s="3412"/>
      <c r="K30" s="327"/>
      <c r="L30" s="94"/>
      <c r="M30" s="500" t="s">
        <v>387</v>
      </c>
      <c r="N30" s="498"/>
      <c r="O30" s="498"/>
      <c r="P30" s="498"/>
      <c r="Q30" s="498"/>
      <c r="R30" s="498"/>
      <c r="S30" s="498"/>
      <c r="T30" s="498"/>
      <c r="U30" s="499"/>
      <c r="V30" s="498"/>
      <c r="W30" s="498"/>
      <c r="X30" s="490"/>
      <c r="Y30" s="490"/>
      <c r="Z30" s="490"/>
      <c r="AA30" s="490"/>
      <c r="AB30" s="490"/>
      <c r="AC30" s="490"/>
      <c r="AD30" s="490"/>
      <c r="AE30" s="490"/>
      <c r="AF30" s="490"/>
      <c r="AG30" s="490"/>
      <c r="AH30" s="490"/>
      <c r="AI30" s="490"/>
      <c r="AJ30" s="490"/>
      <c r="AK30" s="490"/>
      <c r="AL30" s="490"/>
    </row>
    <row r="31" spans="1:80" s="1962" customFormat="1" ht="15" customHeight="1">
      <c r="U31" s="102"/>
    </row>
    <row r="32" spans="1:80" s="1962" customFormat="1" ht="15" customHeight="1">
      <c r="A32" s="1658" t="s">
        <v>2223</v>
      </c>
      <c r="B32" s="1658"/>
      <c r="C32" s="1658"/>
      <c r="D32" s="1658"/>
      <c r="E32" s="1658"/>
      <c r="F32" s="1658"/>
      <c r="G32" s="1658"/>
      <c r="H32" s="1658"/>
      <c r="I32" s="1658"/>
      <c r="J32" s="1658"/>
      <c r="K32" s="1658"/>
      <c r="L32" s="1658"/>
      <c r="M32" s="1658"/>
      <c r="N32" s="1658"/>
      <c r="O32" s="1658"/>
      <c r="P32" s="1658"/>
      <c r="Q32" s="1658"/>
      <c r="R32" s="1658"/>
      <c r="S32" s="1658"/>
      <c r="T32" s="1658"/>
      <c r="U32" s="101"/>
      <c r="V32" s="1658"/>
      <c r="W32" s="1658"/>
    </row>
    <row r="33" spans="1:38" s="1962" customFormat="1" ht="15" customHeight="1">
      <c r="U33" s="102"/>
    </row>
    <row r="34" spans="1:38" s="1944" customFormat="1" ht="15" customHeight="1">
      <c r="A34"/>
      <c r="B34"/>
      <c r="C34" s="93"/>
      <c r="D34" s="1662"/>
      <c r="E34" s="1662"/>
      <c r="F34" s="1662"/>
      <c r="G34" s="1662"/>
      <c r="H34" s="1662"/>
      <c r="I34" s="1662"/>
      <c r="J34" s="1662"/>
      <c r="K34" s="1642" t="s">
        <v>118</v>
      </c>
      <c r="L34" s="1572" t="s">
        <v>106</v>
      </c>
      <c r="M34" s="692"/>
      <c r="N34" s="693"/>
      <c r="O34" s="498"/>
      <c r="P34" s="498"/>
      <c r="Q34" s="498"/>
      <c r="R34" s="498"/>
      <c r="S34" s="498"/>
      <c r="T34" s="498"/>
      <c r="U34" s="499"/>
      <c r="V34" s="498"/>
      <c r="W34" s="498"/>
      <c r="X34" s="490"/>
      <c r="Y34" s="490" t="s">
        <v>117</v>
      </c>
      <c r="Z34" s="490">
        <v>1705000</v>
      </c>
      <c r="AA34" s="490"/>
      <c r="AB34" s="490"/>
      <c r="AC34" s="490"/>
      <c r="AD34" s="490"/>
      <c r="AE34" s="490"/>
      <c r="AF34" s="490"/>
      <c r="AG34" s="490"/>
      <c r="AH34" s="490"/>
      <c r="AI34" s="490"/>
      <c r="AJ34" s="490"/>
      <c r="AK34" s="490"/>
      <c r="AL34" s="490"/>
    </row>
    <row r="35" spans="1:38" s="1962" customFormat="1" ht="15" customHeight="1">
      <c r="U35" s="102"/>
    </row>
    <row r="36" spans="1:38" s="1962" customFormat="1" ht="15" customHeight="1">
      <c r="U36" s="102"/>
    </row>
    <row r="37" spans="1:38" s="1931" customFormat="1" ht="11.25" customHeight="1">
      <c r="A37" s="1658" t="s">
        <v>2224</v>
      </c>
    </row>
    <row r="38" spans="1:38" ht="11.25" customHeight="1"/>
    <row r="39" spans="1:38" s="1828" customFormat="1" ht="22.5" customHeight="1">
      <c r="A39" s="1634"/>
      <c r="B39" s="357"/>
      <c r="C39" s="736"/>
      <c r="D39" s="344"/>
      <c r="E39" s="737"/>
      <c r="F39" s="1655"/>
      <c r="G39" s="1663"/>
      <c r="H39" s="374"/>
    </row>
    <row r="40" spans="1:38" ht="11.25" customHeight="1"/>
    <row r="41" spans="1:38" s="1931" customFormat="1" ht="11.25" customHeight="1">
      <c r="A41" s="1658" t="s">
        <v>2225</v>
      </c>
    </row>
    <row r="42" spans="1:38" ht="11.25" customHeight="1"/>
    <row r="43" spans="1:38" s="1828" customFormat="1" ht="22.5" customHeight="1">
      <c r="A43" s="357"/>
      <c r="B43" s="357"/>
      <c r="C43" s="357"/>
      <c r="D43" s="344"/>
      <c r="E43" s="737"/>
      <c r="F43" s="738"/>
      <c r="G43" s="1663"/>
      <c r="H43" s="374"/>
    </row>
    <row r="46" spans="1:38" s="1931" customFormat="1" ht="17.25" customHeight="1">
      <c r="A46" s="1658" t="s">
        <v>2226</v>
      </c>
    </row>
    <row r="48" spans="1:38" s="1832" customFormat="1" ht="18.75" customHeight="1">
      <c r="A48"/>
      <c r="B48" s="1664"/>
      <c r="C48" s="1664"/>
      <c r="D48" s="1665"/>
      <c r="E48" s="1652"/>
      <c r="F48" s="745">
        <v>13</v>
      </c>
      <c r="G48" s="744"/>
      <c r="H48" s="674"/>
      <c r="I48" s="672"/>
      <c r="J48" s="418" t="s">
        <v>64</v>
      </c>
      <c r="K48" s="1666" t="s">
        <v>18</v>
      </c>
      <c r="L48"/>
      <c r="M48" s="1481"/>
      <c r="N48" s="1481"/>
      <c r="O48" s="1481"/>
      <c r="P48" s="414" t="s">
        <v>654</v>
      </c>
      <c r="Q48" s="414" t="s">
        <v>655</v>
      </c>
      <c r="R48" s="415" t="s">
        <v>656</v>
      </c>
      <c r="S48" s="1481" t="s">
        <v>657</v>
      </c>
      <c r="T48" s="1481"/>
      <c r="U48" s="1481"/>
      <c r="V48" s="1481"/>
    </row>
    <row r="50" spans="1:45" s="1931" customFormat="1" ht="11.25" customHeight="1">
      <c r="A50" s="1658" t="s">
        <v>2227</v>
      </c>
    </row>
    <row r="52" spans="1:45" s="1910" customFormat="1" ht="14.25" customHeight="1">
      <c r="C52" s="1533"/>
      <c r="D52" s="1709"/>
      <c r="E52" s="1620" t="s">
        <v>18</v>
      </c>
      <c r="F52" s="1708"/>
      <c r="G52" s="733"/>
      <c r="H52" s="1621"/>
      <c r="I52" s="1621"/>
      <c r="J52" s="337"/>
      <c r="K52" s="1703"/>
      <c r="L52" s="336"/>
      <c r="M52" s="1703"/>
      <c r="N52" s="337"/>
      <c r="O52" s="1703"/>
      <c r="P52" s="337"/>
      <c r="Q52" s="1703"/>
      <c r="R52" s="337"/>
      <c r="S52" s="731"/>
      <c r="T52" s="1621"/>
      <c r="U52" s="337"/>
      <c r="V52" s="337"/>
      <c r="W52" s="1707"/>
      <c r="X52" s="1621"/>
      <c r="Y52" s="337"/>
      <c r="Z52" s="337"/>
      <c r="AA52" s="1707"/>
      <c r="AB52" s="1621"/>
      <c r="AC52" s="337"/>
      <c r="AD52" s="1707"/>
      <c r="AE52"/>
      <c r="AF52"/>
      <c r="AG52"/>
      <c r="AH52"/>
      <c r="AJ52" s="1481"/>
      <c r="AK52" s="1481"/>
      <c r="AL52" s="1481"/>
      <c r="AM52" s="1481"/>
      <c r="AN52" s="1481"/>
      <c r="AO52" s="1481"/>
      <c r="AP52" s="1469" t="s">
        <v>643</v>
      </c>
      <c r="AQ52" s="1469" t="s">
        <v>643</v>
      </c>
      <c r="AR52" s="1481"/>
      <c r="AS52" s="1481"/>
    </row>
    <row r="54" spans="1:45" s="1931" customFormat="1" ht="11.25" customHeight="1">
      <c r="A54" s="1658" t="s">
        <v>2228</v>
      </c>
    </row>
    <row r="56" spans="1:45" s="1937" customFormat="1" ht="15" customHeight="1">
      <c r="A56" s="65" t="s">
        <v>87</v>
      </c>
      <c r="B56" s="48" t="s">
        <v>18</v>
      </c>
      <c r="C56" s="1667"/>
      <c r="D56" s="51"/>
      <c r="E56" s="288"/>
      <c r="F56" s="288"/>
      <c r="G56" s="1646"/>
      <c r="H56" s="1666"/>
      <c r="I56" s="1647"/>
      <c r="K56" s="186"/>
      <c r="L56" s="187"/>
    </row>
    <row r="58" spans="1:45" s="1931" customFormat="1" ht="11.25" customHeight="1">
      <c r="A58" s="1658" t="s">
        <v>2229</v>
      </c>
    </row>
    <row r="60" spans="1:45" s="1910" customFormat="1" ht="14.25" customHeight="1">
      <c r="A60" s="253"/>
      <c r="B60" s="1023"/>
      <c r="C60" s="283"/>
      <c r="D60" s="1653"/>
      <c r="E60" s="762"/>
      <c r="F60" s="1666"/>
      <c r="G60"/>
      <c r="I60" s="1469"/>
      <c r="J60" s="1469"/>
    </row>
    <row r="62" spans="1:45" s="1931" customFormat="1" ht="11.25" customHeight="1">
      <c r="A62" s="1658" t="s">
        <v>2230</v>
      </c>
    </row>
    <row r="64" spans="1:45" s="1910" customFormat="1" ht="27" customHeight="1">
      <c r="A64" s="1029"/>
      <c r="B64" s="1029"/>
      <c r="C64" s="1029"/>
      <c r="D64" s="1023"/>
      <c r="E64" s="1668"/>
      <c r="F64" s="3718"/>
      <c r="G64" s="3719"/>
      <c r="H64" s="3720" t="s">
        <v>64</v>
      </c>
      <c r="I64" s="3722"/>
      <c r="J64" s="3724"/>
      <c r="K64" s="3726"/>
      <c r="L64" s="3728"/>
      <c r="M64" s="3728"/>
      <c r="N64" s="3757"/>
      <c r="O64" s="3757"/>
      <c r="P64" s="3758" t="e">
        <f>DATEDIF(DATEVALUE(N64),DATEVALUE(O64),"y")&amp;"г. "&amp;DATEDIF(DATEVALUE(N64),DATEVALUE(O64),"ym")&amp;"мес. "&amp;DATEVALUE(O64)-DATE(YEAR(DATEVALUE(O64)),MONTH(DATEVALUE(O64)),1)&amp;"дн. "</f>
        <v>#VALUE!</v>
      </c>
      <c r="Q64" s="3729"/>
      <c r="R64" s="3729"/>
      <c r="S64" s="3729"/>
      <c r="T64" s="3724"/>
      <c r="U64" s="3729"/>
      <c r="V64" s="3729"/>
      <c r="W64" s="3729"/>
      <c r="X64" s="3724"/>
      <c r="Y64" s="3755" t="s">
        <v>64</v>
      </c>
      <c r="Z64" s="1651"/>
      <c r="AA64" s="1635">
        <v>1</v>
      </c>
      <c r="AB64" s="1108"/>
      <c r="AD64" s="1481" t="s">
        <v>2231</v>
      </c>
    </row>
    <row r="65" spans="1:58" s="1910" customFormat="1" ht="10.5" customHeight="1">
      <c r="A65" s="1029"/>
      <c r="B65" s="1029"/>
      <c r="C65" s="1029"/>
      <c r="D65" s="1023"/>
      <c r="E65" s="819"/>
      <c r="F65" s="3718"/>
      <c r="G65" s="3719"/>
      <c r="H65" s="3721"/>
      <c r="I65" s="3723"/>
      <c r="J65" s="3725"/>
      <c r="K65" s="3726"/>
      <c r="L65" s="3728"/>
      <c r="M65" s="3728"/>
      <c r="N65" s="3757"/>
      <c r="O65" s="3757"/>
      <c r="P65" s="3758"/>
      <c r="Q65" s="3729"/>
      <c r="R65" s="3729"/>
      <c r="S65" s="3729"/>
      <c r="T65" s="3725"/>
      <c r="U65" s="3729"/>
      <c r="V65" s="3729"/>
      <c r="W65" s="3729"/>
      <c r="X65" s="3725"/>
      <c r="Y65" s="3756"/>
      <c r="Z65" s="257"/>
      <c r="AA65" s="469"/>
      <c r="AB65" s="544" t="s">
        <v>2232</v>
      </c>
    </row>
    <row r="67" spans="1:58" s="1931" customFormat="1" ht="11.25" customHeight="1">
      <c r="A67" s="1658" t="s">
        <v>2233</v>
      </c>
    </row>
    <row r="69" spans="1:58" s="1910" customFormat="1" ht="27" customHeight="1">
      <c r="A69" s="1029"/>
      <c r="B69" s="1029"/>
      <c r="C69" s="1029"/>
      <c r="D69" s="1023"/>
      <c r="E69" s="1668"/>
      <c r="F69" s="1640"/>
      <c r="G69" s="1590"/>
      <c r="H69" s="1591"/>
      <c r="I69" s="1592"/>
      <c r="J69" s="1593"/>
      <c r="K69" s="1594"/>
      <c r="L69" s="1595"/>
      <c r="M69" s="1595"/>
      <c r="N69" s="1596"/>
      <c r="O69" s="1596"/>
      <c r="P69" s="1597"/>
      <c r="Q69" s="1598"/>
      <c r="R69" s="1598"/>
      <c r="S69" s="1598"/>
      <c r="T69" s="1593"/>
      <c r="U69" s="1598"/>
      <c r="V69" s="1598"/>
      <c r="W69" s="1598"/>
      <c r="X69" s="1593"/>
      <c r="Y69" s="1591"/>
      <c r="Z69" s="1651"/>
      <c r="AA69" s="1635">
        <v>1</v>
      </c>
      <c r="AB69" s="1108"/>
      <c r="AD69" s="1481" t="s">
        <v>2231</v>
      </c>
    </row>
    <row r="71" spans="1:58" s="1931" customFormat="1" ht="11.25" customHeight="1">
      <c r="A71" s="1658" t="s">
        <v>2234</v>
      </c>
    </row>
    <row r="72" spans="1:58" ht="17.25" customHeight="1"/>
    <row r="73" spans="1:58" s="1910" customFormat="1" ht="21" customHeight="1">
      <c r="A73" s="1030"/>
      <c r="B73" s="1029"/>
      <c r="C73" s="1029"/>
      <c r="D73" s="1023"/>
      <c r="E73" s="1033"/>
      <c r="F73" s="988" t="e">
        <f>INDEX(IP_MAIN_LIST_NAME_IP,MATCH(A73,IP_MAIN_LIST_IP_ID,0))&amp;" ("&amp;INDEX(IP_MAIN_START_DATE,MATCH(A73,IP_MAIN_LIST_IP_ID,0))&amp;"-"&amp;INDEX(IP_MAIN_END_DATE,MATCH(A73,IP_MAIN_LIST_IP_ID,0))&amp;")"</f>
        <v>#N/A</v>
      </c>
      <c r="G73" s="989"/>
      <c r="H73" s="989"/>
      <c r="I73" s="1050"/>
      <c r="J73" s="1050"/>
      <c r="K73" s="1051"/>
      <c r="L73" s="1051"/>
      <c r="M73" s="1051"/>
      <c r="N73" s="1052"/>
      <c r="O73" s="1052"/>
      <c r="P73" s="1052"/>
      <c r="Q73" s="1052"/>
      <c r="R73" s="1052"/>
      <c r="S73" s="1052"/>
      <c r="T73" s="1052"/>
      <c r="U73" s="1052"/>
      <c r="V73" s="1052"/>
      <c r="W73" s="1052"/>
      <c r="X73" s="1052"/>
      <c r="Y73" s="1052"/>
      <c r="Z73" s="1052"/>
      <c r="AA73" s="1052"/>
      <c r="AB73" s="1052"/>
      <c r="AC73" s="1052"/>
      <c r="AD73" s="1052"/>
      <c r="AE73" s="1053"/>
      <c r="AF73" s="1051"/>
      <c r="AG73" s="1051"/>
      <c r="AH73" s="1051"/>
      <c r="AI73" s="1051"/>
      <c r="AJ73" s="1051"/>
      <c r="AK73" s="1051"/>
      <c r="AL73" s="1034"/>
      <c r="AM73" s="1664"/>
      <c r="AN73" s="1664"/>
      <c r="AO73" s="1664"/>
      <c r="AP73" s="1664"/>
      <c r="AQ73" s="1664"/>
      <c r="AR73" s="1664"/>
      <c r="AS73" s="1664"/>
      <c r="AT73" s="1664"/>
      <c r="AU73" s="1664"/>
      <c r="AV73" s="1664"/>
      <c r="AW73" s="1664"/>
      <c r="AX73" s="1664"/>
      <c r="AY73" s="1664"/>
      <c r="AZ73" s="1664"/>
      <c r="BA73" s="1664"/>
      <c r="BB73" s="1664"/>
      <c r="BC73" s="1664"/>
      <c r="BD73" s="1664"/>
      <c r="BE73" s="1664"/>
      <c r="BF73" s="1664"/>
    </row>
    <row r="74" spans="1:58" s="1910" customFormat="1" ht="11.25" customHeight="1">
      <c r="A74" s="1029"/>
      <c r="B74" s="1029"/>
      <c r="C74" s="1029"/>
      <c r="D74" s="1023"/>
      <c r="E74" s="1033"/>
      <c r="F74" s="3761"/>
      <c r="G74" s="3675"/>
      <c r="H74" s="3675" t="s">
        <v>106</v>
      </c>
      <c r="I74" s="3765"/>
      <c r="J74" s="3711"/>
      <c r="K74" s="3766"/>
      <c r="L74" s="3759" t="s">
        <v>54</v>
      </c>
      <c r="M74" s="3413"/>
      <c r="N74" s="1042"/>
      <c r="O74" s="1041" t="s">
        <v>638</v>
      </c>
      <c r="P74" s="1042"/>
      <c r="Q74" s="1042"/>
      <c r="R74" s="1042"/>
      <c r="S74" s="1042"/>
      <c r="T74" s="1042"/>
      <c r="U74" s="1042"/>
      <c r="V74" s="1042"/>
      <c r="W74" s="1042"/>
      <c r="X74" s="1042"/>
      <c r="Y74" s="1042"/>
      <c r="Z74" s="1042"/>
      <c r="AA74" s="1042"/>
      <c r="AB74" s="1042"/>
      <c r="AC74" s="1042"/>
      <c r="AD74" s="1042"/>
      <c r="AE74" s="1042"/>
      <c r="AF74" s="3763"/>
      <c r="AG74" s="3759"/>
      <c r="AH74" s="3759"/>
      <c r="AI74" s="3763"/>
      <c r="AJ74" s="3759"/>
      <c r="AK74" s="3759"/>
      <c r="AL74" s="1036"/>
      <c r="AM74" s="1664"/>
      <c r="AN74" s="1664"/>
      <c r="AO74" s="1664"/>
      <c r="AP74" s="1664"/>
      <c r="AQ74" s="1664"/>
      <c r="AR74" s="1664"/>
      <c r="AS74" s="1664"/>
      <c r="AT74" s="1664"/>
      <c r="AU74" s="1664"/>
      <c r="AV74" s="1664"/>
      <c r="AW74" s="1664"/>
      <c r="AX74" s="1664"/>
      <c r="AY74" s="1664"/>
      <c r="AZ74" s="1664"/>
      <c r="BA74" s="1664"/>
      <c r="BB74" s="1664"/>
      <c r="BC74" s="1664"/>
      <c r="BD74" s="1664"/>
      <c r="BE74" s="1664"/>
      <c r="BF74" s="1664"/>
    </row>
    <row r="75" spans="1:58" s="1910" customFormat="1" ht="11.25" customHeight="1">
      <c r="A75" s="1029"/>
      <c r="B75" s="1029"/>
      <c r="C75" s="1029"/>
      <c r="D75" s="1023"/>
      <c r="E75" s="1033"/>
      <c r="F75" s="3761"/>
      <c r="G75" s="3675"/>
      <c r="H75" s="3675"/>
      <c r="I75" s="3765"/>
      <c r="J75" s="3711"/>
      <c r="K75" s="3766"/>
      <c r="L75" s="3759"/>
      <c r="M75" s="3413"/>
      <c r="N75" s="3767"/>
      <c r="O75" s="3737">
        <v>1</v>
      </c>
      <c r="P75" s="3733" t="s">
        <v>54</v>
      </c>
      <c r="Q75" s="3636" t="s">
        <v>18</v>
      </c>
      <c r="R75" s="3636" t="s">
        <v>18</v>
      </c>
      <c r="S75" s="3636" t="s">
        <v>18</v>
      </c>
      <c r="T75" s="3636" t="s">
        <v>18</v>
      </c>
      <c r="U75" s="3636" t="s">
        <v>18</v>
      </c>
      <c r="V75" s="3636" t="s">
        <v>18</v>
      </c>
      <c r="W75" s="3636" t="s">
        <v>18</v>
      </c>
      <c r="X75" s="3636" t="s">
        <v>18</v>
      </c>
      <c r="Y75" s="3636"/>
      <c r="Z75" s="1039"/>
      <c r="AA75" s="1040"/>
      <c r="AB75" s="1040"/>
      <c r="AC75" s="1044"/>
      <c r="AD75" s="1044"/>
      <c r="AE75" s="1045"/>
      <c r="AF75" s="3763"/>
      <c r="AG75" s="3759"/>
      <c r="AH75" s="3759"/>
      <c r="AI75" s="3763"/>
      <c r="AJ75" s="3759"/>
      <c r="AK75" s="3759"/>
      <c r="AL75" s="1036"/>
      <c r="AM75" s="1664"/>
      <c r="AN75" s="1664"/>
      <c r="AO75" s="1664"/>
      <c r="AP75" s="1664"/>
      <c r="AQ75" s="1664"/>
      <c r="AR75" s="1664"/>
      <c r="AS75" s="1664"/>
      <c r="AT75" s="1664"/>
      <c r="AU75" s="1664"/>
      <c r="AV75" s="1664"/>
      <c r="AW75" s="1664"/>
      <c r="AX75" s="1664"/>
      <c r="AY75" s="1664"/>
      <c r="AZ75" s="1664"/>
      <c r="BA75" s="1664"/>
      <c r="BB75" s="1664"/>
      <c r="BC75" s="1664"/>
      <c r="BD75" s="1664"/>
      <c r="BE75" s="1664"/>
      <c r="BF75" s="1664"/>
    </row>
    <row r="76" spans="1:58" s="1910" customFormat="1" ht="11.25" customHeight="1">
      <c r="A76" s="1029"/>
      <c r="B76" s="1029"/>
      <c r="C76" s="1029"/>
      <c r="D76" s="1023"/>
      <c r="E76" s="1033"/>
      <c r="F76" s="3761"/>
      <c r="G76" s="3675"/>
      <c r="H76" s="3675"/>
      <c r="I76" s="3765"/>
      <c r="J76" s="3711"/>
      <c r="K76" s="3766"/>
      <c r="L76" s="3759"/>
      <c r="M76" s="3413"/>
      <c r="N76" s="3767"/>
      <c r="O76" s="3737"/>
      <c r="P76" s="3734"/>
      <c r="Q76" s="3636"/>
      <c r="R76" s="3636"/>
      <c r="S76" s="3764"/>
      <c r="T76" s="3636"/>
      <c r="U76" s="3636"/>
      <c r="V76" s="3636"/>
      <c r="W76" s="3636"/>
      <c r="X76" s="3636"/>
      <c r="Y76" s="3636"/>
      <c r="Z76" s="1669"/>
      <c r="AA76" s="1637">
        <v>1</v>
      </c>
      <c r="AB76" s="1043"/>
      <c r="AC76" s="1032"/>
      <c r="AD76" s="1043">
        <f>AB76</f>
        <v>0</v>
      </c>
      <c r="AE76" s="1032"/>
      <c r="AF76" s="3763"/>
      <c r="AG76" s="3759"/>
      <c r="AH76" s="3759"/>
      <c r="AI76" s="3763"/>
      <c r="AJ76" s="3759"/>
      <c r="AK76" s="3759"/>
      <c r="AL76" s="1036"/>
      <c r="AM76" s="1664"/>
      <c r="AN76" s="1664"/>
      <c r="AO76" s="1664"/>
      <c r="AP76" s="1664"/>
      <c r="AQ76" s="1664"/>
      <c r="AR76" s="1664"/>
      <c r="AS76" s="1664"/>
      <c r="AT76" s="1664"/>
      <c r="AU76" s="1664"/>
      <c r="AV76" s="1664"/>
      <c r="AW76" s="1664"/>
      <c r="AX76" s="1664"/>
      <c r="AY76" s="1664"/>
      <c r="AZ76" s="1664"/>
      <c r="BA76" s="1664"/>
      <c r="BB76" s="1664"/>
      <c r="BC76" s="1664"/>
      <c r="BD76" s="1664"/>
      <c r="BE76" s="1664"/>
      <c r="BF76" s="1664"/>
    </row>
    <row r="77" spans="1:58" s="1910" customFormat="1" ht="11.25" customHeight="1">
      <c r="A77" s="1029"/>
      <c r="B77" s="1029"/>
      <c r="C77" s="1029"/>
      <c r="D77" s="1023"/>
      <c r="E77" s="1033"/>
      <c r="F77" s="3761"/>
      <c r="G77" s="3675"/>
      <c r="H77" s="3675"/>
      <c r="I77" s="3765"/>
      <c r="J77" s="3711"/>
      <c r="K77" s="3766"/>
      <c r="L77" s="3759"/>
      <c r="M77" s="3413"/>
      <c r="N77" s="3767"/>
      <c r="O77" s="3737"/>
      <c r="P77" s="3735"/>
      <c r="Q77" s="3636"/>
      <c r="R77" s="3636"/>
      <c r="S77" s="3764"/>
      <c r="T77" s="3636"/>
      <c r="U77" s="3636"/>
      <c r="V77" s="3636"/>
      <c r="W77" s="3636"/>
      <c r="X77" s="3636"/>
      <c r="Y77" s="3636"/>
      <c r="Z77" s="1039"/>
      <c r="AA77" s="1040"/>
      <c r="AB77" s="1107" t="s">
        <v>2235</v>
      </c>
      <c r="AC77" s="1044"/>
      <c r="AD77" s="1044"/>
      <c r="AE77" s="1046"/>
      <c r="AF77" s="3763"/>
      <c r="AG77" s="3759"/>
      <c r="AH77" s="3759"/>
      <c r="AI77" s="3763"/>
      <c r="AJ77" s="3759"/>
      <c r="AK77" s="3759"/>
      <c r="AL77" s="1036"/>
      <c r="AM77" s="1664"/>
      <c r="AN77" s="1664"/>
      <c r="AO77" s="1664"/>
      <c r="AP77" s="1664"/>
      <c r="AQ77" s="1664"/>
      <c r="AR77" s="1664"/>
      <c r="AS77" s="1664"/>
      <c r="AT77" s="1664"/>
      <c r="AU77" s="1664"/>
      <c r="AV77" s="1664"/>
      <c r="AW77" s="1664"/>
      <c r="AX77" s="1664"/>
      <c r="AY77" s="1664"/>
      <c r="AZ77" s="1664"/>
      <c r="BA77" s="1664"/>
      <c r="BB77" s="1664"/>
      <c r="BC77" s="1664"/>
      <c r="BD77" s="1664"/>
      <c r="BE77" s="1664"/>
      <c r="BF77" s="1664"/>
    </row>
    <row r="78" spans="1:58" s="1910" customFormat="1" ht="11.25" customHeight="1">
      <c r="A78" s="1029"/>
      <c r="B78" s="1029"/>
      <c r="C78" s="1029"/>
      <c r="D78" s="1023"/>
      <c r="E78" s="1033"/>
      <c r="F78" s="3761"/>
      <c r="G78" s="3675"/>
      <c r="H78" s="3675"/>
      <c r="I78" s="3765"/>
      <c r="J78" s="3711"/>
      <c r="K78" s="3766"/>
      <c r="L78" s="3759"/>
      <c r="M78" s="3413"/>
      <c r="N78" s="1040"/>
      <c r="O78" s="1040"/>
      <c r="P78" s="1031" t="s">
        <v>2236</v>
      </c>
      <c r="Q78" s="1040"/>
      <c r="R78" s="1040"/>
      <c r="S78" s="1040"/>
      <c r="T78" s="1040"/>
      <c r="U78" s="1040"/>
      <c r="V78" s="1040"/>
      <c r="W78" s="1040"/>
      <c r="X78" s="1040"/>
      <c r="Y78" s="1040"/>
      <c r="Z78" s="1040"/>
      <c r="AA78" s="1040"/>
      <c r="AB78" s="1040"/>
      <c r="AC78" s="1040"/>
      <c r="AD78" s="1040"/>
      <c r="AE78" s="1047"/>
      <c r="AF78" s="3763"/>
      <c r="AG78" s="3759"/>
      <c r="AH78" s="3759"/>
      <c r="AI78" s="3763"/>
      <c r="AJ78" s="3759"/>
      <c r="AK78" s="3759"/>
      <c r="AL78" s="1036"/>
      <c r="AM78" s="1664"/>
      <c r="AN78" s="1664"/>
      <c r="AO78" s="1664"/>
      <c r="AP78" s="1664"/>
      <c r="AQ78" s="1664"/>
      <c r="AR78" s="1664"/>
      <c r="AS78" s="1664"/>
      <c r="AT78" s="1664"/>
      <c r="AU78" s="1664"/>
      <c r="AV78" s="1664"/>
      <c r="AW78" s="1664"/>
      <c r="AX78" s="1664"/>
      <c r="AY78" s="1664"/>
      <c r="AZ78" s="1664"/>
      <c r="BA78" s="1664"/>
      <c r="BB78" s="1664"/>
      <c r="BC78" s="1664"/>
      <c r="BD78" s="1664"/>
      <c r="BE78" s="1664"/>
      <c r="BF78" s="1664"/>
    </row>
    <row r="79" spans="1:58" s="1910" customFormat="1" ht="12" customHeight="1">
      <c r="A79" s="1029"/>
      <c r="B79" s="1029"/>
      <c r="C79" s="1029"/>
      <c r="D79" s="1023"/>
      <c r="E79" s="1033"/>
      <c r="F79" s="3762"/>
      <c r="G79" s="1055"/>
      <c r="H79" s="1055"/>
      <c r="I79" s="3760" t="s">
        <v>2237</v>
      </c>
      <c r="J79" s="3760"/>
      <c r="K79" s="3760"/>
      <c r="L79" s="1037"/>
      <c r="M79" s="1037"/>
      <c r="N79" s="1038"/>
      <c r="O79" s="1038"/>
      <c r="P79" s="1038"/>
      <c r="Q79" s="1038"/>
      <c r="R79" s="1038"/>
      <c r="S79" s="1038"/>
      <c r="T79" s="1038"/>
      <c r="U79" s="1038"/>
      <c r="V79" s="1038"/>
      <c r="W79" s="1038"/>
      <c r="X79" s="1038"/>
      <c r="Y79" s="1038"/>
      <c r="Z79" s="1038"/>
      <c r="AA79" s="1038"/>
      <c r="AB79" s="1038"/>
      <c r="AC79" s="1038"/>
      <c r="AD79" s="1038"/>
      <c r="AE79" s="1038"/>
      <c r="AF79" s="1038"/>
      <c r="AG79" s="1037"/>
      <c r="AH79" s="1037"/>
      <c r="AI79" s="1038"/>
      <c r="AJ79" s="1037"/>
      <c r="AK79" s="1048"/>
      <c r="AL79" s="1036"/>
      <c r="AM79" s="1664"/>
      <c r="AN79" s="1664"/>
      <c r="AO79" s="1664"/>
      <c r="AP79" s="1664"/>
      <c r="AQ79" s="1664"/>
      <c r="AR79" s="1664"/>
      <c r="AS79" s="1664"/>
      <c r="AT79" s="1664"/>
      <c r="AU79" s="1664"/>
      <c r="AV79" s="1664"/>
      <c r="AW79" s="1664"/>
      <c r="AX79" s="1664"/>
      <c r="AY79" s="1664"/>
      <c r="AZ79" s="1664"/>
      <c r="BA79" s="1664"/>
      <c r="BB79" s="1664"/>
      <c r="BC79" s="1664"/>
      <c r="BD79" s="1664"/>
      <c r="BE79" s="1664"/>
      <c r="BF79" s="1664"/>
    </row>
    <row r="81" spans="1:58" s="1931" customFormat="1" ht="11.25" customHeight="1">
      <c r="A81" s="1658" t="s">
        <v>2238</v>
      </c>
    </row>
    <row r="83" spans="1:58" s="1910" customFormat="1" ht="11.25" customHeight="1">
      <c r="A83" s="1029"/>
      <c r="B83" s="1029"/>
      <c r="C83" s="1029"/>
      <c r="D83" s="1023"/>
      <c r="E83" s="1033"/>
      <c r="F83" s="1670"/>
      <c r="G83" s="1671"/>
      <c r="H83" s="1671"/>
      <c r="I83" s="1607"/>
      <c r="J83" s="1607"/>
      <c r="K83" s="1672"/>
      <c r="L83" s="1607"/>
      <c r="M83" s="1671"/>
      <c r="N83" s="3736"/>
      <c r="O83" s="3737">
        <v>1</v>
      </c>
      <c r="P83" s="3733" t="s">
        <v>54</v>
      </c>
      <c r="Q83" s="3636" t="s">
        <v>18</v>
      </c>
      <c r="R83" s="3636" t="s">
        <v>18</v>
      </c>
      <c r="S83" s="3636" t="s">
        <v>18</v>
      </c>
      <c r="T83" s="3636" t="s">
        <v>18</v>
      </c>
      <c r="U83" s="3636" t="s">
        <v>18</v>
      </c>
      <c r="V83" s="3636" t="s">
        <v>18</v>
      </c>
      <c r="W83" s="3636" t="s">
        <v>18</v>
      </c>
      <c r="X83" s="3636" t="s">
        <v>18</v>
      </c>
      <c r="Y83" s="3636"/>
      <c r="Z83" s="1039"/>
      <c r="AA83" s="1040"/>
      <c r="AB83" s="1040"/>
      <c r="AC83" s="1044"/>
      <c r="AD83" s="1044"/>
      <c r="AE83" s="1044"/>
      <c r="AF83" s="1673"/>
      <c r="AG83" s="1602"/>
      <c r="AH83" s="1602"/>
      <c r="AI83" s="1673"/>
      <c r="AJ83" s="1602"/>
      <c r="AK83" s="1602"/>
      <c r="AL83" s="1036"/>
      <c r="AM83" s="1664"/>
      <c r="AN83" s="1664"/>
      <c r="AO83" s="1664"/>
      <c r="AP83" s="1664"/>
      <c r="AQ83" s="1664"/>
      <c r="AR83" s="1664"/>
      <c r="AS83" s="1664"/>
      <c r="AT83" s="1664"/>
      <c r="AU83" s="1664"/>
      <c r="AV83" s="1664"/>
      <c r="AW83" s="1664"/>
      <c r="AX83" s="1664"/>
      <c r="AY83" s="1664"/>
      <c r="AZ83" s="1664"/>
      <c r="BA83" s="1664"/>
      <c r="BB83" s="1664"/>
      <c r="BC83" s="1664"/>
      <c r="BD83" s="1664"/>
      <c r="BE83" s="1664"/>
      <c r="BF83" s="1664"/>
    </row>
    <row r="84" spans="1:58" s="1910" customFormat="1" ht="11.25" customHeight="1">
      <c r="A84" s="1029"/>
      <c r="B84" s="1029"/>
      <c r="C84" s="1029"/>
      <c r="D84" s="1023"/>
      <c r="E84" s="1033"/>
      <c r="F84" s="1670"/>
      <c r="G84" s="1671"/>
      <c r="H84" s="1671"/>
      <c r="I84" s="1608"/>
      <c r="J84" s="1608"/>
      <c r="K84" s="1672"/>
      <c r="L84" s="1608"/>
      <c r="M84" s="1671"/>
      <c r="N84" s="3736"/>
      <c r="O84" s="3737"/>
      <c r="P84" s="3734"/>
      <c r="Q84" s="3636"/>
      <c r="R84" s="3636"/>
      <c r="S84" s="3764"/>
      <c r="T84" s="3636"/>
      <c r="U84" s="3636"/>
      <c r="V84" s="3636"/>
      <c r="W84" s="3636"/>
      <c r="X84" s="3636"/>
      <c r="Y84" s="3636"/>
      <c r="Z84" s="1669"/>
      <c r="AA84" s="1637">
        <v>1</v>
      </c>
      <c r="AB84" s="1043"/>
      <c r="AC84" s="1032"/>
      <c r="AD84" s="1043">
        <f>AB84</f>
        <v>0</v>
      </c>
      <c r="AE84" s="614"/>
      <c r="AF84" s="1672"/>
      <c r="AG84" s="1602"/>
      <c r="AH84" s="1602"/>
      <c r="AI84" s="1672"/>
      <c r="AJ84" s="1602"/>
      <c r="AK84" s="1602"/>
      <c r="AL84" s="1036"/>
      <c r="AM84" s="1664"/>
      <c r="AN84" s="1664"/>
      <c r="AO84" s="1664"/>
      <c r="AP84" s="1664"/>
      <c r="AQ84" s="1664"/>
      <c r="AR84" s="1664"/>
      <c r="AS84" s="1664"/>
      <c r="AT84" s="1664"/>
      <c r="AU84" s="1664"/>
      <c r="AV84" s="1664"/>
      <c r="AW84" s="1664"/>
      <c r="AX84" s="1664"/>
      <c r="AY84" s="1664"/>
      <c r="AZ84" s="1664"/>
      <c r="BA84" s="1664"/>
      <c r="BB84" s="1664"/>
      <c r="BC84" s="1664"/>
      <c r="BD84" s="1664"/>
      <c r="BE84" s="1664"/>
      <c r="BF84" s="1664"/>
    </row>
    <row r="85" spans="1:58" s="1910" customFormat="1" ht="11.25" customHeight="1">
      <c r="A85" s="1029"/>
      <c r="B85" s="1029"/>
      <c r="C85" s="1029"/>
      <c r="D85" s="1023"/>
      <c r="E85" s="1033"/>
      <c r="F85" s="1670"/>
      <c r="G85" s="1671"/>
      <c r="H85" s="1671"/>
      <c r="I85" s="1609"/>
      <c r="J85" s="1609"/>
      <c r="K85" s="1672"/>
      <c r="L85" s="1609"/>
      <c r="M85" s="1671"/>
      <c r="N85" s="3736"/>
      <c r="O85" s="3737"/>
      <c r="P85" s="3735"/>
      <c r="Q85" s="3636"/>
      <c r="R85" s="3636"/>
      <c r="S85" s="3764"/>
      <c r="T85" s="3636"/>
      <c r="U85" s="3636"/>
      <c r="V85" s="3636"/>
      <c r="W85" s="3636"/>
      <c r="X85" s="3636"/>
      <c r="Y85" s="3636"/>
      <c r="Z85" s="1039"/>
      <c r="AA85" s="1040"/>
      <c r="AB85" s="1107" t="s">
        <v>2235</v>
      </c>
      <c r="AC85" s="1044"/>
      <c r="AD85" s="1044"/>
      <c r="AE85" s="1044"/>
      <c r="AF85" s="1674"/>
      <c r="AG85" s="1602"/>
      <c r="AH85" s="1602"/>
      <c r="AI85" s="1674"/>
      <c r="AJ85" s="1602"/>
      <c r="AK85" s="1602"/>
      <c r="AL85" s="1036"/>
      <c r="AM85" s="1664"/>
      <c r="AN85" s="1664"/>
      <c r="AO85" s="1664"/>
      <c r="AP85" s="1664"/>
      <c r="AQ85" s="1664"/>
      <c r="AR85" s="1664"/>
      <c r="AS85" s="1664"/>
      <c r="AT85" s="1664"/>
      <c r="AU85" s="1664"/>
      <c r="AV85" s="1664"/>
      <c r="AW85" s="1664"/>
      <c r="AX85" s="1664"/>
      <c r="AY85" s="1664"/>
      <c r="AZ85" s="1664"/>
      <c r="BA85" s="1664"/>
      <c r="BB85" s="1664"/>
      <c r="BC85" s="1664"/>
      <c r="BD85" s="1664"/>
      <c r="BE85" s="1664"/>
      <c r="BF85" s="1664"/>
    </row>
    <row r="87" spans="1:58" s="1931" customFormat="1" ht="11.25" customHeight="1">
      <c r="A87" s="1658" t="s">
        <v>2239</v>
      </c>
    </row>
    <row r="89" spans="1:58" s="1910" customFormat="1" ht="11.25" customHeight="1">
      <c r="A89" s="1029"/>
      <c r="B89" s="1029"/>
      <c r="C89" s="1029"/>
      <c r="D89" s="1023"/>
      <c r="E89" s="1033"/>
      <c r="F89" s="1671"/>
      <c r="G89" s="1671"/>
      <c r="H89" s="1671"/>
      <c r="I89" s="1671"/>
      <c r="J89" s="1671"/>
      <c r="K89" s="1671"/>
      <c r="L89" s="1671"/>
      <c r="M89" s="1671"/>
      <c r="N89" s="1671"/>
      <c r="O89" s="1671"/>
      <c r="P89" s="1671"/>
      <c r="Q89" s="1671"/>
      <c r="R89" s="1671"/>
      <c r="S89" s="1671"/>
      <c r="T89" s="1671"/>
      <c r="U89" s="1671"/>
      <c r="V89" s="1671"/>
      <c r="W89" s="1671"/>
      <c r="X89" s="1671"/>
      <c r="Y89" s="1671"/>
      <c r="Z89" s="1675"/>
      <c r="AA89" s="1657">
        <v>1</v>
      </c>
      <c r="AB89" s="1043"/>
      <c r="AC89" s="1032"/>
      <c r="AD89" s="1043">
        <f>AB89</f>
        <v>0</v>
      </c>
      <c r="AE89" s="1032"/>
      <c r="AF89" s="1672"/>
      <c r="AG89" s="1602"/>
      <c r="AH89" s="1602"/>
      <c r="AI89" s="1672"/>
      <c r="AJ89" s="1602"/>
      <c r="AK89" s="1602"/>
      <c r="AL89" s="1036"/>
      <c r="AM89" s="1664"/>
      <c r="AN89" s="1664"/>
      <c r="AO89" s="1664"/>
      <c r="AP89" s="1664"/>
      <c r="AQ89" s="1664"/>
      <c r="AR89" s="1664"/>
      <c r="AS89" s="1664"/>
      <c r="AT89" s="1664"/>
      <c r="AU89" s="1664"/>
      <c r="AV89" s="1664"/>
      <c r="AW89" s="1664"/>
      <c r="AX89" s="1664"/>
      <c r="AY89" s="1664"/>
      <c r="AZ89" s="1664"/>
      <c r="BA89" s="1664"/>
      <c r="BB89" s="1664"/>
      <c r="BC89" s="1664"/>
      <c r="BD89" s="1664"/>
      <c r="BE89" s="1664"/>
      <c r="BF89" s="1664"/>
    </row>
    <row r="91" spans="1:58" s="1931" customFormat="1" ht="11.25" customHeight="1">
      <c r="A91" s="1658" t="s">
        <v>2240</v>
      </c>
    </row>
    <row r="93" spans="1:58" s="1910" customFormat="1" ht="11.25" customHeight="1">
      <c r="A93" s="1029"/>
      <c r="B93" s="1029"/>
      <c r="C93" s="1029"/>
      <c r="D93" s="1023"/>
      <c r="E93" s="1033"/>
      <c r="F93" s="1670"/>
      <c r="G93" s="1671"/>
      <c r="H93" s="3675" t="s">
        <v>106</v>
      </c>
      <c r="I93" s="3765"/>
      <c r="J93" s="3711"/>
      <c r="K93" s="3766"/>
      <c r="L93" s="3759" t="s">
        <v>54</v>
      </c>
      <c r="M93" s="3413"/>
      <c r="N93" s="1042"/>
      <c r="O93" s="1041" t="s">
        <v>638</v>
      </c>
      <c r="P93" s="1042"/>
      <c r="Q93" s="1042"/>
      <c r="R93" s="1042"/>
      <c r="S93" s="1042"/>
      <c r="T93" s="1042"/>
      <c r="U93" s="1042"/>
      <c r="V93" s="1042"/>
      <c r="W93" s="1042"/>
      <c r="X93" s="1042"/>
      <c r="Y93" s="1042"/>
      <c r="Z93" s="1042"/>
      <c r="AA93" s="1042"/>
      <c r="AB93" s="1042"/>
      <c r="AC93" s="1042"/>
      <c r="AD93" s="1042"/>
      <c r="AE93" s="1042"/>
      <c r="AF93" s="3763"/>
      <c r="AG93" s="3759"/>
      <c r="AH93" s="3759"/>
      <c r="AI93" s="3763"/>
      <c r="AJ93" s="3759"/>
      <c r="AK93" s="3759"/>
      <c r="AL93" s="1036"/>
      <c r="AM93" s="1664"/>
      <c r="AN93" s="1664"/>
      <c r="AO93" s="1664"/>
      <c r="AP93" s="1664"/>
      <c r="AQ93" s="1664"/>
      <c r="AR93" s="1664"/>
      <c r="AS93" s="1664"/>
      <c r="AT93" s="1664"/>
      <c r="AU93" s="1664"/>
      <c r="AV93" s="1664"/>
      <c r="AW93" s="1664"/>
      <c r="AX93" s="1664"/>
      <c r="AY93" s="1664"/>
      <c r="AZ93" s="1664"/>
      <c r="BA93" s="1664"/>
      <c r="BB93" s="1664"/>
      <c r="BC93" s="1664"/>
      <c r="BD93" s="1664"/>
      <c r="BE93" s="1664"/>
      <c r="BF93" s="1664"/>
    </row>
    <row r="94" spans="1:58" s="1910" customFormat="1" ht="11.25" customHeight="1">
      <c r="A94" s="1029"/>
      <c r="B94" s="1029"/>
      <c r="C94" s="1029"/>
      <c r="D94" s="1023"/>
      <c r="E94" s="1033"/>
      <c r="F94" s="1670"/>
      <c r="G94" s="1671"/>
      <c r="H94" s="3675"/>
      <c r="I94" s="3765"/>
      <c r="J94" s="3711"/>
      <c r="K94" s="3766"/>
      <c r="L94" s="3759"/>
      <c r="M94" s="3413"/>
      <c r="N94" s="3767"/>
      <c r="O94" s="3737">
        <v>1</v>
      </c>
      <c r="P94" s="3733" t="s">
        <v>54</v>
      </c>
      <c r="Q94" s="3636" t="s">
        <v>18</v>
      </c>
      <c r="R94" s="3636" t="s">
        <v>18</v>
      </c>
      <c r="S94" s="3636" t="s">
        <v>18</v>
      </c>
      <c r="T94" s="3636" t="s">
        <v>18</v>
      </c>
      <c r="U94" s="3636" t="s">
        <v>18</v>
      </c>
      <c r="V94" s="3636" t="s">
        <v>18</v>
      </c>
      <c r="W94" s="3636" t="s">
        <v>18</v>
      </c>
      <c r="X94" s="3636" t="s">
        <v>18</v>
      </c>
      <c r="Y94" s="3636"/>
      <c r="Z94" s="1039"/>
      <c r="AA94" s="1040"/>
      <c r="AB94" s="1040"/>
      <c r="AC94" s="1044"/>
      <c r="AD94" s="1044"/>
      <c r="AE94" s="1045"/>
      <c r="AF94" s="3763"/>
      <c r="AG94" s="3759"/>
      <c r="AH94" s="3759"/>
      <c r="AI94" s="3763"/>
      <c r="AJ94" s="3759"/>
      <c r="AK94" s="3759"/>
      <c r="AL94" s="1036"/>
      <c r="AM94" s="1664"/>
      <c r="AN94" s="1664"/>
      <c r="AO94" s="1664"/>
      <c r="AP94" s="1664"/>
      <c r="AQ94" s="1664"/>
      <c r="AR94" s="1664"/>
      <c r="AS94" s="1664"/>
      <c r="AT94" s="1664"/>
      <c r="AU94" s="1664"/>
      <c r="AV94" s="1664"/>
      <c r="AW94" s="1664"/>
      <c r="AX94" s="1664"/>
      <c r="AY94" s="1664"/>
      <c r="AZ94" s="1664"/>
      <c r="BA94" s="1664"/>
      <c r="BB94" s="1664"/>
      <c r="BC94" s="1664"/>
      <c r="BD94" s="1664"/>
      <c r="BE94" s="1664"/>
      <c r="BF94" s="1664"/>
    </row>
    <row r="95" spans="1:58" s="1910" customFormat="1" ht="11.25" customHeight="1">
      <c r="A95" s="1029"/>
      <c r="B95" s="1029"/>
      <c r="C95" s="1029"/>
      <c r="D95" s="1023"/>
      <c r="E95" s="1033"/>
      <c r="F95" s="1670"/>
      <c r="G95" s="1671"/>
      <c r="H95" s="3675"/>
      <c r="I95" s="3765"/>
      <c r="J95" s="3711"/>
      <c r="K95" s="3766"/>
      <c r="L95" s="3759"/>
      <c r="M95" s="3413"/>
      <c r="N95" s="3767"/>
      <c r="O95" s="3737"/>
      <c r="P95" s="3734"/>
      <c r="Q95" s="3636"/>
      <c r="R95" s="3636"/>
      <c r="S95" s="3764"/>
      <c r="T95" s="3636"/>
      <c r="U95" s="3636"/>
      <c r="V95" s="3636"/>
      <c r="W95" s="3636"/>
      <c r="X95" s="3636"/>
      <c r="Y95" s="3636"/>
      <c r="Z95" s="1669"/>
      <c r="AA95" s="1637">
        <v>1</v>
      </c>
      <c r="AB95" s="1043"/>
      <c r="AC95" s="1032"/>
      <c r="AD95" s="1043">
        <f>AB95</f>
        <v>0</v>
      </c>
      <c r="AE95" s="1032"/>
      <c r="AF95" s="3763"/>
      <c r="AG95" s="3759"/>
      <c r="AH95" s="3759"/>
      <c r="AI95" s="3763"/>
      <c r="AJ95" s="3759"/>
      <c r="AK95" s="3759"/>
      <c r="AL95" s="1036"/>
      <c r="AM95" s="1664"/>
      <c r="AN95" s="1664"/>
      <c r="AO95" s="1664"/>
      <c r="AP95" s="1664"/>
      <c r="AQ95" s="1664"/>
      <c r="AR95" s="1664"/>
      <c r="AS95" s="1664"/>
      <c r="AT95" s="1664"/>
      <c r="AU95" s="1664"/>
      <c r="AV95" s="1664"/>
      <c r="AW95" s="1664"/>
      <c r="AX95" s="1664"/>
      <c r="AY95" s="1664"/>
      <c r="AZ95" s="1664"/>
      <c r="BA95" s="1664"/>
      <c r="BB95" s="1664"/>
      <c r="BC95" s="1664"/>
      <c r="BD95" s="1664"/>
      <c r="BE95" s="1664"/>
      <c r="BF95" s="1664"/>
    </row>
    <row r="96" spans="1:58" s="1910" customFormat="1" ht="11.25" customHeight="1">
      <c r="A96" s="1029"/>
      <c r="B96" s="1029"/>
      <c r="C96" s="1029"/>
      <c r="D96" s="1023"/>
      <c r="E96" s="1033"/>
      <c r="F96" s="1670"/>
      <c r="G96" s="1671"/>
      <c r="H96" s="3675"/>
      <c r="I96" s="3765"/>
      <c r="J96" s="3711"/>
      <c r="K96" s="3766"/>
      <c r="L96" s="3759"/>
      <c r="M96" s="3413"/>
      <c r="N96" s="3767"/>
      <c r="O96" s="3737"/>
      <c r="P96" s="3735"/>
      <c r="Q96" s="3636"/>
      <c r="R96" s="3636"/>
      <c r="S96" s="3764"/>
      <c r="T96" s="3636"/>
      <c r="U96" s="3636"/>
      <c r="V96" s="3636"/>
      <c r="W96" s="3636"/>
      <c r="X96" s="3636"/>
      <c r="Y96" s="3636"/>
      <c r="Z96" s="1039"/>
      <c r="AA96" s="1040"/>
      <c r="AB96" s="1107" t="s">
        <v>2235</v>
      </c>
      <c r="AC96" s="1044"/>
      <c r="AD96" s="1044"/>
      <c r="AE96" s="1046"/>
      <c r="AF96" s="3763"/>
      <c r="AG96" s="3759"/>
      <c r="AH96" s="3759"/>
      <c r="AI96" s="3763"/>
      <c r="AJ96" s="3759"/>
      <c r="AK96" s="3759"/>
      <c r="AL96" s="1036"/>
      <c r="AM96" s="1664"/>
      <c r="AN96" s="1664"/>
      <c r="AO96" s="1664"/>
      <c r="AP96" s="1664"/>
      <c r="AQ96" s="1664"/>
      <c r="AR96" s="1664"/>
      <c r="AS96" s="1664"/>
      <c r="AT96" s="1664"/>
      <c r="AU96" s="1664"/>
      <c r="AV96" s="1664"/>
      <c r="AW96" s="1664"/>
      <c r="AX96" s="1664"/>
      <c r="AY96" s="1664"/>
      <c r="AZ96" s="1664"/>
      <c r="BA96" s="1664"/>
      <c r="BB96" s="1664"/>
      <c r="BC96" s="1664"/>
      <c r="BD96" s="1664"/>
      <c r="BE96" s="1664"/>
      <c r="BF96" s="1664"/>
    </row>
    <row r="97" spans="1:184" s="1910" customFormat="1" ht="11.25" customHeight="1">
      <c r="A97" s="1029"/>
      <c r="B97" s="1029"/>
      <c r="C97" s="1029"/>
      <c r="D97" s="1023"/>
      <c r="E97" s="1033"/>
      <c r="F97" s="1670"/>
      <c r="G97" s="1671"/>
      <c r="H97" s="3675"/>
      <c r="I97" s="3765"/>
      <c r="J97" s="3711"/>
      <c r="K97" s="3766"/>
      <c r="L97" s="3759"/>
      <c r="M97" s="3413"/>
      <c r="N97" s="1040"/>
      <c r="O97" s="1040"/>
      <c r="P97" s="1031" t="s">
        <v>2236</v>
      </c>
      <c r="Q97" s="1040"/>
      <c r="R97" s="1040"/>
      <c r="S97" s="1040"/>
      <c r="T97" s="1040"/>
      <c r="U97" s="1040"/>
      <c r="V97" s="1040"/>
      <c r="W97" s="1040"/>
      <c r="X97" s="1040"/>
      <c r="Y97" s="1040"/>
      <c r="Z97" s="1040"/>
      <c r="AA97" s="1040"/>
      <c r="AB97" s="1040"/>
      <c r="AC97" s="1040"/>
      <c r="AD97" s="1040"/>
      <c r="AE97" s="1047"/>
      <c r="AF97" s="3763"/>
      <c r="AG97" s="3759"/>
      <c r="AH97" s="3759"/>
      <c r="AI97" s="3763"/>
      <c r="AJ97" s="3759"/>
      <c r="AK97" s="3759"/>
      <c r="AL97" s="1036"/>
      <c r="AM97" s="1664"/>
      <c r="AN97" s="1664"/>
      <c r="AO97" s="1664"/>
      <c r="AP97" s="1664"/>
      <c r="AQ97" s="1664"/>
      <c r="AR97" s="1664"/>
      <c r="AS97" s="1664"/>
      <c r="AT97" s="1664"/>
      <c r="AU97" s="1664"/>
      <c r="AV97" s="1664"/>
      <c r="AW97" s="1664"/>
      <c r="AX97" s="1664"/>
      <c r="AY97" s="1664"/>
      <c r="AZ97" s="1664"/>
      <c r="BA97" s="1664"/>
      <c r="BB97" s="1664"/>
      <c r="BC97" s="1664"/>
      <c r="BD97" s="1664"/>
      <c r="BE97" s="1664"/>
      <c r="BF97" s="1664"/>
    </row>
    <row r="99" spans="1:184" s="1931" customFormat="1" ht="11.25" customHeight="1">
      <c r="A99" s="1658" t="s">
        <v>2241</v>
      </c>
    </row>
    <row r="100" spans="1:184" ht="17.25" customHeight="1"/>
    <row r="101" spans="1:184" s="1893" customFormat="1" ht="21" customHeight="1">
      <c r="A101" s="1030"/>
      <c r="B101" s="812"/>
      <c r="D101" s="799"/>
      <c r="E101" s="811" t="s">
        <v>18</v>
      </c>
      <c r="F101" s="987" t="e">
        <f>INDEX(IP_MAIN_LIST_NAME_IP,MATCH(A101,IP_MAIN_LIST_IP_ID,0))&amp;" ("&amp;INDEX(IP_MAIN_START_DATE,MATCH(A101,IP_MAIN_LIST_IP_ID,0))&amp;"-"&amp;INDEX(IP_MAIN_END_DATE,MATCH(A101,IP_MAIN_LIST_IP_ID,0))&amp;")"</f>
        <v>#N/A</v>
      </c>
      <c r="G101" s="1068"/>
      <c r="H101" s="1069"/>
      <c r="I101" s="1069"/>
      <c r="J101" s="1069"/>
      <c r="K101" s="1069"/>
      <c r="L101" s="1069"/>
      <c r="M101" s="1069"/>
      <c r="N101" s="1069"/>
      <c r="O101" s="1068"/>
      <c r="P101" s="1068"/>
      <c r="Q101" s="1068"/>
      <c r="R101" s="1068"/>
      <c r="S101" s="1068"/>
      <c r="T101" s="1068"/>
      <c r="U101" s="1070"/>
      <c r="V101" s="1070"/>
      <c r="W101" s="1070"/>
      <c r="X101" s="1070"/>
      <c r="Y101" s="1070"/>
      <c r="Z101" s="1070"/>
      <c r="AA101" s="1070"/>
      <c r="AB101" s="1068"/>
      <c r="AC101" s="1069"/>
      <c r="AD101" s="1069"/>
      <c r="AE101" s="1069"/>
      <c r="AF101" s="1069"/>
      <c r="AG101" s="1069"/>
      <c r="AH101" s="1069"/>
      <c r="AI101" s="1069"/>
      <c r="AJ101" s="1069"/>
      <c r="AK101" s="1069"/>
      <c r="AL101" s="1069"/>
      <c r="AM101" s="1069"/>
      <c r="AN101" s="1069"/>
      <c r="AO101" s="1069"/>
      <c r="AP101" s="1069"/>
      <c r="AQ101" s="1069"/>
      <c r="AR101" s="1069"/>
      <c r="AS101" s="1069"/>
      <c r="AT101" s="1069"/>
      <c r="AU101" s="1069"/>
      <c r="AV101" s="1069"/>
      <c r="AW101" s="1069"/>
      <c r="AX101" s="1069"/>
      <c r="AY101" s="1069"/>
      <c r="AZ101" s="1069"/>
      <c r="BA101" s="1069"/>
      <c r="BB101" s="1069"/>
      <c r="BC101" s="1069"/>
      <c r="BD101" s="1069"/>
      <c r="BE101" s="1069"/>
      <c r="BF101" s="1069"/>
      <c r="BG101" s="1069"/>
      <c r="BH101" s="1069"/>
      <c r="BI101" s="1069"/>
      <c r="BJ101" s="1069"/>
      <c r="BK101" s="1069"/>
      <c r="BL101" s="1069"/>
      <c r="BM101" s="1069"/>
      <c r="BN101" s="1069"/>
      <c r="BO101" s="1069"/>
      <c r="BP101" s="1069"/>
      <c r="BQ101" s="1069"/>
      <c r="BR101" s="1069"/>
      <c r="BS101" s="1069"/>
      <c r="BT101" s="1069"/>
      <c r="BU101" s="1069"/>
      <c r="BV101" s="1069"/>
      <c r="BW101" s="1069"/>
      <c r="BX101" s="1069"/>
      <c r="BY101" s="1069"/>
      <c r="BZ101" s="1069"/>
      <c r="CA101" s="1069"/>
      <c r="CB101" s="1069"/>
      <c r="CC101" s="1069"/>
      <c r="CD101" s="1069"/>
      <c r="CE101" s="1069"/>
      <c r="CF101" s="1069"/>
      <c r="CG101" s="1069"/>
      <c r="CH101" s="1069"/>
      <c r="CI101" s="1069"/>
      <c r="CJ101" s="1069"/>
      <c r="CK101" s="1069"/>
      <c r="CL101" s="1071"/>
      <c r="CM101" s="1071"/>
      <c r="CN101" s="1071"/>
      <c r="CO101" s="1071"/>
      <c r="CP101" s="1071"/>
      <c r="CQ101" s="1071"/>
      <c r="CR101" s="1071"/>
      <c r="CS101" s="1071"/>
      <c r="CT101" s="1071"/>
      <c r="CU101" s="1071"/>
      <c r="CV101" s="1071"/>
      <c r="CW101" s="1071"/>
      <c r="CX101" s="1071"/>
      <c r="CY101" s="1071"/>
      <c r="CZ101" s="1071"/>
      <c r="DA101" s="1071"/>
      <c r="DB101" s="1071"/>
      <c r="DC101" s="1071"/>
      <c r="DD101" s="1071"/>
      <c r="DE101" s="1071"/>
      <c r="DF101" s="1071"/>
      <c r="DG101" s="1071"/>
      <c r="DH101" s="1071"/>
      <c r="DI101" s="1071"/>
      <c r="DJ101" s="1071"/>
      <c r="DK101" s="1071"/>
      <c r="DL101" s="1071"/>
      <c r="DM101" s="1071"/>
      <c r="DN101" s="1071"/>
      <c r="DO101" s="1071"/>
      <c r="DP101" s="1071"/>
      <c r="DQ101" s="1071"/>
      <c r="DR101" s="1071"/>
      <c r="DS101" s="1071"/>
      <c r="DT101" s="1071"/>
      <c r="DU101" s="1071"/>
      <c r="DV101" s="1071"/>
      <c r="DW101" s="1071"/>
      <c r="DX101" s="1071"/>
      <c r="DY101" s="1071"/>
      <c r="DZ101" s="1071"/>
      <c r="EA101" s="1071"/>
      <c r="EB101" s="1071"/>
      <c r="EC101" s="1071"/>
      <c r="ED101" s="1071"/>
      <c r="EE101" s="1071"/>
      <c r="EF101" s="1071"/>
      <c r="EG101" s="1071"/>
      <c r="EH101" s="1071"/>
      <c r="EI101" s="1071"/>
      <c r="EJ101" s="1071"/>
      <c r="EK101" s="1071"/>
      <c r="EL101" s="1071"/>
      <c r="EM101" s="1071"/>
      <c r="EN101" s="1071"/>
      <c r="EO101" s="1071"/>
      <c r="EP101" s="1071"/>
      <c r="EQ101" s="1071"/>
      <c r="ER101" s="1071"/>
      <c r="ES101" s="1071"/>
      <c r="ET101" s="1071"/>
      <c r="EU101" s="1071"/>
      <c r="EV101" s="1071"/>
      <c r="EW101" s="1071"/>
      <c r="EX101" s="1071"/>
      <c r="EY101" s="1071"/>
      <c r="EZ101" s="1071"/>
      <c r="FA101" s="1071"/>
      <c r="FB101" s="1071"/>
      <c r="FC101" s="1071"/>
      <c r="FD101" s="1071"/>
      <c r="FE101" s="1071"/>
      <c r="FF101" s="1071"/>
      <c r="FG101" s="1071"/>
      <c r="FH101" s="1071"/>
      <c r="FI101" s="1071"/>
      <c r="FJ101" s="1071"/>
      <c r="FK101" s="1071"/>
      <c r="FL101" s="1071"/>
      <c r="FM101" s="1071"/>
      <c r="FN101" s="1071"/>
      <c r="FO101" s="1071"/>
      <c r="FP101" s="1071"/>
      <c r="FQ101" s="1071"/>
      <c r="FR101" s="1071"/>
      <c r="FS101" s="1071"/>
      <c r="FT101" s="1071"/>
      <c r="FU101" s="1071"/>
      <c r="FV101" s="1072"/>
      <c r="FW101" s="1066"/>
      <c r="FX101" s="1067"/>
    </row>
    <row r="102" spans="1:184" s="1893" customFormat="1" ht="24.75" customHeight="1">
      <c r="B102" s="798"/>
      <c r="C102" s="799"/>
      <c r="D102" s="799"/>
      <c r="E102"/>
      <c r="F102" s="1073">
        <v>1</v>
      </c>
      <c r="G102" s="1074"/>
      <c r="H102" s="1075"/>
      <c r="I102" s="1083"/>
      <c r="J102" s="1076"/>
      <c r="K102" s="1076"/>
      <c r="L102" s="1076"/>
      <c r="M102" s="1076"/>
      <c r="N102" s="1076"/>
      <c r="O102" s="1077"/>
      <c r="P102" s="1077"/>
      <c r="Q102" s="1077"/>
      <c r="R102" s="1077"/>
      <c r="S102" s="1077"/>
      <c r="T102" s="1077"/>
      <c r="U102" s="1077"/>
      <c r="V102" s="1077"/>
      <c r="W102" s="1077"/>
      <c r="X102" s="1077"/>
      <c r="Y102" s="1077"/>
      <c r="Z102" s="1077"/>
      <c r="AA102" s="1077"/>
      <c r="AB102" s="1077"/>
      <c r="AC102" s="1076"/>
      <c r="AD102" s="1076"/>
      <c r="AE102" s="1076"/>
      <c r="AF102" s="1076"/>
      <c r="AG102" s="1076"/>
      <c r="AH102" s="1076"/>
      <c r="AI102" s="1076"/>
      <c r="AJ102" s="1076"/>
      <c r="AK102" s="1076"/>
      <c r="AL102" s="1076"/>
      <c r="AM102" s="1076"/>
      <c r="AN102" s="1076"/>
      <c r="AO102" s="1076"/>
      <c r="AP102" s="1076"/>
      <c r="AQ102" s="1076"/>
      <c r="AR102" s="1076"/>
      <c r="AS102" s="1076"/>
      <c r="AT102" s="1076"/>
      <c r="AU102" s="1076"/>
      <c r="AV102" s="1076"/>
      <c r="AW102" s="1076"/>
      <c r="AX102" s="1076"/>
      <c r="AY102" s="1076"/>
      <c r="AZ102" s="1076"/>
      <c r="BA102" s="1076"/>
      <c r="BB102" s="1076"/>
      <c r="BC102" s="1076"/>
      <c r="BD102" s="1076"/>
      <c r="BE102" s="1076"/>
      <c r="BF102" s="1076"/>
      <c r="BG102" s="1076"/>
      <c r="BH102" s="1076"/>
      <c r="BI102" s="1076"/>
      <c r="BJ102" s="1076"/>
      <c r="BK102" s="1076"/>
      <c r="BL102" s="1076"/>
      <c r="BM102" s="1076"/>
      <c r="BN102" s="1076"/>
      <c r="BO102" s="1076"/>
      <c r="BP102" s="1076"/>
      <c r="BQ102" s="1076"/>
      <c r="BR102" s="1076"/>
      <c r="BS102" s="1076"/>
      <c r="BT102" s="1078"/>
      <c r="BU102" s="1078"/>
      <c r="BV102" s="1078"/>
      <c r="BW102" s="1078"/>
      <c r="BX102" s="1078"/>
      <c r="BY102" s="1078"/>
      <c r="BZ102" s="1078"/>
      <c r="CA102" s="1078"/>
      <c r="CB102" s="1078"/>
      <c r="CC102" s="1078"/>
      <c r="CD102" s="1078"/>
      <c r="CE102" s="1078"/>
      <c r="CF102" s="1078"/>
      <c r="CG102" s="1078"/>
      <c r="CH102" s="1078"/>
      <c r="CI102" s="1078"/>
      <c r="CJ102" s="1078"/>
      <c r="CK102" s="1078"/>
      <c r="CL102" s="1076"/>
      <c r="CM102" s="1076"/>
      <c r="CN102" s="1076"/>
      <c r="CO102" s="1076"/>
      <c r="CP102" s="1076"/>
      <c r="CQ102" s="1076"/>
      <c r="CR102" s="1076"/>
      <c r="CS102" s="1076"/>
      <c r="CT102" s="1076"/>
      <c r="CU102" s="1076"/>
      <c r="CV102" s="1076"/>
      <c r="CW102" s="1076"/>
      <c r="CX102" s="1076"/>
      <c r="CY102" s="1077"/>
      <c r="CZ102" s="1077"/>
      <c r="DA102" s="1077"/>
      <c r="DB102" s="1077"/>
      <c r="DC102" s="1077"/>
      <c r="DD102" s="1077"/>
      <c r="DE102" s="1077"/>
      <c r="DF102" s="1077"/>
      <c r="DG102" s="1077"/>
      <c r="DH102" s="1077"/>
      <c r="DI102" s="1077"/>
      <c r="DJ102" s="1077"/>
      <c r="DK102" s="1076"/>
      <c r="DL102" s="1076"/>
      <c r="DM102" s="1076"/>
      <c r="DN102" s="1076"/>
      <c r="DO102" s="1076"/>
      <c r="DP102" s="1076"/>
      <c r="DQ102" s="1076"/>
      <c r="DR102" s="1076"/>
      <c r="DS102" s="1076"/>
      <c r="DT102" s="1076"/>
      <c r="DU102" s="1076"/>
      <c r="DV102" s="1076"/>
      <c r="DW102" s="1076"/>
      <c r="DX102" s="1076"/>
      <c r="DY102" s="1076"/>
      <c r="DZ102" s="1076"/>
      <c r="EA102" s="1076"/>
      <c r="EB102" s="1076"/>
      <c r="EC102" s="1076"/>
      <c r="ED102" s="1076"/>
      <c r="EE102" s="1076"/>
      <c r="EF102" s="1076"/>
      <c r="EG102" s="1076"/>
      <c r="EH102" s="1076"/>
      <c r="EI102" s="1076"/>
      <c r="EJ102" s="1076"/>
      <c r="EK102" s="1076"/>
      <c r="EL102" s="1076"/>
      <c r="EM102" s="1076"/>
      <c r="EN102" s="1076"/>
      <c r="EO102" s="1076"/>
      <c r="EP102" s="1076"/>
      <c r="EQ102" s="1076"/>
      <c r="ER102" s="1076"/>
      <c r="ES102" s="1076"/>
      <c r="ET102" s="1076"/>
      <c r="EU102" s="1076"/>
      <c r="EV102" s="1076"/>
      <c r="EW102" s="1076"/>
      <c r="EX102" s="1076"/>
      <c r="EY102" s="1076"/>
      <c r="EZ102" s="1076"/>
      <c r="FA102" s="1076"/>
      <c r="FB102" s="1076"/>
      <c r="FC102" s="1076"/>
      <c r="FD102" s="1076"/>
      <c r="FE102" s="1076"/>
      <c r="FF102" s="1076"/>
      <c r="FG102" s="1076"/>
      <c r="FH102" s="1076"/>
      <c r="FI102" s="1076"/>
      <c r="FJ102" s="1076"/>
      <c r="FK102" s="1076"/>
      <c r="FL102" s="1076"/>
      <c r="FM102" s="1076"/>
      <c r="FN102" s="1076"/>
      <c r="FO102" s="1076"/>
      <c r="FP102" s="1076"/>
      <c r="FQ102" s="1076"/>
      <c r="FR102" s="1076"/>
      <c r="FS102" s="1076"/>
      <c r="FT102" s="1076"/>
      <c r="FU102" s="1076"/>
      <c r="FV102" s="1076"/>
      <c r="FW102" s="1076"/>
      <c r="FX102" s="1067"/>
    </row>
    <row r="103" spans="1:184" s="1893" customFormat="1" ht="12" customHeight="1">
      <c r="A103" s="799"/>
      <c r="B103" s="798"/>
      <c r="C103" s="799"/>
      <c r="D103" s="799"/>
      <c r="E103" s="799"/>
      <c r="F103" s="1079"/>
      <c r="G103" s="1643" t="s">
        <v>2242</v>
      </c>
      <c r="H103" s="1080"/>
      <c r="I103" s="1080"/>
      <c r="J103" s="1080"/>
      <c r="K103" s="1080"/>
      <c r="L103" s="1080"/>
      <c r="M103" s="1080"/>
      <c r="N103" s="1080"/>
      <c r="O103" s="1080"/>
      <c r="P103" s="1080"/>
      <c r="Q103" s="1080"/>
      <c r="R103" s="1080"/>
      <c r="S103" s="1080"/>
      <c r="T103" s="1080"/>
      <c r="U103" s="1080"/>
      <c r="V103" s="1080"/>
      <c r="W103" s="1080"/>
      <c r="X103" s="1080"/>
      <c r="Y103" s="1080"/>
      <c r="Z103" s="1080"/>
      <c r="AA103" s="1080"/>
      <c r="AB103" s="1080"/>
      <c r="AC103" s="1080"/>
      <c r="AD103" s="1080"/>
      <c r="AE103" s="1080"/>
      <c r="AF103" s="1080"/>
      <c r="AG103" s="1080"/>
      <c r="AH103" s="1080"/>
      <c r="AI103" s="1080"/>
      <c r="AJ103" s="1080"/>
      <c r="AK103" s="1080"/>
      <c r="AL103" s="1080"/>
      <c r="AM103" s="1080"/>
      <c r="AN103" s="1080"/>
      <c r="AO103" s="1080"/>
      <c r="AP103" s="1080"/>
      <c r="AQ103" s="1080"/>
      <c r="AR103" s="1080"/>
      <c r="AS103" s="1080"/>
      <c r="AT103" s="1080"/>
      <c r="AU103" s="1080"/>
      <c r="AV103" s="1080"/>
      <c r="AW103" s="1080"/>
      <c r="AX103" s="1080"/>
      <c r="AY103" s="1080"/>
      <c r="AZ103" s="1080"/>
      <c r="BA103" s="1080"/>
      <c r="BB103" s="1080"/>
      <c r="BC103" s="1080"/>
      <c r="BD103" s="1080"/>
      <c r="BE103" s="1080"/>
      <c r="BF103" s="1080"/>
      <c r="BG103" s="1080"/>
      <c r="BH103" s="1080"/>
      <c r="BI103" s="1080"/>
      <c r="BJ103" s="1080"/>
      <c r="BK103" s="1080"/>
      <c r="BL103" s="1080"/>
      <c r="BM103" s="1080"/>
      <c r="BN103" s="1080"/>
      <c r="BO103" s="1080"/>
      <c r="BP103" s="1080"/>
      <c r="BQ103" s="1080"/>
      <c r="BR103" s="1080"/>
      <c r="BS103" s="1080"/>
      <c r="BT103" s="1080"/>
      <c r="BU103" s="1080"/>
      <c r="BV103" s="1080"/>
      <c r="BW103" s="1080"/>
      <c r="BX103" s="1080"/>
      <c r="BY103" s="1080"/>
      <c r="BZ103" s="1080"/>
      <c r="CA103" s="1080"/>
      <c r="CB103" s="1080"/>
      <c r="CC103" s="1080"/>
      <c r="CD103" s="1080"/>
      <c r="CE103" s="1080"/>
      <c r="CF103" s="1080"/>
      <c r="CG103" s="1080"/>
      <c r="CH103" s="1080"/>
      <c r="CI103" s="1080"/>
      <c r="CJ103" s="1080"/>
      <c r="CK103" s="1080"/>
      <c r="CL103" s="1080"/>
      <c r="CM103" s="1080"/>
      <c r="CN103" s="1080"/>
      <c r="CO103" s="1080"/>
      <c r="CP103" s="1080"/>
      <c r="CQ103" s="1080"/>
      <c r="CR103" s="1080"/>
      <c r="CS103" s="1080"/>
      <c r="CT103" s="1080"/>
      <c r="CU103" s="1080"/>
      <c r="CV103" s="1080"/>
      <c r="CW103" s="1080"/>
      <c r="CX103" s="1080"/>
      <c r="CY103" s="1080"/>
      <c r="CZ103" s="1080"/>
      <c r="DA103" s="1080"/>
      <c r="DB103" s="1080"/>
      <c r="DC103" s="1080"/>
      <c r="DD103" s="1080"/>
      <c r="DE103" s="1080"/>
      <c r="DF103" s="1080"/>
      <c r="DG103" s="1080"/>
      <c r="DH103" s="1080"/>
      <c r="DI103" s="1080"/>
      <c r="DJ103" s="1080"/>
      <c r="DK103" s="1080"/>
      <c r="DL103" s="1080"/>
      <c r="DM103" s="1080"/>
      <c r="DN103" s="1080"/>
      <c r="DO103" s="1080"/>
      <c r="DP103" s="1080"/>
      <c r="DQ103" s="1080"/>
      <c r="DR103" s="1080"/>
      <c r="DS103" s="1080"/>
      <c r="DT103" s="1080"/>
      <c r="DU103" s="1080"/>
      <c r="DV103" s="1080"/>
      <c r="DW103" s="1080"/>
      <c r="DX103" s="1080"/>
      <c r="DY103" s="1080"/>
      <c r="DZ103" s="1080"/>
      <c r="EA103" s="1080"/>
      <c r="EB103" s="1080"/>
      <c r="EC103" s="1080"/>
      <c r="ED103" s="1080"/>
      <c r="EE103" s="1080"/>
      <c r="EF103" s="1080"/>
      <c r="EG103" s="1080"/>
      <c r="EH103" s="1080"/>
      <c r="EI103" s="1080"/>
      <c r="EJ103" s="1080"/>
      <c r="EK103" s="1080"/>
      <c r="EL103" s="1080"/>
      <c r="EM103" s="1080"/>
      <c r="EN103" s="1080"/>
      <c r="EO103" s="1080"/>
      <c r="EP103" s="1080"/>
      <c r="EQ103" s="1080"/>
      <c r="ER103" s="1080"/>
      <c r="ES103" s="1080"/>
      <c r="ET103" s="1080"/>
      <c r="EU103" s="1080"/>
      <c r="EV103" s="1080"/>
      <c r="EW103" s="1080"/>
      <c r="EX103" s="1080"/>
      <c r="EY103" s="1080"/>
      <c r="EZ103" s="1080"/>
      <c r="FA103" s="1080"/>
      <c r="FB103" s="1080"/>
      <c r="FC103" s="1080"/>
      <c r="FD103" s="1080"/>
      <c r="FE103" s="1080"/>
      <c r="FF103" s="1080"/>
      <c r="FG103" s="1080"/>
      <c r="FH103" s="1080"/>
      <c r="FI103" s="1080"/>
      <c r="FJ103" s="1080"/>
      <c r="FK103" s="1080"/>
      <c r="FL103" s="1080"/>
      <c r="FM103" s="1080"/>
      <c r="FN103" s="1080"/>
      <c r="FO103" s="1080"/>
      <c r="FP103" s="1080"/>
      <c r="FQ103" s="1080"/>
      <c r="FR103" s="1080"/>
      <c r="FS103" s="1080"/>
      <c r="FT103" s="1080"/>
      <c r="FU103" s="1080"/>
      <c r="FV103" s="1080"/>
      <c r="FW103" s="1081"/>
      <c r="FX103" s="1082"/>
      <c r="FY103" s="813"/>
      <c r="FZ103" s="813"/>
      <c r="GA103" s="813"/>
      <c r="GB103" s="813"/>
    </row>
    <row r="105" spans="1:184" s="1931" customFormat="1" ht="11.25" customHeight="1">
      <c r="A105" s="1658" t="s">
        <v>2243</v>
      </c>
    </row>
    <row r="107" spans="1:184" s="1962" customFormat="1" ht="15" customHeight="1">
      <c r="A107" s="516"/>
      <c r="B107"/>
      <c r="C107"/>
      <c r="D107" s="3621" t="s">
        <v>106</v>
      </c>
      <c r="E107" s="3618" t="s">
        <v>102</v>
      </c>
      <c r="F107" s="3619"/>
      <c r="G107" s="3620"/>
      <c r="H107" s="3614" t="str">
        <f>IF(A107="","",INDEX(DIFFERENTIATION_UNMERGE_VD,MATCH(A107,DIFFERENTIATION_ID_DIFF,0)))</f>
        <v/>
      </c>
      <c r="I107" s="3614"/>
      <c r="J107" s="3614"/>
      <c r="K107" s="3614"/>
      <c r="L107" s="3614"/>
      <c r="M107" s="3614"/>
      <c r="N107" s="3614"/>
      <c r="O107" s="3614"/>
      <c r="P107" s="3614"/>
      <c r="Q107" s="3614"/>
      <c r="R107" s="3614"/>
      <c r="S107" s="609"/>
      <c r="T107" s="606"/>
      <c r="U107" s="517"/>
      <c r="V107" s="517"/>
      <c r="W107" s="518"/>
      <c r="X107" s="518"/>
      <c r="Y107" s="518"/>
      <c r="Z107" s="518"/>
      <c r="AA107" s="519"/>
      <c r="AB107" s="520"/>
      <c r="AC107" s="3617"/>
      <c r="AD107" s="521"/>
      <c r="AE107" s="522" t="s">
        <v>18</v>
      </c>
      <c r="AF107" s="522"/>
      <c r="AG107" s="523" t="s">
        <v>874</v>
      </c>
      <c r="AH107" s="524">
        <v>3</v>
      </c>
      <c r="AI107" s="517"/>
      <c r="AJ107" s="517"/>
      <c r="AK107" s="517"/>
      <c r="AL107" s="517"/>
      <c r="AM107" s="517"/>
      <c r="AN107" s="517"/>
      <c r="AO107" s="517"/>
      <c r="AP107" s="517"/>
      <c r="AQ107" s="517"/>
      <c r="AR107" s="517"/>
      <c r="AS107" s="517"/>
      <c r="AT107" s="517"/>
      <c r="AU107" s="517"/>
      <c r="AV107" s="517"/>
      <c r="AW107" s="517"/>
      <c r="AX107" s="517"/>
      <c r="AY107" s="517"/>
      <c r="AZ107" s="517"/>
      <c r="BA107" s="517"/>
      <c r="BB107" s="517"/>
      <c r="BC107" s="517"/>
      <c r="BD107" s="517"/>
      <c r="BE107" s="517"/>
      <c r="BF107" s="517"/>
      <c r="BG107" s="517"/>
      <c r="BH107" s="517"/>
      <c r="BI107" s="517"/>
      <c r="BJ107" s="517"/>
      <c r="BK107" s="517"/>
      <c r="BL107" s="517"/>
      <c r="BM107" s="517"/>
      <c r="BN107" s="517"/>
      <c r="BO107" s="517"/>
      <c r="BP107" s="517"/>
      <c r="BQ107" s="517"/>
      <c r="BR107" s="517"/>
      <c r="BS107" s="517"/>
      <c r="BT107" s="517"/>
      <c r="BU107" s="517"/>
      <c r="BV107" s="518"/>
      <c r="BW107" s="518"/>
      <c r="BX107" s="518"/>
      <c r="BY107" s="518"/>
      <c r="BZ107" s="518"/>
      <c r="CA107" s="518"/>
      <c r="CB107" s="518"/>
      <c r="CC107" s="518"/>
      <c r="CD107" s="518"/>
      <c r="CE107" s="518"/>
    </row>
    <row r="108" spans="1:184" s="1962" customFormat="1" ht="15" customHeight="1">
      <c r="A108" s="516"/>
      <c r="B108"/>
      <c r="C108"/>
      <c r="D108" s="3622"/>
      <c r="E108" s="3618" t="s">
        <v>829</v>
      </c>
      <c r="F108" s="3619"/>
      <c r="G108" s="3620"/>
      <c r="H108" s="3614" t="str">
        <f>IF(A107="","",INDEX(DIFFERENTIATION_UNMERGE_AREA,MATCH(A107,DIFFERENTIATION_ID_DIFF,0)))</f>
        <v/>
      </c>
      <c r="I108" s="3614"/>
      <c r="J108" s="3614"/>
      <c r="K108" s="3614"/>
      <c r="L108" s="3614"/>
      <c r="M108" s="3614"/>
      <c r="N108" s="3614"/>
      <c r="O108" s="3614"/>
      <c r="P108" s="3614"/>
      <c r="Q108" s="3614"/>
      <c r="R108" s="3614"/>
      <c r="S108" s="609"/>
      <c r="T108" s="606"/>
      <c r="U108" s="517"/>
      <c r="V108" s="517"/>
      <c r="W108" s="518"/>
      <c r="X108" s="518"/>
      <c r="Y108" s="518"/>
      <c r="Z108" s="518"/>
      <c r="AA108" s="519"/>
      <c r="AB108" s="520"/>
      <c r="AC108" s="3617"/>
      <c r="AD108" s="521"/>
      <c r="AE108" s="522"/>
      <c r="AF108" s="522"/>
      <c r="AG108" s="523"/>
      <c r="AH108" s="524"/>
      <c r="AI108" s="517"/>
      <c r="AJ108" s="517"/>
      <c r="AK108" s="517"/>
      <c r="AL108" s="517"/>
      <c r="AM108" s="517"/>
      <c r="AN108" s="517"/>
      <c r="AO108" s="517"/>
      <c r="AP108" s="517"/>
      <c r="AQ108" s="517"/>
      <c r="AR108" s="517"/>
      <c r="AS108" s="517"/>
      <c r="AT108" s="517"/>
      <c r="AU108" s="517"/>
      <c r="AV108" s="517"/>
      <c r="AW108" s="517"/>
      <c r="AX108" s="517"/>
      <c r="AY108" s="517"/>
      <c r="AZ108" s="517"/>
      <c r="BA108" s="517"/>
      <c r="BB108" s="517"/>
      <c r="BC108" s="517"/>
      <c r="BD108" s="517"/>
      <c r="BE108" s="517"/>
      <c r="BF108" s="517"/>
      <c r="BG108" s="517"/>
      <c r="BH108" s="517"/>
      <c r="BI108" s="517"/>
      <c r="BJ108" s="517"/>
      <c r="BK108" s="517"/>
      <c r="BL108" s="517"/>
      <c r="BM108" s="517"/>
      <c r="BN108" s="517"/>
      <c r="BO108" s="517"/>
      <c r="BP108" s="517"/>
      <c r="BQ108" s="517"/>
      <c r="BR108" s="517"/>
      <c r="BS108" s="517"/>
      <c r="BT108" s="517"/>
      <c r="BU108" s="517"/>
      <c r="BV108" s="518"/>
      <c r="BW108" s="518"/>
      <c r="BX108" s="518"/>
      <c r="BY108" s="518"/>
      <c r="BZ108" s="518"/>
      <c r="CA108" s="518"/>
      <c r="CB108" s="518"/>
      <c r="CC108" s="518"/>
      <c r="CD108" s="518"/>
      <c r="CE108" s="518"/>
    </row>
    <row r="109" spans="1:184" s="1962" customFormat="1" ht="15" customHeight="1">
      <c r="A109" s="516"/>
      <c r="B109"/>
      <c r="C109"/>
      <c r="D109" s="3622"/>
      <c r="E109" s="3618" t="s">
        <v>830</v>
      </c>
      <c r="F109" s="3619"/>
      <c r="G109" s="3620"/>
      <c r="H109" s="3614" t="str">
        <f>IF(A107="","",INDEX(DIFFERENTIATION_UNMERGE_SYSTEM,MATCH(A107,DIFFERENTIATION_ID_DIFF,0)))</f>
        <v/>
      </c>
      <c r="I109" s="3614"/>
      <c r="J109" s="3614"/>
      <c r="K109" s="3614"/>
      <c r="L109" s="3614"/>
      <c r="M109" s="3614"/>
      <c r="N109" s="3614"/>
      <c r="O109" s="3614"/>
      <c r="P109" s="3614"/>
      <c r="Q109" s="3614"/>
      <c r="R109" s="3614"/>
      <c r="S109" s="609"/>
      <c r="T109" s="606"/>
      <c r="U109" s="517"/>
      <c r="V109" s="517"/>
      <c r="W109" s="518"/>
      <c r="X109" s="518"/>
      <c r="Y109" s="518"/>
      <c r="Z109" s="518"/>
      <c r="AA109" s="519"/>
      <c r="AB109" s="520"/>
      <c r="AC109" s="3617"/>
      <c r="AD109" s="521"/>
      <c r="AE109" s="522"/>
      <c r="AF109" s="522"/>
      <c r="AG109" s="523"/>
      <c r="AH109" s="524"/>
      <c r="AI109" s="517"/>
      <c r="AJ109" s="517"/>
      <c r="AK109" s="517"/>
      <c r="AL109" s="517"/>
      <c r="AM109" s="517"/>
      <c r="AN109" s="517"/>
      <c r="AO109" s="517"/>
      <c r="AP109" s="517"/>
      <c r="AQ109" s="517"/>
      <c r="AR109" s="517"/>
      <c r="AS109" s="517"/>
      <c r="AT109" s="517"/>
      <c r="AU109" s="517"/>
      <c r="AV109" s="517"/>
      <c r="AW109" s="517"/>
      <c r="AX109" s="517"/>
      <c r="AY109" s="517"/>
      <c r="AZ109" s="517"/>
      <c r="BA109" s="517"/>
      <c r="BB109" s="517"/>
      <c r="BC109" s="517"/>
      <c r="BD109" s="517"/>
      <c r="BE109" s="517"/>
      <c r="BF109" s="517"/>
      <c r="BG109" s="517"/>
      <c r="BH109" s="517"/>
      <c r="BI109" s="517"/>
      <c r="BJ109" s="517"/>
      <c r="BK109" s="517"/>
      <c r="BL109" s="517"/>
      <c r="BM109" s="517"/>
      <c r="BN109" s="517"/>
      <c r="BO109" s="517"/>
      <c r="BP109" s="517"/>
      <c r="BQ109" s="517"/>
      <c r="BR109" s="517"/>
      <c r="BS109" s="517"/>
      <c r="BT109" s="517"/>
      <c r="BU109" s="517"/>
      <c r="BV109" s="518"/>
      <c r="BW109" s="518"/>
      <c r="BX109" s="518"/>
      <c r="BY109" s="518"/>
      <c r="BZ109" s="518"/>
      <c r="CA109" s="518"/>
      <c r="CB109" s="518"/>
      <c r="CC109" s="518"/>
      <c r="CD109" s="518"/>
      <c r="CE109" s="518"/>
    </row>
    <row r="110" spans="1:184" s="1962" customFormat="1" ht="24.75" customHeight="1">
      <c r="A110" s="1649"/>
      <c r="B110" s="1023"/>
      <c r="C110" s="319"/>
      <c r="D110" s="3622"/>
      <c r="E110" s="3616" t="s">
        <v>875</v>
      </c>
      <c r="F110" s="3616"/>
      <c r="G110" s="3616"/>
      <c r="H110" s="3616"/>
      <c r="I110" s="3616"/>
      <c r="J110" s="3616"/>
      <c r="K110" s="3616"/>
      <c r="L110" s="3616"/>
      <c r="M110" s="3616"/>
      <c r="N110" s="3616"/>
      <c r="O110" s="3616"/>
      <c r="P110" s="3616"/>
      <c r="Q110" s="455">
        <f>SUMIF(T111:T112,"i",Q111:Q112)</f>
        <v>0</v>
      </c>
      <c r="R110" s="887"/>
      <c r="S110" s="1641" t="s">
        <v>876</v>
      </c>
      <c r="T110" s="607" t="s">
        <v>877</v>
      </c>
      <c r="U110" s="3532">
        <v>1</v>
      </c>
      <c r="V110" s="3532" t="s">
        <v>840</v>
      </c>
      <c r="W110" s="1023"/>
      <c r="X110" s="1023"/>
      <c r="Y110" s="1023"/>
      <c r="Z110" s="1023"/>
      <c r="AA110" s="1481"/>
      <c r="AB110" s="1023"/>
      <c r="AC110" s="3617"/>
      <c r="AD110" s="521"/>
      <c r="AE110" s="1023"/>
      <c r="AF110" s="1023"/>
      <c r="AG110" s="1481"/>
      <c r="AH110" s="1481"/>
      <c r="AI110" s="1481"/>
      <c r="AJ110" s="1481"/>
      <c r="AK110" s="1481"/>
      <c r="AL110" s="1481"/>
      <c r="AM110" s="1481"/>
      <c r="AN110" s="1481"/>
      <c r="AO110" s="1481"/>
      <c r="AP110" s="1481"/>
      <c r="AQ110" s="1481"/>
      <c r="AR110" s="1481"/>
      <c r="AS110" s="1481"/>
      <c r="AT110" s="1481"/>
      <c r="AU110" s="1481"/>
      <c r="AV110" s="1481"/>
      <c r="AW110" s="1481"/>
      <c r="AX110" s="1481"/>
      <c r="AY110" s="1481"/>
      <c r="AZ110" s="1481"/>
      <c r="BA110" s="1481"/>
      <c r="BB110" s="1481"/>
      <c r="BC110" s="1481"/>
      <c r="BD110" s="1481"/>
      <c r="BE110" s="1481"/>
      <c r="BF110" s="1481"/>
      <c r="BG110" s="1481"/>
      <c r="BH110" s="1481"/>
      <c r="BI110" s="1481"/>
      <c r="BJ110" s="1481"/>
      <c r="BK110" s="1481"/>
      <c r="BL110" s="1481"/>
      <c r="BM110" s="1481"/>
      <c r="BN110" s="1481"/>
      <c r="BO110" s="1481"/>
      <c r="BP110" s="1481"/>
      <c r="BQ110" s="1481"/>
      <c r="BR110" s="1481"/>
      <c r="BS110" s="1481"/>
      <c r="BT110" s="1481"/>
      <c r="BU110" s="1481"/>
      <c r="BV110" s="1023"/>
      <c r="BW110" s="1023"/>
      <c r="BX110" s="1023"/>
      <c r="BY110" s="1023"/>
      <c r="BZ110" s="1023"/>
      <c r="CA110" s="1023"/>
      <c r="CB110" s="1023"/>
      <c r="CC110" s="1023"/>
      <c r="CD110" s="1023"/>
      <c r="CE110" s="1023"/>
    </row>
    <row r="111" spans="1:184" s="1962" customFormat="1" ht="11.25" hidden="1" customHeight="1">
      <c r="A111" s="1636"/>
      <c r="B111" s="1481"/>
      <c r="C111" s="1481"/>
      <c r="D111" s="3622"/>
      <c r="E111" s="527"/>
      <c r="F111" s="527">
        <v>0</v>
      </c>
      <c r="G111" s="527"/>
      <c r="H111" s="527"/>
      <c r="I111" s="527"/>
      <c r="J111" s="527"/>
      <c r="K111" s="527"/>
      <c r="L111" s="527"/>
      <c r="M111" s="527"/>
      <c r="N111" s="527"/>
      <c r="O111" s="527"/>
      <c r="P111" s="527"/>
      <c r="Q111" s="527"/>
      <c r="R111" s="527"/>
      <c r="S111" s="528"/>
      <c r="T111" s="608"/>
      <c r="U111" s="3532"/>
      <c r="V111" s="3532"/>
      <c r="W111" s="1481"/>
      <c r="X111" s="1481"/>
      <c r="Y111" s="1481"/>
      <c r="Z111" s="1481"/>
      <c r="AA111" s="1481"/>
      <c r="AB111" s="1023"/>
      <c r="AC111" s="3617"/>
      <c r="AD111" s="521"/>
      <c r="AE111" s="1023"/>
      <c r="AF111" s="1023"/>
      <c r="AG111" s="1481"/>
      <c r="AH111" s="1481"/>
      <c r="AI111" s="1481"/>
      <c r="AJ111" s="1481"/>
      <c r="AK111" s="1481"/>
      <c r="AL111" s="1481"/>
      <c r="AM111" s="1481"/>
      <c r="AN111" s="1481"/>
      <c r="AO111" s="1481"/>
      <c r="AP111" s="1481"/>
      <c r="AQ111" s="1481"/>
      <c r="AR111" s="1481"/>
      <c r="AS111" s="1481"/>
      <c r="AT111" s="1481"/>
      <c r="AU111" s="1481"/>
      <c r="AV111" s="1481"/>
      <c r="AW111" s="1481"/>
      <c r="AX111" s="1481"/>
      <c r="AY111" s="1481"/>
      <c r="AZ111" s="1481"/>
      <c r="BA111" s="1481"/>
      <c r="BB111" s="1481"/>
      <c r="BC111" s="1481"/>
      <c r="BD111" s="1481"/>
      <c r="BE111" s="1481"/>
      <c r="BF111" s="1481"/>
      <c r="BG111" s="1481"/>
      <c r="BH111" s="1481"/>
      <c r="BI111" s="1481"/>
      <c r="BJ111" s="1481"/>
      <c r="BK111" s="1481"/>
      <c r="BL111" s="1481"/>
      <c r="BM111" s="1481"/>
      <c r="BN111" s="1481"/>
      <c r="BO111" s="1481"/>
      <c r="BP111" s="1481"/>
      <c r="BQ111" s="1481"/>
      <c r="BR111" s="1481"/>
      <c r="BS111" s="1481"/>
      <c r="BT111" s="1481"/>
      <c r="BU111" s="1481"/>
      <c r="BV111" s="1481"/>
      <c r="BW111" s="1481"/>
      <c r="BX111" s="1481"/>
      <c r="BY111" s="1481"/>
      <c r="BZ111" s="1481"/>
      <c r="CA111" s="1481"/>
      <c r="CB111" s="1481"/>
      <c r="CC111" s="1481"/>
      <c r="CD111" s="1481"/>
      <c r="CE111" s="1481"/>
    </row>
    <row r="112" spans="1:184" s="1962" customFormat="1" ht="11.25" customHeight="1">
      <c r="A112" s="1649"/>
      <c r="B112" s="1023"/>
      <c r="C112" s="319"/>
      <c r="D112" s="3622"/>
      <c r="E112" s="541" t="s">
        <v>18</v>
      </c>
      <c r="F112" s="1031" t="s">
        <v>18</v>
      </c>
      <c r="G112" s="1031" t="s">
        <v>880</v>
      </c>
      <c r="H112" s="543" t="s">
        <v>18</v>
      </c>
      <c r="I112" s="543"/>
      <c r="J112" s="543"/>
      <c r="K112" s="543"/>
      <c r="L112" s="543"/>
      <c r="M112" s="543"/>
      <c r="N112" s="543"/>
      <c r="O112" s="543"/>
      <c r="P112" s="543"/>
      <c r="Q112" s="543"/>
      <c r="R112" s="544"/>
      <c r="S112" s="545"/>
      <c r="T112" s="608"/>
      <c r="U112" s="3532"/>
      <c r="V112" s="3532"/>
      <c r="W112" s="1023"/>
      <c r="X112" s="1023"/>
      <c r="Y112" s="1023"/>
      <c r="Z112" s="1023"/>
      <c r="AA112" s="1481"/>
      <c r="AB112" s="1023"/>
      <c r="AC112" s="3617"/>
      <c r="AD112" s="521"/>
      <c r="AE112" s="1023"/>
      <c r="AF112" s="1023"/>
      <c r="AG112" s="1481"/>
      <c r="AH112" s="1481"/>
      <c r="AI112" s="1481"/>
      <c r="AJ112" s="1481"/>
      <c r="AK112" s="1481"/>
      <c r="AL112" s="1481"/>
      <c r="AM112" s="1481"/>
      <c r="AN112" s="1481"/>
      <c r="AO112" s="1481"/>
      <c r="AP112" s="1481"/>
      <c r="AQ112" s="1481"/>
      <c r="AR112" s="1481"/>
      <c r="AS112" s="1481"/>
      <c r="AT112" s="1481"/>
      <c r="AU112" s="1481"/>
      <c r="AV112" s="1481"/>
      <c r="AW112" s="1481"/>
      <c r="AX112" s="1481"/>
      <c r="AY112" s="1481"/>
      <c r="AZ112" s="1481"/>
      <c r="BA112" s="1481"/>
      <c r="BB112" s="1481"/>
      <c r="BC112" s="1481"/>
      <c r="BD112" s="1481"/>
      <c r="BE112" s="1481"/>
      <c r="BF112" s="1481"/>
      <c r="BG112" s="1481"/>
      <c r="BH112" s="1481"/>
      <c r="BI112" s="1481"/>
      <c r="BJ112" s="1481"/>
      <c r="BK112" s="1481"/>
      <c r="BL112" s="1481"/>
      <c r="BM112" s="1481"/>
      <c r="BN112" s="1481"/>
      <c r="BO112" s="1481"/>
      <c r="BP112" s="1481"/>
      <c r="BQ112" s="1481"/>
      <c r="BR112" s="1481"/>
      <c r="BS112" s="1481"/>
      <c r="BT112" s="1481"/>
      <c r="BU112" s="1481"/>
      <c r="BV112" s="1023"/>
      <c r="BW112" s="1023"/>
      <c r="BX112" s="1023"/>
      <c r="BY112" s="1023"/>
      <c r="BZ112" s="1023"/>
      <c r="CA112" s="1023"/>
      <c r="CB112" s="1023"/>
      <c r="CC112" s="1023"/>
      <c r="CD112" s="1023"/>
      <c r="CE112" s="1023"/>
    </row>
    <row r="113" spans="1:83" s="1962" customFormat="1" ht="24.75" customHeight="1">
      <c r="A113" s="1649"/>
      <c r="B113" s="1023"/>
      <c r="C113" s="319"/>
      <c r="D113" s="3622"/>
      <c r="E113" s="3616" t="s">
        <v>878</v>
      </c>
      <c r="F113" s="3616"/>
      <c r="G113" s="3616"/>
      <c r="H113" s="3616"/>
      <c r="I113" s="3616"/>
      <c r="J113" s="3616"/>
      <c r="K113" s="3616"/>
      <c r="L113" s="3616"/>
      <c r="M113" s="3616"/>
      <c r="N113" s="3616"/>
      <c r="O113" s="3616"/>
      <c r="P113" s="3616"/>
      <c r="Q113" s="455">
        <f>SUMIF(T114:T115,"i",Q114:Q115)</f>
        <v>0</v>
      </c>
      <c r="R113" s="887"/>
      <c r="S113" s="1641" t="s">
        <v>879</v>
      </c>
      <c r="T113" s="607" t="s">
        <v>877</v>
      </c>
      <c r="U113" s="3532">
        <v>1</v>
      </c>
      <c r="V113" s="3532" t="s">
        <v>840</v>
      </c>
      <c r="W113" s="1023"/>
      <c r="X113" s="1023"/>
      <c r="Y113" s="1023"/>
      <c r="Z113" s="1023"/>
      <c r="AA113" s="1481"/>
      <c r="AB113" s="1023"/>
      <c r="AC113" s="1639"/>
      <c r="AD113" s="521"/>
      <c r="AE113" s="1023"/>
      <c r="AF113" s="1023"/>
      <c r="AG113" s="1481"/>
      <c r="AH113" s="1481"/>
      <c r="AI113" s="1481"/>
      <c r="AJ113" s="1481"/>
      <c r="AK113" s="1481"/>
      <c r="AL113" s="1481"/>
      <c r="AM113" s="1481"/>
      <c r="AN113" s="1481"/>
      <c r="AO113" s="1481"/>
      <c r="AP113" s="1481"/>
      <c r="AQ113" s="1481"/>
      <c r="AR113" s="1481"/>
      <c r="AS113" s="1481"/>
      <c r="AT113" s="1481"/>
      <c r="AU113" s="1481"/>
      <c r="AV113" s="1481"/>
      <c r="AW113" s="1481"/>
      <c r="AX113" s="1481"/>
      <c r="AY113" s="1481"/>
      <c r="AZ113" s="1481"/>
      <c r="BA113" s="1481"/>
      <c r="BB113" s="1481"/>
      <c r="BC113" s="1481"/>
      <c r="BD113" s="1481"/>
      <c r="BE113" s="1481"/>
      <c r="BF113" s="1481"/>
      <c r="BG113" s="1481"/>
      <c r="BH113" s="1481"/>
      <c r="BI113" s="1481"/>
      <c r="BJ113" s="1481"/>
      <c r="BK113" s="1481"/>
      <c r="BL113" s="1481"/>
      <c r="BM113" s="1481"/>
      <c r="BN113" s="1481"/>
      <c r="BO113" s="1481"/>
      <c r="BP113" s="1481"/>
      <c r="BQ113" s="1481"/>
      <c r="BR113" s="1481"/>
      <c r="BS113" s="1481"/>
      <c r="BT113" s="1481"/>
      <c r="BU113" s="1481"/>
      <c r="BV113" s="1023"/>
      <c r="BW113" s="1023"/>
      <c r="BX113" s="1023"/>
      <c r="BY113" s="1023"/>
      <c r="BZ113" s="1023"/>
      <c r="CA113" s="1023"/>
      <c r="CB113" s="1023"/>
      <c r="CC113" s="1023"/>
      <c r="CD113" s="1023"/>
      <c r="CE113" s="1023"/>
    </row>
    <row r="114" spans="1:83" s="1962" customFormat="1" ht="11.25" hidden="1" customHeight="1">
      <c r="A114" s="1636"/>
      <c r="B114" s="1481"/>
      <c r="C114" s="1481"/>
      <c r="D114" s="3622"/>
      <c r="E114" s="527"/>
      <c r="F114" s="527">
        <v>0</v>
      </c>
      <c r="G114" s="527"/>
      <c r="H114" s="527"/>
      <c r="I114" s="527"/>
      <c r="J114" s="527"/>
      <c r="K114" s="527"/>
      <c r="L114" s="527"/>
      <c r="M114" s="527"/>
      <c r="N114" s="527"/>
      <c r="O114" s="527"/>
      <c r="P114" s="527"/>
      <c r="Q114" s="527"/>
      <c r="R114" s="527"/>
      <c r="S114" s="528"/>
      <c r="T114" s="608"/>
      <c r="U114" s="3532"/>
      <c r="V114" s="3532"/>
      <c r="W114" s="1481"/>
      <c r="X114" s="1481"/>
      <c r="Y114" s="1481"/>
      <c r="Z114" s="1481"/>
      <c r="AA114" s="1481"/>
      <c r="AB114" s="1023"/>
      <c r="AC114" s="1639"/>
      <c r="AD114" s="521"/>
      <c r="AE114" s="1023"/>
      <c r="AF114" s="1023"/>
      <c r="AG114" s="1481"/>
      <c r="AH114" s="1481"/>
      <c r="AI114" s="1481"/>
      <c r="AJ114" s="1481"/>
      <c r="AK114" s="1481"/>
      <c r="AL114" s="1481"/>
      <c r="AM114" s="1481"/>
      <c r="AN114" s="1481"/>
      <c r="AO114" s="1481"/>
      <c r="AP114" s="1481"/>
      <c r="AQ114" s="1481"/>
      <c r="AR114" s="1481"/>
      <c r="AS114" s="1481"/>
      <c r="AT114" s="1481"/>
      <c r="AU114" s="1481"/>
      <c r="AV114" s="1481"/>
      <c r="AW114" s="1481"/>
      <c r="AX114" s="1481"/>
      <c r="AY114" s="1481"/>
      <c r="AZ114" s="1481"/>
      <c r="BA114" s="1481"/>
      <c r="BB114" s="1481"/>
      <c r="BC114" s="1481"/>
      <c r="BD114" s="1481"/>
      <c r="BE114" s="1481"/>
      <c r="BF114" s="1481"/>
      <c r="BG114" s="1481"/>
      <c r="BH114" s="1481"/>
      <c r="BI114" s="1481"/>
      <c r="BJ114" s="1481"/>
      <c r="BK114" s="1481"/>
      <c r="BL114" s="1481"/>
      <c r="BM114" s="1481"/>
      <c r="BN114" s="1481"/>
      <c r="BO114" s="1481"/>
      <c r="BP114" s="1481"/>
      <c r="BQ114" s="1481"/>
      <c r="BR114" s="1481"/>
      <c r="BS114" s="1481"/>
      <c r="BT114" s="1481"/>
      <c r="BU114" s="1481"/>
      <c r="BV114" s="1481"/>
      <c r="BW114" s="1481"/>
      <c r="BX114" s="1481"/>
      <c r="BY114" s="1481"/>
      <c r="BZ114" s="1481"/>
      <c r="CA114" s="1481"/>
      <c r="CB114" s="1481"/>
      <c r="CC114" s="1481"/>
      <c r="CD114" s="1481"/>
      <c r="CE114" s="1481"/>
    </row>
    <row r="115" spans="1:83" s="1962" customFormat="1" ht="11.25" customHeight="1">
      <c r="A115" s="1649"/>
      <c r="B115" s="1023"/>
      <c r="C115" s="319"/>
      <c r="D115" s="3623"/>
      <c r="E115" s="541" t="s">
        <v>18</v>
      </c>
      <c r="F115" s="1031" t="s">
        <v>18</v>
      </c>
      <c r="G115" s="1031" t="s">
        <v>880</v>
      </c>
      <c r="H115" s="543" t="s">
        <v>18</v>
      </c>
      <c r="I115" s="543"/>
      <c r="J115" s="543"/>
      <c r="K115" s="543"/>
      <c r="L115" s="543"/>
      <c r="M115" s="543"/>
      <c r="N115" s="543"/>
      <c r="O115" s="543"/>
      <c r="P115" s="543"/>
      <c r="Q115" s="543"/>
      <c r="R115" s="544"/>
      <c r="S115" s="545"/>
      <c r="T115" s="608"/>
      <c r="U115" s="3532"/>
      <c r="V115" s="3532"/>
      <c r="W115" s="1023"/>
      <c r="X115" s="1023"/>
      <c r="Y115" s="1023"/>
      <c r="Z115" s="1023"/>
      <c r="AA115" s="1481"/>
      <c r="AB115" s="1023"/>
      <c r="AC115" s="1639"/>
      <c r="AD115" s="521"/>
      <c r="AE115" s="1023"/>
      <c r="AF115" s="1023"/>
      <c r="AG115" s="1481"/>
      <c r="AH115" s="1481"/>
      <c r="AI115" s="1481"/>
      <c r="AJ115" s="1481"/>
      <c r="AK115" s="1481"/>
      <c r="AL115" s="1481"/>
      <c r="AM115" s="1481"/>
      <c r="AN115" s="1481"/>
      <c r="AO115" s="1481"/>
      <c r="AP115" s="1481"/>
      <c r="AQ115" s="1481"/>
      <c r="AR115" s="1481"/>
      <c r="AS115" s="1481"/>
      <c r="AT115" s="1481"/>
      <c r="AU115" s="1481"/>
      <c r="AV115" s="1481"/>
      <c r="AW115" s="1481"/>
      <c r="AX115" s="1481"/>
      <c r="AY115" s="1481"/>
      <c r="AZ115" s="1481"/>
      <c r="BA115" s="1481"/>
      <c r="BB115" s="1481"/>
      <c r="BC115" s="1481"/>
      <c r="BD115" s="1481"/>
      <c r="BE115" s="1481"/>
      <c r="BF115" s="1481"/>
      <c r="BG115" s="1481"/>
      <c r="BH115" s="1481"/>
      <c r="BI115" s="1481"/>
      <c r="BJ115" s="1481"/>
      <c r="BK115" s="1481"/>
      <c r="BL115" s="1481"/>
      <c r="BM115" s="1481"/>
      <c r="BN115" s="1481"/>
      <c r="BO115" s="1481"/>
      <c r="BP115" s="1481"/>
      <c r="BQ115" s="1481"/>
      <c r="BR115" s="1481"/>
      <c r="BS115" s="1481"/>
      <c r="BT115" s="1481"/>
      <c r="BU115" s="1481"/>
      <c r="BV115" s="1023"/>
      <c r="BW115" s="1023"/>
      <c r="BX115" s="1023"/>
      <c r="BY115" s="1023"/>
      <c r="BZ115" s="1023"/>
      <c r="CA115" s="1023"/>
      <c r="CB115" s="1023"/>
      <c r="CC115" s="1023"/>
      <c r="CD115" s="1023"/>
      <c r="CE115" s="1023"/>
    </row>
    <row r="117" spans="1:83" s="1931" customFormat="1" ht="11.25" customHeight="1">
      <c r="A117" s="1658" t="s">
        <v>2244</v>
      </c>
    </row>
    <row r="119" spans="1:83" s="1962" customFormat="1" ht="15" hidden="1" customHeight="1">
      <c r="A119" s="516"/>
      <c r="B119"/>
      <c r="C119"/>
      <c r="D119" s="3621" t="s">
        <v>106</v>
      </c>
      <c r="E119" s="3618" t="s">
        <v>102</v>
      </c>
      <c r="F119" s="3619"/>
      <c r="G119" s="3620"/>
      <c r="H119" s="3614" t="str">
        <f>IF(A119="","",INDEX(DIFFERENTIATION_UNMERGE_VD,MATCH(A119,DIFFERENTIATION_ID_DIFF,0)))</f>
        <v/>
      </c>
      <c r="I119" s="3614"/>
      <c r="J119" s="3614"/>
      <c r="K119" s="3614"/>
      <c r="L119" s="3614"/>
      <c r="M119" s="3614"/>
      <c r="N119" s="3614"/>
      <c r="O119" s="3614"/>
      <c r="P119" s="3614"/>
      <c r="Q119" s="3614"/>
      <c r="R119" s="3614"/>
      <c r="S119" s="609"/>
      <c r="T119" s="606"/>
      <c r="U119" s="517"/>
      <c r="V119" s="517"/>
      <c r="W119" s="518"/>
      <c r="X119" s="518"/>
      <c r="Y119" s="518"/>
      <c r="Z119" s="518"/>
      <c r="AA119" s="519"/>
      <c r="AB119" s="520"/>
      <c r="AC119" s="3617"/>
      <c r="AD119" s="521"/>
      <c r="AE119" s="522" t="s">
        <v>18</v>
      </c>
      <c r="AF119" s="522"/>
      <c r="AG119" s="523" t="s">
        <v>874</v>
      </c>
      <c r="AH119" s="524">
        <v>3</v>
      </c>
      <c r="AI119" s="517"/>
      <c r="AJ119" s="517"/>
      <c r="AK119" s="517"/>
      <c r="AL119" s="517"/>
      <c r="AM119" s="517"/>
      <c r="AN119" s="517"/>
      <c r="AO119" s="517"/>
      <c r="AP119" s="517"/>
      <c r="AQ119" s="517"/>
      <c r="AR119" s="517"/>
      <c r="AS119" s="517"/>
      <c r="AT119" s="517"/>
      <c r="AU119" s="517"/>
      <c r="AV119" s="517"/>
      <c r="AW119" s="517"/>
      <c r="AX119" s="517"/>
      <c r="AY119" s="517"/>
      <c r="AZ119" s="517"/>
      <c r="BA119" s="517"/>
      <c r="BB119" s="517"/>
      <c r="BC119" s="517"/>
      <c r="BD119" s="517"/>
      <c r="BE119" s="517"/>
      <c r="BF119" s="517"/>
      <c r="BG119" s="517"/>
      <c r="BH119" s="517"/>
      <c r="BI119" s="517"/>
      <c r="BJ119" s="517"/>
      <c r="BK119" s="517"/>
      <c r="BL119" s="517"/>
      <c r="BM119" s="517"/>
      <c r="BN119" s="517"/>
      <c r="BO119" s="517"/>
      <c r="BP119" s="517"/>
      <c r="BQ119" s="517"/>
      <c r="BR119" s="517"/>
      <c r="BS119" s="517"/>
      <c r="BT119" s="517"/>
      <c r="BU119" s="517"/>
      <c r="BV119" s="518"/>
      <c r="BW119" s="518"/>
      <c r="BX119" s="518"/>
      <c r="BY119" s="518"/>
      <c r="BZ119" s="518"/>
      <c r="CA119" s="518"/>
      <c r="CB119" s="518"/>
      <c r="CC119" s="518"/>
      <c r="CD119" s="518"/>
      <c r="CE119" s="518"/>
    </row>
    <row r="120" spans="1:83" s="1962" customFormat="1" ht="15" hidden="1" customHeight="1">
      <c r="A120" s="516"/>
      <c r="B120"/>
      <c r="C120"/>
      <c r="D120" s="3622"/>
      <c r="E120" s="3618" t="s">
        <v>829</v>
      </c>
      <c r="F120" s="3619"/>
      <c r="G120" s="3620"/>
      <c r="H120" s="3614" t="str">
        <f>IF(A119="","",INDEX(DIFFERENTIATION_UNMERGE_AREA,MATCH(A119,DIFFERENTIATION_ID_DIFF,0)))</f>
        <v/>
      </c>
      <c r="I120" s="3614"/>
      <c r="J120" s="3614"/>
      <c r="K120" s="3614"/>
      <c r="L120" s="3614"/>
      <c r="M120" s="3614"/>
      <c r="N120" s="3614"/>
      <c r="O120" s="3614"/>
      <c r="P120" s="3614"/>
      <c r="Q120" s="3614"/>
      <c r="R120" s="3614"/>
      <c r="S120" s="609"/>
      <c r="T120" s="606"/>
      <c r="U120" s="517"/>
      <c r="V120" s="517"/>
      <c r="W120" s="518"/>
      <c r="X120" s="518"/>
      <c r="Y120" s="518"/>
      <c r="Z120" s="518"/>
      <c r="AA120" s="519"/>
      <c r="AB120" s="520"/>
      <c r="AC120" s="3617"/>
      <c r="AD120" s="521"/>
      <c r="AE120" s="522"/>
      <c r="AF120" s="522"/>
      <c r="AG120" s="523"/>
      <c r="AH120" s="524"/>
      <c r="AI120" s="517"/>
      <c r="AJ120" s="517"/>
      <c r="AK120" s="517"/>
      <c r="AL120" s="517"/>
      <c r="AM120" s="517"/>
      <c r="AN120" s="517"/>
      <c r="AO120" s="517"/>
      <c r="AP120" s="517"/>
      <c r="AQ120" s="517"/>
      <c r="AR120" s="517"/>
      <c r="AS120" s="517"/>
      <c r="AT120" s="517"/>
      <c r="AU120" s="517"/>
      <c r="AV120" s="517"/>
      <c r="AW120" s="517"/>
      <c r="AX120" s="517"/>
      <c r="AY120" s="517"/>
      <c r="AZ120" s="517"/>
      <c r="BA120" s="517"/>
      <c r="BB120" s="517"/>
      <c r="BC120" s="517"/>
      <c r="BD120" s="517"/>
      <c r="BE120" s="517"/>
      <c r="BF120" s="517"/>
      <c r="BG120" s="517"/>
      <c r="BH120" s="517"/>
      <c r="BI120" s="517"/>
      <c r="BJ120" s="517"/>
      <c r="BK120" s="517"/>
      <c r="BL120" s="517"/>
      <c r="BM120" s="517"/>
      <c r="BN120" s="517"/>
      <c r="BO120" s="517"/>
      <c r="BP120" s="517"/>
      <c r="BQ120" s="517"/>
      <c r="BR120" s="517"/>
      <c r="BS120" s="517"/>
      <c r="BT120" s="517"/>
      <c r="BU120" s="517"/>
      <c r="BV120" s="518"/>
      <c r="BW120" s="518"/>
      <c r="BX120" s="518"/>
      <c r="BY120" s="518"/>
      <c r="BZ120" s="518"/>
      <c r="CA120" s="518"/>
      <c r="CB120" s="518"/>
      <c r="CC120" s="518"/>
      <c r="CD120" s="518"/>
      <c r="CE120" s="518"/>
    </row>
    <row r="121" spans="1:83" s="1962" customFormat="1" ht="15" hidden="1" customHeight="1">
      <c r="A121" s="516"/>
      <c r="B121"/>
      <c r="C121"/>
      <c r="D121" s="3622"/>
      <c r="E121" s="3618" t="s">
        <v>830</v>
      </c>
      <c r="F121" s="3619"/>
      <c r="G121" s="3620"/>
      <c r="H121" s="3614" t="str">
        <f>IF(A119="","",INDEX(DIFFERENTIATION_UNMERGE_SYSTEM,MATCH(A119,DIFFERENTIATION_ID_DIFF,0)))</f>
        <v/>
      </c>
      <c r="I121" s="3614"/>
      <c r="J121" s="3614"/>
      <c r="K121" s="3614"/>
      <c r="L121" s="3614"/>
      <c r="M121" s="3614"/>
      <c r="N121" s="3614"/>
      <c r="O121" s="3614"/>
      <c r="P121" s="3614"/>
      <c r="Q121" s="3614"/>
      <c r="R121" s="3614"/>
      <c r="S121" s="609"/>
      <c r="T121" s="606"/>
      <c r="U121" s="517"/>
      <c r="V121" s="517"/>
      <c r="W121" s="518"/>
      <c r="X121" s="518"/>
      <c r="Y121" s="518"/>
      <c r="Z121" s="518"/>
      <c r="AA121" s="519"/>
      <c r="AB121" s="520"/>
      <c r="AC121" s="3617"/>
      <c r="AD121" s="521"/>
      <c r="AE121" s="522"/>
      <c r="AF121" s="522"/>
      <c r="AG121" s="523"/>
      <c r="AH121" s="524"/>
      <c r="AI121" s="517"/>
      <c r="AJ121" s="517"/>
      <c r="AK121" s="517"/>
      <c r="AL121" s="517"/>
      <c r="AM121" s="517"/>
      <c r="AN121" s="517"/>
      <c r="AO121" s="517"/>
      <c r="AP121" s="517"/>
      <c r="AQ121" s="517"/>
      <c r="AR121" s="517"/>
      <c r="AS121" s="517"/>
      <c r="AT121" s="517"/>
      <c r="AU121" s="517"/>
      <c r="AV121" s="517"/>
      <c r="AW121" s="517"/>
      <c r="AX121" s="517"/>
      <c r="AY121" s="517"/>
      <c r="AZ121" s="517"/>
      <c r="BA121" s="517"/>
      <c r="BB121" s="517"/>
      <c r="BC121" s="517"/>
      <c r="BD121" s="517"/>
      <c r="BE121" s="517"/>
      <c r="BF121" s="517"/>
      <c r="BG121" s="517"/>
      <c r="BH121" s="517"/>
      <c r="BI121" s="517"/>
      <c r="BJ121" s="517"/>
      <c r="BK121" s="517"/>
      <c r="BL121" s="517"/>
      <c r="BM121" s="517"/>
      <c r="BN121" s="517"/>
      <c r="BO121" s="517"/>
      <c r="BP121" s="517"/>
      <c r="BQ121" s="517"/>
      <c r="BR121" s="517"/>
      <c r="BS121" s="517"/>
      <c r="BT121" s="517"/>
      <c r="BU121" s="517"/>
      <c r="BV121" s="518"/>
      <c r="BW121" s="518"/>
      <c r="BX121" s="518"/>
      <c r="BY121" s="518"/>
      <c r="BZ121" s="518"/>
      <c r="CA121" s="518"/>
      <c r="CB121" s="518"/>
      <c r="CC121" s="518"/>
      <c r="CD121" s="518"/>
      <c r="CE121" s="518"/>
    </row>
    <row r="122" spans="1:83" s="1962" customFormat="1" ht="24.75" hidden="1" customHeight="1">
      <c r="A122" s="1649"/>
      <c r="B122" s="1023"/>
      <c r="C122" s="319"/>
      <c r="D122" s="3622"/>
      <c r="E122" s="3616" t="s">
        <v>875</v>
      </c>
      <c r="F122" s="3616"/>
      <c r="G122" s="3616"/>
      <c r="H122" s="3616"/>
      <c r="I122" s="3616"/>
      <c r="J122" s="3616"/>
      <c r="K122" s="3616"/>
      <c r="L122" s="3616"/>
      <c r="M122" s="3616"/>
      <c r="N122" s="3616"/>
      <c r="O122" s="3616"/>
      <c r="P122" s="3616"/>
      <c r="Q122" s="455">
        <f>SUMIF(T123:T124,"i",Q123:Q124)</f>
        <v>0</v>
      </c>
      <c r="R122" s="887"/>
      <c r="S122" s="1641" t="s">
        <v>876</v>
      </c>
      <c r="T122" s="607" t="s">
        <v>877</v>
      </c>
      <c r="U122" s="3532">
        <v>1</v>
      </c>
      <c r="V122" s="3532" t="s">
        <v>840</v>
      </c>
      <c r="W122" s="1023"/>
      <c r="X122" s="1023"/>
      <c r="Y122" s="1023"/>
      <c r="Z122" s="1023"/>
      <c r="AA122" s="1481"/>
      <c r="AB122" s="1023"/>
      <c r="AC122" s="3617"/>
      <c r="AD122" s="521"/>
      <c r="AE122" s="1023"/>
      <c r="AF122" s="1023"/>
      <c r="AG122" s="1481"/>
      <c r="AH122" s="1481"/>
      <c r="AI122" s="1481"/>
      <c r="AJ122" s="1481"/>
      <c r="AK122" s="1481"/>
      <c r="AL122" s="1481"/>
      <c r="AM122" s="1481"/>
      <c r="AN122" s="1481"/>
      <c r="AO122" s="1481"/>
      <c r="AP122" s="1481"/>
      <c r="AQ122" s="1481"/>
      <c r="AR122" s="1481"/>
      <c r="AS122" s="1481"/>
      <c r="AT122" s="1481"/>
      <c r="AU122" s="1481"/>
      <c r="AV122" s="1481"/>
      <c r="AW122" s="1481"/>
      <c r="AX122" s="1481"/>
      <c r="AY122" s="1481"/>
      <c r="AZ122" s="1481"/>
      <c r="BA122" s="1481"/>
      <c r="BB122" s="1481"/>
      <c r="BC122" s="1481"/>
      <c r="BD122" s="1481"/>
      <c r="BE122" s="1481"/>
      <c r="BF122" s="1481"/>
      <c r="BG122" s="1481"/>
      <c r="BH122" s="1481"/>
      <c r="BI122" s="1481"/>
      <c r="BJ122" s="1481"/>
      <c r="BK122" s="1481"/>
      <c r="BL122" s="1481"/>
      <c r="BM122" s="1481"/>
      <c r="BN122" s="1481"/>
      <c r="BO122" s="1481"/>
      <c r="BP122" s="1481"/>
      <c r="BQ122" s="1481"/>
      <c r="BR122" s="1481"/>
      <c r="BS122" s="1481"/>
      <c r="BT122" s="1481"/>
      <c r="BU122" s="1481"/>
      <c r="BV122" s="1023"/>
      <c r="BW122" s="1023"/>
      <c r="BX122" s="1023"/>
      <c r="BY122" s="1023"/>
      <c r="BZ122" s="1023"/>
      <c r="CA122" s="1023"/>
      <c r="CB122" s="1023"/>
      <c r="CC122" s="1023"/>
      <c r="CD122" s="1023"/>
      <c r="CE122" s="1023"/>
    </row>
    <row r="123" spans="1:83" s="1962" customFormat="1" ht="11.25" hidden="1" customHeight="1">
      <c r="A123" s="1636"/>
      <c r="B123" s="1481"/>
      <c r="C123" s="1481"/>
      <c r="D123" s="3622"/>
      <c r="E123" s="527"/>
      <c r="F123" s="527">
        <v>0</v>
      </c>
      <c r="G123" s="527"/>
      <c r="H123" s="527"/>
      <c r="I123" s="527"/>
      <c r="J123" s="527"/>
      <c r="K123" s="527"/>
      <c r="L123" s="527"/>
      <c r="M123" s="527"/>
      <c r="N123" s="527"/>
      <c r="O123" s="527"/>
      <c r="P123" s="527"/>
      <c r="Q123" s="527"/>
      <c r="R123" s="527"/>
      <c r="S123" s="528"/>
      <c r="T123" s="608"/>
      <c r="U123" s="3532"/>
      <c r="V123" s="3532"/>
      <c r="W123" s="1481"/>
      <c r="X123" s="1481"/>
      <c r="Y123" s="1481"/>
      <c r="Z123" s="1481"/>
      <c r="AA123" s="1481"/>
      <c r="AB123" s="1023"/>
      <c r="AC123" s="3617"/>
      <c r="AD123" s="521"/>
      <c r="AE123" s="1023"/>
      <c r="AF123" s="1023"/>
      <c r="AG123" s="1481"/>
      <c r="AH123" s="1481"/>
      <c r="AI123" s="1481"/>
      <c r="AJ123" s="1481"/>
      <c r="AK123" s="1481"/>
      <c r="AL123" s="1481"/>
      <c r="AM123" s="1481"/>
      <c r="AN123" s="1481"/>
      <c r="AO123" s="1481"/>
      <c r="AP123" s="1481"/>
      <c r="AQ123" s="1481"/>
      <c r="AR123" s="1481"/>
      <c r="AS123" s="1481"/>
      <c r="AT123" s="1481"/>
      <c r="AU123" s="1481"/>
      <c r="AV123" s="1481"/>
      <c r="AW123" s="1481"/>
      <c r="AX123" s="1481"/>
      <c r="AY123" s="1481"/>
      <c r="AZ123" s="1481"/>
      <c r="BA123" s="1481"/>
      <c r="BB123" s="1481"/>
      <c r="BC123" s="1481"/>
      <c r="BD123" s="1481"/>
      <c r="BE123" s="1481"/>
      <c r="BF123" s="1481"/>
      <c r="BG123" s="1481"/>
      <c r="BH123" s="1481"/>
      <c r="BI123" s="1481"/>
      <c r="BJ123" s="1481"/>
      <c r="BK123" s="1481"/>
      <c r="BL123" s="1481"/>
      <c r="BM123" s="1481"/>
      <c r="BN123" s="1481"/>
      <c r="BO123" s="1481"/>
      <c r="BP123" s="1481"/>
      <c r="BQ123" s="1481"/>
      <c r="BR123" s="1481"/>
      <c r="BS123" s="1481"/>
      <c r="BT123" s="1481"/>
      <c r="BU123" s="1481"/>
      <c r="BV123" s="1481"/>
      <c r="BW123" s="1481"/>
      <c r="BX123" s="1481"/>
      <c r="BY123" s="1481"/>
      <c r="BZ123" s="1481"/>
      <c r="CA123" s="1481"/>
      <c r="CB123" s="1481"/>
      <c r="CC123" s="1481"/>
      <c r="CD123" s="1481"/>
      <c r="CE123" s="1481"/>
    </row>
    <row r="124" spans="1:83" s="1962" customFormat="1" ht="11.25" hidden="1" customHeight="1">
      <c r="A124" s="1649"/>
      <c r="B124" s="1023"/>
      <c r="C124" s="319"/>
      <c r="D124" s="3622"/>
      <c r="E124" s="541" t="s">
        <v>18</v>
      </c>
      <c r="F124" s="1031" t="s">
        <v>18</v>
      </c>
      <c r="G124" s="1031" t="s">
        <v>880</v>
      </c>
      <c r="H124" s="543" t="s">
        <v>18</v>
      </c>
      <c r="I124" s="543"/>
      <c r="J124" s="543"/>
      <c r="K124" s="543"/>
      <c r="L124" s="543"/>
      <c r="M124" s="543"/>
      <c r="N124" s="543"/>
      <c r="O124" s="543"/>
      <c r="P124" s="543"/>
      <c r="Q124" s="543"/>
      <c r="R124" s="544"/>
      <c r="S124" s="545"/>
      <c r="T124" s="608"/>
      <c r="U124" s="3532"/>
      <c r="V124" s="3532"/>
      <c r="W124" s="1023"/>
      <c r="X124" s="1023"/>
      <c r="Y124" s="1023"/>
      <c r="Z124" s="1023"/>
      <c r="AA124" s="1481"/>
      <c r="AB124" s="1023"/>
      <c r="AC124" s="3617"/>
      <c r="AD124" s="521"/>
      <c r="AE124" s="1023"/>
      <c r="AF124" s="1023"/>
      <c r="AG124" s="1481"/>
      <c r="AH124" s="1481"/>
      <c r="AI124" s="1481"/>
      <c r="AJ124" s="1481"/>
      <c r="AK124" s="1481"/>
      <c r="AL124" s="1481"/>
      <c r="AM124" s="1481"/>
      <c r="AN124" s="1481"/>
      <c r="AO124" s="1481"/>
      <c r="AP124" s="1481"/>
      <c r="AQ124" s="1481"/>
      <c r="AR124" s="1481"/>
      <c r="AS124" s="1481"/>
      <c r="AT124" s="1481"/>
      <c r="AU124" s="1481"/>
      <c r="AV124" s="1481"/>
      <c r="AW124" s="1481"/>
      <c r="AX124" s="1481"/>
      <c r="AY124" s="1481"/>
      <c r="AZ124" s="1481"/>
      <c r="BA124" s="1481"/>
      <c r="BB124" s="1481"/>
      <c r="BC124" s="1481"/>
      <c r="BD124" s="1481"/>
      <c r="BE124" s="1481"/>
      <c r="BF124" s="1481"/>
      <c r="BG124" s="1481"/>
      <c r="BH124" s="1481"/>
      <c r="BI124" s="1481"/>
      <c r="BJ124" s="1481"/>
      <c r="BK124" s="1481"/>
      <c r="BL124" s="1481"/>
      <c r="BM124" s="1481"/>
      <c r="BN124" s="1481"/>
      <c r="BO124" s="1481"/>
      <c r="BP124" s="1481"/>
      <c r="BQ124" s="1481"/>
      <c r="BR124" s="1481"/>
      <c r="BS124" s="1481"/>
      <c r="BT124" s="1481"/>
      <c r="BU124" s="1481"/>
      <c r="BV124" s="1023"/>
      <c r="BW124" s="1023"/>
      <c r="BX124" s="1023"/>
      <c r="BY124" s="1023"/>
      <c r="BZ124" s="1023"/>
      <c r="CA124" s="1023"/>
      <c r="CB124" s="1023"/>
      <c r="CC124" s="1023"/>
      <c r="CD124" s="1023"/>
      <c r="CE124" s="1023"/>
    </row>
    <row r="125" spans="1:83" s="1956" customFormat="1" ht="5.25" hidden="1" customHeight="1">
      <c r="A125" s="1636"/>
      <c r="B125" s="1481"/>
      <c r="C125" s="1481"/>
      <c r="D125" s="3622"/>
      <c r="E125" s="909"/>
      <c r="F125" s="909"/>
      <c r="G125" s="909"/>
      <c r="H125" s="909"/>
      <c r="I125" s="909"/>
      <c r="J125" s="909"/>
      <c r="K125" s="909"/>
      <c r="L125" s="909"/>
      <c r="M125" s="909"/>
      <c r="N125" s="909"/>
      <c r="O125" s="909"/>
      <c r="P125" s="909"/>
      <c r="Q125" s="910"/>
      <c r="R125" s="911"/>
      <c r="S125" s="912"/>
      <c r="T125" s="607" t="s">
        <v>877</v>
      </c>
      <c r="U125" s="3532">
        <v>1</v>
      </c>
      <c r="V125" s="3532" t="s">
        <v>840</v>
      </c>
      <c r="W125" s="1481"/>
      <c r="X125" s="1481"/>
      <c r="Y125" s="1481"/>
      <c r="Z125" s="1481"/>
      <c r="AA125" s="1481"/>
      <c r="AB125" s="1481"/>
      <c r="AC125" s="907"/>
      <c r="AD125" s="908"/>
      <c r="AE125" s="1481"/>
      <c r="AF125" s="1481"/>
      <c r="AG125" s="1481"/>
      <c r="AH125" s="1481"/>
      <c r="AI125" s="1481"/>
      <c r="AJ125" s="1481"/>
      <c r="AK125" s="1481"/>
      <c r="AL125" s="1481"/>
      <c r="AM125" s="1481"/>
      <c r="AN125" s="1481"/>
      <c r="AO125" s="1481"/>
      <c r="AP125" s="1481"/>
      <c r="AQ125" s="1481"/>
      <c r="AR125" s="1481"/>
      <c r="AS125" s="1481"/>
      <c r="AT125" s="1481"/>
      <c r="AU125" s="1481"/>
      <c r="AV125" s="1481"/>
      <c r="AW125" s="1481"/>
      <c r="AX125" s="1481"/>
      <c r="AY125" s="1481"/>
      <c r="AZ125" s="1481"/>
      <c r="BA125" s="1481"/>
      <c r="BB125" s="1481"/>
      <c r="BC125" s="1481"/>
      <c r="BD125" s="1481"/>
      <c r="BE125" s="1481"/>
      <c r="BF125" s="1481"/>
      <c r="BG125" s="1481"/>
      <c r="BH125" s="1481"/>
      <c r="BI125" s="1481"/>
      <c r="BJ125" s="1481"/>
      <c r="BK125" s="1481"/>
      <c r="BL125" s="1481"/>
      <c r="BM125" s="1481"/>
      <c r="BN125" s="1481"/>
      <c r="BO125" s="1481"/>
      <c r="BP125" s="1481"/>
      <c r="BQ125" s="1481"/>
      <c r="BR125" s="1481"/>
      <c r="BS125" s="1481"/>
      <c r="BT125" s="1481"/>
      <c r="BU125" s="1481"/>
      <c r="BV125" s="1481"/>
      <c r="BW125" s="1481"/>
      <c r="BX125" s="1481"/>
      <c r="BY125" s="1481"/>
      <c r="BZ125" s="1481"/>
      <c r="CA125" s="1481"/>
      <c r="CB125" s="1481"/>
      <c r="CC125" s="1481"/>
      <c r="CD125" s="1481"/>
      <c r="CE125" s="1481"/>
    </row>
    <row r="126" spans="1:83" s="1956" customFormat="1" ht="5.25" hidden="1" customHeight="1">
      <c r="A126" s="1636"/>
      <c r="B126" s="1481"/>
      <c r="C126" s="1481"/>
      <c r="D126" s="3622"/>
      <c r="E126" s="527"/>
      <c r="F126" s="527"/>
      <c r="G126" s="527"/>
      <c r="H126" s="527"/>
      <c r="I126" s="527"/>
      <c r="J126" s="527"/>
      <c r="K126" s="527"/>
      <c r="L126" s="527"/>
      <c r="M126" s="527"/>
      <c r="N126" s="527"/>
      <c r="O126" s="527"/>
      <c r="P126" s="527"/>
      <c r="Q126" s="527"/>
      <c r="R126" s="527"/>
      <c r="S126" s="528"/>
      <c r="T126" s="608"/>
      <c r="U126" s="3532"/>
      <c r="V126" s="3532"/>
      <c r="W126" s="1481"/>
      <c r="X126" s="1481"/>
      <c r="Y126" s="1481"/>
      <c r="Z126" s="1481"/>
      <c r="AA126" s="1481"/>
      <c r="AB126" s="1481"/>
      <c r="AC126" s="907"/>
      <c r="AD126" s="908"/>
      <c r="AE126" s="1481"/>
      <c r="AF126" s="1481"/>
      <c r="AG126" s="1481"/>
      <c r="AH126" s="1481"/>
      <c r="AI126" s="1481"/>
      <c r="AJ126" s="1481"/>
      <c r="AK126" s="1481"/>
      <c r="AL126" s="1481"/>
      <c r="AM126" s="1481"/>
      <c r="AN126" s="1481"/>
      <c r="AO126" s="1481"/>
      <c r="AP126" s="1481"/>
      <c r="AQ126" s="1481"/>
      <c r="AR126" s="1481"/>
      <c r="AS126" s="1481"/>
      <c r="AT126" s="1481"/>
      <c r="AU126" s="1481"/>
      <c r="AV126" s="1481"/>
      <c r="AW126" s="1481"/>
      <c r="AX126" s="1481"/>
      <c r="AY126" s="1481"/>
      <c r="AZ126" s="1481"/>
      <c r="BA126" s="1481"/>
      <c r="BB126" s="1481"/>
      <c r="BC126" s="1481"/>
      <c r="BD126" s="1481"/>
      <c r="BE126" s="1481"/>
      <c r="BF126" s="1481"/>
      <c r="BG126" s="1481"/>
      <c r="BH126" s="1481"/>
      <c r="BI126" s="1481"/>
      <c r="BJ126" s="1481"/>
      <c r="BK126" s="1481"/>
      <c r="BL126" s="1481"/>
      <c r="BM126" s="1481"/>
      <c r="BN126" s="1481"/>
      <c r="BO126" s="1481"/>
      <c r="BP126" s="1481"/>
      <c r="BQ126" s="1481"/>
      <c r="BR126" s="1481"/>
      <c r="BS126" s="1481"/>
      <c r="BT126" s="1481"/>
      <c r="BU126" s="1481"/>
      <c r="BV126" s="1481"/>
      <c r="BW126" s="1481"/>
      <c r="BX126" s="1481"/>
      <c r="BY126" s="1481"/>
      <c r="BZ126" s="1481"/>
      <c r="CA126" s="1481"/>
      <c r="CB126" s="1481"/>
      <c r="CC126" s="1481"/>
      <c r="CD126" s="1481"/>
      <c r="CE126" s="1481"/>
    </row>
    <row r="127" spans="1:83" s="1956" customFormat="1" ht="5.25" hidden="1" customHeight="1">
      <c r="A127" s="1636"/>
      <c r="B127" s="1481"/>
      <c r="C127" s="1481"/>
      <c r="D127" s="3623"/>
      <c r="E127" s="913"/>
      <c r="F127" s="914"/>
      <c r="G127" s="914"/>
      <c r="H127" s="915"/>
      <c r="I127" s="915"/>
      <c r="J127" s="915"/>
      <c r="K127" s="915"/>
      <c r="L127" s="915"/>
      <c r="M127" s="915"/>
      <c r="N127" s="915"/>
      <c r="O127" s="915"/>
      <c r="P127" s="915"/>
      <c r="Q127" s="915"/>
      <c r="R127" s="818"/>
      <c r="S127" s="916"/>
      <c r="T127" s="608"/>
      <c r="U127" s="3532"/>
      <c r="V127" s="3532"/>
      <c r="W127" s="1481"/>
      <c r="X127" s="1481"/>
      <c r="Y127" s="1481"/>
      <c r="Z127" s="1481"/>
      <c r="AA127" s="1481"/>
      <c r="AB127" s="1481"/>
      <c r="AC127" s="907"/>
      <c r="AD127" s="908"/>
      <c r="AE127" s="1481"/>
      <c r="AF127" s="1481"/>
      <c r="AG127" s="1481"/>
      <c r="AH127" s="1481"/>
      <c r="AI127" s="1481"/>
      <c r="AJ127" s="1481"/>
      <c r="AK127" s="1481"/>
      <c r="AL127" s="1481"/>
      <c r="AM127" s="1481"/>
      <c r="AN127" s="1481"/>
      <c r="AO127" s="1481"/>
      <c r="AP127" s="1481"/>
      <c r="AQ127" s="1481"/>
      <c r="AR127" s="1481"/>
      <c r="AS127" s="1481"/>
      <c r="AT127" s="1481"/>
      <c r="AU127" s="1481"/>
      <c r="AV127" s="1481"/>
      <c r="AW127" s="1481"/>
      <c r="AX127" s="1481"/>
      <c r="AY127" s="1481"/>
      <c r="AZ127" s="1481"/>
      <c r="BA127" s="1481"/>
      <c r="BB127" s="1481"/>
      <c r="BC127" s="1481"/>
      <c r="BD127" s="1481"/>
      <c r="BE127" s="1481"/>
      <c r="BF127" s="1481"/>
      <c r="BG127" s="1481"/>
      <c r="BH127" s="1481"/>
      <c r="BI127" s="1481"/>
      <c r="BJ127" s="1481"/>
      <c r="BK127" s="1481"/>
      <c r="BL127" s="1481"/>
      <c r="BM127" s="1481"/>
      <c r="BN127" s="1481"/>
      <c r="BO127" s="1481"/>
      <c r="BP127" s="1481"/>
      <c r="BQ127" s="1481"/>
      <c r="BR127" s="1481"/>
      <c r="BS127" s="1481"/>
      <c r="BT127" s="1481"/>
      <c r="BU127" s="1481"/>
      <c r="BV127" s="1481"/>
      <c r="BW127" s="1481"/>
      <c r="BX127" s="1481"/>
      <c r="BY127" s="1481"/>
      <c r="BZ127" s="1481"/>
      <c r="CA127" s="1481"/>
      <c r="CB127" s="1481"/>
      <c r="CC127" s="1481"/>
      <c r="CD127" s="1481"/>
      <c r="CE127" s="1481"/>
    </row>
    <row r="128" spans="1:83" ht="17.25" customHeight="1">
      <c r="D128" s="1676"/>
    </row>
    <row r="129" spans="1:29" s="1931" customFormat="1" ht="11.25" customHeight="1">
      <c r="A129" s="1658" t="s">
        <v>2245</v>
      </c>
    </row>
    <row r="131" spans="1:29" s="1962" customFormat="1" ht="45" customHeight="1">
      <c r="A131" s="1649"/>
      <c r="B131" s="1023"/>
      <c r="C131" s="319"/>
      <c r="D131"/>
      <c r="E131" s="3740"/>
      <c r="F131" s="3413" t="s">
        <v>106</v>
      </c>
      <c r="G131" s="3743" t="s">
        <v>18</v>
      </c>
      <c r="H131" s="201"/>
      <c r="I131" s="529" t="s">
        <v>106</v>
      </c>
      <c r="J131" s="1650" t="s">
        <v>2246</v>
      </c>
      <c r="K131" s="530" t="s">
        <v>811</v>
      </c>
      <c r="L131" s="3495" t="s">
        <v>811</v>
      </c>
      <c r="M131" s="3456"/>
      <c r="N131" s="530" t="s">
        <v>811</v>
      </c>
      <c r="O131" s="530" t="s">
        <v>811</v>
      </c>
      <c r="P131" s="530" t="s">
        <v>811</v>
      </c>
      <c r="Q131" s="531">
        <f>SUM(Q132:Q134)</f>
        <v>0</v>
      </c>
      <c r="R131" s="531">
        <f>IF(R128=0,0,(Q128/R128)*100)</f>
        <v>0</v>
      </c>
      <c r="S131" s="3468"/>
      <c r="T131" s="607" t="s">
        <v>877</v>
      </c>
      <c r="U131"/>
      <c r="V131"/>
      <c r="AC131"/>
    </row>
    <row r="132" spans="1:29" s="1962" customFormat="1" ht="11.25" customHeight="1">
      <c r="A132" s="1649"/>
      <c r="B132" s="1023"/>
      <c r="C132" s="319"/>
      <c r="D132"/>
      <c r="E132" s="3741"/>
      <c r="F132" s="3413"/>
      <c r="G132" s="3743"/>
      <c r="H132" s="3401"/>
      <c r="I132" s="3675" t="s">
        <v>1294</v>
      </c>
      <c r="J132" s="3738"/>
      <c r="K132" s="3739"/>
      <c r="L132" s="532"/>
      <c r="M132" s="533" t="s">
        <v>106</v>
      </c>
      <c r="N132" s="1638"/>
      <c r="O132" s="534"/>
      <c r="P132" s="535"/>
      <c r="Q132" s="534"/>
      <c r="R132" s="536">
        <v>0</v>
      </c>
      <c r="S132" s="3468"/>
      <c r="T132" s="607"/>
      <c r="U132"/>
      <c r="V132"/>
      <c r="AC132"/>
    </row>
    <row r="133" spans="1:29" s="1962" customFormat="1" ht="11.25" customHeight="1">
      <c r="A133" s="1649"/>
      <c r="B133" s="1023"/>
      <c r="C133" s="319"/>
      <c r="D133"/>
      <c r="E133" s="3741"/>
      <c r="F133" s="3413"/>
      <c r="G133" s="3743"/>
      <c r="H133" s="3401"/>
      <c r="I133" s="3675"/>
      <c r="J133" s="3738"/>
      <c r="K133" s="3730"/>
      <c r="L133" s="537"/>
      <c r="M133" s="538"/>
      <c r="N133" s="539" t="s">
        <v>2247</v>
      </c>
      <c r="O133" s="539"/>
      <c r="P133" s="539"/>
      <c r="Q133" s="539"/>
      <c r="R133" s="540"/>
      <c r="S133" s="3468"/>
      <c r="T133" s="607"/>
      <c r="U133"/>
      <c r="V133"/>
      <c r="AC133"/>
    </row>
    <row r="134" spans="1:29" s="1962" customFormat="1" ht="11.25" customHeight="1">
      <c r="A134" s="1649"/>
      <c r="B134" s="1023"/>
      <c r="C134" s="319"/>
      <c r="D134"/>
      <c r="E134" s="3742"/>
      <c r="F134" s="3413"/>
      <c r="G134" s="3744"/>
      <c r="H134" s="537" t="s">
        <v>18</v>
      </c>
      <c r="I134" s="538"/>
      <c r="J134" s="539" t="s">
        <v>2248</v>
      </c>
      <c r="K134" s="539"/>
      <c r="L134" s="539"/>
      <c r="M134" s="539"/>
      <c r="N134" s="539"/>
      <c r="O134" s="539"/>
      <c r="P134" s="539"/>
      <c r="Q134" s="539"/>
      <c r="R134" s="540"/>
      <c r="S134" s="3468"/>
      <c r="T134" s="607"/>
      <c r="U134"/>
      <c r="V134"/>
      <c r="AC134"/>
    </row>
    <row r="139" spans="1:29" s="1962" customFormat="1" ht="11.25" customHeight="1">
      <c r="A139" s="1649"/>
      <c r="B139" s="1023"/>
      <c r="C139" s="319"/>
      <c r="D139"/>
      <c r="E139" s="1671"/>
      <c r="F139" s="1671"/>
      <c r="G139" s="1671"/>
      <c r="H139" s="3401"/>
      <c r="I139" s="3675" t="s">
        <v>1294</v>
      </c>
      <c r="J139" s="3738"/>
      <c r="K139" s="3739"/>
      <c r="L139" s="532"/>
      <c r="M139" s="533" t="s">
        <v>106</v>
      </c>
      <c r="N139" s="1638"/>
      <c r="O139" s="534"/>
      <c r="P139" s="535"/>
      <c r="Q139" s="534"/>
      <c r="R139" s="536">
        <v>0</v>
      </c>
      <c r="S139"/>
      <c r="T139" s="607"/>
      <c r="U139"/>
      <c r="V139"/>
      <c r="AC139"/>
    </row>
    <row r="140" spans="1:29" s="1962" customFormat="1" ht="11.25" customHeight="1">
      <c r="A140" s="1649"/>
      <c r="B140" s="1023"/>
      <c r="C140" s="319"/>
      <c r="D140"/>
      <c r="E140" s="1671"/>
      <c r="F140" s="1671"/>
      <c r="G140" s="1671"/>
      <c r="H140" s="3401"/>
      <c r="I140" s="3675"/>
      <c r="J140" s="3738"/>
      <c r="K140" s="3730"/>
      <c r="L140" s="537"/>
      <c r="M140" s="538"/>
      <c r="N140" s="539" t="s">
        <v>2247</v>
      </c>
      <c r="O140" s="539"/>
      <c r="P140" s="539"/>
      <c r="Q140" s="539"/>
      <c r="R140" s="540"/>
      <c r="S140"/>
      <c r="T140" s="607"/>
      <c r="U140"/>
      <c r="V140"/>
      <c r="AC140"/>
    </row>
    <row r="142" spans="1:29" s="1962" customFormat="1" ht="11.25" customHeight="1">
      <c r="A142" s="1649"/>
      <c r="B142" s="1023"/>
      <c r="C142" s="319"/>
      <c r="D142"/>
      <c r="E142" s="1677"/>
      <c r="F142"/>
      <c r="G142"/>
      <c r="H142" s="1678"/>
      <c r="I142" s="1671"/>
      <c r="J142" s="1672"/>
      <c r="K142" s="1672"/>
      <c r="L142" s="532"/>
      <c r="M142" s="533" t="s">
        <v>106</v>
      </c>
      <c r="N142" s="1638"/>
      <c r="O142" s="534"/>
      <c r="P142" s="535"/>
      <c r="Q142" s="534"/>
      <c r="R142" s="536">
        <v>0</v>
      </c>
      <c r="S142"/>
      <c r="T142" s="607"/>
      <c r="U142"/>
      <c r="V142"/>
      <c r="AC142"/>
    </row>
    <row r="144" spans="1:29" s="1931" customFormat="1" ht="17.25" customHeight="1">
      <c r="A144" s="1658" t="s">
        <v>2249</v>
      </c>
    </row>
    <row r="145" spans="1:43" ht="17.25" customHeight="1">
      <c r="G145" s="1679"/>
      <c r="H145" s="1679"/>
      <c r="I145" s="1679"/>
      <c r="M145"/>
    </row>
    <row r="146" spans="1:43" s="1944" customFormat="1" ht="17.25" customHeight="1">
      <c r="A146" s="1680"/>
      <c r="C146" s="1682"/>
      <c r="D146" s="3727"/>
      <c r="E146" s="3427"/>
      <c r="F146" s="3429"/>
      <c r="G146" s="3731"/>
      <c r="H146" s="3727"/>
      <c r="I146" s="3727">
        <v>1</v>
      </c>
      <c r="J146" s="3747"/>
      <c r="K146" s="3471" t="s">
        <v>64</v>
      </c>
      <c r="L146" s="3413"/>
      <c r="M146" s="3413" t="s">
        <v>106</v>
      </c>
      <c r="N146" s="3745" t="str">
        <f>IF(Z146="","",INDEX(TERRITORY_MR_LIST,MATCH(Z146,TERRITORY_LIST_ID,0)))</f>
        <v/>
      </c>
      <c r="O146" s="3471" t="s">
        <v>64</v>
      </c>
      <c r="P146" s="3413"/>
      <c r="Q146" s="3413" t="s">
        <v>106</v>
      </c>
      <c r="R146" s="3730" t="s">
        <v>18</v>
      </c>
      <c r="S146" s="3412" t="s">
        <v>64</v>
      </c>
      <c r="T146" s="1654"/>
      <c r="U146" s="1654" t="s">
        <v>106</v>
      </c>
      <c r="V146" s="1683" t="s">
        <v>18</v>
      </c>
      <c r="W146" s="1644"/>
      <c r="Y146" s="1133"/>
      <c r="Z146" s="1133"/>
      <c r="AA146" s="1133"/>
      <c r="AB146" s="1133"/>
      <c r="AC146" s="1133"/>
      <c r="AD146" s="1133"/>
      <c r="AE146" s="1133"/>
      <c r="AF146" s="1133"/>
      <c r="AG146" s="1133"/>
      <c r="AH146" s="1133"/>
      <c r="AI146" s="1133"/>
      <c r="AJ146" s="1133"/>
      <c r="AK146" s="1133"/>
      <c r="AL146" s="1684"/>
      <c r="AM146" s="1684"/>
      <c r="AN146" s="1133"/>
      <c r="AO146" s="1133"/>
      <c r="AP146" s="1133"/>
      <c r="AQ146" s="1133"/>
    </row>
    <row r="147" spans="1:43" s="1944" customFormat="1" ht="17.25" customHeight="1">
      <c r="A147" s="1680"/>
      <c r="C147" s="1685"/>
      <c r="D147" s="3727"/>
      <c r="E147" s="3427"/>
      <c r="F147" s="3430"/>
      <c r="G147" s="3731"/>
      <c r="H147" s="3727"/>
      <c r="I147" s="3727"/>
      <c r="J147" s="3747"/>
      <c r="K147" s="3472"/>
      <c r="L147" s="3413"/>
      <c r="M147" s="3413"/>
      <c r="N147" s="3745"/>
      <c r="O147" s="3472"/>
      <c r="P147" s="3413"/>
      <c r="Q147" s="3413"/>
      <c r="R147" s="3730"/>
      <c r="S147" s="3412"/>
      <c r="T147" s="228"/>
      <c r="U147" s="229"/>
      <c r="V147" s="229" t="s">
        <v>676</v>
      </c>
      <c r="W147" s="230"/>
      <c r="Y147" s="1126"/>
      <c r="Z147" s="1126"/>
      <c r="AA147" s="1126"/>
      <c r="AB147" s="1126"/>
      <c r="AC147" s="1126"/>
      <c r="AD147" s="1126"/>
      <c r="AE147" s="1126"/>
      <c r="AF147" s="1126"/>
      <c r="AG147" s="1126"/>
      <c r="AH147" s="1126"/>
      <c r="AI147" s="1126"/>
      <c r="AJ147" s="1126"/>
      <c r="AK147" s="1126"/>
    </row>
    <row r="148" spans="1:43" s="1944" customFormat="1" ht="17.25" customHeight="1">
      <c r="A148" s="1680"/>
      <c r="C148" s="1685"/>
      <c r="D148" s="3410"/>
      <c r="E148" s="3428"/>
      <c r="F148" s="3430"/>
      <c r="G148" s="3732"/>
      <c r="H148" s="3410"/>
      <c r="I148" s="3410"/>
      <c r="J148" s="3748"/>
      <c r="K148" s="3472"/>
      <c r="L148" s="3410"/>
      <c r="M148" s="3410"/>
      <c r="N148" s="3746"/>
      <c r="O148" s="3417"/>
      <c r="P148" s="228"/>
      <c r="Q148" s="229"/>
      <c r="R148" s="229" t="s">
        <v>677</v>
      </c>
      <c r="S148" s="1686"/>
      <c r="T148" s="1686"/>
      <c r="U148" s="1686"/>
      <c r="V148" s="1686"/>
      <c r="W148" s="230"/>
      <c r="Y148" s="1126"/>
      <c r="Z148" s="1126"/>
      <c r="AA148" s="1126"/>
      <c r="AB148" s="1126"/>
      <c r="AC148" s="1126"/>
      <c r="AD148" s="1126"/>
      <c r="AE148" s="1126"/>
      <c r="AF148" s="1126"/>
      <c r="AG148" s="1126"/>
      <c r="AH148" s="1126"/>
      <c r="AI148" s="1126"/>
      <c r="AJ148" s="1126"/>
      <c r="AK148" s="1126"/>
    </row>
    <row r="149" spans="1:43" s="1944" customFormat="1" ht="17.25" customHeight="1">
      <c r="A149" s="1680"/>
      <c r="C149" s="1685"/>
      <c r="D149" s="3410"/>
      <c r="E149" s="3428"/>
      <c r="F149" s="3430"/>
      <c r="G149" s="3732"/>
      <c r="H149" s="3410"/>
      <c r="I149" s="3410"/>
      <c r="J149" s="3748"/>
      <c r="K149" s="3417"/>
      <c r="L149" s="228"/>
      <c r="M149" s="229"/>
      <c r="N149" s="229" t="s">
        <v>678</v>
      </c>
      <c r="O149" s="229"/>
      <c r="P149" s="229"/>
      <c r="Q149" s="229"/>
      <c r="R149" s="229"/>
      <c r="S149" s="1686"/>
      <c r="T149" s="1686"/>
      <c r="U149" s="1686"/>
      <c r="V149" s="1686"/>
      <c r="W149" s="230"/>
      <c r="Y149" s="1126"/>
      <c r="Z149" s="1126"/>
      <c r="AA149" s="1126"/>
      <c r="AB149" s="1126"/>
      <c r="AC149" s="1126"/>
      <c r="AD149" s="1126"/>
      <c r="AE149" s="1126"/>
      <c r="AF149" s="1126"/>
      <c r="AG149" s="1126"/>
      <c r="AH149" s="1126"/>
      <c r="AI149" s="1126"/>
      <c r="AJ149" s="1126"/>
      <c r="AK149" s="1126"/>
    </row>
    <row r="150" spans="1:43" s="1944" customFormat="1" ht="17.25" customHeight="1">
      <c r="A150" s="1680"/>
      <c r="C150" s="1685"/>
      <c r="D150" s="3410"/>
      <c r="E150" s="3428"/>
      <c r="F150" s="3431"/>
      <c r="G150" s="3732"/>
      <c r="H150" s="228"/>
      <c r="I150" s="229"/>
      <c r="J150" s="229" t="s">
        <v>710</v>
      </c>
      <c r="K150" s="229"/>
      <c r="L150" s="229"/>
      <c r="M150" s="229"/>
      <c r="N150" s="229"/>
      <c r="O150" s="229"/>
      <c r="P150" s="229"/>
      <c r="Q150" s="229"/>
      <c r="R150" s="229"/>
      <c r="S150" s="1686"/>
      <c r="T150" s="1686"/>
      <c r="U150" s="1686"/>
      <c r="V150" s="1686"/>
      <c r="W150" s="230"/>
      <c r="Y150" s="1126"/>
      <c r="Z150" s="1126"/>
      <c r="AA150" s="1126"/>
      <c r="AB150" s="1126"/>
      <c r="AC150" s="1126"/>
      <c r="AD150" s="1126"/>
      <c r="AE150" s="1126"/>
      <c r="AF150" s="1126"/>
      <c r="AG150" s="1126"/>
      <c r="AH150" s="1126"/>
      <c r="AI150" s="1126"/>
      <c r="AJ150" s="1126"/>
      <c r="AK150" s="1126"/>
    </row>
    <row r="151" spans="1:43" ht="17.25" customHeight="1">
      <c r="G151" s="1679"/>
      <c r="H151" s="1679"/>
      <c r="I151" s="1679"/>
      <c r="M151"/>
    </row>
    <row r="152" spans="1:43" s="1944" customFormat="1" ht="17.25" customHeight="1">
      <c r="A152" s="1680"/>
      <c r="C152" s="1682"/>
      <c r="D152" s="1671"/>
      <c r="E152" s="1687"/>
      <c r="F152" s="1627"/>
      <c r="G152" s="1688"/>
      <c r="H152" s="3727"/>
      <c r="I152" s="3727">
        <v>1</v>
      </c>
      <c r="J152" s="3747"/>
      <c r="K152" s="3471" t="s">
        <v>64</v>
      </c>
      <c r="L152" s="3413"/>
      <c r="M152" s="3413" t="s">
        <v>106</v>
      </c>
      <c r="N152" s="3745" t="str">
        <f>IF(Z152="","",INDEX(TERRITORY_MR_LIST,MATCH(Z152,TERRITORY_LIST_ID,0)))</f>
        <v/>
      </c>
      <c r="O152" s="3471" t="s">
        <v>64</v>
      </c>
      <c r="P152" s="3413"/>
      <c r="Q152" s="3413" t="s">
        <v>106</v>
      </c>
      <c r="R152" s="3730" t="s">
        <v>18</v>
      </c>
      <c r="S152" s="3412" t="s">
        <v>64</v>
      </c>
      <c r="T152" s="1654"/>
      <c r="U152" s="1654" t="s">
        <v>106</v>
      </c>
      <c r="V152" s="1683" t="s">
        <v>18</v>
      </c>
      <c r="W152" s="1644"/>
      <c r="Y152" s="1133"/>
      <c r="Z152" s="1133"/>
      <c r="AA152" s="1133"/>
      <c r="AB152" s="1133"/>
      <c r="AC152" s="1133"/>
      <c r="AD152" s="1133"/>
      <c r="AE152" s="1133"/>
      <c r="AF152" s="1133"/>
      <c r="AG152" s="1133"/>
      <c r="AH152" s="1133"/>
      <c r="AI152" s="1133"/>
      <c r="AJ152" s="1133"/>
      <c r="AK152" s="1133"/>
      <c r="AL152" s="1684"/>
      <c r="AM152" s="1684"/>
      <c r="AN152" s="1133"/>
      <c r="AO152" s="1133"/>
      <c r="AP152" s="1133"/>
      <c r="AQ152" s="1133"/>
    </row>
    <row r="153" spans="1:43" s="1944" customFormat="1" ht="17.25" customHeight="1">
      <c r="A153" s="1680"/>
      <c r="C153" s="1685"/>
      <c r="D153" s="1671"/>
      <c r="E153" s="1687"/>
      <c r="F153" s="1627"/>
      <c r="G153" s="1688"/>
      <c r="H153" s="3727"/>
      <c r="I153" s="3727"/>
      <c r="J153" s="3747"/>
      <c r="K153" s="3472"/>
      <c r="L153" s="3413"/>
      <c r="M153" s="3413"/>
      <c r="N153" s="3745"/>
      <c r="O153" s="3472"/>
      <c r="P153" s="3413"/>
      <c r="Q153" s="3413"/>
      <c r="R153" s="3730"/>
      <c r="S153" s="3412"/>
      <c r="T153" s="228"/>
      <c r="U153" s="229"/>
      <c r="V153" s="229" t="s">
        <v>676</v>
      </c>
      <c r="W153" s="230"/>
      <c r="Y153" s="1126"/>
      <c r="Z153" s="1126"/>
      <c r="AA153" s="1126"/>
      <c r="AB153" s="1126"/>
      <c r="AC153" s="1126"/>
      <c r="AD153" s="1126"/>
      <c r="AE153" s="1126"/>
      <c r="AF153" s="1126"/>
      <c r="AG153" s="1126"/>
      <c r="AH153" s="1126"/>
      <c r="AI153" s="1126"/>
      <c r="AJ153" s="1126"/>
      <c r="AK153" s="1126"/>
    </row>
    <row r="154" spans="1:43" s="1944" customFormat="1" ht="17.25" customHeight="1">
      <c r="A154" s="1680"/>
      <c r="C154" s="1685"/>
      <c r="D154" s="1671"/>
      <c r="E154" s="1687"/>
      <c r="F154" s="1627"/>
      <c r="G154" s="1688"/>
      <c r="H154" s="3410"/>
      <c r="I154" s="3410"/>
      <c r="J154" s="3748"/>
      <c r="K154" s="3472"/>
      <c r="L154" s="3410"/>
      <c r="M154" s="3410"/>
      <c r="N154" s="3746"/>
      <c r="O154" s="3417"/>
      <c r="P154" s="228"/>
      <c r="Q154" s="229"/>
      <c r="R154" s="229" t="s">
        <v>677</v>
      </c>
      <c r="S154" s="1686"/>
      <c r="T154" s="1686"/>
      <c r="U154" s="1686"/>
      <c r="V154" s="1686"/>
      <c r="W154" s="230"/>
      <c r="Y154" s="1126"/>
      <c r="Z154" s="1126"/>
      <c r="AA154" s="1126"/>
      <c r="AB154" s="1126"/>
      <c r="AC154" s="1126"/>
      <c r="AD154" s="1126"/>
      <c r="AE154" s="1126"/>
      <c r="AF154" s="1126"/>
      <c r="AG154" s="1126"/>
      <c r="AH154" s="1126"/>
      <c r="AI154" s="1126"/>
      <c r="AJ154" s="1126"/>
      <c r="AK154" s="1126"/>
    </row>
    <row r="155" spans="1:43" s="1944" customFormat="1" ht="17.25" customHeight="1">
      <c r="A155" s="1680"/>
      <c r="C155" s="1685"/>
      <c r="D155" s="1671"/>
      <c r="E155" s="1687"/>
      <c r="F155" s="1627"/>
      <c r="G155" s="1688"/>
      <c r="H155" s="3410"/>
      <c r="I155" s="3410"/>
      <c r="J155" s="3748"/>
      <c r="K155" s="3417"/>
      <c r="L155" s="228"/>
      <c r="M155" s="229"/>
      <c r="N155" s="229" t="s">
        <v>678</v>
      </c>
      <c r="O155" s="229"/>
      <c r="P155" s="229"/>
      <c r="Q155" s="229"/>
      <c r="R155" s="229"/>
      <c r="S155" s="1686"/>
      <c r="T155" s="1686"/>
      <c r="U155" s="1686"/>
      <c r="V155" s="1686"/>
      <c r="W155" s="230"/>
      <c r="Y155" s="1126"/>
      <c r="Z155" s="1126"/>
      <c r="AA155" s="1126"/>
      <c r="AB155" s="1126"/>
      <c r="AC155" s="1126"/>
      <c r="AD155" s="1126"/>
      <c r="AE155" s="1126"/>
      <c r="AF155" s="1126"/>
      <c r="AG155" s="1126"/>
      <c r="AH155" s="1126"/>
      <c r="AI155" s="1126"/>
      <c r="AJ155" s="1126"/>
      <c r="AK155" s="1126"/>
    </row>
    <row r="156" spans="1:43" ht="17.25" customHeight="1">
      <c r="G156" s="1679"/>
      <c r="H156" s="1679"/>
      <c r="I156" s="1679"/>
      <c r="M156"/>
    </row>
    <row r="157" spans="1:43" s="1944" customFormat="1" ht="17.25" customHeight="1">
      <c r="A157" s="1680"/>
      <c r="C157" s="1682"/>
      <c r="D157" s="1671"/>
      <c r="E157" s="1687"/>
      <c r="F157" s="1627"/>
      <c r="G157" s="1688"/>
      <c r="H157" s="1671"/>
      <c r="I157" s="1671"/>
      <c r="J157" s="1689"/>
      <c r="K157" s="1603"/>
      <c r="L157" s="3413"/>
      <c r="M157" s="3413" t="s">
        <v>106</v>
      </c>
      <c r="N157" s="3745" t="str">
        <f>IF(Z157="","",INDEX(TERRITORY_MR_LIST,MATCH(Z157,TERRITORY_LIST_ID,0)))</f>
        <v/>
      </c>
      <c r="O157" s="3471" t="s">
        <v>64</v>
      </c>
      <c r="P157" s="3413"/>
      <c r="Q157" s="3413" t="s">
        <v>106</v>
      </c>
      <c r="R157" s="3730" t="s">
        <v>18</v>
      </c>
      <c r="S157" s="3412" t="s">
        <v>64</v>
      </c>
      <c r="T157" s="1654"/>
      <c r="U157" s="1654" t="s">
        <v>106</v>
      </c>
      <c r="V157" s="1683" t="s">
        <v>18</v>
      </c>
      <c r="W157" s="1644"/>
      <c r="Y157" s="1133"/>
      <c r="Z157" s="1133"/>
      <c r="AA157" s="1133"/>
      <c r="AB157" s="1133"/>
      <c r="AC157" s="1133"/>
      <c r="AD157" s="1133"/>
      <c r="AE157" s="1133"/>
      <c r="AF157" s="1133"/>
      <c r="AG157" s="1133"/>
      <c r="AH157" s="1133"/>
      <c r="AI157" s="1133"/>
      <c r="AJ157" s="1133"/>
      <c r="AK157" s="1133"/>
      <c r="AL157" s="1684"/>
      <c r="AM157" s="1684"/>
      <c r="AN157" s="1133"/>
      <c r="AO157" s="1133"/>
      <c r="AP157" s="1133"/>
      <c r="AQ157" s="1133"/>
    </row>
    <row r="158" spans="1:43" s="1944" customFormat="1" ht="17.25" customHeight="1">
      <c r="A158" s="1680"/>
      <c r="C158" s="1685"/>
      <c r="D158" s="1671"/>
      <c r="E158" s="1687"/>
      <c r="F158" s="1627"/>
      <c r="G158" s="1688"/>
      <c r="H158" s="1671"/>
      <c r="I158" s="1671"/>
      <c r="J158" s="1689"/>
      <c r="K158" s="1603"/>
      <c r="L158" s="3413"/>
      <c r="M158" s="3413"/>
      <c r="N158" s="3745"/>
      <c r="O158" s="3472"/>
      <c r="P158" s="3413"/>
      <c r="Q158" s="3413"/>
      <c r="R158" s="3730"/>
      <c r="S158" s="3412"/>
      <c r="T158" s="228"/>
      <c r="U158" s="229"/>
      <c r="V158" s="229" t="s">
        <v>676</v>
      </c>
      <c r="W158" s="230"/>
      <c r="Y158" s="1126"/>
      <c r="Z158" s="1126"/>
      <c r="AA158" s="1126"/>
      <c r="AB158" s="1126"/>
      <c r="AC158" s="1126"/>
      <c r="AD158" s="1126"/>
      <c r="AE158" s="1126"/>
      <c r="AF158" s="1126"/>
      <c r="AG158" s="1126"/>
      <c r="AH158" s="1126"/>
      <c r="AI158" s="1126"/>
      <c r="AJ158" s="1126"/>
      <c r="AK158" s="1126"/>
    </row>
    <row r="159" spans="1:43" s="1944" customFormat="1" ht="17.25" customHeight="1">
      <c r="A159" s="1680"/>
      <c r="C159" s="1685"/>
      <c r="D159" s="1671"/>
      <c r="E159" s="1687"/>
      <c r="F159" s="1627"/>
      <c r="G159" s="1688"/>
      <c r="H159" s="1671"/>
      <c r="I159" s="1671"/>
      <c r="J159" s="1689"/>
      <c r="K159" s="1603"/>
      <c r="L159" s="3410"/>
      <c r="M159" s="3410"/>
      <c r="N159" s="3746"/>
      <c r="O159" s="3417"/>
      <c r="P159" s="228"/>
      <c r="Q159" s="229"/>
      <c r="R159" s="229" t="s">
        <v>677</v>
      </c>
      <c r="S159" s="1686"/>
      <c r="T159" s="1686"/>
      <c r="U159" s="1686"/>
      <c r="V159" s="1686"/>
      <c r="W159" s="230"/>
      <c r="Y159" s="1126"/>
      <c r="Z159" s="1126"/>
      <c r="AA159" s="1126"/>
      <c r="AB159" s="1126"/>
      <c r="AC159" s="1126"/>
      <c r="AD159" s="1126"/>
      <c r="AE159" s="1126"/>
      <c r="AF159" s="1126"/>
      <c r="AG159" s="1126"/>
      <c r="AH159" s="1126"/>
      <c r="AI159" s="1126"/>
      <c r="AJ159" s="1126"/>
      <c r="AK159" s="1126"/>
    </row>
    <row r="160" spans="1:43" ht="17.25" customHeight="1">
      <c r="G160" s="1679"/>
      <c r="H160" s="1679"/>
      <c r="I160" s="1679"/>
      <c r="M160"/>
    </row>
    <row r="161" spans="1:43" s="1944" customFormat="1" ht="17.25" customHeight="1">
      <c r="A161" s="1680"/>
      <c r="C161" s="1682"/>
      <c r="D161" s="1671"/>
      <c r="E161" s="1687"/>
      <c r="F161" s="1627"/>
      <c r="G161" s="1688"/>
      <c r="H161" s="1671"/>
      <c r="I161" s="1671"/>
      <c r="J161" s="1689"/>
      <c r="K161" s="1603"/>
      <c r="L161" s="1599"/>
      <c r="M161" s="1599"/>
      <c r="N161" s="1690"/>
      <c r="O161" s="1630"/>
      <c r="P161" s="3413"/>
      <c r="Q161" s="3413" t="s">
        <v>106</v>
      </c>
      <c r="R161" s="3730" t="s">
        <v>18</v>
      </c>
      <c r="S161" s="3412" t="s">
        <v>64</v>
      </c>
      <c r="T161" s="1654"/>
      <c r="U161" s="1654" t="s">
        <v>106</v>
      </c>
      <c r="V161" s="1683" t="s">
        <v>18</v>
      </c>
      <c r="W161" s="1644"/>
      <c r="Y161" s="1133"/>
      <c r="Z161" s="1133"/>
      <c r="AA161" s="1133"/>
      <c r="AB161" s="1133"/>
      <c r="AC161" s="1133"/>
      <c r="AD161" s="1133"/>
      <c r="AE161" s="1133"/>
      <c r="AF161" s="1133"/>
      <c r="AG161" s="1133"/>
      <c r="AH161" s="1133"/>
      <c r="AI161" s="1133"/>
      <c r="AJ161" s="1133"/>
      <c r="AK161" s="1133"/>
      <c r="AL161" s="1684"/>
      <c r="AM161" s="1684"/>
      <c r="AN161" s="1133"/>
      <c r="AO161" s="1133"/>
      <c r="AP161" s="1133"/>
      <c r="AQ161" s="1133"/>
    </row>
    <row r="162" spans="1:43" s="1944" customFormat="1" ht="17.25" customHeight="1">
      <c r="A162" s="1680"/>
      <c r="C162" s="1685"/>
      <c r="D162" s="1671"/>
      <c r="E162" s="1687"/>
      <c r="F162" s="1627"/>
      <c r="G162" s="1688"/>
      <c r="H162" s="1671"/>
      <c r="I162" s="1671"/>
      <c r="J162" s="1689"/>
      <c r="K162" s="1603"/>
      <c r="L162" s="1599"/>
      <c r="M162" s="1599"/>
      <c r="N162" s="1690"/>
      <c r="O162" s="1630"/>
      <c r="P162" s="3413"/>
      <c r="Q162" s="3413"/>
      <c r="R162" s="3730"/>
      <c r="S162" s="3412"/>
      <c r="T162" s="228"/>
      <c r="U162" s="229"/>
      <c r="V162" s="229" t="s">
        <v>676</v>
      </c>
      <c r="W162" s="230"/>
      <c r="Y162" s="1126"/>
      <c r="Z162" s="1126"/>
      <c r="AA162" s="1126"/>
      <c r="AB162" s="1126"/>
      <c r="AC162" s="1126"/>
      <c r="AD162" s="1126"/>
      <c r="AE162" s="1126"/>
      <c r="AF162" s="1126"/>
      <c r="AG162" s="1126"/>
      <c r="AH162" s="1126"/>
      <c r="AI162" s="1126"/>
      <c r="AJ162" s="1126"/>
      <c r="AK162" s="1126"/>
    </row>
    <row r="163" spans="1:43" ht="17.25" customHeight="1">
      <c r="G163" s="1679"/>
      <c r="H163" s="1679"/>
      <c r="I163" s="1679"/>
      <c r="M163"/>
    </row>
    <row r="164" spans="1:43" s="1944" customFormat="1" ht="17.25" customHeight="1">
      <c r="A164" s="1680"/>
      <c r="C164" s="1682"/>
      <c r="D164" s="1671"/>
      <c r="E164" s="1687"/>
      <c r="F164" s="1627"/>
      <c r="G164" s="1688"/>
      <c r="H164" s="1599"/>
      <c r="I164" s="1599"/>
      <c r="J164" s="1600"/>
      <c r="K164" s="1688"/>
      <c r="L164" s="1599"/>
      <c r="M164" s="1599"/>
      <c r="N164" s="1688"/>
      <c r="O164" s="1688"/>
      <c r="P164" s="1599"/>
      <c r="Q164" s="1599"/>
      <c r="R164" s="1601"/>
      <c r="S164" s="1688"/>
      <c r="T164" s="1654"/>
      <c r="U164" s="1654" t="s">
        <v>106</v>
      </c>
      <c r="V164" s="1683" t="s">
        <v>18</v>
      </c>
      <c r="W164" s="1644"/>
      <c r="Y164" s="1133"/>
      <c r="Z164" s="1133"/>
      <c r="AA164" s="1133"/>
      <c r="AB164" s="1133"/>
      <c r="AC164" s="1133"/>
      <c r="AD164" s="1133"/>
      <c r="AE164" s="1133"/>
      <c r="AF164" s="1133"/>
      <c r="AG164" s="1133"/>
      <c r="AH164" s="1133"/>
      <c r="AI164" s="1133"/>
      <c r="AJ164" s="1133"/>
      <c r="AK164" s="1133"/>
      <c r="AL164" s="1684"/>
      <c r="AM164" s="1684"/>
      <c r="AN164" s="1133"/>
      <c r="AO164" s="1133"/>
      <c r="AP164" s="1133"/>
      <c r="AQ164" s="1133"/>
    </row>
    <row r="166" spans="1:43" s="1931" customFormat="1" ht="17.25" customHeight="1">
      <c r="A166" s="1658" t="s">
        <v>2250</v>
      </c>
    </row>
    <row r="167" spans="1:43" ht="17.25" customHeight="1">
      <c r="G167" s="1679"/>
      <c r="H167" s="1679"/>
      <c r="I167" s="1679"/>
      <c r="M167"/>
    </row>
    <row r="168" spans="1:43" s="1944" customFormat="1" ht="17.25" customHeight="1">
      <c r="A168" s="1680"/>
      <c r="C168" s="1682"/>
      <c r="D168" s="3727"/>
      <c r="E168" s="3427"/>
      <c r="F168" s="3429"/>
      <c r="G168" s="3731"/>
      <c r="H168" s="3727"/>
      <c r="I168" s="3727">
        <v>1</v>
      </c>
      <c r="J168" s="3747"/>
      <c r="K168" s="3471" t="s">
        <v>64</v>
      </c>
      <c r="L168" s="3413"/>
      <c r="M168" s="3413" t="s">
        <v>106</v>
      </c>
      <c r="N168" s="3745" t="str">
        <f>IF(Z168="","",INDEX(TERRITORY_MR_LIST,MATCH(Z168,TERRITORY_LIST_ID,0)))</f>
        <v/>
      </c>
      <c r="O168" s="3471" t="s">
        <v>64</v>
      </c>
      <c r="P168" s="3413"/>
      <c r="Q168" s="3413" t="s">
        <v>106</v>
      </c>
      <c r="R168" s="3730" t="s">
        <v>18</v>
      </c>
      <c r="S168" s="3635" t="s">
        <v>54</v>
      </c>
      <c r="T168" s="1645"/>
      <c r="U168" s="1645" t="s">
        <v>106</v>
      </c>
      <c r="V168" s="1294"/>
      <c r="W168" s="3747"/>
      <c r="Y168" s="1133"/>
      <c r="Z168" s="1133"/>
      <c r="AA168" s="1133"/>
      <c r="AB168" s="1133"/>
      <c r="AC168" s="1133"/>
      <c r="AD168" s="1133"/>
      <c r="AE168" s="1133"/>
      <c r="AF168" s="1133"/>
      <c r="AG168" s="1133"/>
      <c r="AH168" s="1133"/>
      <c r="AI168" s="1133"/>
      <c r="AJ168" s="1133"/>
      <c r="AK168" s="1133"/>
      <c r="AL168" s="1684"/>
      <c r="AM168" s="1684"/>
      <c r="AN168" s="1133"/>
      <c r="AO168" s="1133"/>
      <c r="AP168" s="1133"/>
      <c r="AQ168" s="1133"/>
    </row>
    <row r="169" spans="1:43" s="1944" customFormat="1" ht="17.25" customHeight="1">
      <c r="A169" s="1680"/>
      <c r="C169" s="1685"/>
      <c r="D169" s="3727"/>
      <c r="E169" s="3427"/>
      <c r="F169" s="3430"/>
      <c r="G169" s="3731"/>
      <c r="H169" s="3727"/>
      <c r="I169" s="3727"/>
      <c r="J169" s="3747"/>
      <c r="K169" s="3472"/>
      <c r="L169" s="3413"/>
      <c r="M169" s="3413"/>
      <c r="N169" s="3745"/>
      <c r="O169" s="3472"/>
      <c r="P169" s="3413"/>
      <c r="Q169" s="3413"/>
      <c r="R169" s="3730"/>
      <c r="S169" s="3635"/>
      <c r="T169" s="1295"/>
      <c r="U169" s="1296"/>
      <c r="V169" s="1296"/>
      <c r="W169" s="3747"/>
      <c r="Y169" s="1126"/>
      <c r="Z169" s="1126"/>
      <c r="AA169" s="1126"/>
      <c r="AB169" s="1126"/>
      <c r="AC169" s="1126"/>
      <c r="AD169" s="1126"/>
      <c r="AE169" s="1126"/>
      <c r="AF169" s="1126"/>
      <c r="AG169" s="1126"/>
      <c r="AH169" s="1126"/>
      <c r="AI169" s="1126"/>
      <c r="AJ169" s="1126"/>
      <c r="AK169" s="1126"/>
    </row>
    <row r="170" spans="1:43" s="1944" customFormat="1" ht="17.25" customHeight="1">
      <c r="A170" s="1680"/>
      <c r="C170" s="1685"/>
      <c r="D170" s="3410"/>
      <c r="E170" s="3428"/>
      <c r="F170" s="3430"/>
      <c r="G170" s="3732"/>
      <c r="H170" s="3410"/>
      <c r="I170" s="3410"/>
      <c r="J170" s="3748"/>
      <c r="K170" s="3472"/>
      <c r="L170" s="3410"/>
      <c r="M170" s="3410"/>
      <c r="N170" s="3746"/>
      <c r="O170" s="3417"/>
      <c r="P170" s="228"/>
      <c r="Q170" s="229"/>
      <c r="R170" s="229" t="s">
        <v>677</v>
      </c>
      <c r="S170" s="1686"/>
      <c r="T170" s="1686"/>
      <c r="U170" s="1686"/>
      <c r="V170" s="1686"/>
      <c r="W170" s="1293"/>
      <c r="Y170" s="1126"/>
      <c r="Z170" s="1126"/>
      <c r="AA170" s="1126"/>
      <c r="AB170" s="1126"/>
      <c r="AC170" s="1126"/>
      <c r="AD170" s="1126"/>
      <c r="AE170" s="1126"/>
      <c r="AF170" s="1126"/>
      <c r="AG170" s="1126"/>
      <c r="AH170" s="1126"/>
      <c r="AI170" s="1126"/>
      <c r="AJ170" s="1126"/>
      <c r="AK170" s="1126"/>
    </row>
    <row r="171" spans="1:43" s="1944" customFormat="1" ht="17.25" customHeight="1">
      <c r="A171" s="1680"/>
      <c r="C171" s="1685"/>
      <c r="D171" s="3410"/>
      <c r="E171" s="3428"/>
      <c r="F171" s="3430"/>
      <c r="G171" s="3732"/>
      <c r="H171" s="3410"/>
      <c r="I171" s="3410"/>
      <c r="J171" s="3748"/>
      <c r="K171" s="3417"/>
      <c r="L171" s="228"/>
      <c r="M171" s="229"/>
      <c r="N171" s="229" t="s">
        <v>678</v>
      </c>
      <c r="O171" s="229"/>
      <c r="P171" s="229"/>
      <c r="Q171" s="229"/>
      <c r="R171" s="229"/>
      <c r="S171" s="1686"/>
      <c r="T171" s="1686"/>
      <c r="U171" s="1686"/>
      <c r="V171" s="1686"/>
      <c r="W171" s="230"/>
      <c r="Y171" s="1126"/>
      <c r="Z171" s="1126"/>
      <c r="AA171" s="1126"/>
      <c r="AB171" s="1126"/>
      <c r="AC171" s="1126"/>
      <c r="AD171" s="1126"/>
      <c r="AE171" s="1126"/>
      <c r="AF171" s="1126"/>
      <c r="AG171" s="1126"/>
      <c r="AH171" s="1126"/>
      <c r="AI171" s="1126"/>
      <c r="AJ171" s="1126"/>
      <c r="AK171" s="1126"/>
    </row>
    <row r="172" spans="1:43" s="1944" customFormat="1" ht="17.25" customHeight="1">
      <c r="A172" s="1680"/>
      <c r="C172" s="1685"/>
      <c r="D172" s="3410"/>
      <c r="E172" s="3428"/>
      <c r="F172" s="3431"/>
      <c r="G172" s="3732"/>
      <c r="H172" s="228"/>
      <c r="I172" s="229"/>
      <c r="J172" s="229" t="s">
        <v>710</v>
      </c>
      <c r="K172" s="229"/>
      <c r="L172" s="229"/>
      <c r="M172" s="229"/>
      <c r="N172" s="229"/>
      <c r="O172" s="229"/>
      <c r="P172" s="229"/>
      <c r="Q172" s="229"/>
      <c r="R172" s="229"/>
      <c r="S172" s="1686"/>
      <c r="T172" s="1686"/>
      <c r="U172" s="1686"/>
      <c r="V172" s="1686"/>
      <c r="W172" s="230"/>
      <c r="Y172" s="1126"/>
      <c r="Z172" s="1126"/>
      <c r="AA172" s="1126"/>
      <c r="AB172" s="1126"/>
      <c r="AC172" s="1126"/>
      <c r="AD172" s="1126"/>
      <c r="AE172" s="1126"/>
      <c r="AF172" s="1126"/>
      <c r="AG172" s="1126"/>
      <c r="AH172" s="1126"/>
      <c r="AI172" s="1126"/>
      <c r="AJ172" s="1126"/>
      <c r="AK172" s="1126"/>
    </row>
    <row r="173" spans="1:43" ht="17.25" customHeight="1">
      <c r="A173"/>
    </row>
    <row r="174" spans="1:43" s="1944" customFormat="1" ht="17.25" customHeight="1">
      <c r="A174" s="1680"/>
      <c r="C174" s="1682"/>
      <c r="D174" s="1671"/>
      <c r="E174" s="1687"/>
      <c r="F174" s="1627"/>
      <c r="G174" s="1688"/>
      <c r="H174" s="3727"/>
      <c r="I174" s="3727">
        <v>1</v>
      </c>
      <c r="J174" s="3747"/>
      <c r="K174" s="3471" t="s">
        <v>64</v>
      </c>
      <c r="L174" s="3413"/>
      <c r="M174" s="3413" t="s">
        <v>106</v>
      </c>
      <c r="N174" s="3745" t="str">
        <f>IF(Z174="","",INDEX(TERRITORY_MR_LIST,MATCH(Z174,TERRITORY_LIST_ID,0)))</f>
        <v/>
      </c>
      <c r="O174" s="3471" t="s">
        <v>64</v>
      </c>
      <c r="P174" s="3413"/>
      <c r="Q174" s="3413" t="s">
        <v>106</v>
      </c>
      <c r="R174" s="3730" t="s">
        <v>18</v>
      </c>
      <c r="S174" s="3635" t="s">
        <v>54</v>
      </c>
      <c r="T174" s="1645"/>
      <c r="U174" s="1645" t="s">
        <v>106</v>
      </c>
      <c r="V174" s="1294"/>
      <c r="W174" s="3747"/>
      <c r="Y174" s="1133"/>
      <c r="Z174" s="1133"/>
      <c r="AA174" s="1133"/>
      <c r="AB174" s="1133"/>
      <c r="AC174" s="1133"/>
      <c r="AD174" s="1133"/>
      <c r="AE174" s="1133"/>
      <c r="AF174" s="1133"/>
      <c r="AG174" s="1133"/>
      <c r="AH174" s="1133"/>
      <c r="AI174" s="1133"/>
      <c r="AJ174" s="1133"/>
      <c r="AK174" s="1133"/>
      <c r="AL174" s="1684"/>
      <c r="AM174" s="1684"/>
      <c r="AN174" s="1133"/>
      <c r="AO174" s="1133"/>
      <c r="AP174" s="1133"/>
      <c r="AQ174" s="1133"/>
    </row>
    <row r="175" spans="1:43" s="1944" customFormat="1" ht="17.25" customHeight="1">
      <c r="A175" s="1680"/>
      <c r="C175" s="1685"/>
      <c r="D175" s="1671"/>
      <c r="E175" s="1687"/>
      <c r="F175" s="1627"/>
      <c r="G175" s="1688"/>
      <c r="H175" s="3727"/>
      <c r="I175" s="3727"/>
      <c r="J175" s="3747"/>
      <c r="K175" s="3472"/>
      <c r="L175" s="3413"/>
      <c r="M175" s="3413"/>
      <c r="N175" s="3745"/>
      <c r="O175" s="3472"/>
      <c r="P175" s="3413"/>
      <c r="Q175" s="3413"/>
      <c r="R175" s="3730"/>
      <c r="S175" s="3635"/>
      <c r="T175" s="1295"/>
      <c r="U175" s="1296"/>
      <c r="V175" s="1296"/>
      <c r="W175" s="3747"/>
      <c r="Y175" s="1126"/>
      <c r="Z175" s="1126"/>
      <c r="AA175" s="1126"/>
      <c r="AB175" s="1126"/>
      <c r="AC175" s="1126"/>
      <c r="AD175" s="1126"/>
      <c r="AE175" s="1126"/>
      <c r="AF175" s="1126"/>
      <c r="AG175" s="1126"/>
      <c r="AH175" s="1126"/>
      <c r="AI175" s="1126"/>
      <c r="AJ175" s="1126"/>
      <c r="AK175" s="1126"/>
    </row>
    <row r="176" spans="1:43" s="1944" customFormat="1" ht="17.25" customHeight="1">
      <c r="A176" s="1680"/>
      <c r="C176" s="1685"/>
      <c r="D176" s="1671"/>
      <c r="E176" s="1687"/>
      <c r="F176" s="1627"/>
      <c r="G176" s="1688"/>
      <c r="H176" s="3410"/>
      <c r="I176" s="3410"/>
      <c r="J176" s="3748"/>
      <c r="K176" s="3472"/>
      <c r="L176" s="3410"/>
      <c r="M176" s="3410"/>
      <c r="N176" s="3746"/>
      <c r="O176" s="3417"/>
      <c r="P176" s="228"/>
      <c r="Q176" s="229"/>
      <c r="R176" s="229" t="s">
        <v>677</v>
      </c>
      <c r="S176" s="1686"/>
      <c r="T176" s="1686"/>
      <c r="U176" s="1686"/>
      <c r="V176" s="1686"/>
      <c r="W176" s="1293"/>
      <c r="Y176" s="1126"/>
      <c r="Z176" s="1126"/>
      <c r="AA176" s="1126"/>
      <c r="AB176" s="1126"/>
      <c r="AC176" s="1126"/>
      <c r="AD176" s="1126"/>
      <c r="AE176" s="1126"/>
      <c r="AF176" s="1126"/>
      <c r="AG176" s="1126"/>
      <c r="AH176" s="1126"/>
      <c r="AI176" s="1126"/>
      <c r="AJ176" s="1126"/>
      <c r="AK176" s="1126"/>
    </row>
    <row r="177" spans="1:43" s="1944" customFormat="1" ht="17.25" customHeight="1">
      <c r="A177" s="1680"/>
      <c r="C177" s="1685"/>
      <c r="D177" s="1671"/>
      <c r="E177" s="1687"/>
      <c r="F177" s="1627"/>
      <c r="G177" s="1688"/>
      <c r="H177" s="3410"/>
      <c r="I177" s="3410"/>
      <c r="J177" s="3748"/>
      <c r="K177" s="3417"/>
      <c r="L177" s="228"/>
      <c r="M177" s="229"/>
      <c r="N177" s="229" t="s">
        <v>678</v>
      </c>
      <c r="O177" s="229"/>
      <c r="P177" s="229"/>
      <c r="Q177" s="229"/>
      <c r="R177" s="229"/>
      <c r="S177" s="1686"/>
      <c r="T177" s="1686"/>
      <c r="U177" s="1686"/>
      <c r="V177" s="1686"/>
      <c r="W177" s="230"/>
      <c r="Y177" s="1126"/>
      <c r="Z177" s="1126"/>
      <c r="AA177" s="1126"/>
      <c r="AB177" s="1126"/>
      <c r="AC177" s="1126"/>
      <c r="AD177" s="1126"/>
      <c r="AE177" s="1126"/>
      <c r="AF177" s="1126"/>
      <c r="AG177" s="1126"/>
      <c r="AH177" s="1126"/>
      <c r="AI177" s="1126"/>
      <c r="AJ177" s="1126"/>
      <c r="AK177" s="1126"/>
    </row>
    <row r="178" spans="1:43" ht="17.25" customHeight="1">
      <c r="A178"/>
    </row>
    <row r="179" spans="1:43" s="1944" customFormat="1" ht="17.25" customHeight="1">
      <c r="A179" s="1680"/>
      <c r="C179" s="1682"/>
      <c r="D179" s="1671"/>
      <c r="E179" s="1687"/>
      <c r="F179" s="1627"/>
      <c r="G179" s="1688"/>
      <c r="H179" s="1671"/>
      <c r="I179" s="1671"/>
      <c r="J179" s="1691"/>
      <c r="K179" s="1688"/>
      <c r="L179" s="3413"/>
      <c r="M179" s="3413" t="s">
        <v>106</v>
      </c>
      <c r="N179" s="3745" t="str">
        <f>IF(Z179="","",INDEX(TERRITORY_MR_LIST,MATCH(Z179,TERRITORY_LIST_ID,0)))</f>
        <v/>
      </c>
      <c r="O179" s="3471" t="s">
        <v>64</v>
      </c>
      <c r="P179" s="3413"/>
      <c r="Q179" s="3413" t="s">
        <v>106</v>
      </c>
      <c r="R179" s="3730" t="s">
        <v>18</v>
      </c>
      <c r="S179" s="3635" t="s">
        <v>54</v>
      </c>
      <c r="T179" s="1645"/>
      <c r="U179" s="1645" t="s">
        <v>106</v>
      </c>
      <c r="V179" s="1294"/>
      <c r="W179" s="3747"/>
      <c r="Y179" s="1133"/>
      <c r="Z179" s="1133"/>
      <c r="AA179" s="1133"/>
      <c r="AB179" s="1133"/>
      <c r="AC179" s="1133"/>
      <c r="AD179" s="1133"/>
      <c r="AE179" s="1133"/>
      <c r="AF179" s="1133"/>
      <c r="AG179" s="1133"/>
      <c r="AH179" s="1133"/>
      <c r="AI179" s="1133"/>
      <c r="AJ179" s="1133"/>
      <c r="AK179" s="1133"/>
      <c r="AL179" s="1684"/>
      <c r="AM179" s="1684"/>
      <c r="AN179" s="1133"/>
      <c r="AO179" s="1133"/>
      <c r="AP179" s="1133"/>
      <c r="AQ179" s="1133"/>
    </row>
    <row r="180" spans="1:43" s="1944" customFormat="1" ht="17.25" customHeight="1">
      <c r="A180" s="1680"/>
      <c r="C180" s="1685"/>
      <c r="D180" s="1671"/>
      <c r="E180" s="1687"/>
      <c r="F180" s="1627"/>
      <c r="G180" s="1688"/>
      <c r="H180" s="1671"/>
      <c r="I180" s="1671"/>
      <c r="J180" s="1691"/>
      <c r="K180" s="1688"/>
      <c r="L180" s="3413"/>
      <c r="M180" s="3413"/>
      <c r="N180" s="3745"/>
      <c r="O180" s="3472"/>
      <c r="P180" s="3413"/>
      <c r="Q180" s="3413"/>
      <c r="R180" s="3730"/>
      <c r="S180" s="3635"/>
      <c r="T180" s="1295"/>
      <c r="U180" s="1296"/>
      <c r="V180" s="1296"/>
      <c r="W180" s="3747"/>
      <c r="Y180" s="1126"/>
      <c r="Z180" s="1126"/>
      <c r="AA180" s="1126"/>
      <c r="AB180" s="1126"/>
      <c r="AC180" s="1126"/>
      <c r="AD180" s="1126"/>
      <c r="AE180" s="1126"/>
      <c r="AF180" s="1126"/>
      <c r="AG180" s="1126"/>
      <c r="AH180" s="1126"/>
      <c r="AI180" s="1126"/>
      <c r="AJ180" s="1126"/>
      <c r="AK180" s="1126"/>
    </row>
    <row r="181" spans="1:43" s="1944" customFormat="1" ht="17.25" customHeight="1">
      <c r="A181" s="1680"/>
      <c r="C181" s="1685"/>
      <c r="D181" s="1671"/>
      <c r="E181" s="1687"/>
      <c r="F181" s="1627"/>
      <c r="G181" s="1688"/>
      <c r="H181" s="1671"/>
      <c r="I181" s="1671"/>
      <c r="J181" s="1691"/>
      <c r="K181" s="1688"/>
      <c r="L181" s="3410"/>
      <c r="M181" s="3410"/>
      <c r="N181" s="3746"/>
      <c r="O181" s="3417"/>
      <c r="P181" s="228"/>
      <c r="Q181" s="229"/>
      <c r="R181" s="229" t="s">
        <v>677</v>
      </c>
      <c r="S181" s="1686"/>
      <c r="T181" s="1686"/>
      <c r="U181" s="1686"/>
      <c r="V181" s="1686"/>
      <c r="W181" s="1293"/>
      <c r="Y181" s="1126"/>
      <c r="Z181" s="1126"/>
      <c r="AA181" s="1126"/>
      <c r="AB181" s="1126"/>
      <c r="AC181" s="1126"/>
      <c r="AD181" s="1126"/>
      <c r="AE181" s="1126"/>
      <c r="AF181" s="1126"/>
      <c r="AG181" s="1126"/>
      <c r="AH181" s="1126"/>
      <c r="AI181" s="1126"/>
      <c r="AJ181" s="1126"/>
      <c r="AK181" s="1126"/>
    </row>
    <row r="182" spans="1:43" ht="17.25" customHeight="1">
      <c r="A182"/>
    </row>
    <row r="183" spans="1:43" s="1944" customFormat="1" ht="17.25" customHeight="1">
      <c r="A183" s="1680"/>
      <c r="C183" s="1682"/>
      <c r="D183" s="1671"/>
      <c r="E183" s="1687"/>
      <c r="F183" s="1627"/>
      <c r="G183" s="1688"/>
      <c r="H183" s="1671"/>
      <c r="I183" s="1671"/>
      <c r="J183" s="1691"/>
      <c r="K183" s="1688"/>
      <c r="L183" s="1671"/>
      <c r="M183" s="1671"/>
      <c r="N183" s="1690"/>
      <c r="O183" s="1630"/>
      <c r="P183" s="3413"/>
      <c r="Q183" s="3413" t="s">
        <v>106</v>
      </c>
      <c r="R183" s="3730" t="s">
        <v>18</v>
      </c>
      <c r="S183" s="3635" t="s">
        <v>54</v>
      </c>
      <c r="T183" s="1645"/>
      <c r="U183" s="1645" t="s">
        <v>106</v>
      </c>
      <c r="V183" s="1294"/>
      <c r="W183" s="3747"/>
      <c r="Y183" s="1133"/>
      <c r="Z183" s="1133"/>
      <c r="AA183" s="1133"/>
      <c r="AB183" s="1133"/>
      <c r="AC183" s="1133"/>
      <c r="AD183" s="1133"/>
      <c r="AE183" s="1133"/>
      <c r="AF183" s="1133"/>
      <c r="AG183" s="1133"/>
      <c r="AH183" s="1133"/>
      <c r="AI183" s="1133"/>
      <c r="AJ183" s="1133"/>
      <c r="AK183" s="1133"/>
      <c r="AL183" s="1684"/>
      <c r="AM183" s="1684"/>
      <c r="AN183" s="1133"/>
      <c r="AO183" s="1133"/>
      <c r="AP183" s="1133"/>
      <c r="AQ183" s="1133"/>
    </row>
    <row r="184" spans="1:43" s="1944" customFormat="1" ht="17.25" customHeight="1">
      <c r="A184" s="1680"/>
      <c r="C184" s="1685"/>
      <c r="D184" s="1671"/>
      <c r="E184" s="1687"/>
      <c r="F184" s="1627"/>
      <c r="G184" s="1688"/>
      <c r="H184" s="1671"/>
      <c r="I184" s="1671"/>
      <c r="J184" s="1691"/>
      <c r="K184" s="1688"/>
      <c r="L184" s="1671"/>
      <c r="M184" s="1671"/>
      <c r="N184" s="1690"/>
      <c r="O184" s="1630"/>
      <c r="P184" s="3413"/>
      <c r="Q184" s="3413"/>
      <c r="R184" s="3730"/>
      <c r="S184" s="3635"/>
      <c r="T184" s="1295"/>
      <c r="U184" s="1296"/>
      <c r="V184" s="1296"/>
      <c r="W184" s="3747"/>
      <c r="Y184" s="1126"/>
      <c r="Z184" s="1126"/>
      <c r="AA184" s="1126"/>
      <c r="AB184" s="1126"/>
      <c r="AC184" s="1126"/>
      <c r="AD184" s="1126"/>
      <c r="AE184" s="1126"/>
      <c r="AF184" s="1126"/>
      <c r="AG184" s="1126"/>
      <c r="AH184" s="1126"/>
      <c r="AI184" s="1126"/>
      <c r="AJ184" s="1126"/>
      <c r="AK184" s="1126"/>
    </row>
    <row r="185" spans="1:43" ht="17.25" customHeight="1">
      <c r="A185"/>
    </row>
    <row r="186" spans="1:43" ht="16.5" customHeight="1">
      <c r="A186" s="1680"/>
      <c r="B186" s="1681"/>
      <c r="C186" s="1685"/>
      <c r="D186" s="3727"/>
      <c r="E186" s="3468"/>
      <c r="F186" s="3468"/>
      <c r="G186" s="3401"/>
      <c r="H186" s="3432"/>
      <c r="I186" s="3434"/>
      <c r="J186" s="3436"/>
      <c r="K186" s="3420"/>
      <c r="L186" s="3420"/>
      <c r="M186" s="3420"/>
      <c r="N186" s="3422"/>
      <c r="O186" s="3420"/>
      <c r="P186" s="3420"/>
      <c r="Q186" s="3420"/>
      <c r="R186" s="3425"/>
      <c r="S186" s="3420"/>
      <c r="T186" s="1626"/>
      <c r="U186" s="1626"/>
      <c r="V186" s="1692"/>
      <c r="W186" s="1160"/>
    </row>
    <row r="187" spans="1:43" ht="16.5" customHeight="1">
      <c r="A187" s="1680"/>
      <c r="B187" s="1681"/>
      <c r="C187" s="1685"/>
      <c r="D187" s="3727"/>
      <c r="E187" s="3468"/>
      <c r="F187" s="3468"/>
      <c r="G187" s="3401"/>
      <c r="H187" s="3433"/>
      <c r="I187" s="3435"/>
      <c r="J187" s="3437"/>
      <c r="K187" s="3421"/>
      <c r="L187" s="3421"/>
      <c r="M187" s="3421"/>
      <c r="N187" s="3423"/>
      <c r="O187" s="3421"/>
      <c r="P187" s="3421"/>
      <c r="Q187" s="3421"/>
      <c r="R187" s="3424"/>
      <c r="S187" s="3421"/>
      <c r="T187" s="1161"/>
      <c r="U187" s="1161"/>
      <c r="V187" s="1161"/>
      <c r="W187" s="1162"/>
    </row>
    <row r="188" spans="1:43" ht="17.25" customHeight="1">
      <c r="A188" s="1680"/>
      <c r="B188" s="1681"/>
      <c r="C188" s="1685"/>
      <c r="D188" s="3727"/>
      <c r="E188" s="3468"/>
      <c r="F188" s="3468"/>
      <c r="G188" s="3401"/>
      <c r="H188" s="3433"/>
      <c r="I188" s="3435"/>
      <c r="J188" s="3438"/>
      <c r="K188" s="3421"/>
      <c r="L188" s="3421"/>
      <c r="M188" s="3421"/>
      <c r="N188" s="3424"/>
      <c r="O188" s="3421"/>
      <c r="P188" s="1629"/>
      <c r="Q188" s="1161"/>
      <c r="R188" s="1161"/>
      <c r="S188" s="1693"/>
      <c r="T188" s="1693"/>
      <c r="U188" s="1693"/>
      <c r="V188" s="1693"/>
      <c r="W188" s="1162"/>
    </row>
    <row r="189" spans="1:43" ht="17.25" customHeight="1">
      <c r="A189" s="1680"/>
      <c r="B189" s="1681"/>
      <c r="C189" s="1685"/>
      <c r="D189" s="3727"/>
      <c r="E189" s="3468"/>
      <c r="F189" s="3468"/>
      <c r="G189" s="3401"/>
      <c r="H189" s="3433"/>
      <c r="I189" s="3435"/>
      <c r="J189" s="3438"/>
      <c r="K189" s="3421"/>
      <c r="L189" s="1161"/>
      <c r="M189" s="1161"/>
      <c r="N189" s="1161"/>
      <c r="O189" s="1161"/>
      <c r="P189" s="1161"/>
      <c r="Q189" s="1161"/>
      <c r="R189" s="1161"/>
      <c r="S189" s="1693"/>
      <c r="T189" s="1693"/>
      <c r="U189" s="1693"/>
      <c r="V189" s="1693"/>
      <c r="W189" s="1162"/>
    </row>
    <row r="190" spans="1:43" ht="17.25" customHeight="1">
      <c r="A190" s="1680"/>
      <c r="B190" s="1681"/>
      <c r="C190" s="1685"/>
      <c r="D190" s="3727"/>
      <c r="E190" s="3468"/>
      <c r="F190" s="3468"/>
      <c r="G190" s="3401"/>
      <c r="H190" s="1163"/>
      <c r="I190" s="1164"/>
      <c r="J190" s="1164"/>
      <c r="K190" s="1164"/>
      <c r="L190" s="1164"/>
      <c r="M190" s="1164"/>
      <c r="N190" s="1164"/>
      <c r="O190" s="1164"/>
      <c r="P190" s="1164"/>
      <c r="Q190" s="1164"/>
      <c r="R190" s="1164"/>
      <c r="S190" s="1694"/>
      <c r="T190" s="1694"/>
      <c r="U190" s="1694"/>
      <c r="V190" s="1694"/>
      <c r="W190" s="1166"/>
    </row>
    <row r="192" spans="1:43" s="1931" customFormat="1" ht="17.25" customHeight="1">
      <c r="A192" s="1658" t="s">
        <v>2251</v>
      </c>
    </row>
    <row r="193" spans="1:63" ht="17.25" customHeight="1">
      <c r="G193" s="1679"/>
      <c r="H193" s="1679"/>
      <c r="I193" s="1679"/>
      <c r="M193"/>
    </row>
    <row r="194" spans="1:63" s="1962" customFormat="1" ht="15" customHeight="1">
      <c r="D194" s="3771"/>
      <c r="E194" s="3463"/>
      <c r="F194" s="3463"/>
      <c r="G194" s="3471"/>
      <c r="H194" s="1416"/>
      <c r="I194" s="3772">
        <v>1</v>
      </c>
      <c r="J194" s="3747"/>
      <c r="K194" s="1430"/>
      <c r="L194" s="3471" t="s">
        <v>64</v>
      </c>
      <c r="M194" s="3471" t="s">
        <v>64</v>
      </c>
      <c r="N194" s="1416"/>
      <c r="O194" s="3413" t="s">
        <v>106</v>
      </c>
      <c r="P194" s="3766"/>
      <c r="Q194" s="1431"/>
      <c r="R194" s="3471" t="s">
        <v>64</v>
      </c>
      <c r="S194" s="3471" t="s">
        <v>64</v>
      </c>
      <c r="T194" s="1695"/>
      <c r="U194" s="3413" t="s">
        <v>106</v>
      </c>
      <c r="V194" s="3768" t="str">
        <f>IF(AK194="","",INDEX(TERRITORY_MR_LIST,MATCH(AK194,TERRITORY_LIST_ID,0)))</f>
        <v/>
      </c>
      <c r="W194" s="1432"/>
      <c r="X194" s="3471" t="s">
        <v>64</v>
      </c>
      <c r="Y194" s="3471" t="s">
        <v>54</v>
      </c>
      <c r="Z194" s="1416"/>
      <c r="AA194" s="3413" t="s">
        <v>106</v>
      </c>
      <c r="AB194" s="3770"/>
      <c r="AC194" s="1433"/>
      <c r="AD194" s="3471" t="s">
        <v>64</v>
      </c>
      <c r="AE194" s="3471" t="s">
        <v>54</v>
      </c>
      <c r="AF194" s="1414"/>
      <c r="AG194" s="1654" t="s">
        <v>106</v>
      </c>
      <c r="AH194" s="1424"/>
      <c r="AI194" s="1644"/>
    </row>
    <row r="195" spans="1:63" s="1962" customFormat="1" ht="15" customHeight="1">
      <c r="D195" s="3771"/>
      <c r="E195" s="3463"/>
      <c r="F195" s="3463"/>
      <c r="G195" s="3472"/>
      <c r="H195" s="1416"/>
      <c r="I195" s="3772"/>
      <c r="J195" s="3747"/>
      <c r="K195" s="1415"/>
      <c r="L195" s="3472"/>
      <c r="M195" s="3472"/>
      <c r="N195" s="1416"/>
      <c r="O195" s="3413"/>
      <c r="P195" s="3766"/>
      <c r="Q195" s="1412"/>
      <c r="R195" s="3472"/>
      <c r="S195" s="3472"/>
      <c r="T195" s="1695"/>
      <c r="U195" s="3413"/>
      <c r="V195" s="3769"/>
      <c r="W195" s="1413"/>
      <c r="X195" s="3472"/>
      <c r="Y195" s="3472"/>
      <c r="Z195" s="1416"/>
      <c r="AA195" s="3413"/>
      <c r="AB195" s="3707"/>
      <c r="AC195" s="1417"/>
      <c r="AD195" s="3417"/>
      <c r="AE195" s="3417"/>
      <c r="AF195" s="1418"/>
      <c r="AG195" s="1419"/>
      <c r="AH195" s="3774" t="s">
        <v>2252</v>
      </c>
      <c r="AI195" s="3775"/>
    </row>
    <row r="196" spans="1:63" s="1962" customFormat="1" ht="15" customHeight="1">
      <c r="D196" s="3771"/>
      <c r="E196" s="3463"/>
      <c r="F196" s="3463"/>
      <c r="G196" s="3472"/>
      <c r="H196" s="1416"/>
      <c r="I196" s="3772"/>
      <c r="J196" s="3747"/>
      <c r="K196" s="1415"/>
      <c r="L196" s="3472"/>
      <c r="M196" s="3472"/>
      <c r="N196" s="1416"/>
      <c r="O196" s="3413"/>
      <c r="P196" s="3766"/>
      <c r="Q196" s="1412"/>
      <c r="R196" s="3472"/>
      <c r="S196" s="3472"/>
      <c r="T196" s="1695"/>
      <c r="U196" s="3413"/>
      <c r="V196" s="3769"/>
      <c r="W196" s="1413"/>
      <c r="X196" s="3472"/>
      <c r="Y196" s="3472"/>
      <c r="Z196" s="1454"/>
      <c r="AA196" s="1421"/>
      <c r="AB196" s="3776" t="s">
        <v>2253</v>
      </c>
      <c r="AC196" s="3776"/>
      <c r="AD196" s="3776"/>
      <c r="AE196" s="3776"/>
      <c r="AF196" s="3776"/>
      <c r="AG196" s="3776"/>
      <c r="AH196" s="3776"/>
      <c r="AI196" s="3777"/>
    </row>
    <row r="197" spans="1:63" s="1962" customFormat="1" ht="15" customHeight="1">
      <c r="D197" s="3771"/>
      <c r="E197" s="3463"/>
      <c r="F197" s="3463"/>
      <c r="G197" s="3472"/>
      <c r="H197" s="1416"/>
      <c r="I197" s="3772"/>
      <c r="J197" s="3747"/>
      <c r="K197" s="1415"/>
      <c r="L197" s="3472"/>
      <c r="M197" s="3472"/>
      <c r="N197" s="1416"/>
      <c r="O197" s="3413"/>
      <c r="P197" s="3778"/>
      <c r="Q197" s="1412"/>
      <c r="R197" s="3472"/>
      <c r="S197" s="3472"/>
      <c r="T197" s="1696"/>
      <c r="U197" s="1455"/>
      <c r="V197" s="3774" t="s">
        <v>100</v>
      </c>
      <c r="W197" s="3774"/>
      <c r="X197" s="3774"/>
      <c r="Y197" s="3774"/>
      <c r="Z197" s="3774"/>
      <c r="AA197" s="3774"/>
      <c r="AB197" s="3774"/>
      <c r="AC197" s="3774"/>
      <c r="AD197" s="3774"/>
      <c r="AE197" s="3774"/>
      <c r="AF197" s="3774"/>
      <c r="AG197" s="3774"/>
      <c r="AH197" s="3774"/>
      <c r="AI197" s="3775"/>
    </row>
    <row r="198" spans="1:63" s="1962" customFormat="1" ht="11.25" customHeight="1">
      <c r="D198" s="3771"/>
      <c r="E198" s="3463"/>
      <c r="F198" s="3463"/>
      <c r="G198" s="3472"/>
      <c r="H198" s="1420"/>
      <c r="I198" s="3772"/>
      <c r="J198" s="3773"/>
      <c r="K198" s="1415"/>
      <c r="L198" s="3472"/>
      <c r="M198" s="3472"/>
      <c r="N198" s="1420"/>
      <c r="O198" s="1421"/>
      <c r="P198" s="3774" t="s">
        <v>2254</v>
      </c>
      <c r="Q198" s="3774"/>
      <c r="R198" s="3774"/>
      <c r="S198" s="3774"/>
      <c r="T198" s="3774"/>
      <c r="U198" s="3774"/>
      <c r="V198" s="3774"/>
      <c r="W198" s="3774"/>
      <c r="X198" s="3774"/>
      <c r="Y198" s="3774"/>
      <c r="Z198" s="3774"/>
      <c r="AA198" s="3774"/>
      <c r="AB198" s="3774"/>
      <c r="AC198" s="3774"/>
      <c r="AD198" s="3774"/>
      <c r="AE198" s="3774"/>
      <c r="AF198" s="3774"/>
      <c r="AG198" s="3774"/>
      <c r="AH198" s="3774"/>
      <c r="AI198" s="3775"/>
    </row>
    <row r="199" spans="1:63" s="1823" customFormat="1" ht="11.25" customHeight="1">
      <c r="D199" s="3771"/>
      <c r="E199" s="3463"/>
      <c r="F199" s="3463"/>
      <c r="G199" s="3417"/>
      <c r="H199" s="1422"/>
      <c r="I199" s="1423"/>
      <c r="J199" s="3774" t="s">
        <v>710</v>
      </c>
      <c r="K199" s="3774"/>
      <c r="L199" s="3774"/>
      <c r="M199" s="3774"/>
      <c r="N199" s="3774"/>
      <c r="O199" s="3774"/>
      <c r="P199" s="3774"/>
      <c r="Q199" s="3774"/>
      <c r="R199" s="3774"/>
      <c r="S199" s="3774"/>
      <c r="T199" s="3774"/>
      <c r="U199" s="3774"/>
      <c r="V199" s="3774"/>
      <c r="W199" s="3774"/>
      <c r="X199" s="3774"/>
      <c r="Y199" s="3774"/>
      <c r="Z199" s="3774"/>
      <c r="AA199" s="3774"/>
      <c r="AB199" s="3774"/>
      <c r="AC199" s="3774"/>
      <c r="AD199" s="3774"/>
      <c r="AE199" s="3774"/>
      <c r="AF199" s="3774"/>
      <c r="AG199" s="3774"/>
      <c r="AH199" s="3774"/>
      <c r="AI199" s="3775"/>
      <c r="BK199"/>
    </row>
    <row r="200" spans="1:63" ht="17.25" customHeight="1">
      <c r="G200" s="1679"/>
      <c r="I200" s="1679"/>
      <c r="J200" s="1679"/>
      <c r="N200"/>
    </row>
    <row r="201" spans="1:63" s="1962" customFormat="1" ht="15" customHeight="1">
      <c r="D201" s="3771"/>
      <c r="E201" s="3463"/>
      <c r="F201" s="3463"/>
      <c r="G201" s="3468"/>
      <c r="H201" s="1450"/>
      <c r="I201" s="3473"/>
      <c r="J201" s="3436"/>
      <c r="K201" s="1628"/>
      <c r="L201" s="3420"/>
      <c r="M201" s="3420"/>
      <c r="N201" s="1435"/>
      <c r="O201" s="3420"/>
      <c r="P201" s="3436"/>
      <c r="Q201" s="1632"/>
      <c r="R201" s="3420"/>
      <c r="S201" s="3420"/>
      <c r="T201" s="1697"/>
      <c r="U201" s="3420"/>
      <c r="V201" s="3436"/>
      <c r="W201" s="1438"/>
      <c r="X201" s="3420"/>
      <c r="Y201" s="3420"/>
      <c r="Z201" s="1435"/>
      <c r="AA201" s="3420"/>
      <c r="AB201" s="3436"/>
      <c r="AC201" s="1439"/>
      <c r="AD201" s="3420"/>
      <c r="AE201" s="3420"/>
      <c r="AF201" s="1626"/>
      <c r="AG201" s="1626"/>
      <c r="AH201" s="1440"/>
      <c r="AI201" s="1160"/>
    </row>
    <row r="202" spans="1:63" s="1962" customFormat="1" ht="15" customHeight="1">
      <c r="D202" s="3771"/>
      <c r="E202" s="3463"/>
      <c r="F202" s="3463"/>
      <c r="G202" s="3468"/>
      <c r="H202" s="1451"/>
      <c r="I202" s="3474"/>
      <c r="J202" s="3437"/>
      <c r="K202" s="1458"/>
      <c r="L202" s="3421"/>
      <c r="M202" s="3421"/>
      <c r="N202" s="1441"/>
      <c r="O202" s="3421"/>
      <c r="P202" s="3437"/>
      <c r="Q202" s="1633"/>
      <c r="R202" s="3421"/>
      <c r="S202" s="3421"/>
      <c r="T202" s="1698"/>
      <c r="U202" s="3421"/>
      <c r="V202" s="3437"/>
      <c r="W202" s="1444"/>
      <c r="X202" s="3421"/>
      <c r="Y202" s="3421"/>
      <c r="Z202" s="1441"/>
      <c r="AA202" s="3421"/>
      <c r="AB202" s="3437"/>
      <c r="AC202" s="1445"/>
      <c r="AD202" s="3421"/>
      <c r="AE202" s="3421"/>
      <c r="AF202" s="1631"/>
      <c r="AG202" s="1631"/>
      <c r="AH202" s="3477"/>
      <c r="AI202" s="3478"/>
    </row>
    <row r="203" spans="1:63" s="1962" customFormat="1" ht="15" customHeight="1">
      <c r="D203" s="3771"/>
      <c r="E203" s="3463"/>
      <c r="F203" s="3463"/>
      <c r="G203" s="3468"/>
      <c r="H203" s="1451"/>
      <c r="I203" s="3474"/>
      <c r="J203" s="3437"/>
      <c r="K203" s="1458"/>
      <c r="L203" s="3421"/>
      <c r="M203" s="3421"/>
      <c r="N203" s="1441"/>
      <c r="O203" s="3421"/>
      <c r="P203" s="3437"/>
      <c r="Q203" s="1633"/>
      <c r="R203" s="3421"/>
      <c r="S203" s="3421"/>
      <c r="T203" s="1698"/>
      <c r="U203" s="3421"/>
      <c r="V203" s="3437"/>
      <c r="W203" s="1444"/>
      <c r="X203" s="3421"/>
      <c r="Y203" s="3421"/>
      <c r="Z203" s="1629"/>
      <c r="AA203" s="1631"/>
      <c r="AB203" s="3477"/>
      <c r="AC203" s="3477"/>
      <c r="AD203" s="3477"/>
      <c r="AE203" s="3477"/>
      <c r="AF203" s="3477"/>
      <c r="AG203" s="3477"/>
      <c r="AH203" s="3477"/>
      <c r="AI203" s="3478"/>
    </row>
    <row r="204" spans="1:63" s="1962" customFormat="1" ht="15" customHeight="1">
      <c r="D204" s="3771"/>
      <c r="E204" s="3463"/>
      <c r="F204" s="3463"/>
      <c r="G204" s="3468"/>
      <c r="H204" s="1451"/>
      <c r="I204" s="3474"/>
      <c r="J204" s="3437"/>
      <c r="K204" s="1458"/>
      <c r="L204" s="3421"/>
      <c r="M204" s="3421"/>
      <c r="N204" s="1441"/>
      <c r="O204" s="3421"/>
      <c r="P204" s="3437"/>
      <c r="Q204" s="1633"/>
      <c r="R204" s="3421"/>
      <c r="S204" s="3421"/>
      <c r="T204" s="1699"/>
      <c r="U204" s="1448"/>
      <c r="V204" s="3477"/>
      <c r="W204" s="3477"/>
      <c r="X204" s="3477"/>
      <c r="Y204" s="3477"/>
      <c r="Z204" s="3477"/>
      <c r="AA204" s="3477"/>
      <c r="AB204" s="3477"/>
      <c r="AC204" s="3477"/>
      <c r="AD204" s="3477"/>
      <c r="AE204" s="3477"/>
      <c r="AF204" s="3477"/>
      <c r="AG204" s="3477"/>
      <c r="AH204" s="3477"/>
      <c r="AI204" s="3478"/>
    </row>
    <row r="205" spans="1:63" s="1962" customFormat="1" ht="11.25" customHeight="1">
      <c r="D205" s="3771"/>
      <c r="E205" s="3463"/>
      <c r="F205" s="3463"/>
      <c r="G205" s="3468"/>
      <c r="H205" s="1452"/>
      <c r="I205" s="3474"/>
      <c r="J205" s="3437"/>
      <c r="K205" s="1458"/>
      <c r="L205" s="3421"/>
      <c r="M205" s="3421"/>
      <c r="N205" s="1631"/>
      <c r="O205" s="1631"/>
      <c r="P205" s="3477"/>
      <c r="Q205" s="3477"/>
      <c r="R205" s="3477"/>
      <c r="S205" s="3477"/>
      <c r="T205" s="3477"/>
      <c r="U205" s="3477"/>
      <c r="V205" s="3477"/>
      <c r="W205" s="3477"/>
      <c r="X205" s="3477"/>
      <c r="Y205" s="3477"/>
      <c r="Z205" s="3477"/>
      <c r="AA205" s="3477"/>
      <c r="AB205" s="3477"/>
      <c r="AC205" s="3477"/>
      <c r="AD205" s="3477"/>
      <c r="AE205" s="3477"/>
      <c r="AF205" s="3477"/>
      <c r="AG205" s="3477"/>
      <c r="AH205" s="3477"/>
      <c r="AI205" s="3478"/>
    </row>
    <row r="206" spans="1:63" s="1823" customFormat="1" ht="11.25" customHeight="1">
      <c r="D206" s="3771"/>
      <c r="E206" s="3463"/>
      <c r="F206" s="3463"/>
      <c r="G206" s="3479"/>
      <c r="H206" s="1449"/>
      <c r="I206" s="1453"/>
      <c r="J206" s="3475"/>
      <c r="K206" s="3475"/>
      <c r="L206" s="3475"/>
      <c r="M206" s="3475"/>
      <c r="N206" s="3475"/>
      <c r="O206" s="3475"/>
      <c r="P206" s="3475"/>
      <c r="Q206" s="3475"/>
      <c r="R206" s="3475"/>
      <c r="S206" s="3475"/>
      <c r="T206" s="3475"/>
      <c r="U206" s="3475"/>
      <c r="V206" s="3475"/>
      <c r="W206" s="3475"/>
      <c r="X206" s="3475"/>
      <c r="Y206" s="3475"/>
      <c r="Z206" s="3475"/>
      <c r="AA206" s="3475"/>
      <c r="AB206" s="3475"/>
      <c r="AC206" s="3475"/>
      <c r="AD206" s="3475"/>
      <c r="AE206" s="3475"/>
      <c r="AF206" s="3475"/>
      <c r="AG206" s="3475"/>
      <c r="AH206" s="3475"/>
      <c r="AI206" s="3476"/>
      <c r="BK206"/>
    </row>
    <row r="207" spans="1:63" ht="17.25" customHeight="1">
      <c r="A207"/>
    </row>
  </sheetData>
  <sheetProtection formatColumns="0" formatRows="0" insertRows="0" deleteColumns="0" deleteRows="0" sort="0" autoFilter="0"/>
  <mergeCells count="285">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S83:S85"/>
    <mergeCell ref="T83:T85"/>
    <mergeCell ref="U83:U85"/>
    <mergeCell ref="V83:V85"/>
    <mergeCell ref="W83:W85"/>
    <mergeCell ref="X83:X85"/>
    <mergeCell ref="Y83:Y85"/>
    <mergeCell ref="H93:H97"/>
    <mergeCell ref="I93:I97"/>
    <mergeCell ref="J93:J97"/>
    <mergeCell ref="K93:K97"/>
    <mergeCell ref="L93:L97"/>
    <mergeCell ref="M93:M97"/>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D201:D206"/>
    <mergeCell ref="E201:E206"/>
    <mergeCell ref="F201:F206"/>
    <mergeCell ref="G201:G206"/>
    <mergeCell ref="I201:I205"/>
    <mergeCell ref="J201:J205"/>
    <mergeCell ref="L201:L205"/>
    <mergeCell ref="M201:M205"/>
    <mergeCell ref="O201:O204"/>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W168:W169"/>
    <mergeCell ref="D168:D172"/>
    <mergeCell ref="E168:E172"/>
    <mergeCell ref="F168:F172"/>
    <mergeCell ref="G168:G172"/>
    <mergeCell ref="H168:H171"/>
    <mergeCell ref="I168:I171"/>
    <mergeCell ref="J168:J171"/>
    <mergeCell ref="K168:K171"/>
    <mergeCell ref="L168:L170"/>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Y64:Y65"/>
    <mergeCell ref="S64:S65"/>
    <mergeCell ref="T64:T65"/>
    <mergeCell ref="M64:M65"/>
    <mergeCell ref="N64:N65"/>
    <mergeCell ref="O64:O65"/>
    <mergeCell ref="Q64:Q65"/>
    <mergeCell ref="R64:R65"/>
    <mergeCell ref="W64:W65"/>
    <mergeCell ref="X64:X65"/>
    <mergeCell ref="P64:P65"/>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s>
  <dataValidations count="19">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xr:uid="{00000000-0002-0000-3A00-000000000000}">
      <formula1>900</formula1>
    </dataValidation>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xr:uid="{00000000-0002-0000-3A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xr:uid="{00000000-0002-0000-3A00-000002000000}"/>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xr:uid="{00000000-0002-0000-3A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xr:uid="{00000000-0002-0000-3A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xr:uid="{00000000-0002-0000-3A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xr:uid="{00000000-0002-0000-3A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xr:uid="{00000000-0002-0000-3A00-000007000000}">
      <formula1>"a"</formula1>
    </dataValidation>
    <dataValidation type="textLength" operator="lessThan" allowBlank="1" showInputMessage="1" showErrorMessage="1" error="Допускается ввод не более 900 символов!" sqref="M29 M23" xr:uid="{00000000-0002-0000-3A00-000008000000}">
      <formula1>900</formula1>
    </dataValidation>
    <dataValidation type="list" allowBlank="1" showInputMessage="1" showErrorMessage="1" sqref="I34" xr:uid="{00000000-0002-0000-3A00-000009000000}">
      <formula1>DESCRIPTION_TERRITORY</formula1>
    </dataValidation>
    <dataValidation allowBlank="1" showInputMessage="1" showErrorMessage="1" prompt="Изменение значения по двойному щелчоку левой кнопки мыши" sqref="J48" xr:uid="{00000000-0002-0000-3A00-00000A000000}"/>
    <dataValidation type="list" allowBlank="1" showInputMessage="1" showErrorMessage="1" errorTitle="Ошибка" error="Выберите значение из списка" prompt="Выберите значение из списка" sqref="L52" xr:uid="{00000000-0002-0000-3A00-00000B000000}">
      <formula1>kind_of_power_te_unit</formula1>
    </dataValidation>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xr:uid="{00000000-0002-0000-3A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xr:uid="{00000000-0002-0000-3A00-00000D000000}"/>
    <dataValidation allowBlank="1" showInputMessage="1" showErrorMessage="1" promptTitle="Ввод" prompt="Для выбора ИП необходимо два раза нажать левую кнопку мыши!" sqref="G64 G69" xr:uid="{00000000-0002-0000-3A00-00000E000000}"/>
    <dataValidation type="list" allowBlank="1" showInputMessage="1" showErrorMessage="1" errorTitle="Ошибка" error="Выберите значение из списка" prompt="Выберите значение из списка" sqref="J132:J133 J139:J140 J142" xr:uid="{00000000-0002-0000-3A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02" xr:uid="{00000000-0002-0000-3A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xr:uid="{00000000-0002-0000-3A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xr:uid="{00000000-0002-0000-3A00-000012000000}">
      <formula1>list_typeTKO</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2ACA9-4A98-BAC8-1F77-CF15ACCF1EBB}">
  <sheetPr>
    <tabColor rgb="FFCCCCFF"/>
  </sheetPr>
  <dimension ref="A1:BL49"/>
  <sheetViews>
    <sheetView showGridLines="0" topLeftCell="C3" zoomScale="90" workbookViewId="0"/>
  </sheetViews>
  <sheetFormatPr defaultColWidth="9.140625" defaultRowHeight="11.25" customHeight="1"/>
  <cols>
    <col min="1" max="2" width="9.140625" style="1962" hidden="1"/>
    <col min="3" max="4" width="3.7109375" style="1962" customWidth="1"/>
    <col min="5" max="6" width="16" style="1962" customWidth="1"/>
    <col min="7" max="7" width="11.5703125" style="1962" customWidth="1"/>
    <col min="8" max="9" width="3.7109375" style="1962" customWidth="1"/>
    <col min="10" max="10" width="13.140625" style="1962" customWidth="1"/>
    <col min="11" max="11" width="0.28515625" style="1962" customWidth="1"/>
    <col min="12" max="13" width="10.7109375" style="1962" customWidth="1"/>
    <col min="14" max="15" width="3.7109375" style="1962" customWidth="1"/>
    <col min="16" max="16" width="19.7109375" style="1962" customWidth="1"/>
    <col min="17" max="17" width="0.28515625" style="1962" customWidth="1"/>
    <col min="18" max="19" width="10.7109375" style="1962" customWidth="1"/>
    <col min="20" max="21" width="3.7109375" style="1962" customWidth="1"/>
    <col min="22" max="22" width="25.7109375" style="1962" customWidth="1"/>
    <col min="23" max="23" width="0.28515625" style="1962" customWidth="1"/>
    <col min="24" max="25" width="10.7109375" style="1962" customWidth="1"/>
    <col min="26" max="27" width="3.7109375" style="1962" customWidth="1"/>
    <col min="28" max="28" width="16.42578125" style="1962" customWidth="1"/>
    <col min="29" max="29" width="0.28515625" style="1962" customWidth="1"/>
    <col min="30" max="31" width="10.7109375" style="1962" customWidth="1"/>
    <col min="32" max="33" width="3.7109375" style="1962" customWidth="1"/>
    <col min="34" max="34" width="8.7109375" style="1962" customWidth="1"/>
    <col min="35" max="35" width="21.7109375" style="1962" customWidth="1"/>
    <col min="36" max="36" width="9.140625" style="1962"/>
    <col min="37" max="37" width="9.140625" style="1955"/>
    <col min="38" max="64" width="9.140625" style="1962"/>
  </cols>
  <sheetData>
    <row r="1" spans="1:64" s="1956" customFormat="1" ht="11.25" hidden="1" customHeight="1">
      <c r="AJ1" s="328"/>
      <c r="AK1" s="328"/>
      <c r="AL1" s="328"/>
      <c r="AM1" s="328"/>
      <c r="AN1" s="328"/>
      <c r="AO1" s="328"/>
      <c r="AP1" s="328"/>
      <c r="AQ1" s="328"/>
      <c r="AR1" s="328"/>
      <c r="AS1" s="328"/>
      <c r="AT1" s="328"/>
      <c r="AU1" s="328"/>
      <c r="AV1" s="328"/>
      <c r="AW1" s="328"/>
      <c r="AX1" s="328"/>
      <c r="AY1" s="328"/>
      <c r="AZ1" s="328"/>
      <c r="BA1" s="328"/>
      <c r="BB1" s="328"/>
      <c r="BC1" s="328"/>
      <c r="BD1" s="328"/>
      <c r="BE1" s="328"/>
      <c r="BF1" s="328"/>
      <c r="BG1" s="328"/>
      <c r="BH1" s="328"/>
      <c r="BI1" s="328"/>
      <c r="BJ1" s="328"/>
      <c r="BK1" s="328"/>
      <c r="BL1" s="328"/>
    </row>
    <row r="2" spans="1:64" s="1822" customFormat="1" ht="11.25" hidden="1" customHeight="1">
      <c r="L2" s="1406" t="s">
        <v>539</v>
      </c>
      <c r="M2" s="1406" t="s">
        <v>540</v>
      </c>
      <c r="R2" s="1406" t="s">
        <v>541</v>
      </c>
      <c r="S2" s="1406" t="s">
        <v>540</v>
      </c>
      <c r="X2" s="1406" t="s">
        <v>539</v>
      </c>
      <c r="Y2" s="1406" t="s">
        <v>540</v>
      </c>
      <c r="AD2" s="1406" t="s">
        <v>539</v>
      </c>
      <c r="AE2" s="1406" t="s">
        <v>540</v>
      </c>
      <c r="AJ2" s="1426"/>
      <c r="AK2" s="1426"/>
      <c r="AL2" s="1426"/>
      <c r="AM2" s="1426"/>
      <c r="AN2" s="1426"/>
      <c r="AO2" s="1426"/>
      <c r="AP2" s="1426"/>
      <c r="AQ2" s="1426"/>
      <c r="AR2" s="1426"/>
      <c r="AS2" s="1426"/>
      <c r="AT2" s="1426"/>
      <c r="AU2" s="1426"/>
      <c r="AV2" s="1426"/>
      <c r="AW2" s="1426"/>
      <c r="AX2" s="1426"/>
      <c r="AY2" s="1426"/>
      <c r="AZ2" s="1426"/>
      <c r="BA2" s="1426"/>
      <c r="BB2" s="1426"/>
      <c r="BC2" s="1426"/>
      <c r="BD2" s="1426"/>
      <c r="BE2" s="1426"/>
      <c r="BF2" s="1426"/>
      <c r="BG2" s="1426"/>
      <c r="BH2" s="1426"/>
      <c r="BI2" s="1426"/>
      <c r="BJ2" s="1426"/>
      <c r="BK2" s="1426"/>
      <c r="BL2" s="1426"/>
    </row>
    <row r="3" spans="1:64" s="1823" customFormat="1" ht="11.25" customHeight="1">
      <c r="AJ3"/>
      <c r="AK3" s="217"/>
      <c r="AL3"/>
      <c r="AM3"/>
      <c r="AN3"/>
      <c r="AO3"/>
      <c r="AP3"/>
      <c r="AQ3"/>
      <c r="AR3"/>
      <c r="AS3"/>
      <c r="AT3"/>
      <c r="AU3"/>
      <c r="AV3"/>
      <c r="AW3"/>
      <c r="AX3"/>
      <c r="AY3"/>
      <c r="AZ3"/>
      <c r="BA3"/>
      <c r="BB3"/>
      <c r="BC3"/>
      <c r="BD3"/>
      <c r="BE3"/>
      <c r="BF3"/>
      <c r="BG3"/>
      <c r="BH3"/>
      <c r="BI3"/>
      <c r="BJ3"/>
      <c r="BK3"/>
      <c r="BL3"/>
    </row>
    <row r="4" spans="1:64" s="1932" customFormat="1" ht="33" customHeight="1">
      <c r="A4" s="1019"/>
      <c r="B4" s="1018"/>
      <c r="C4" s="1370"/>
      <c r="D4" s="3457" t="s">
        <v>542</v>
      </c>
      <c r="E4" s="3457"/>
      <c r="F4" s="3457"/>
      <c r="G4" s="3457"/>
      <c r="H4" s="3457"/>
      <c r="I4" s="3457"/>
      <c r="J4" s="3457"/>
      <c r="K4" s="590"/>
      <c r="T4" s="1407"/>
      <c r="AJ4" s="1427"/>
      <c r="AK4" s="1428"/>
      <c r="AL4" s="1427"/>
      <c r="AM4" s="1427"/>
      <c r="AN4" s="1427"/>
      <c r="AO4" s="1427"/>
      <c r="AP4" s="1427"/>
      <c r="AQ4" s="1427"/>
      <c r="AR4" s="1427"/>
      <c r="AS4" s="1427"/>
      <c r="AT4" s="1427"/>
      <c r="AU4" s="1427"/>
      <c r="AV4" s="1427"/>
      <c r="AW4" s="1427"/>
      <c r="AX4" s="1427"/>
      <c r="AY4" s="1427"/>
      <c r="AZ4" s="1427"/>
      <c r="BA4" s="1427"/>
      <c r="BB4" s="1427"/>
      <c r="BC4" s="1427"/>
      <c r="BD4" s="1427"/>
      <c r="BE4" s="1427"/>
      <c r="BF4" s="1427"/>
      <c r="BG4" s="1427"/>
      <c r="BH4" s="1427"/>
      <c r="BI4" s="1427"/>
      <c r="BJ4" s="1427"/>
      <c r="BK4" s="1427"/>
      <c r="BL4" s="1427"/>
    </row>
    <row r="5" spans="1:64" s="1932" customFormat="1" ht="14.25" customHeight="1">
      <c r="A5" s="1477"/>
      <c r="B5" s="1476"/>
      <c r="C5" s="1370"/>
      <c r="D5" s="3480" t="str">
        <f>IF(org=0,"Не определено",org)</f>
        <v>АО "Орелгортеплоэнерго"</v>
      </c>
      <c r="E5" s="3480"/>
      <c r="F5" s="3480"/>
      <c r="G5" s="3480"/>
      <c r="H5" s="3480"/>
      <c r="I5" s="3480"/>
      <c r="J5" s="3480"/>
      <c r="K5" s="590"/>
      <c r="T5" s="1407"/>
      <c r="AJ5" s="1427"/>
      <c r="AK5" s="1428"/>
      <c r="AL5" s="1427"/>
      <c r="AM5" s="1427"/>
      <c r="AN5" s="1427"/>
      <c r="AO5" s="1427"/>
      <c r="AP5" s="1427"/>
      <c r="AQ5" s="1427"/>
      <c r="AR5" s="1427"/>
      <c r="AS5" s="1427"/>
      <c r="AT5" s="1427"/>
      <c r="AU5" s="1427"/>
      <c r="AV5" s="1427"/>
      <c r="AW5" s="1427"/>
      <c r="AX5" s="1427"/>
      <c r="AY5" s="1427"/>
      <c r="AZ5" s="1427"/>
      <c r="BA5" s="1427"/>
      <c r="BB5" s="1427"/>
      <c r="BC5" s="1427"/>
      <c r="BD5" s="1427"/>
      <c r="BE5" s="1427"/>
      <c r="BF5" s="1427"/>
      <c r="BG5" s="1427"/>
      <c r="BH5" s="1427"/>
      <c r="BI5" s="1427"/>
      <c r="BJ5" s="1427"/>
      <c r="BK5" s="1427"/>
      <c r="BL5" s="1427"/>
    </row>
    <row r="6" spans="1:64" s="1932" customFormat="1" ht="14.25" customHeight="1">
      <c r="A6" s="1019"/>
      <c r="B6" s="1018"/>
      <c r="C6" s="1370"/>
      <c r="D6" s="590"/>
      <c r="E6" s="590"/>
      <c r="F6" s="590"/>
      <c r="G6" s="590"/>
      <c r="H6" s="590"/>
      <c r="I6" s="590"/>
      <c r="J6" s="590"/>
      <c r="K6" s="590"/>
      <c r="T6" s="1407"/>
      <c r="AJ6" s="1427"/>
      <c r="AK6" s="1428"/>
      <c r="AL6" s="1427"/>
      <c r="AM6" s="1427"/>
      <c r="AN6" s="1427"/>
      <c r="AO6" s="1427"/>
      <c r="AP6" s="1427"/>
      <c r="AQ6" s="1427"/>
      <c r="AR6" s="1427"/>
      <c r="AS6" s="1427"/>
      <c r="AT6" s="1427"/>
      <c r="AU6" s="1427"/>
      <c r="AV6" s="1427"/>
      <c r="AW6" s="1427"/>
      <c r="AX6" s="1427"/>
      <c r="AY6" s="1427"/>
      <c r="AZ6" s="1427"/>
      <c r="BA6" s="1427"/>
      <c r="BB6" s="1427"/>
      <c r="BC6" s="1427"/>
      <c r="BD6" s="1427"/>
      <c r="BE6" s="1427"/>
      <c r="BF6" s="1427"/>
      <c r="BG6" s="1427"/>
      <c r="BH6" s="1427"/>
      <c r="BI6" s="1427"/>
      <c r="BJ6" s="1427"/>
      <c r="BK6" s="1427"/>
      <c r="BL6" s="1427"/>
    </row>
    <row r="7" spans="1:64" s="1956" customFormat="1" ht="0.75" customHeight="1">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8"/>
      <c r="BL7" s="328"/>
    </row>
    <row r="8" spans="1:64" ht="31.5" customHeight="1">
      <c r="D8" s="3401" t="s">
        <v>85</v>
      </c>
      <c r="E8" s="3401" t="s">
        <v>102</v>
      </c>
      <c r="F8" s="3459" t="s">
        <v>390</v>
      </c>
      <c r="G8" s="3460"/>
      <c r="H8" s="3459" t="s">
        <v>85</v>
      </c>
      <c r="I8" s="3460"/>
      <c r="J8" s="3401" t="s">
        <v>391</v>
      </c>
      <c r="K8" s="1408"/>
      <c r="L8" s="3458" t="s">
        <v>543</v>
      </c>
      <c r="M8" s="3458"/>
      <c r="N8" s="3458"/>
      <c r="O8" s="3458"/>
      <c r="P8" s="3458"/>
      <c r="Q8" s="1409"/>
      <c r="R8" s="3383" t="s">
        <v>544</v>
      </c>
      <c r="S8" s="3388"/>
      <c r="T8" s="3388"/>
      <c r="U8" s="3388"/>
      <c r="V8" s="3388"/>
      <c r="W8" s="1409"/>
      <c r="X8" s="3401" t="s">
        <v>545</v>
      </c>
      <c r="Y8" s="3401"/>
      <c r="Z8" s="3401"/>
      <c r="AA8" s="3401"/>
      <c r="AB8" s="3401"/>
      <c r="AC8" s="1410"/>
      <c r="AD8" s="3401" t="s">
        <v>546</v>
      </c>
      <c r="AE8" s="3401"/>
      <c r="AF8" s="3401"/>
      <c r="AG8" s="3401"/>
      <c r="AH8" s="3383"/>
      <c r="AI8" s="3401" t="s">
        <v>547</v>
      </c>
      <c r="AJ8"/>
    </row>
    <row r="9" spans="1:64" ht="22.5" customHeight="1">
      <c r="D9" s="3401"/>
      <c r="E9" s="3401"/>
      <c r="F9" s="3458" t="s">
        <v>86</v>
      </c>
      <c r="G9" s="3458" t="s">
        <v>396</v>
      </c>
      <c r="H9" s="3461"/>
      <c r="I9" s="3462"/>
      <c r="J9" s="3383"/>
      <c r="K9" s="1411"/>
      <c r="L9" s="3401" t="s">
        <v>548</v>
      </c>
      <c r="M9" s="3383"/>
      <c r="N9" s="3459" t="s">
        <v>85</v>
      </c>
      <c r="O9" s="3460"/>
      <c r="P9" s="3401" t="s">
        <v>397</v>
      </c>
      <c r="Q9" s="1408"/>
      <c r="R9" s="3401" t="s">
        <v>548</v>
      </c>
      <c r="S9" s="3383"/>
      <c r="T9" s="3459" t="s">
        <v>85</v>
      </c>
      <c r="U9" s="3460"/>
      <c r="V9" s="3401" t="s">
        <v>397</v>
      </c>
      <c r="W9" s="1408"/>
      <c r="X9" s="3401" t="s">
        <v>548</v>
      </c>
      <c r="Y9" s="3383"/>
      <c r="Z9" s="3459" t="s">
        <v>85</v>
      </c>
      <c r="AA9" s="3460"/>
      <c r="AB9" s="3401" t="s">
        <v>549</v>
      </c>
      <c r="AC9" s="1408"/>
      <c r="AD9" s="3401" t="s">
        <v>548</v>
      </c>
      <c r="AE9" s="3383"/>
      <c r="AF9" s="3459" t="s">
        <v>85</v>
      </c>
      <c r="AG9" s="3460"/>
      <c r="AH9" s="3383" t="s">
        <v>549</v>
      </c>
      <c r="AI9" s="3401"/>
      <c r="AJ9"/>
    </row>
    <row r="10" spans="1:64" ht="22.5" customHeight="1">
      <c r="D10" s="3458"/>
      <c r="E10" s="3458"/>
      <c r="F10" s="3463"/>
      <c r="G10" s="3463"/>
      <c r="H10" s="3464"/>
      <c r="I10" s="3465"/>
      <c r="J10" s="3459"/>
      <c r="K10" s="1411"/>
      <c r="L10" s="1429" t="s">
        <v>550</v>
      </c>
      <c r="M10" s="1425" t="s">
        <v>551</v>
      </c>
      <c r="N10" s="3461"/>
      <c r="O10" s="3462"/>
      <c r="P10" s="3458"/>
      <c r="Q10" s="1408"/>
      <c r="R10" s="1429" t="s">
        <v>550</v>
      </c>
      <c r="S10" s="1425" t="s">
        <v>551</v>
      </c>
      <c r="T10" s="3461"/>
      <c r="U10" s="3462"/>
      <c r="V10" s="3458"/>
      <c r="W10" s="1408"/>
      <c r="X10" s="1429" t="s">
        <v>550</v>
      </c>
      <c r="Y10" s="1425" t="s">
        <v>551</v>
      </c>
      <c r="Z10" s="3461"/>
      <c r="AA10" s="3462"/>
      <c r="AB10" s="3458"/>
      <c r="AC10" s="1408"/>
      <c r="AD10" s="1429" t="s">
        <v>550</v>
      </c>
      <c r="AE10" s="1425" t="s">
        <v>551</v>
      </c>
      <c r="AF10" s="3461"/>
      <c r="AG10" s="3462"/>
      <c r="AH10" s="3459"/>
      <c r="AI10" s="3458"/>
      <c r="AJ10"/>
      <c r="AK10" s="168" t="s">
        <v>552</v>
      </c>
      <c r="AL10" s="168" t="s">
        <v>398</v>
      </c>
    </row>
    <row r="11" spans="1:64" ht="14.25" customHeight="1">
      <c r="D11" s="3466" t="s">
        <v>106</v>
      </c>
      <c r="E11" s="3468" t="s">
        <v>553</v>
      </c>
      <c r="F11" s="3468" t="s">
        <v>554</v>
      </c>
      <c r="G11" s="3471" t="s">
        <v>54</v>
      </c>
      <c r="H11" s="1450"/>
      <c r="I11" s="3473"/>
      <c r="J11" s="3436"/>
      <c r="K11" s="1369"/>
      <c r="L11" s="3420"/>
      <c r="M11" s="3420"/>
      <c r="N11" s="1435"/>
      <c r="O11" s="3420"/>
      <c r="P11" s="3436"/>
      <c r="Q11" s="1436"/>
      <c r="R11" s="3420"/>
      <c r="S11" s="3420"/>
      <c r="T11" s="1437"/>
      <c r="U11" s="3420"/>
      <c r="V11" s="3436"/>
      <c r="W11" s="1438"/>
      <c r="X11" s="3420"/>
      <c r="Y11" s="3420"/>
      <c r="Z11" s="1435"/>
      <c r="AA11" s="3420"/>
      <c r="AB11" s="3436"/>
      <c r="AC11" s="1439"/>
      <c r="AD11" s="3420"/>
      <c r="AE11" s="3420"/>
      <c r="AF11" s="1368"/>
      <c r="AG11" s="1368"/>
      <c r="AH11" s="1440"/>
      <c r="AI11" s="1160"/>
      <c r="AJ11"/>
    </row>
    <row r="12" spans="1:64" ht="14.25" customHeight="1">
      <c r="D12" s="3466"/>
      <c r="E12" s="3468"/>
      <c r="F12" s="3468"/>
      <c r="G12" s="3472"/>
      <c r="H12" s="1451"/>
      <c r="I12" s="3474"/>
      <c r="J12" s="3437"/>
      <c r="K12" s="1458"/>
      <c r="L12" s="3421"/>
      <c r="M12" s="3421"/>
      <c r="N12" s="1441"/>
      <c r="O12" s="3421"/>
      <c r="P12" s="3437"/>
      <c r="Q12" s="1442"/>
      <c r="R12" s="3421"/>
      <c r="S12" s="3421"/>
      <c r="T12" s="1443"/>
      <c r="U12" s="3421"/>
      <c r="V12" s="3437"/>
      <c r="W12" s="1444"/>
      <c r="X12" s="3421"/>
      <c r="Y12" s="3421"/>
      <c r="Z12" s="1441"/>
      <c r="AA12" s="3421"/>
      <c r="AB12" s="3437"/>
      <c r="AC12" s="1445"/>
      <c r="AD12" s="3421"/>
      <c r="AE12" s="3421"/>
      <c r="AF12" s="1446"/>
      <c r="AG12" s="1446"/>
      <c r="AH12" s="3477"/>
      <c r="AI12" s="3478"/>
      <c r="AJ12"/>
    </row>
    <row r="13" spans="1:64" ht="14.25" customHeight="1">
      <c r="D13" s="3466"/>
      <c r="E13" s="3468"/>
      <c r="F13" s="3468"/>
      <c r="G13" s="3472"/>
      <c r="H13" s="1451"/>
      <c r="I13" s="3474"/>
      <c r="J13" s="3437"/>
      <c r="K13" s="1458"/>
      <c r="L13" s="3421"/>
      <c r="M13" s="3421"/>
      <c r="N13" s="1441"/>
      <c r="O13" s="3421"/>
      <c r="P13" s="3437"/>
      <c r="Q13" s="1442"/>
      <c r="R13" s="3421"/>
      <c r="S13" s="3421"/>
      <c r="T13" s="1443"/>
      <c r="U13" s="3421"/>
      <c r="V13" s="3437"/>
      <c r="W13" s="1444"/>
      <c r="X13" s="3421"/>
      <c r="Y13" s="3421"/>
      <c r="Z13" s="1367"/>
      <c r="AA13" s="1446"/>
      <c r="AB13" s="3477"/>
      <c r="AC13" s="3477"/>
      <c r="AD13" s="3477"/>
      <c r="AE13" s="3477"/>
      <c r="AF13" s="3477"/>
      <c r="AG13" s="3477"/>
      <c r="AH13" s="3477"/>
      <c r="AI13" s="3478"/>
      <c r="AJ13"/>
    </row>
    <row r="14" spans="1:64" ht="14.25" customHeight="1">
      <c r="D14" s="3466"/>
      <c r="E14" s="3468"/>
      <c r="F14" s="3468"/>
      <c r="G14" s="3472"/>
      <c r="H14" s="1451"/>
      <c r="I14" s="3474"/>
      <c r="J14" s="3437"/>
      <c r="K14" s="1458"/>
      <c r="L14" s="3421"/>
      <c r="M14" s="3421"/>
      <c r="N14" s="1441"/>
      <c r="O14" s="3421"/>
      <c r="P14" s="3437"/>
      <c r="Q14" s="1442"/>
      <c r="R14" s="3421"/>
      <c r="S14" s="3421"/>
      <c r="T14" s="1447"/>
      <c r="U14" s="1448"/>
      <c r="V14" s="3477"/>
      <c r="W14" s="3477"/>
      <c r="X14" s="3477"/>
      <c r="Y14" s="3477"/>
      <c r="Z14" s="3477"/>
      <c r="AA14" s="3477"/>
      <c r="AB14" s="3477"/>
      <c r="AC14" s="3477"/>
      <c r="AD14" s="3477"/>
      <c r="AE14" s="3477"/>
      <c r="AF14" s="3477"/>
      <c r="AG14" s="3477"/>
      <c r="AH14" s="3477"/>
      <c r="AI14" s="3478"/>
      <c r="AJ14"/>
    </row>
    <row r="15" spans="1:64" ht="11.25" customHeight="1">
      <c r="D15" s="3466"/>
      <c r="E15" s="3468"/>
      <c r="F15" s="3468"/>
      <c r="G15" s="3472"/>
      <c r="H15" s="1452"/>
      <c r="I15" s="3474"/>
      <c r="J15" s="3437"/>
      <c r="K15" s="1458"/>
      <c r="L15" s="3421"/>
      <c r="M15" s="3421"/>
      <c r="N15" s="1446"/>
      <c r="O15" s="1446"/>
      <c r="P15" s="3477"/>
      <c r="Q15" s="3477"/>
      <c r="R15" s="3477"/>
      <c r="S15" s="3477"/>
      <c r="T15" s="3477"/>
      <c r="U15" s="3477"/>
      <c r="V15" s="3477"/>
      <c r="W15" s="3477"/>
      <c r="X15" s="3477"/>
      <c r="Y15" s="3477"/>
      <c r="Z15" s="3477"/>
      <c r="AA15" s="3477"/>
      <c r="AB15" s="3477"/>
      <c r="AC15" s="3477"/>
      <c r="AD15" s="3477"/>
      <c r="AE15" s="3477"/>
      <c r="AF15" s="3477"/>
      <c r="AG15" s="3477"/>
      <c r="AH15" s="3477"/>
      <c r="AI15" s="3478"/>
      <c r="AJ15"/>
    </row>
    <row r="16" spans="1:64" s="1823" customFormat="1" ht="11.25" customHeight="1">
      <c r="D16" s="3467"/>
      <c r="E16" s="3469"/>
      <c r="F16" s="3470"/>
      <c r="G16" s="3417"/>
      <c r="H16" s="1449"/>
      <c r="I16" s="1453"/>
      <c r="J16" s="3475"/>
      <c r="K16" s="3475"/>
      <c r="L16" s="3475"/>
      <c r="M16" s="3475"/>
      <c r="N16" s="3475"/>
      <c r="O16" s="3475"/>
      <c r="P16" s="3475"/>
      <c r="Q16" s="3475"/>
      <c r="R16" s="3475"/>
      <c r="S16" s="3475"/>
      <c r="T16" s="3475"/>
      <c r="U16" s="3475"/>
      <c r="V16" s="3475"/>
      <c r="W16" s="3475"/>
      <c r="X16" s="3475"/>
      <c r="Y16" s="3475"/>
      <c r="Z16" s="3475"/>
      <c r="AA16" s="3475"/>
      <c r="AB16" s="3475"/>
      <c r="AC16" s="3475"/>
      <c r="AD16" s="3475"/>
      <c r="AE16" s="3475"/>
      <c r="AF16" s="3475"/>
      <c r="AG16" s="3475"/>
      <c r="AH16" s="3475"/>
      <c r="AI16" s="3476"/>
      <c r="AJ16"/>
      <c r="AK16" s="217"/>
      <c r="AL16"/>
      <c r="AM16"/>
      <c r="AN16"/>
      <c r="AO16"/>
      <c r="AP16"/>
      <c r="AQ16"/>
      <c r="AR16"/>
      <c r="AS16"/>
      <c r="AT16"/>
      <c r="AU16"/>
      <c r="AV16"/>
      <c r="AW16"/>
      <c r="AX16"/>
      <c r="AY16"/>
      <c r="AZ16"/>
      <c r="BA16"/>
      <c r="BB16"/>
      <c r="BC16"/>
      <c r="BD16"/>
      <c r="BE16"/>
      <c r="BF16"/>
      <c r="BG16"/>
      <c r="BH16"/>
      <c r="BI16"/>
      <c r="BJ16"/>
      <c r="BK16"/>
      <c r="BL16"/>
    </row>
    <row r="17" spans="4:64" ht="14.25" customHeight="1">
      <c r="D17" s="3466" t="s">
        <v>107</v>
      </c>
      <c r="E17" s="3468" t="s">
        <v>553</v>
      </c>
      <c r="F17" s="3468" t="s">
        <v>555</v>
      </c>
      <c r="G17" s="3471" t="s">
        <v>54</v>
      </c>
      <c r="H17" s="1450"/>
      <c r="I17" s="3473"/>
      <c r="J17" s="3436"/>
      <c r="K17" s="1369"/>
      <c r="L17" s="3420"/>
      <c r="M17" s="3420"/>
      <c r="N17" s="1435"/>
      <c r="O17" s="3420"/>
      <c r="P17" s="3436"/>
      <c r="Q17" s="1436"/>
      <c r="R17" s="3420"/>
      <c r="S17" s="3420"/>
      <c r="T17" s="1437"/>
      <c r="U17" s="3420"/>
      <c r="V17" s="3436"/>
      <c r="W17" s="1438"/>
      <c r="X17" s="3420"/>
      <c r="Y17" s="3420"/>
      <c r="Z17" s="1435"/>
      <c r="AA17" s="3420"/>
      <c r="AB17" s="3436"/>
      <c r="AC17" s="1439"/>
      <c r="AD17" s="3420"/>
      <c r="AE17" s="3420"/>
      <c r="AF17" s="1368"/>
      <c r="AG17" s="1368"/>
      <c r="AH17" s="1440"/>
      <c r="AI17" s="1160"/>
      <c r="AJ17"/>
    </row>
    <row r="18" spans="4:64" ht="14.25" customHeight="1">
      <c r="D18" s="3466"/>
      <c r="E18" s="3468"/>
      <c r="F18" s="3468"/>
      <c r="G18" s="3472"/>
      <c r="H18" s="1451"/>
      <c r="I18" s="3474"/>
      <c r="J18" s="3437"/>
      <c r="K18" s="1434"/>
      <c r="L18" s="3421"/>
      <c r="M18" s="3421"/>
      <c r="N18" s="1441"/>
      <c r="O18" s="3421"/>
      <c r="P18" s="3437"/>
      <c r="Q18" s="1442"/>
      <c r="R18" s="3421"/>
      <c r="S18" s="3421"/>
      <c r="T18" s="1443"/>
      <c r="U18" s="3421"/>
      <c r="V18" s="3437"/>
      <c r="W18" s="1444"/>
      <c r="X18" s="3421"/>
      <c r="Y18" s="3421"/>
      <c r="Z18" s="1441"/>
      <c r="AA18" s="3421"/>
      <c r="AB18" s="3437"/>
      <c r="AC18" s="1445"/>
      <c r="AD18" s="3421"/>
      <c r="AE18" s="3421"/>
      <c r="AF18" s="1446"/>
      <c r="AG18" s="1446"/>
      <c r="AH18" s="3477"/>
      <c r="AI18" s="3478"/>
      <c r="AJ18"/>
    </row>
    <row r="19" spans="4:64" ht="14.25" customHeight="1">
      <c r="D19" s="3466"/>
      <c r="E19" s="3468"/>
      <c r="F19" s="3468"/>
      <c r="G19" s="3472"/>
      <c r="H19" s="1451"/>
      <c r="I19" s="3474"/>
      <c r="J19" s="3437"/>
      <c r="K19" s="1434"/>
      <c r="L19" s="3421"/>
      <c r="M19" s="3421"/>
      <c r="N19" s="1441"/>
      <c r="O19" s="3421"/>
      <c r="P19" s="3437"/>
      <c r="Q19" s="1442"/>
      <c r="R19" s="3421"/>
      <c r="S19" s="3421"/>
      <c r="T19" s="1443"/>
      <c r="U19" s="3421"/>
      <c r="V19" s="3437"/>
      <c r="W19" s="1444"/>
      <c r="X19" s="3421"/>
      <c r="Y19" s="3421"/>
      <c r="Z19" s="1367"/>
      <c r="AA19" s="1446"/>
      <c r="AB19" s="3477"/>
      <c r="AC19" s="3477"/>
      <c r="AD19" s="3477"/>
      <c r="AE19" s="3477"/>
      <c r="AF19" s="3477"/>
      <c r="AG19" s="3477"/>
      <c r="AH19" s="3477"/>
      <c r="AI19" s="3478"/>
      <c r="AJ19"/>
    </row>
    <row r="20" spans="4:64" ht="14.25" customHeight="1">
      <c r="D20" s="3466"/>
      <c r="E20" s="3468"/>
      <c r="F20" s="3468"/>
      <c r="G20" s="3472"/>
      <c r="H20" s="1451"/>
      <c r="I20" s="3474"/>
      <c r="J20" s="3437"/>
      <c r="K20" s="1434"/>
      <c r="L20" s="3421"/>
      <c r="M20" s="3421"/>
      <c r="N20" s="1441"/>
      <c r="O20" s="3421"/>
      <c r="P20" s="3437"/>
      <c r="Q20" s="1442"/>
      <c r="R20" s="3421"/>
      <c r="S20" s="3421"/>
      <c r="T20" s="1447"/>
      <c r="U20" s="1448"/>
      <c r="V20" s="3477"/>
      <c r="W20" s="3477"/>
      <c r="X20" s="3477"/>
      <c r="Y20" s="3477"/>
      <c r="Z20" s="3477"/>
      <c r="AA20" s="3477"/>
      <c r="AB20" s="3477"/>
      <c r="AC20" s="3477"/>
      <c r="AD20" s="3477"/>
      <c r="AE20" s="3477"/>
      <c r="AF20" s="3477"/>
      <c r="AG20" s="3477"/>
      <c r="AH20" s="3477"/>
      <c r="AI20" s="3478"/>
      <c r="AJ20"/>
    </row>
    <row r="21" spans="4:64" ht="11.25" customHeight="1">
      <c r="D21" s="3466"/>
      <c r="E21" s="3468"/>
      <c r="F21" s="3468"/>
      <c r="G21" s="3472"/>
      <c r="H21" s="1452"/>
      <c r="I21" s="3474"/>
      <c r="J21" s="3437"/>
      <c r="K21" s="1434"/>
      <c r="L21" s="3421"/>
      <c r="M21" s="3421"/>
      <c r="N21" s="1446"/>
      <c r="O21" s="1446"/>
      <c r="P21" s="3477"/>
      <c r="Q21" s="3477"/>
      <c r="R21" s="3477"/>
      <c r="S21" s="3477"/>
      <c r="T21" s="3477"/>
      <c r="U21" s="3477"/>
      <c r="V21" s="3477"/>
      <c r="W21" s="3477"/>
      <c r="X21" s="3477"/>
      <c r="Y21" s="3477"/>
      <c r="Z21" s="3477"/>
      <c r="AA21" s="3477"/>
      <c r="AB21" s="3477"/>
      <c r="AC21" s="3477"/>
      <c r="AD21" s="3477"/>
      <c r="AE21" s="3477"/>
      <c r="AF21" s="3477"/>
      <c r="AG21" s="3477"/>
      <c r="AH21" s="3477"/>
      <c r="AI21" s="3478"/>
      <c r="AJ21"/>
    </row>
    <row r="22" spans="4:64" s="1823" customFormat="1" ht="11.25" customHeight="1">
      <c r="D22" s="3467"/>
      <c r="E22" s="3469"/>
      <c r="F22" s="3470"/>
      <c r="G22" s="3417"/>
      <c r="H22" s="1449"/>
      <c r="I22" s="1453"/>
      <c r="J22" s="3475"/>
      <c r="K22" s="3475"/>
      <c r="L22" s="3475"/>
      <c r="M22" s="3475"/>
      <c r="N22" s="3475"/>
      <c r="O22" s="3475"/>
      <c r="P22" s="3475"/>
      <c r="Q22" s="3475"/>
      <c r="R22" s="3475"/>
      <c r="S22" s="3475"/>
      <c r="T22" s="3475"/>
      <c r="U22" s="3475"/>
      <c r="V22" s="3475"/>
      <c r="W22" s="3475"/>
      <c r="X22" s="3475"/>
      <c r="Y22" s="3475"/>
      <c r="Z22" s="3475"/>
      <c r="AA22" s="3475"/>
      <c r="AB22" s="3475"/>
      <c r="AC22" s="3475"/>
      <c r="AD22" s="3475"/>
      <c r="AE22" s="3475"/>
      <c r="AF22" s="3475"/>
      <c r="AG22" s="3475"/>
      <c r="AH22" s="3475"/>
      <c r="AI22" s="3476"/>
      <c r="AJ22"/>
      <c r="AK22" s="217"/>
      <c r="AL22"/>
      <c r="AM22"/>
      <c r="AN22"/>
      <c r="AO22"/>
      <c r="AP22"/>
      <c r="AQ22"/>
      <c r="AR22"/>
      <c r="AS22"/>
      <c r="AT22"/>
      <c r="AU22"/>
      <c r="AV22"/>
      <c r="AW22"/>
      <c r="AX22"/>
      <c r="AY22"/>
      <c r="AZ22"/>
      <c r="BA22"/>
      <c r="BB22"/>
      <c r="BC22"/>
      <c r="BD22"/>
      <c r="BE22"/>
      <c r="BF22"/>
      <c r="BG22"/>
      <c r="BH22"/>
      <c r="BI22"/>
      <c r="BJ22"/>
      <c r="BK22"/>
      <c r="BL22"/>
    </row>
    <row r="23" spans="4:64" ht="14.25" customHeight="1">
      <c r="D23" s="3466" t="s">
        <v>87</v>
      </c>
      <c r="E23" s="3468" t="s">
        <v>553</v>
      </c>
      <c r="F23" s="3468" t="s">
        <v>556</v>
      </c>
      <c r="G23" s="3471" t="s">
        <v>54</v>
      </c>
      <c r="H23" s="1450"/>
      <c r="I23" s="3473"/>
      <c r="J23" s="3436"/>
      <c r="K23" s="1369"/>
      <c r="L23" s="3420"/>
      <c r="M23" s="3420"/>
      <c r="N23" s="1435"/>
      <c r="O23" s="3420"/>
      <c r="P23" s="3436"/>
      <c r="Q23" s="1436"/>
      <c r="R23" s="3420"/>
      <c r="S23" s="3420"/>
      <c r="T23" s="1437"/>
      <c r="U23" s="3420"/>
      <c r="V23" s="3436"/>
      <c r="W23" s="1438"/>
      <c r="X23" s="3420"/>
      <c r="Y23" s="3420"/>
      <c r="Z23" s="1435"/>
      <c r="AA23" s="3420"/>
      <c r="AB23" s="3436"/>
      <c r="AC23" s="1439"/>
      <c r="AD23" s="3420"/>
      <c r="AE23" s="3420"/>
      <c r="AF23" s="1368"/>
      <c r="AG23" s="1368"/>
      <c r="AH23" s="1440"/>
      <c r="AI23" s="1160"/>
      <c r="AJ23"/>
      <c r="AK23" s="217" t="s">
        <v>95</v>
      </c>
    </row>
    <row r="24" spans="4:64" ht="14.25" customHeight="1">
      <c r="D24" s="3466"/>
      <c r="E24" s="3468"/>
      <c r="F24" s="3468"/>
      <c r="G24" s="3472"/>
      <c r="H24" s="1451"/>
      <c r="I24" s="3474"/>
      <c r="J24" s="3437"/>
      <c r="K24" s="1458"/>
      <c r="L24" s="3421"/>
      <c r="M24" s="3421"/>
      <c r="N24" s="1441"/>
      <c r="O24" s="3421"/>
      <c r="P24" s="3437"/>
      <c r="Q24" s="1442"/>
      <c r="R24" s="3421"/>
      <c r="S24" s="3421"/>
      <c r="T24" s="1443"/>
      <c r="U24" s="3421"/>
      <c r="V24" s="3437"/>
      <c r="W24" s="1444"/>
      <c r="X24" s="3421"/>
      <c r="Y24" s="3421"/>
      <c r="Z24" s="1441"/>
      <c r="AA24" s="3421"/>
      <c r="AB24" s="3437"/>
      <c r="AC24" s="1445"/>
      <c r="AD24" s="3421"/>
      <c r="AE24" s="3421"/>
      <c r="AF24" s="1446"/>
      <c r="AG24" s="1446"/>
      <c r="AH24" s="3477"/>
      <c r="AI24" s="3478"/>
      <c r="AJ24"/>
    </row>
    <row r="25" spans="4:64" ht="14.25" customHeight="1">
      <c r="D25" s="3466"/>
      <c r="E25" s="3468"/>
      <c r="F25" s="3468"/>
      <c r="G25" s="3472"/>
      <c r="H25" s="1451"/>
      <c r="I25" s="3474"/>
      <c r="J25" s="3437"/>
      <c r="K25" s="1458"/>
      <c r="L25" s="3421"/>
      <c r="M25" s="3421"/>
      <c r="N25" s="1441"/>
      <c r="O25" s="3421"/>
      <c r="P25" s="3437"/>
      <c r="Q25" s="1442"/>
      <c r="R25" s="3421"/>
      <c r="S25" s="3421"/>
      <c r="T25" s="1443"/>
      <c r="U25" s="3421"/>
      <c r="V25" s="3437"/>
      <c r="W25" s="1444"/>
      <c r="X25" s="3421"/>
      <c r="Y25" s="3421"/>
      <c r="Z25" s="1367"/>
      <c r="AA25" s="1446"/>
      <c r="AB25" s="3477"/>
      <c r="AC25" s="3477"/>
      <c r="AD25" s="3477"/>
      <c r="AE25" s="3477"/>
      <c r="AF25" s="3477"/>
      <c r="AG25" s="3477"/>
      <c r="AH25" s="3477"/>
      <c r="AI25" s="3478"/>
      <c r="AJ25"/>
    </row>
    <row r="26" spans="4:64" ht="14.25" customHeight="1">
      <c r="D26" s="3466"/>
      <c r="E26" s="3468"/>
      <c r="F26" s="3468"/>
      <c r="G26" s="3472"/>
      <c r="H26" s="1451"/>
      <c r="I26" s="3474"/>
      <c r="J26" s="3437"/>
      <c r="K26" s="1458"/>
      <c r="L26" s="3421"/>
      <c r="M26" s="3421"/>
      <c r="N26" s="1441"/>
      <c r="O26" s="3421"/>
      <c r="P26" s="3437"/>
      <c r="Q26" s="1442"/>
      <c r="R26" s="3421"/>
      <c r="S26" s="3421"/>
      <c r="T26" s="1447"/>
      <c r="U26" s="1448"/>
      <c r="V26" s="3477"/>
      <c r="W26" s="3477"/>
      <c r="X26" s="3477"/>
      <c r="Y26" s="3477"/>
      <c r="Z26" s="3477"/>
      <c r="AA26" s="3477"/>
      <c r="AB26" s="3477"/>
      <c r="AC26" s="3477"/>
      <c r="AD26" s="3477"/>
      <c r="AE26" s="3477"/>
      <c r="AF26" s="3477"/>
      <c r="AG26" s="3477"/>
      <c r="AH26" s="3477"/>
      <c r="AI26" s="3478"/>
      <c r="AJ26"/>
    </row>
    <row r="27" spans="4:64" ht="11.25" customHeight="1">
      <c r="D27" s="3466"/>
      <c r="E27" s="3468"/>
      <c r="F27" s="3468"/>
      <c r="G27" s="3472"/>
      <c r="H27" s="1452"/>
      <c r="I27" s="3474"/>
      <c r="J27" s="3437"/>
      <c r="K27" s="1458"/>
      <c r="L27" s="3421"/>
      <c r="M27" s="3421"/>
      <c r="N27" s="1446"/>
      <c r="O27" s="1446"/>
      <c r="P27" s="3477"/>
      <c r="Q27" s="3477"/>
      <c r="R27" s="3477"/>
      <c r="S27" s="3477"/>
      <c r="T27" s="3477"/>
      <c r="U27" s="3477"/>
      <c r="V27" s="3477"/>
      <c r="W27" s="3477"/>
      <c r="X27" s="3477"/>
      <c r="Y27" s="3477"/>
      <c r="Z27" s="3477"/>
      <c r="AA27" s="3477"/>
      <c r="AB27" s="3477"/>
      <c r="AC27" s="3477"/>
      <c r="AD27" s="3477"/>
      <c r="AE27" s="3477"/>
      <c r="AF27" s="3477"/>
      <c r="AG27" s="3477"/>
      <c r="AH27" s="3477"/>
      <c r="AI27" s="3478"/>
      <c r="AJ27"/>
    </row>
    <row r="28" spans="4:64" s="1823" customFormat="1" ht="11.25" customHeight="1">
      <c r="D28" s="3467"/>
      <c r="E28" s="3469"/>
      <c r="F28" s="3470"/>
      <c r="G28" s="3417"/>
      <c r="H28" s="1449"/>
      <c r="I28" s="1453"/>
      <c r="J28" s="3475"/>
      <c r="K28" s="3475"/>
      <c r="L28" s="3475"/>
      <c r="M28" s="3475"/>
      <c r="N28" s="3475"/>
      <c r="O28" s="3475"/>
      <c r="P28" s="3475"/>
      <c r="Q28" s="3475"/>
      <c r="R28" s="3475"/>
      <c r="S28" s="3475"/>
      <c r="T28" s="3475"/>
      <c r="U28" s="3475"/>
      <c r="V28" s="3475"/>
      <c r="W28" s="3475"/>
      <c r="X28" s="3475"/>
      <c r="Y28" s="3475"/>
      <c r="Z28" s="3475"/>
      <c r="AA28" s="3475"/>
      <c r="AB28" s="3475"/>
      <c r="AC28" s="3475"/>
      <c r="AD28" s="3475"/>
      <c r="AE28" s="3475"/>
      <c r="AF28" s="3475"/>
      <c r="AG28" s="3475"/>
      <c r="AH28" s="3475"/>
      <c r="AI28" s="3476"/>
      <c r="AJ28"/>
      <c r="AK28" s="217"/>
      <c r="AL28"/>
      <c r="AM28"/>
      <c r="AN28"/>
      <c r="AO28"/>
      <c r="AP28"/>
      <c r="AQ28"/>
      <c r="AR28"/>
      <c r="AS28"/>
      <c r="AT28"/>
      <c r="AU28"/>
      <c r="AV28"/>
      <c r="AW28"/>
      <c r="AX28"/>
      <c r="AY28"/>
      <c r="AZ28"/>
      <c r="BA28"/>
      <c r="BB28"/>
      <c r="BC28"/>
      <c r="BD28"/>
      <c r="BE28"/>
      <c r="BF28"/>
      <c r="BG28"/>
      <c r="BH28"/>
      <c r="BI28"/>
      <c r="BJ28"/>
      <c r="BK28"/>
      <c r="BL28"/>
    </row>
    <row r="29" spans="4:64" ht="14.25" customHeight="1">
      <c r="D29" s="3466" t="s">
        <v>88</v>
      </c>
      <c r="E29" s="3468" t="s">
        <v>553</v>
      </c>
      <c r="F29" s="3468" t="s">
        <v>557</v>
      </c>
      <c r="G29" s="3471" t="s">
        <v>54</v>
      </c>
      <c r="H29" s="1450"/>
      <c r="I29" s="3473"/>
      <c r="J29" s="3436"/>
      <c r="K29" s="1369"/>
      <c r="L29" s="3420"/>
      <c r="M29" s="3420"/>
      <c r="N29" s="1435"/>
      <c r="O29" s="3420"/>
      <c r="P29" s="3436"/>
      <c r="Q29" s="1436"/>
      <c r="R29" s="3420"/>
      <c r="S29" s="3420"/>
      <c r="T29" s="1437"/>
      <c r="U29" s="3420"/>
      <c r="V29" s="3436"/>
      <c r="W29" s="1438"/>
      <c r="X29" s="3420"/>
      <c r="Y29" s="3420"/>
      <c r="Z29" s="1435"/>
      <c r="AA29" s="3420"/>
      <c r="AB29" s="3436"/>
      <c r="AC29" s="1439"/>
      <c r="AD29" s="3420"/>
      <c r="AE29" s="3420"/>
      <c r="AF29" s="1368"/>
      <c r="AG29" s="1368"/>
      <c r="AH29" s="1440"/>
      <c r="AI29" s="1160"/>
      <c r="AJ29"/>
    </row>
    <row r="30" spans="4:64" ht="14.25" customHeight="1">
      <c r="D30" s="3466"/>
      <c r="E30" s="3468"/>
      <c r="F30" s="3468"/>
      <c r="G30" s="3472"/>
      <c r="H30" s="1451"/>
      <c r="I30" s="3474"/>
      <c r="J30" s="3437"/>
      <c r="K30" s="1434"/>
      <c r="L30" s="3421"/>
      <c r="M30" s="3421"/>
      <c r="N30" s="1441"/>
      <c r="O30" s="3421"/>
      <c r="P30" s="3437"/>
      <c r="Q30" s="1442"/>
      <c r="R30" s="3421"/>
      <c r="S30" s="3421"/>
      <c r="T30" s="1443"/>
      <c r="U30" s="3421"/>
      <c r="V30" s="3437"/>
      <c r="W30" s="1444"/>
      <c r="X30" s="3421"/>
      <c r="Y30" s="3421"/>
      <c r="Z30" s="1441"/>
      <c r="AA30" s="3421"/>
      <c r="AB30" s="3437"/>
      <c r="AC30" s="1445"/>
      <c r="AD30" s="3421"/>
      <c r="AE30" s="3421"/>
      <c r="AF30" s="1446"/>
      <c r="AG30" s="1446"/>
      <c r="AH30" s="3477"/>
      <c r="AI30" s="3478"/>
      <c r="AJ30"/>
    </row>
    <row r="31" spans="4:64" ht="14.25" customHeight="1">
      <c r="D31" s="3466"/>
      <c r="E31" s="3468"/>
      <c r="F31" s="3468"/>
      <c r="G31" s="3472"/>
      <c r="H31" s="1451"/>
      <c r="I31" s="3474"/>
      <c r="J31" s="3437"/>
      <c r="K31" s="1434"/>
      <c r="L31" s="3421"/>
      <c r="M31" s="3421"/>
      <c r="N31" s="1441"/>
      <c r="O31" s="3421"/>
      <c r="P31" s="3437"/>
      <c r="Q31" s="1442"/>
      <c r="R31" s="3421"/>
      <c r="S31" s="3421"/>
      <c r="T31" s="1443"/>
      <c r="U31" s="3421"/>
      <c r="V31" s="3437"/>
      <c r="W31" s="1444"/>
      <c r="X31" s="3421"/>
      <c r="Y31" s="3421"/>
      <c r="Z31" s="1367"/>
      <c r="AA31" s="1446"/>
      <c r="AB31" s="3477"/>
      <c r="AC31" s="3477"/>
      <c r="AD31" s="3477"/>
      <c r="AE31" s="3477"/>
      <c r="AF31" s="3477"/>
      <c r="AG31" s="3477"/>
      <c r="AH31" s="3477"/>
      <c r="AI31" s="3478"/>
      <c r="AJ31"/>
    </row>
    <row r="32" spans="4:64" ht="14.25" customHeight="1">
      <c r="D32" s="3466"/>
      <c r="E32" s="3468"/>
      <c r="F32" s="3468"/>
      <c r="G32" s="3472"/>
      <c r="H32" s="1451"/>
      <c r="I32" s="3474"/>
      <c r="J32" s="3437"/>
      <c r="K32" s="1434"/>
      <c r="L32" s="3421"/>
      <c r="M32" s="3421"/>
      <c r="N32" s="1441"/>
      <c r="O32" s="3421"/>
      <c r="P32" s="3437"/>
      <c r="Q32" s="1442"/>
      <c r="R32" s="3421"/>
      <c r="S32" s="3421"/>
      <c r="T32" s="1447"/>
      <c r="U32" s="1448"/>
      <c r="V32" s="3477"/>
      <c r="W32" s="3477"/>
      <c r="X32" s="3477"/>
      <c r="Y32" s="3477"/>
      <c r="Z32" s="3477"/>
      <c r="AA32" s="3477"/>
      <c r="AB32" s="3477"/>
      <c r="AC32" s="3477"/>
      <c r="AD32" s="3477"/>
      <c r="AE32" s="3477"/>
      <c r="AF32" s="3477"/>
      <c r="AG32" s="3477"/>
      <c r="AH32" s="3477"/>
      <c r="AI32" s="3478"/>
      <c r="AJ32"/>
    </row>
    <row r="33" spans="4:64" ht="11.25" customHeight="1">
      <c r="D33" s="3466"/>
      <c r="E33" s="3468"/>
      <c r="F33" s="3468"/>
      <c r="G33" s="3472"/>
      <c r="H33" s="1452"/>
      <c r="I33" s="3474"/>
      <c r="J33" s="3437"/>
      <c r="K33" s="1434"/>
      <c r="L33" s="3421"/>
      <c r="M33" s="3421"/>
      <c r="N33" s="1446"/>
      <c r="O33" s="1446"/>
      <c r="P33" s="3477"/>
      <c r="Q33" s="3477"/>
      <c r="R33" s="3477"/>
      <c r="S33" s="3477"/>
      <c r="T33" s="3477"/>
      <c r="U33" s="3477"/>
      <c r="V33" s="3477"/>
      <c r="W33" s="3477"/>
      <c r="X33" s="3477"/>
      <c r="Y33" s="3477"/>
      <c r="Z33" s="3477"/>
      <c r="AA33" s="3477"/>
      <c r="AB33" s="3477"/>
      <c r="AC33" s="3477"/>
      <c r="AD33" s="3477"/>
      <c r="AE33" s="3477"/>
      <c r="AF33" s="3477"/>
      <c r="AG33" s="3477"/>
      <c r="AH33" s="3477"/>
      <c r="AI33" s="3478"/>
      <c r="AJ33"/>
    </row>
    <row r="34" spans="4:64" s="1823" customFormat="1" ht="11.25" customHeight="1">
      <c r="D34" s="3467"/>
      <c r="E34" s="3469"/>
      <c r="F34" s="3470"/>
      <c r="G34" s="3417"/>
      <c r="H34" s="1449"/>
      <c r="I34" s="1453"/>
      <c r="J34" s="3475"/>
      <c r="K34" s="3475"/>
      <c r="L34" s="3475"/>
      <c r="M34" s="3475"/>
      <c r="N34" s="3475"/>
      <c r="O34" s="3475"/>
      <c r="P34" s="3475"/>
      <c r="Q34" s="3475"/>
      <c r="R34" s="3475"/>
      <c r="S34" s="3475"/>
      <c r="T34" s="3475"/>
      <c r="U34" s="3475"/>
      <c r="V34" s="3475"/>
      <c r="W34" s="3475"/>
      <c r="X34" s="3475"/>
      <c r="Y34" s="3475"/>
      <c r="Z34" s="3475"/>
      <c r="AA34" s="3475"/>
      <c r="AB34" s="3475"/>
      <c r="AC34" s="3475"/>
      <c r="AD34" s="3475"/>
      <c r="AE34" s="3475"/>
      <c r="AF34" s="3475"/>
      <c r="AG34" s="3475"/>
      <c r="AH34" s="3475"/>
      <c r="AI34" s="3476"/>
      <c r="AJ34"/>
      <c r="AK34" s="217"/>
      <c r="AL34"/>
      <c r="AM34"/>
      <c r="AN34"/>
      <c r="AO34"/>
      <c r="AP34"/>
      <c r="AQ34"/>
      <c r="AR34"/>
      <c r="AS34"/>
      <c r="AT34"/>
      <c r="AU34"/>
      <c r="AV34"/>
      <c r="AW34"/>
      <c r="AX34"/>
      <c r="AY34"/>
      <c r="AZ34"/>
      <c r="BA34"/>
      <c r="BB34"/>
      <c r="BC34"/>
      <c r="BD34"/>
      <c r="BE34"/>
      <c r="BF34"/>
      <c r="BG34"/>
      <c r="BH34"/>
      <c r="BI34"/>
      <c r="BJ34"/>
      <c r="BK34"/>
      <c r="BL34"/>
    </row>
    <row r="35" spans="4:64" ht="14.25" customHeight="1">
      <c r="D35" s="3466" t="s">
        <v>108</v>
      </c>
      <c r="E35" s="3468" t="s">
        <v>553</v>
      </c>
      <c r="F35" s="3468" t="s">
        <v>558</v>
      </c>
      <c r="G35" s="3471" t="s">
        <v>54</v>
      </c>
      <c r="H35" s="1450"/>
      <c r="I35" s="3473"/>
      <c r="J35" s="3436"/>
      <c r="K35" s="1369"/>
      <c r="L35" s="3420"/>
      <c r="M35" s="3420"/>
      <c r="N35" s="1435"/>
      <c r="O35" s="3420"/>
      <c r="P35" s="3436"/>
      <c r="Q35" s="1436"/>
      <c r="R35" s="3420"/>
      <c r="S35" s="3420"/>
      <c r="T35" s="1437"/>
      <c r="U35" s="3420"/>
      <c r="V35" s="3436"/>
      <c r="W35" s="1438"/>
      <c r="X35" s="3420"/>
      <c r="Y35" s="3420"/>
      <c r="Z35" s="1435"/>
      <c r="AA35" s="3420"/>
      <c r="AB35" s="3436"/>
      <c r="AC35" s="1439"/>
      <c r="AD35" s="3420"/>
      <c r="AE35" s="3420"/>
      <c r="AF35" s="1368"/>
      <c r="AG35" s="1368"/>
      <c r="AH35" s="1440"/>
      <c r="AI35" s="1160"/>
      <c r="AJ35"/>
    </row>
    <row r="36" spans="4:64" ht="14.25" customHeight="1">
      <c r="D36" s="3466"/>
      <c r="E36" s="3468"/>
      <c r="F36" s="3468"/>
      <c r="G36" s="3472"/>
      <c r="H36" s="1451"/>
      <c r="I36" s="3474"/>
      <c r="J36" s="3437"/>
      <c r="K36" s="1434"/>
      <c r="L36" s="3421"/>
      <c r="M36" s="3421"/>
      <c r="N36" s="1441"/>
      <c r="O36" s="3421"/>
      <c r="P36" s="3437"/>
      <c r="Q36" s="1442"/>
      <c r="R36" s="3421"/>
      <c r="S36" s="3421"/>
      <c r="T36" s="1443"/>
      <c r="U36" s="3421"/>
      <c r="V36" s="3437"/>
      <c r="W36" s="1444"/>
      <c r="X36" s="3421"/>
      <c r="Y36" s="3421"/>
      <c r="Z36" s="1441"/>
      <c r="AA36" s="3421"/>
      <c r="AB36" s="3437"/>
      <c r="AC36" s="1445"/>
      <c r="AD36" s="3421"/>
      <c r="AE36" s="3421"/>
      <c r="AF36" s="1446"/>
      <c r="AG36" s="1446"/>
      <c r="AH36" s="3477"/>
      <c r="AI36" s="3478"/>
      <c r="AJ36"/>
    </row>
    <row r="37" spans="4:64" ht="14.25" customHeight="1">
      <c r="D37" s="3466"/>
      <c r="E37" s="3468"/>
      <c r="F37" s="3468"/>
      <c r="G37" s="3472"/>
      <c r="H37" s="1451"/>
      <c r="I37" s="3474"/>
      <c r="J37" s="3437"/>
      <c r="K37" s="1434"/>
      <c r="L37" s="3421"/>
      <c r="M37" s="3421"/>
      <c r="N37" s="1441"/>
      <c r="O37" s="3421"/>
      <c r="P37" s="3437"/>
      <c r="Q37" s="1442"/>
      <c r="R37" s="3421"/>
      <c r="S37" s="3421"/>
      <c r="T37" s="1443"/>
      <c r="U37" s="3421"/>
      <c r="V37" s="3437"/>
      <c r="W37" s="1444"/>
      <c r="X37" s="3421"/>
      <c r="Y37" s="3421"/>
      <c r="Z37" s="1367"/>
      <c r="AA37" s="1446"/>
      <c r="AB37" s="3477"/>
      <c r="AC37" s="3477"/>
      <c r="AD37" s="3477"/>
      <c r="AE37" s="3477"/>
      <c r="AF37" s="3477"/>
      <c r="AG37" s="3477"/>
      <c r="AH37" s="3477"/>
      <c r="AI37" s="3478"/>
      <c r="AJ37"/>
    </row>
    <row r="38" spans="4:64" ht="14.25" customHeight="1">
      <c r="D38" s="3466"/>
      <c r="E38" s="3468"/>
      <c r="F38" s="3468"/>
      <c r="G38" s="3472"/>
      <c r="H38" s="1451"/>
      <c r="I38" s="3474"/>
      <c r="J38" s="3437"/>
      <c r="K38" s="1434"/>
      <c r="L38" s="3421"/>
      <c r="M38" s="3421"/>
      <c r="N38" s="1441"/>
      <c r="O38" s="3421"/>
      <c r="P38" s="3437"/>
      <c r="Q38" s="1442"/>
      <c r="R38" s="3421"/>
      <c r="S38" s="3421"/>
      <c r="T38" s="1447"/>
      <c r="U38" s="1448"/>
      <c r="V38" s="3477"/>
      <c r="W38" s="3477"/>
      <c r="X38" s="3477"/>
      <c r="Y38" s="3477"/>
      <c r="Z38" s="3477"/>
      <c r="AA38" s="3477"/>
      <c r="AB38" s="3477"/>
      <c r="AC38" s="3477"/>
      <c r="AD38" s="3477"/>
      <c r="AE38" s="3477"/>
      <c r="AF38" s="3477"/>
      <c r="AG38" s="3477"/>
      <c r="AH38" s="3477"/>
      <c r="AI38" s="3478"/>
      <c r="AJ38"/>
    </row>
    <row r="39" spans="4:64" ht="11.25" customHeight="1">
      <c r="D39" s="3466"/>
      <c r="E39" s="3468"/>
      <c r="F39" s="3468"/>
      <c r="G39" s="3472"/>
      <c r="H39" s="1452"/>
      <c r="I39" s="3474"/>
      <c r="J39" s="3437"/>
      <c r="K39" s="1434"/>
      <c r="L39" s="3421"/>
      <c r="M39" s="3421"/>
      <c r="N39" s="1446"/>
      <c r="O39" s="1446"/>
      <c r="P39" s="3477"/>
      <c r="Q39" s="3477"/>
      <c r="R39" s="3477"/>
      <c r="S39" s="3477"/>
      <c r="T39" s="3477"/>
      <c r="U39" s="3477"/>
      <c r="V39" s="3477"/>
      <c r="W39" s="3477"/>
      <c r="X39" s="3477"/>
      <c r="Y39" s="3477"/>
      <c r="Z39" s="3477"/>
      <c r="AA39" s="3477"/>
      <c r="AB39" s="3477"/>
      <c r="AC39" s="3477"/>
      <c r="AD39" s="3477"/>
      <c r="AE39" s="3477"/>
      <c r="AF39" s="3477"/>
      <c r="AG39" s="3477"/>
      <c r="AH39" s="3477"/>
      <c r="AI39" s="3478"/>
      <c r="AJ39"/>
    </row>
    <row r="40" spans="4:64" s="1823" customFormat="1" ht="11.25" customHeight="1">
      <c r="D40" s="3466"/>
      <c r="E40" s="3468"/>
      <c r="F40" s="3479"/>
      <c r="G40" s="3417"/>
      <c r="H40" s="1449"/>
      <c r="I40" s="1453"/>
      <c r="J40" s="3475"/>
      <c r="K40" s="3475"/>
      <c r="L40" s="3475"/>
      <c r="M40" s="3475"/>
      <c r="N40" s="3475"/>
      <c r="O40" s="3475"/>
      <c r="P40" s="3475"/>
      <c r="Q40" s="3475"/>
      <c r="R40" s="3475"/>
      <c r="S40" s="3475"/>
      <c r="T40" s="3475"/>
      <c r="U40" s="3475"/>
      <c r="V40" s="3475"/>
      <c r="W40" s="3475"/>
      <c r="X40" s="3475"/>
      <c r="Y40" s="3475"/>
      <c r="Z40" s="3475"/>
      <c r="AA40" s="3475"/>
      <c r="AB40" s="3475"/>
      <c r="AC40" s="3475"/>
      <c r="AD40" s="3475"/>
      <c r="AE40" s="3475"/>
      <c r="AF40" s="3475"/>
      <c r="AG40" s="3475"/>
      <c r="AH40" s="3475"/>
      <c r="AI40" s="3476"/>
      <c r="AJ40"/>
      <c r="AK40" s="217"/>
      <c r="AL40"/>
      <c r="AM40"/>
      <c r="AN40"/>
      <c r="AO40"/>
      <c r="AP40"/>
      <c r="AQ40"/>
      <c r="AR40"/>
      <c r="AS40"/>
      <c r="AT40"/>
      <c r="AU40"/>
      <c r="AV40"/>
      <c r="AW40"/>
      <c r="AX40"/>
      <c r="AY40"/>
      <c r="AZ40"/>
      <c r="BA40"/>
      <c r="BB40"/>
      <c r="BC40"/>
      <c r="BD40"/>
      <c r="BE40"/>
      <c r="BF40"/>
      <c r="BG40"/>
      <c r="BH40"/>
      <c r="BI40"/>
      <c r="BJ40"/>
      <c r="BK40"/>
      <c r="BL40"/>
    </row>
    <row r="41" spans="4:64" ht="11.25" customHeight="1">
      <c r="AK41"/>
    </row>
    <row r="42" spans="4:64" ht="11.25" customHeight="1">
      <c r="AK42"/>
    </row>
    <row r="43" spans="4:64" ht="11.25" customHeight="1">
      <c r="AK43"/>
    </row>
    <row r="44" spans="4:64" ht="11.25" customHeight="1">
      <c r="AK44"/>
    </row>
    <row r="45" spans="4:64" ht="11.25" customHeight="1">
      <c r="AK45"/>
    </row>
    <row r="46" spans="4:64" ht="11.25" customHeight="1">
      <c r="AK46"/>
    </row>
    <row r="47" spans="4:64" ht="11.25" customHeight="1">
      <c r="AK47"/>
    </row>
    <row r="48" spans="4:64" ht="11.25" customHeight="1">
      <c r="AK48"/>
    </row>
    <row r="49" spans="37:37" ht="11.25" customHeight="1">
      <c r="AK49"/>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DF945-D11D-337C-D44F-18E54844D0BA}">
  <sheetPr>
    <tabColor rgb="FFFFCC99"/>
  </sheetPr>
  <dimension ref="A1:H34"/>
  <sheetViews>
    <sheetView showGridLines="0" workbookViewId="0"/>
  </sheetViews>
  <sheetFormatPr defaultColWidth="43.140625" defaultRowHeight="9" customHeight="1"/>
  <cols>
    <col min="1" max="1" width="43.140625" style="1945"/>
    <col min="2" max="2" width="43.140625" style="1945" hidden="1"/>
    <col min="3" max="3" width="43.140625" style="1945"/>
    <col min="4" max="5" width="36.42578125" style="1945" customWidth="1"/>
    <col min="6" max="8" width="36.42578125" style="1946" customWidth="1"/>
  </cols>
  <sheetData>
    <row r="1" spans="1:8" ht="9" customHeight="1">
      <c r="A1" s="724" t="s">
        <v>2255</v>
      </c>
      <c r="B1" s="724"/>
      <c r="C1" s="853" t="s">
        <v>2256</v>
      </c>
      <c r="D1" s="852" t="s">
        <v>1079</v>
      </c>
      <c r="E1" s="852" t="s">
        <v>1125</v>
      </c>
      <c r="F1" s="852" t="s">
        <v>1177</v>
      </c>
      <c r="G1" s="852" t="s">
        <v>1163</v>
      </c>
      <c r="H1" s="852" t="s">
        <v>1954</v>
      </c>
    </row>
    <row r="2" spans="1:8" ht="9" customHeight="1">
      <c r="A2" s="854" t="s">
        <v>2257</v>
      </c>
      <c r="B2" s="854"/>
      <c r="C2" s="855" t="str">
        <f>INDEX(TEMPLATE_NUMBER_FORM_LIST,MATCH(TEMPLATE_SPHERE,TEMPLATE_SPHERE_LIST,0))</f>
        <v>16</v>
      </c>
      <c r="D2" s="854" t="s">
        <v>154</v>
      </c>
      <c r="E2" s="854" t="s">
        <v>136</v>
      </c>
      <c r="F2" s="856" t="s">
        <v>136</v>
      </c>
      <c r="G2" s="854" t="s">
        <v>136</v>
      </c>
      <c r="H2" s="857"/>
    </row>
    <row r="3" spans="1:8" ht="63" customHeight="1">
      <c r="A3" s="724"/>
      <c r="B3" s="724" t="s">
        <v>106</v>
      </c>
      <c r="C3" s="855"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55" t="s">
        <v>2258</v>
      </c>
      <c r="E3" s="85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56"/>
      <c r="G3" s="857"/>
      <c r="H3" s="724"/>
    </row>
    <row r="4" spans="1:8" ht="243" customHeight="1">
      <c r="A4" s="724" t="s">
        <v>2259</v>
      </c>
      <c r="B4" s="724" t="s">
        <v>107</v>
      </c>
      <c r="C4" s="855"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54" t="s">
        <v>2260</v>
      </c>
      <c r="E4" s="85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54"/>
      <c r="G4" s="854"/>
      <c r="H4" s="724" t="s">
        <v>2261</v>
      </c>
    </row>
    <row r="5" spans="1:8" ht="117" customHeight="1">
      <c r="A5" s="724" t="s">
        <v>2262</v>
      </c>
      <c r="B5" s="724" t="s">
        <v>87</v>
      </c>
      <c r="C5" s="855"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24" t="s">
        <v>2263</v>
      </c>
      <c r="E5" s="727"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57"/>
      <c r="G5" s="857"/>
      <c r="H5" s="724" t="s">
        <v>2264</v>
      </c>
    </row>
    <row r="6" spans="1:8" ht="45" customHeight="1">
      <c r="A6" s="724" t="s">
        <v>2265</v>
      </c>
      <c r="B6" s="724" t="s">
        <v>88</v>
      </c>
      <c r="C6" s="855"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24" t="s">
        <v>2266</v>
      </c>
      <c r="E6" s="727"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24"/>
      <c r="G6" s="724"/>
      <c r="H6" s="857"/>
    </row>
    <row r="7" spans="1:8" ht="45" customHeight="1">
      <c r="A7" s="724" t="s">
        <v>2267</v>
      </c>
      <c r="B7" s="724" t="s">
        <v>108</v>
      </c>
      <c r="C7" s="855" t="str">
        <f>IF(TEMPLATE_SPHERE="HEAT",D7,E7)</f>
        <v>Форма 11. Информация о расходах на капитальный и текущий ремонт основных средств</v>
      </c>
      <c r="D7" s="724" t="s">
        <v>2268</v>
      </c>
      <c r="E7" s="724" t="s">
        <v>2269</v>
      </c>
      <c r="F7" s="857"/>
      <c r="G7" s="857"/>
      <c r="H7" s="857"/>
    </row>
    <row r="8" spans="1:8" ht="108" customHeight="1">
      <c r="A8" s="724" t="s">
        <v>2270</v>
      </c>
      <c r="B8" s="724" t="s">
        <v>89</v>
      </c>
      <c r="C8" s="855"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24" t="s">
        <v>1517</v>
      </c>
      <c r="E8" s="724" t="s">
        <v>2271</v>
      </c>
      <c r="F8" s="857"/>
      <c r="G8" s="857"/>
      <c r="H8" s="857"/>
    </row>
    <row r="9" spans="1:8" ht="99" customHeight="1">
      <c r="A9" s="724" t="s">
        <v>2272</v>
      </c>
      <c r="B9" s="724"/>
      <c r="C9" s="724" t="s">
        <v>2273</v>
      </c>
      <c r="D9" s="724"/>
      <c r="E9" s="724"/>
      <c r="F9" s="857"/>
      <c r="G9" s="857"/>
      <c r="H9" s="857"/>
    </row>
    <row r="10" spans="1:8" ht="126" customHeight="1">
      <c r="A10" s="724" t="s">
        <v>2274</v>
      </c>
      <c r="B10" s="724"/>
      <c r="C10" s="724" t="s">
        <v>2275</v>
      </c>
      <c r="D10" s="724"/>
      <c r="E10" s="724"/>
      <c r="F10" s="857"/>
      <c r="G10" s="857"/>
      <c r="H10" s="857"/>
    </row>
    <row r="11" spans="1:8" ht="108" customHeight="1">
      <c r="A11" s="724" t="s">
        <v>2276</v>
      </c>
      <c r="B11" s="724"/>
      <c r="C11" s="724" t="s">
        <v>2277</v>
      </c>
      <c r="D11" s="724"/>
      <c r="E11" s="724"/>
      <c r="F11" s="857"/>
      <c r="G11" s="857"/>
      <c r="H11" s="857"/>
    </row>
    <row r="12" spans="1:8" ht="54" customHeight="1">
      <c r="A12" s="724" t="s">
        <v>2278</v>
      </c>
      <c r="B12" s="724"/>
      <c r="C12" s="724" t="s">
        <v>2279</v>
      </c>
      <c r="D12" s="724"/>
      <c r="E12" s="724"/>
      <c r="F12" s="857"/>
      <c r="G12" s="857"/>
      <c r="H12" s="857"/>
    </row>
    <row r="13" spans="1:8" ht="45" customHeight="1">
      <c r="A13" s="724" t="s">
        <v>2280</v>
      </c>
      <c r="B13" s="724"/>
      <c r="C13" s="724" t="s">
        <v>2281</v>
      </c>
      <c r="D13" s="724"/>
      <c r="E13" s="724"/>
      <c r="F13" s="857"/>
      <c r="G13" s="857"/>
      <c r="H13" s="857"/>
    </row>
    <row r="14" spans="1:8" ht="117" customHeight="1">
      <c r="A14" s="724" t="s">
        <v>2282</v>
      </c>
      <c r="B14" s="724"/>
      <c r="C14" s="724" t="s">
        <v>2283</v>
      </c>
      <c r="D14" s="724"/>
      <c r="E14" s="724"/>
      <c r="F14" s="857"/>
      <c r="G14" s="857"/>
      <c r="H14" s="857"/>
    </row>
    <row r="15" spans="1:8" ht="117" customHeight="1">
      <c r="A15" s="724" t="s">
        <v>2284</v>
      </c>
      <c r="B15" s="724"/>
      <c r="C15" s="724" t="s">
        <v>2285</v>
      </c>
      <c r="D15" s="724"/>
      <c r="E15" s="724"/>
      <c r="F15" s="857"/>
      <c r="G15" s="857"/>
      <c r="H15" s="857"/>
    </row>
    <row r="16" spans="1:8" ht="63" customHeight="1">
      <c r="A16" s="724" t="s">
        <v>2286</v>
      </c>
      <c r="B16" s="724"/>
      <c r="C16" s="724" t="s">
        <v>2287</v>
      </c>
      <c r="D16" s="724"/>
      <c r="E16" s="724"/>
      <c r="F16" s="857"/>
      <c r="G16" s="857"/>
      <c r="H16" s="857"/>
    </row>
    <row r="17" spans="1:8" ht="54" customHeight="1">
      <c r="A17" s="724" t="s">
        <v>2288</v>
      </c>
      <c r="B17" s="724"/>
      <c r="C17" s="855" t="s">
        <v>2289</v>
      </c>
      <c r="D17" s="724"/>
      <c r="E17" s="724"/>
      <c r="F17" s="857"/>
      <c r="G17" s="857"/>
      <c r="H17" s="857"/>
    </row>
    <row r="18" spans="1:8" ht="27" customHeight="1">
      <c r="A18" s="724" t="s">
        <v>2290</v>
      </c>
      <c r="B18" s="724"/>
      <c r="C18" s="855" t="s">
        <v>2291</v>
      </c>
      <c r="D18" s="724"/>
      <c r="E18" s="724"/>
      <c r="F18" s="857"/>
      <c r="G18" s="857"/>
      <c r="H18" s="857"/>
    </row>
    <row r="19" spans="1:8" ht="54" customHeight="1">
      <c r="A19" s="724" t="s">
        <v>2292</v>
      </c>
      <c r="B19" s="724"/>
      <c r="C19" s="855" t="s">
        <v>2293</v>
      </c>
      <c r="D19" s="724"/>
      <c r="E19" s="724"/>
      <c r="F19" s="857"/>
      <c r="G19" s="857"/>
      <c r="H19" s="857"/>
    </row>
    <row r="20" spans="1:8" ht="36" customHeight="1">
      <c r="A20" s="724" t="s">
        <v>2294</v>
      </c>
      <c r="B20" s="724"/>
      <c r="C20" s="855" t="s">
        <v>2295</v>
      </c>
      <c r="D20" s="724"/>
      <c r="E20" s="724"/>
      <c r="F20" s="857"/>
      <c r="G20" s="857"/>
      <c r="H20" s="857"/>
    </row>
    <row r="21" spans="1:8" ht="36" customHeight="1">
      <c r="A21" s="724" t="s">
        <v>2296</v>
      </c>
      <c r="B21" s="724"/>
      <c r="C21" s="855" t="s">
        <v>2297</v>
      </c>
      <c r="D21" s="724"/>
      <c r="E21" s="724"/>
      <c r="F21" s="857"/>
      <c r="G21" s="857"/>
      <c r="H21" s="857"/>
    </row>
    <row r="22" spans="1:8" ht="27" customHeight="1">
      <c r="A22" s="724" t="s">
        <v>2298</v>
      </c>
      <c r="B22" s="724"/>
      <c r="C22" s="855" t="s">
        <v>2299</v>
      </c>
      <c r="D22" s="724"/>
      <c r="E22" s="724"/>
      <c r="F22" s="857"/>
      <c r="G22" s="857"/>
      <c r="H22" s="857"/>
    </row>
    <row r="23" spans="1:8" ht="36" customHeight="1">
      <c r="A23" s="724" t="s">
        <v>2300</v>
      </c>
      <c r="B23" s="724"/>
      <c r="C23" s="855" t="s">
        <v>2301</v>
      </c>
      <c r="D23" s="724"/>
      <c r="E23" s="724"/>
      <c r="F23" s="857"/>
      <c r="G23" s="857"/>
      <c r="H23" s="857"/>
    </row>
    <row r="24" spans="1:8" ht="28.5" customHeight="1">
      <c r="A24" s="724" t="s">
        <v>2302</v>
      </c>
      <c r="B24" s="724"/>
      <c r="C24" s="855" t="s">
        <v>2303</v>
      </c>
      <c r="D24" s="724"/>
      <c r="E24" s="724"/>
      <c r="F24" s="857"/>
      <c r="G24" s="857"/>
      <c r="H24" s="857"/>
    </row>
    <row r="25" spans="1:8" ht="36" customHeight="1">
      <c r="A25" s="724" t="s">
        <v>2304</v>
      </c>
      <c r="B25" s="724"/>
      <c r="C25" s="855" t="s">
        <v>2305</v>
      </c>
      <c r="D25" s="724"/>
      <c r="E25" s="724"/>
      <c r="F25" s="857"/>
      <c r="G25" s="857"/>
      <c r="H25" s="857"/>
    </row>
    <row r="26" spans="1:8" ht="27" customHeight="1">
      <c r="A26" s="724" t="s">
        <v>2306</v>
      </c>
      <c r="B26" s="724"/>
      <c r="C26" s="855" t="s">
        <v>2307</v>
      </c>
      <c r="D26" s="724"/>
      <c r="E26" s="724"/>
      <c r="F26" s="857"/>
      <c r="G26" s="857"/>
      <c r="H26" s="857"/>
    </row>
    <row r="27" spans="1:8" ht="36" customHeight="1">
      <c r="A27" s="724" t="s">
        <v>2308</v>
      </c>
      <c r="B27" s="724"/>
      <c r="C27" s="855" t="s">
        <v>2309</v>
      </c>
      <c r="D27" s="724"/>
      <c r="E27" s="724"/>
      <c r="F27" s="857"/>
      <c r="G27" s="857"/>
      <c r="H27" s="857"/>
    </row>
    <row r="28" spans="1:8" ht="28.5" customHeight="1">
      <c r="A28" s="724" t="s">
        <v>2310</v>
      </c>
      <c r="B28" s="724"/>
      <c r="C28" s="855" t="s">
        <v>2311</v>
      </c>
      <c r="D28" s="724"/>
      <c r="E28" s="724"/>
      <c r="F28" s="857"/>
      <c r="G28" s="857"/>
      <c r="H28" s="857"/>
    </row>
    <row r="29" spans="1:8" ht="126" customHeight="1">
      <c r="A29" s="724" t="s">
        <v>2312</v>
      </c>
      <c r="B29" s="724" t="s">
        <v>187</v>
      </c>
      <c r="C29" s="855"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24" t="s">
        <v>2313</v>
      </c>
      <c r="E29" s="727"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57"/>
      <c r="G29" s="857"/>
      <c r="H29" s="724" t="s">
        <v>2314</v>
      </c>
    </row>
    <row r="30" spans="1:8" ht="45" customHeight="1">
      <c r="A30" s="724" t="s">
        <v>2315</v>
      </c>
      <c r="B30" s="724"/>
      <c r="C30" s="855"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24" t="s">
        <v>2316</v>
      </c>
      <c r="E30" s="727"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57"/>
      <c r="G30" s="857"/>
      <c r="H30" s="857"/>
    </row>
    <row r="31" spans="1:8" ht="54" customHeight="1">
      <c r="A31" s="724" t="s">
        <v>2317</v>
      </c>
      <c r="B31" s="724"/>
      <c r="C31" s="855"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24" t="s">
        <v>2318</v>
      </c>
      <c r="E31" s="72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57"/>
      <c r="G31" s="857"/>
      <c r="H31" s="857"/>
    </row>
    <row r="32" spans="1:8" ht="198" customHeight="1">
      <c r="A32" s="724" t="s">
        <v>2319</v>
      </c>
      <c r="B32" s="724"/>
      <c r="C32" s="855"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24" t="s">
        <v>2320</v>
      </c>
      <c r="E32" s="727"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57"/>
      <c r="G32" s="857"/>
      <c r="H32" s="724" t="s">
        <v>2321</v>
      </c>
    </row>
    <row r="33" spans="1:8" ht="9" customHeight="1">
      <c r="A33" s="724"/>
      <c r="B33" s="724"/>
      <c r="C33" s="855"/>
      <c r="D33" s="724"/>
      <c r="E33" s="724"/>
      <c r="F33" s="857"/>
      <c r="G33" s="857"/>
      <c r="H33" s="857"/>
    </row>
    <row r="34" spans="1:8" ht="9" customHeight="1">
      <c r="A34" s="724"/>
      <c r="B34" s="724" t="s">
        <v>163</v>
      </c>
      <c r="C34" s="855">
        <f>INDEX(TEMPLATE_NAME_FORM_LIST,B34,MATCH(TEMPLATE_SPHERE,TEMPLATE_SPHERE_LIST,0))</f>
        <v>0</v>
      </c>
      <c r="D34" s="724"/>
      <c r="E34" s="724"/>
      <c r="F34" s="857"/>
      <c r="G34" s="857"/>
      <c r="H34" s="85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C786E-C457-3639-1AE4-C59F1EDC086F}">
  <sheetPr>
    <tabColor rgb="FFFFCC99"/>
  </sheetPr>
  <dimension ref="A1:AH154"/>
  <sheetViews>
    <sheetView showGridLines="0" workbookViewId="0"/>
  </sheetViews>
  <sheetFormatPr defaultColWidth="9.140625" defaultRowHeight="9" customHeight="1"/>
  <cols>
    <col min="1" max="2" width="9.140625" style="1945"/>
    <col min="3" max="7" width="8" style="1948" customWidth="1"/>
    <col min="8" max="12" width="8.5703125" style="1948" customWidth="1"/>
    <col min="13" max="14" width="27.7109375" style="1948" customWidth="1"/>
    <col min="15" max="19" width="5.140625" style="1948" customWidth="1"/>
    <col min="20" max="24" width="27.7109375" style="1948" customWidth="1"/>
    <col min="25" max="25" width="1.85546875" style="1949" customWidth="1"/>
    <col min="26" max="26" width="27.7109375" style="1945" customWidth="1"/>
    <col min="27" max="27" width="27.7109375" style="1950" customWidth="1"/>
    <col min="28" max="29" width="27.7109375" style="1945" customWidth="1"/>
    <col min="30" max="30" width="3.85546875" style="1945" customWidth="1"/>
    <col min="31" max="34" width="9.140625" style="1945"/>
  </cols>
  <sheetData>
    <row r="1" spans="1:34" s="1947" customFormat="1" ht="18" customHeight="1">
      <c r="A1" s="774"/>
      <c r="B1" s="774"/>
      <c r="C1" s="774" t="s">
        <v>2322</v>
      </c>
      <c r="D1" s="774"/>
      <c r="E1" s="774"/>
      <c r="F1" s="774"/>
      <c r="G1" s="774"/>
      <c r="H1" s="774" t="s">
        <v>2323</v>
      </c>
      <c r="I1" s="774"/>
      <c r="J1" s="774"/>
      <c r="K1" s="774"/>
      <c r="L1" s="774"/>
      <c r="M1" s="774" t="s">
        <v>2324</v>
      </c>
      <c r="N1" s="774" t="s">
        <v>2325</v>
      </c>
      <c r="O1" s="3779" t="s">
        <v>2326</v>
      </c>
      <c r="P1" s="3779"/>
      <c r="Q1" s="3779"/>
      <c r="R1" s="3779"/>
      <c r="S1" s="3779"/>
      <c r="T1" s="3779" t="s">
        <v>2324</v>
      </c>
      <c r="U1" s="3779"/>
      <c r="V1" s="3779"/>
      <c r="W1" s="3779"/>
      <c r="X1" s="3779"/>
      <c r="Y1" s="870"/>
      <c r="Z1" s="3779" t="s">
        <v>2327</v>
      </c>
      <c r="AA1" s="3779"/>
      <c r="AB1" s="3779"/>
      <c r="AC1" s="3779"/>
      <c r="AD1" s="3779"/>
    </row>
    <row r="2" spans="1:34" ht="18" customHeight="1">
      <c r="A2" s="724"/>
      <c r="B2" s="724"/>
      <c r="C2" s="720" t="s">
        <v>1079</v>
      </c>
      <c r="D2" s="720" t="s">
        <v>1125</v>
      </c>
      <c r="E2" s="720" t="s">
        <v>1177</v>
      </c>
      <c r="F2" s="720" t="s">
        <v>1163</v>
      </c>
      <c r="G2" s="720" t="s">
        <v>1954</v>
      </c>
      <c r="H2" s="721"/>
      <c r="I2" s="721"/>
      <c r="J2" s="721"/>
      <c r="K2" s="721"/>
      <c r="L2" s="721"/>
      <c r="M2" s="721"/>
      <c r="N2" s="721"/>
      <c r="O2" s="720" t="s">
        <v>1079</v>
      </c>
      <c r="P2" s="720" t="s">
        <v>1125</v>
      </c>
      <c r="Q2" s="720" t="s">
        <v>1163</v>
      </c>
      <c r="R2" s="720" t="s">
        <v>1177</v>
      </c>
      <c r="S2" s="720" t="s">
        <v>1954</v>
      </c>
      <c r="T2" s="720" t="s">
        <v>1079</v>
      </c>
      <c r="U2" s="720" t="s">
        <v>1125</v>
      </c>
      <c r="V2" s="720" t="s">
        <v>1163</v>
      </c>
      <c r="W2" s="720" t="s">
        <v>1177</v>
      </c>
      <c r="X2" s="720" t="s">
        <v>1954</v>
      </c>
      <c r="Y2" s="720"/>
      <c r="Z2" s="720" t="s">
        <v>1079</v>
      </c>
      <c r="AA2" s="728" t="s">
        <v>1125</v>
      </c>
      <c r="AB2" s="720" t="s">
        <v>1163</v>
      </c>
      <c r="AC2" s="720" t="s">
        <v>1177</v>
      </c>
      <c r="AD2" s="720" t="s">
        <v>1954</v>
      </c>
    </row>
    <row r="3" spans="1:34" ht="162" customHeight="1">
      <c r="A3" s="723" t="s">
        <v>23</v>
      </c>
      <c r="B3" s="723"/>
      <c r="C3" s="3783" t="s">
        <v>2328</v>
      </c>
      <c r="D3" s="3784"/>
      <c r="E3" s="3784"/>
      <c r="F3" s="3785"/>
      <c r="G3" s="721"/>
      <c r="H3" s="721"/>
      <c r="I3" s="721"/>
      <c r="J3" s="721"/>
      <c r="K3" s="721"/>
      <c r="L3" s="721"/>
      <c r="M3" s="721"/>
      <c r="N3" s="722"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21"/>
      <c r="P3" s="721"/>
      <c r="Q3" s="721"/>
      <c r="R3" s="721"/>
      <c r="S3" s="721"/>
      <c r="T3" s="721"/>
      <c r="U3" s="721"/>
      <c r="V3" s="721"/>
      <c r="W3" s="721"/>
      <c r="X3" s="721"/>
      <c r="Y3" s="871"/>
      <c r="Z3" s="724" t="s">
        <v>2329</v>
      </c>
      <c r="AA3" s="721" t="s">
        <v>2330</v>
      </c>
      <c r="AB3" s="724" t="s">
        <v>2331</v>
      </c>
      <c r="AC3" s="724" t="s">
        <v>2332</v>
      </c>
      <c r="AD3" s="724"/>
      <c r="AG3" s="724"/>
      <c r="AH3" s="724"/>
    </row>
    <row r="4" spans="1:34" ht="9" customHeight="1">
      <c r="A4" s="723"/>
      <c r="B4" s="723"/>
      <c r="C4" s="721"/>
      <c r="D4" s="721"/>
      <c r="E4" s="721"/>
      <c r="F4" s="721"/>
      <c r="G4" s="721"/>
      <c r="H4" s="721"/>
      <c r="I4" s="721"/>
      <c r="J4" s="721"/>
      <c r="K4" s="721"/>
      <c r="L4" s="721"/>
      <c r="M4" s="721"/>
      <c r="N4" s="721"/>
      <c r="O4" s="721"/>
      <c r="P4" s="721"/>
      <c r="Q4" s="721"/>
      <c r="R4" s="721"/>
      <c r="S4" s="721"/>
      <c r="T4" s="721"/>
      <c r="U4" s="721"/>
      <c r="V4" s="721"/>
      <c r="W4" s="721"/>
      <c r="X4" s="721"/>
      <c r="Y4" s="871"/>
      <c r="Z4" s="724"/>
      <c r="AA4" s="727"/>
      <c r="AB4" s="724"/>
      <c r="AC4" s="724"/>
      <c r="AD4" s="724"/>
    </row>
    <row r="5" spans="1:34" ht="9" customHeight="1">
      <c r="A5" s="723"/>
      <c r="B5" s="723"/>
      <c r="C5" s="721"/>
      <c r="D5" s="721"/>
      <c r="E5" s="721"/>
      <c r="F5" s="721"/>
      <c r="G5" s="721"/>
      <c r="H5" s="721"/>
      <c r="I5" s="721"/>
      <c r="J5" s="721"/>
      <c r="K5" s="721"/>
      <c r="L5" s="721"/>
      <c r="M5" s="721"/>
      <c r="N5" s="721"/>
      <c r="O5" s="721"/>
      <c r="P5" s="721"/>
      <c r="Q5" s="721"/>
      <c r="R5" s="721"/>
      <c r="S5" s="721"/>
      <c r="T5" s="721"/>
      <c r="U5" s="721"/>
      <c r="V5" s="721"/>
      <c r="W5" s="721"/>
      <c r="X5" s="721"/>
      <c r="Y5" s="871"/>
      <c r="Z5" s="724"/>
      <c r="AA5" s="727"/>
      <c r="AB5" s="724"/>
      <c r="AC5" s="724"/>
      <c r="AD5" s="724"/>
    </row>
    <row r="6" spans="1:34" ht="9" customHeight="1">
      <c r="A6" s="723"/>
      <c r="B6" s="723"/>
      <c r="C6" s="721"/>
      <c r="D6" s="721"/>
      <c r="E6" s="721"/>
      <c r="F6" s="721"/>
      <c r="G6" s="721"/>
      <c r="H6" s="721"/>
      <c r="I6" s="721"/>
      <c r="J6" s="721"/>
      <c r="K6" s="721"/>
      <c r="L6" s="721"/>
      <c r="M6" s="721"/>
      <c r="N6" s="721"/>
      <c r="O6" s="721"/>
      <c r="P6" s="721"/>
      <c r="Q6" s="721"/>
      <c r="R6" s="721"/>
      <c r="S6" s="721"/>
      <c r="T6" s="721"/>
      <c r="U6" s="721"/>
      <c r="V6" s="721"/>
      <c r="W6" s="721"/>
      <c r="X6" s="721"/>
      <c r="Y6" s="871"/>
      <c r="Z6" s="724"/>
      <c r="AA6" s="727"/>
      <c r="AB6" s="724"/>
      <c r="AC6" s="724"/>
      <c r="AD6" s="724"/>
    </row>
    <row r="7" spans="1:34" ht="9" customHeight="1">
      <c r="A7" s="723"/>
      <c r="B7" s="723"/>
      <c r="C7" s="721"/>
      <c r="D7" s="721"/>
      <c r="E7" s="721"/>
      <c r="F7" s="721"/>
      <c r="G7" s="721"/>
      <c r="H7" s="721"/>
      <c r="I7" s="721"/>
      <c r="J7" s="721"/>
      <c r="K7" s="721"/>
      <c r="L7" s="721"/>
      <c r="M7" s="721"/>
      <c r="N7" s="721"/>
      <c r="O7" s="721"/>
      <c r="P7" s="721"/>
      <c r="Q7" s="721"/>
      <c r="R7" s="721"/>
      <c r="S7" s="721"/>
      <c r="T7" s="721"/>
      <c r="U7" s="721"/>
      <c r="V7" s="721"/>
      <c r="W7" s="721"/>
      <c r="X7" s="721"/>
      <c r="Y7" s="871"/>
      <c r="Z7" s="724"/>
      <c r="AA7" s="727"/>
      <c r="AB7" s="724"/>
      <c r="AC7" s="724"/>
      <c r="AD7" s="724"/>
    </row>
    <row r="8" spans="1:34" ht="9" customHeight="1">
      <c r="A8" s="723"/>
      <c r="B8" s="723"/>
      <c r="C8" s="721"/>
      <c r="D8" s="721"/>
      <c r="E8" s="721"/>
      <c r="F8" s="721"/>
      <c r="G8" s="721"/>
      <c r="H8" s="721"/>
      <c r="I8" s="721"/>
      <c r="J8" s="721"/>
      <c r="K8" s="721"/>
      <c r="L8" s="721"/>
      <c r="M8" s="721"/>
      <c r="N8" s="721"/>
      <c r="O8" s="721"/>
      <c r="P8" s="721"/>
      <c r="Q8" s="721"/>
      <c r="R8" s="721"/>
      <c r="S8" s="721"/>
      <c r="T8" s="721"/>
      <c r="U8" s="721"/>
      <c r="V8" s="721"/>
      <c r="W8" s="721"/>
      <c r="X8" s="721"/>
      <c r="Y8" s="871"/>
      <c r="Z8" s="724"/>
      <c r="AA8" s="727"/>
      <c r="AB8" s="724"/>
      <c r="AC8" s="724"/>
      <c r="AD8" s="724"/>
    </row>
    <row r="9" spans="1:34" ht="9" customHeight="1">
      <c r="A9" s="723"/>
      <c r="B9" s="723"/>
      <c r="C9" s="721"/>
      <c r="D9" s="721"/>
      <c r="E9" s="721"/>
      <c r="F9" s="721"/>
      <c r="G9" s="721"/>
      <c r="H9" s="721"/>
      <c r="I9" s="721"/>
      <c r="J9" s="721"/>
      <c r="K9" s="721"/>
      <c r="L9" s="721"/>
      <c r="M9" s="721"/>
      <c r="N9" s="721"/>
      <c r="O9" s="721"/>
      <c r="P9" s="721"/>
      <c r="Q9" s="721"/>
      <c r="R9" s="721"/>
      <c r="S9" s="721"/>
      <c r="T9" s="721"/>
      <c r="U9" s="721"/>
      <c r="V9" s="721"/>
      <c r="W9" s="721"/>
      <c r="X9" s="721"/>
      <c r="Y9" s="871"/>
      <c r="Z9" s="724"/>
      <c r="AA9" s="727"/>
      <c r="AB9" s="724"/>
      <c r="AC9" s="724"/>
      <c r="AD9" s="724"/>
    </row>
    <row r="10" spans="1:34" ht="9" customHeight="1">
      <c r="A10" s="775"/>
      <c r="B10" s="775"/>
      <c r="C10" s="775"/>
      <c r="D10" s="775"/>
      <c r="E10" s="775"/>
      <c r="F10" s="775"/>
      <c r="G10" s="775"/>
      <c r="H10" s="775"/>
      <c r="I10" s="775"/>
      <c r="J10" s="775"/>
      <c r="K10" s="775"/>
      <c r="L10" s="775"/>
      <c r="M10" s="775"/>
      <c r="N10" s="775"/>
      <c r="O10" s="775"/>
      <c r="P10" s="775"/>
      <c r="Q10" s="775"/>
      <c r="R10" s="775"/>
      <c r="S10" s="775"/>
      <c r="T10" s="775"/>
      <c r="U10" s="775"/>
      <c r="V10" s="775"/>
      <c r="W10" s="775"/>
      <c r="X10" s="775"/>
      <c r="Y10" s="775"/>
      <c r="Z10" s="775"/>
      <c r="AA10" s="775"/>
      <c r="AB10" s="775"/>
      <c r="AC10" s="775"/>
      <c r="AD10" s="775"/>
    </row>
    <row r="11" spans="1:34" ht="54" customHeight="1">
      <c r="A11" s="3780" t="s">
        <v>29</v>
      </c>
      <c r="B11" s="775">
        <v>1</v>
      </c>
      <c r="C11" s="3786" t="s">
        <v>181</v>
      </c>
      <c r="D11" s="3786" t="s">
        <v>178</v>
      </c>
      <c r="E11" s="3786" t="s">
        <v>240</v>
      </c>
      <c r="F11" s="3786" t="s">
        <v>303</v>
      </c>
      <c r="G11" s="3786"/>
      <c r="H11" s="774" t="s">
        <v>2333</v>
      </c>
      <c r="I11" s="774"/>
      <c r="J11" s="774"/>
      <c r="K11" s="774"/>
      <c r="L11" s="774"/>
      <c r="M11" s="722" t="str">
        <f>IF(TEMPLATE_SPHERE="HEAT",T11,U11)</f>
        <v>Количество поданных заявок</v>
      </c>
      <c r="N11" s="722"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21"/>
      <c r="P11" s="721"/>
      <c r="Q11" s="721"/>
      <c r="R11" s="721"/>
      <c r="S11" s="721"/>
      <c r="T11" s="721" t="s">
        <v>2334</v>
      </c>
      <c r="U11" s="721" t="s">
        <v>2335</v>
      </c>
      <c r="V11" s="721"/>
      <c r="W11" s="721"/>
      <c r="X11" s="721"/>
      <c r="Y11" s="871"/>
      <c r="Z11" s="724" t="s">
        <v>2336</v>
      </c>
      <c r="AA11" s="727"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24"/>
      <c r="AC11" s="724"/>
      <c r="AD11" s="724"/>
    </row>
    <row r="12" spans="1:34" ht="54" customHeight="1">
      <c r="A12" s="3780"/>
      <c r="B12" s="775">
        <v>2</v>
      </c>
      <c r="C12" s="3787"/>
      <c r="D12" s="3787"/>
      <c r="E12" s="3787"/>
      <c r="F12" s="3787"/>
      <c r="G12" s="3787"/>
      <c r="H12" s="774" t="s">
        <v>2337</v>
      </c>
      <c r="I12" s="774"/>
      <c r="J12" s="774"/>
      <c r="K12" s="774"/>
      <c r="L12" s="774"/>
      <c r="M12" s="722" t="str">
        <f>IF(TEMPLATE_SPHERE="HEAT",T12,U12)</f>
        <v>Количество рассмотренных заявок</v>
      </c>
      <c r="N12" s="722"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21"/>
      <c r="P12" s="721"/>
      <c r="Q12" s="721"/>
      <c r="R12" s="721"/>
      <c r="S12" s="721"/>
      <c r="T12" s="721" t="s">
        <v>2338</v>
      </c>
      <c r="U12" s="721" t="s">
        <v>2339</v>
      </c>
      <c r="V12" s="721"/>
      <c r="W12" s="721"/>
      <c r="X12" s="721"/>
      <c r="Y12" s="871"/>
      <c r="Z12" s="724" t="s">
        <v>2340</v>
      </c>
      <c r="AA12" s="727"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24"/>
      <c r="AC12" s="724"/>
      <c r="AD12" s="724"/>
    </row>
    <row r="13" spans="1:34" ht="99" customHeight="1">
      <c r="A13" s="3780"/>
      <c r="B13" s="775">
        <v>3</v>
      </c>
      <c r="C13" s="3787"/>
      <c r="D13" s="3787"/>
      <c r="E13" s="3787"/>
      <c r="F13" s="3787"/>
      <c r="G13" s="3787"/>
      <c r="H13" s="3779" t="s">
        <v>2341</v>
      </c>
      <c r="I13" s="774"/>
      <c r="J13" s="774"/>
      <c r="K13" s="774"/>
      <c r="L13" s="774"/>
      <c r="M13" s="722"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22" t="str">
        <f t="shared" si="0"/>
        <v>Указывается количество заявок с решением об отказе в течение отчетного квартала.</v>
      </c>
      <c r="O13" s="721"/>
      <c r="P13" s="722"/>
      <c r="Q13" s="722"/>
      <c r="R13" s="722"/>
      <c r="S13" s="721"/>
      <c r="T13" s="721" t="s">
        <v>2342</v>
      </c>
      <c r="U13" s="722" t="s">
        <v>2343</v>
      </c>
      <c r="V13" s="722"/>
      <c r="W13" s="722"/>
      <c r="X13" s="721"/>
      <c r="Y13" s="871"/>
      <c r="Z13" s="724" t="s">
        <v>2344</v>
      </c>
      <c r="AA13" s="727"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24"/>
      <c r="AC13" s="724"/>
      <c r="AD13" s="724"/>
    </row>
    <row r="14" spans="1:34" ht="45" customHeight="1">
      <c r="A14" s="3780"/>
      <c r="B14" s="775">
        <v>4</v>
      </c>
      <c r="C14" s="3787"/>
      <c r="D14" s="3787"/>
      <c r="E14" s="3787"/>
      <c r="F14" s="3787"/>
      <c r="G14" s="3787"/>
      <c r="H14" s="3779"/>
      <c r="I14" s="777"/>
      <c r="J14" s="777"/>
      <c r="K14" s="777"/>
      <c r="L14" s="777"/>
      <c r="M14" s="725" t="str">
        <f>IF(TEMPLATE_SPHERE="HEAT",T14,U14)</f>
        <v>Причины отказа в заключении договора о подключении (технологическом присоединении) к системе теплоснабжения</v>
      </c>
      <c r="N14" s="722"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21"/>
      <c r="P14" s="722"/>
      <c r="Q14" s="722"/>
      <c r="R14" s="722"/>
      <c r="S14" s="721"/>
      <c r="T14" s="721" t="s">
        <v>2345</v>
      </c>
      <c r="U14" s="722"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22"/>
      <c r="W14" s="722"/>
      <c r="X14" s="721"/>
      <c r="Y14" s="871"/>
      <c r="Z14" s="724" t="s">
        <v>2346</v>
      </c>
      <c r="AA14" s="727" t="s">
        <v>2346</v>
      </c>
      <c r="AB14" s="724"/>
      <c r="AC14" s="724"/>
      <c r="AD14" s="724"/>
    </row>
    <row r="15" spans="1:34" ht="189" customHeight="1">
      <c r="A15" s="3780"/>
      <c r="B15" s="775">
        <v>5</v>
      </c>
      <c r="C15" s="3787"/>
      <c r="D15" s="3787"/>
      <c r="E15" s="3787"/>
      <c r="F15" s="3787"/>
      <c r="G15" s="3787"/>
      <c r="H15" s="3781" t="s">
        <v>2347</v>
      </c>
      <c r="I15" s="776"/>
      <c r="J15" s="776"/>
      <c r="K15" s="776"/>
      <c r="L15" s="776"/>
      <c r="M15" s="727" t="str">
        <f>IF(TEMPLATE_SPHERE="HEAT",T15,U15)</f>
        <v>Резерв мощности источников тепловой энергии, входящих в систему теплоснабжения, в течение одного квартала, в том числе:</v>
      </c>
      <c r="N15" s="726"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21"/>
      <c r="P15" s="722"/>
      <c r="Q15" s="722"/>
      <c r="R15" s="722"/>
      <c r="S15" s="721"/>
      <c r="T15" s="721" t="s">
        <v>2348</v>
      </c>
      <c r="U15" s="722"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22"/>
      <c r="W15" s="722"/>
      <c r="X15" s="721"/>
      <c r="Y15" s="871"/>
      <c r="Z15" s="724" t="s">
        <v>2349</v>
      </c>
      <c r="AA15" s="727"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24"/>
      <c r="AC15" s="724"/>
      <c r="AD15" s="724"/>
    </row>
    <row r="16" spans="1:34" ht="153" customHeight="1">
      <c r="A16" s="775"/>
      <c r="B16" s="775">
        <v>6</v>
      </c>
      <c r="C16" s="3788"/>
      <c r="D16" s="3788"/>
      <c r="E16" s="3788"/>
      <c r="F16" s="3788"/>
      <c r="G16" s="3788"/>
      <c r="H16" s="3782"/>
      <c r="I16" s="834"/>
      <c r="J16" s="834"/>
      <c r="K16" s="834"/>
      <c r="L16" s="834"/>
      <c r="M16" s="768"/>
      <c r="N16" s="726"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21"/>
      <c r="P16" s="722"/>
      <c r="Q16" s="722"/>
      <c r="R16" s="722"/>
      <c r="S16" s="721"/>
      <c r="T16" s="721"/>
      <c r="U16" s="722"/>
      <c r="V16" s="722"/>
      <c r="W16" s="722"/>
      <c r="X16" s="721"/>
      <c r="Y16" s="871"/>
      <c r="Z16" s="724" t="s">
        <v>2349</v>
      </c>
      <c r="AA16" s="727"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24"/>
      <c r="AC16" s="724"/>
      <c r="AD16" s="724"/>
    </row>
    <row r="17" spans="1:30" ht="9" customHeight="1">
      <c r="A17" s="775"/>
      <c r="B17" s="775"/>
      <c r="C17" s="775">
        <v>22</v>
      </c>
      <c r="D17" s="775">
        <v>21</v>
      </c>
      <c r="E17" s="775">
        <v>42</v>
      </c>
      <c r="F17" s="775">
        <v>63</v>
      </c>
      <c r="G17" s="775"/>
      <c r="H17" s="775"/>
      <c r="I17" s="775"/>
      <c r="J17" s="775"/>
      <c r="K17" s="775"/>
      <c r="L17" s="775"/>
      <c r="M17" s="775"/>
      <c r="N17" s="775"/>
      <c r="O17" s="775"/>
      <c r="P17" s="775"/>
      <c r="Q17" s="775"/>
      <c r="R17" s="775"/>
      <c r="S17" s="775"/>
      <c r="T17" s="775"/>
      <c r="U17" s="775"/>
      <c r="V17" s="775"/>
      <c r="W17" s="775"/>
      <c r="X17" s="775"/>
      <c r="Y17" s="775"/>
      <c r="Z17" s="775"/>
      <c r="AA17" s="775"/>
      <c r="AB17" s="775"/>
      <c r="AC17" s="775"/>
      <c r="AD17" s="775"/>
    </row>
    <row r="18" spans="1:30" ht="27" customHeight="1">
      <c r="A18" s="723" t="s">
        <v>1981</v>
      </c>
      <c r="B18" s="775">
        <v>1</v>
      </c>
      <c r="C18" s="721" t="s">
        <v>2333</v>
      </c>
      <c r="D18" s="839" t="s">
        <v>2333</v>
      </c>
      <c r="E18" s="721" t="s">
        <v>2333</v>
      </c>
      <c r="F18" s="721" t="s">
        <v>2333</v>
      </c>
      <c r="G18" s="721"/>
      <c r="H18" s="872"/>
      <c r="I18" s="875">
        <f t="shared" ref="I18:I49" si="1">INDEX(TEMPLATE_NUMBER_POINT_FHD,B18,MATCH(TEMPLATE_SPHERE,TEMPLATE_SPHERE_LIST_FOR_NOTE,0))</f>
        <v>1</v>
      </c>
      <c r="J18" s="875" t="str">
        <f t="shared" ref="J18:J49" si="2">INDEX(TEMPLATE_DATA_POINT_FHD,B18,MATCH(TEMPLATE_SPHERE,TEMPLATE_SPHERE_LIST_FOR_NOTE,0))</f>
        <v>Выручка от регулируемого вида деятельности с распределением по видам деятельности</v>
      </c>
      <c r="K18" s="87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22">
        <f t="shared" ref="L18:L49" si="4">IF(I18=0,"",I18)</f>
        <v>1</v>
      </c>
      <c r="M18" s="722" t="str">
        <f t="shared" ref="M18:M49" si="5">IF(J18=0,"",J18)</f>
        <v>Выручка от регулируемого вида деятельности с распределением по видам деятельности</v>
      </c>
      <c r="N18" s="722" t="str">
        <f t="shared" ref="N18:N49" si="6">IF(K18=0,"",K18)</f>
        <v>Указывается выручка от регулируемого вида деятельности с распределением по видам деятельности.</v>
      </c>
      <c r="O18" s="829">
        <v>1</v>
      </c>
      <c r="P18" s="829">
        <v>1</v>
      </c>
      <c r="Q18" s="829">
        <v>1</v>
      </c>
      <c r="R18" s="829">
        <v>1</v>
      </c>
      <c r="S18" s="829"/>
      <c r="T18" s="836" t="s">
        <v>2350</v>
      </c>
      <c r="U18" s="724" t="s">
        <v>2351</v>
      </c>
      <c r="V18" s="724" t="s">
        <v>2352</v>
      </c>
      <c r="W18" s="724" t="s">
        <v>2353</v>
      </c>
      <c r="X18" s="721"/>
      <c r="Y18" s="871"/>
      <c r="Z18" s="724" t="s">
        <v>2354</v>
      </c>
      <c r="AA18" s="727" t="s">
        <v>2355</v>
      </c>
      <c r="AB18" s="727" t="s">
        <v>2355</v>
      </c>
      <c r="AC18" s="727" t="s">
        <v>2355</v>
      </c>
      <c r="AD18" s="724"/>
    </row>
    <row r="19" spans="1:30" ht="36" customHeight="1">
      <c r="A19" s="723"/>
      <c r="B19" s="775">
        <v>2</v>
      </c>
      <c r="C19" s="721" t="s">
        <v>2337</v>
      </c>
      <c r="D19" s="839" t="s">
        <v>2337</v>
      </c>
      <c r="E19" s="721" t="s">
        <v>2337</v>
      </c>
      <c r="F19" s="721" t="s">
        <v>2337</v>
      </c>
      <c r="G19" s="721"/>
      <c r="H19" s="872"/>
      <c r="I19" s="875">
        <f t="shared" si="1"/>
        <v>2</v>
      </c>
      <c r="J19" s="875" t="str">
        <f t="shared" si="2"/>
        <v>Себестоимость производимых товаров (оказываемых услуг) по регулируемому виду деятельности, включая:</v>
      </c>
      <c r="K19" s="875" t="str">
        <f t="shared" si="3"/>
        <v>Указывается суммарная себестоимость производимых товаров.</v>
      </c>
      <c r="L19" s="722">
        <f t="shared" si="4"/>
        <v>2</v>
      </c>
      <c r="M19" s="722" t="str">
        <f t="shared" si="5"/>
        <v>Себестоимость производимых товаров (оказываемых услуг) по регулируемому виду деятельности, включая:</v>
      </c>
      <c r="N19" s="722" t="str">
        <f t="shared" si="6"/>
        <v>Указывается суммарная себестоимость производимых товаров.</v>
      </c>
      <c r="O19" s="829">
        <v>2</v>
      </c>
      <c r="P19" s="829">
        <v>2</v>
      </c>
      <c r="Q19" s="829">
        <v>2</v>
      </c>
      <c r="R19" s="829">
        <v>2</v>
      </c>
      <c r="S19" s="829"/>
      <c r="T19" s="836" t="s">
        <v>2356</v>
      </c>
      <c r="U19" s="724" t="s">
        <v>2357</v>
      </c>
      <c r="V19" s="724" t="s">
        <v>2358</v>
      </c>
      <c r="W19" s="724" t="s">
        <v>2359</v>
      </c>
      <c r="X19" s="721"/>
      <c r="Y19" s="871"/>
      <c r="Z19" s="724" t="s">
        <v>2360</v>
      </c>
      <c r="AA19" s="727" t="s">
        <v>2360</v>
      </c>
      <c r="AB19" s="727" t="s">
        <v>2360</v>
      </c>
      <c r="AC19" s="727" t="s">
        <v>2360</v>
      </c>
      <c r="AD19" s="724"/>
    </row>
    <row r="20" spans="1:30" ht="27" customHeight="1">
      <c r="A20" s="723"/>
      <c r="B20" s="775">
        <v>3</v>
      </c>
      <c r="C20" s="721">
        <v>1</v>
      </c>
      <c r="D20" s="839"/>
      <c r="E20" s="721"/>
      <c r="F20" s="721"/>
      <c r="G20" s="721"/>
      <c r="H20" s="872"/>
      <c r="I20" s="875" t="str">
        <f t="shared" si="1"/>
        <v>2.1</v>
      </c>
      <c r="J20" s="875" t="str">
        <f t="shared" si="2"/>
        <v>Расходы на приобретаемую тепловую энергию (мощность), теплоноситель</v>
      </c>
      <c r="K20" s="875">
        <f t="shared" si="3"/>
        <v>0</v>
      </c>
      <c r="L20" s="722" t="str">
        <f t="shared" si="4"/>
        <v>2.1</v>
      </c>
      <c r="M20" s="722" t="str">
        <f t="shared" si="5"/>
        <v>Расходы на приобретаемую тепловую энергию (мощность), теплоноситель</v>
      </c>
      <c r="N20" s="722" t="str">
        <f t="shared" si="6"/>
        <v/>
      </c>
      <c r="O20" s="829" t="s">
        <v>979</v>
      </c>
      <c r="P20" s="829" t="s">
        <v>979</v>
      </c>
      <c r="Q20" s="829" t="s">
        <v>979</v>
      </c>
      <c r="R20" s="829" t="s">
        <v>979</v>
      </c>
      <c r="S20" s="829"/>
      <c r="T20" s="836" t="s">
        <v>2361</v>
      </c>
      <c r="U20" s="724" t="s">
        <v>2362</v>
      </c>
      <c r="V20" s="724" t="s">
        <v>2363</v>
      </c>
      <c r="W20" s="724" t="s">
        <v>2364</v>
      </c>
      <c r="X20" s="721"/>
      <c r="Y20" s="871"/>
      <c r="Z20" s="724"/>
      <c r="AA20" s="727"/>
      <c r="AB20" s="724"/>
      <c r="AC20" s="724"/>
      <c r="AD20" s="724"/>
    </row>
    <row r="21" spans="1:30" ht="36" customHeight="1">
      <c r="A21" s="723"/>
      <c r="B21" s="775">
        <v>4</v>
      </c>
      <c r="C21" s="721">
        <v>2</v>
      </c>
      <c r="D21" s="839"/>
      <c r="E21" s="721"/>
      <c r="F21" s="721"/>
      <c r="G21" s="721"/>
      <c r="H21" s="872"/>
      <c r="I21" s="875" t="str">
        <f t="shared" si="1"/>
        <v>2.2</v>
      </c>
      <c r="J21" s="87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875" t="str">
        <f t="shared" si="3"/>
        <v>Указываются суммарные расходы на приобретение топлива всех видов.</v>
      </c>
      <c r="L21" s="722" t="str">
        <f t="shared" si="4"/>
        <v>2.2</v>
      </c>
      <c r="M21" s="722"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22" t="str">
        <f t="shared" si="6"/>
        <v>Указываются суммарные расходы на приобретение топлива всех видов.</v>
      </c>
      <c r="O21" s="829" t="s">
        <v>567</v>
      </c>
      <c r="P21" s="829"/>
      <c r="Q21" s="829"/>
      <c r="R21" s="829"/>
      <c r="S21" s="829"/>
      <c r="T21" s="836" t="s">
        <v>2365</v>
      </c>
      <c r="U21" s="724"/>
      <c r="V21" s="724"/>
      <c r="W21" s="724"/>
      <c r="X21" s="721"/>
      <c r="Y21" s="871"/>
      <c r="Z21" s="724" t="s">
        <v>2366</v>
      </c>
      <c r="AA21" s="727"/>
      <c r="AB21" s="724"/>
      <c r="AC21" s="724"/>
      <c r="AD21" s="724"/>
    </row>
    <row r="22" spans="1:30" ht="36" customHeight="1">
      <c r="A22" s="723"/>
      <c r="B22" s="775">
        <v>5</v>
      </c>
      <c r="C22" s="721">
        <v>3</v>
      </c>
      <c r="D22" s="839"/>
      <c r="E22" s="721"/>
      <c r="F22" s="721"/>
      <c r="G22" s="767"/>
      <c r="H22" s="830"/>
      <c r="I22" s="875">
        <f t="shared" si="1"/>
        <v>0</v>
      </c>
      <c r="J22" s="875">
        <f t="shared" si="2"/>
        <v>0</v>
      </c>
      <c r="K22" s="875">
        <f t="shared" si="3"/>
        <v>0</v>
      </c>
      <c r="L22" s="722" t="str">
        <f t="shared" si="4"/>
        <v/>
      </c>
      <c r="M22" s="722" t="str">
        <f t="shared" si="5"/>
        <v/>
      </c>
      <c r="N22" s="722" t="str">
        <f t="shared" si="6"/>
        <v/>
      </c>
      <c r="O22" s="829"/>
      <c r="P22" s="829"/>
      <c r="Q22" s="829" t="s">
        <v>567</v>
      </c>
      <c r="R22" s="829"/>
      <c r="S22" s="829"/>
      <c r="T22" s="836"/>
      <c r="U22" s="724"/>
      <c r="V22" s="724" t="s">
        <v>2367</v>
      </c>
      <c r="W22" s="724"/>
      <c r="X22" s="721"/>
      <c r="Y22" s="871"/>
      <c r="Z22" s="724"/>
      <c r="AA22" s="727"/>
      <c r="AB22" s="724"/>
      <c r="AC22" s="724"/>
      <c r="AD22" s="724"/>
    </row>
    <row r="23" spans="1:30" ht="27" customHeight="1">
      <c r="A23" s="723"/>
      <c r="B23" s="775">
        <v>6</v>
      </c>
      <c r="C23" s="721">
        <v>4</v>
      </c>
      <c r="D23" s="839"/>
      <c r="E23" s="721"/>
      <c r="F23" s="721"/>
      <c r="G23" s="767"/>
      <c r="H23" s="830"/>
      <c r="I23" s="875">
        <f t="shared" si="1"/>
        <v>0</v>
      </c>
      <c r="J23" s="875">
        <f t="shared" si="2"/>
        <v>0</v>
      </c>
      <c r="K23" s="875">
        <f t="shared" si="3"/>
        <v>0</v>
      </c>
      <c r="L23" s="722" t="str">
        <f t="shared" si="4"/>
        <v/>
      </c>
      <c r="M23" s="722" t="str">
        <f t="shared" si="5"/>
        <v/>
      </c>
      <c r="N23" s="722" t="str">
        <f t="shared" si="6"/>
        <v/>
      </c>
      <c r="O23" s="829"/>
      <c r="P23" s="829"/>
      <c r="Q23" s="829" t="s">
        <v>570</v>
      </c>
      <c r="R23" s="829"/>
      <c r="S23" s="829"/>
      <c r="T23" s="836"/>
      <c r="U23" s="724"/>
      <c r="V23" s="724" t="s">
        <v>2368</v>
      </c>
      <c r="W23" s="724"/>
      <c r="X23" s="721"/>
      <c r="Y23" s="871"/>
      <c r="Z23" s="724"/>
      <c r="AA23" s="727"/>
      <c r="AB23" s="724"/>
      <c r="AC23" s="724"/>
      <c r="AD23" s="724"/>
    </row>
    <row r="24" spans="1:30" ht="36" customHeight="1">
      <c r="A24" s="723"/>
      <c r="B24" s="775">
        <v>7</v>
      </c>
      <c r="C24" s="721">
        <v>5</v>
      </c>
      <c r="D24" s="839"/>
      <c r="E24" s="721"/>
      <c r="F24" s="721"/>
      <c r="G24" s="767"/>
      <c r="H24" s="830"/>
      <c r="I24" s="875">
        <f t="shared" si="1"/>
        <v>0</v>
      </c>
      <c r="J24" s="875">
        <f t="shared" si="2"/>
        <v>0</v>
      </c>
      <c r="K24" s="875">
        <f t="shared" si="3"/>
        <v>0</v>
      </c>
      <c r="L24" s="722" t="str">
        <f t="shared" si="4"/>
        <v/>
      </c>
      <c r="M24" s="722" t="str">
        <f t="shared" si="5"/>
        <v/>
      </c>
      <c r="N24" s="722" t="str">
        <f t="shared" si="6"/>
        <v/>
      </c>
      <c r="O24" s="829"/>
      <c r="P24" s="829"/>
      <c r="Q24" s="829" t="s">
        <v>999</v>
      </c>
      <c r="R24" s="829"/>
      <c r="S24" s="829"/>
      <c r="T24" s="836"/>
      <c r="U24" s="724"/>
      <c r="V24" s="724" t="s">
        <v>2369</v>
      </c>
      <c r="W24" s="724"/>
      <c r="X24" s="721"/>
      <c r="Y24" s="871"/>
      <c r="Z24" s="724"/>
      <c r="AA24" s="727"/>
      <c r="AB24" s="724"/>
      <c r="AC24" s="724"/>
      <c r="AD24" s="724"/>
    </row>
    <row r="25" spans="1:30" ht="36" customHeight="1">
      <c r="A25" s="723"/>
      <c r="B25" s="775">
        <v>8</v>
      </c>
      <c r="C25" s="721">
        <v>6</v>
      </c>
      <c r="D25" s="839"/>
      <c r="E25" s="721"/>
      <c r="F25" s="721"/>
      <c r="G25" s="767"/>
      <c r="H25" s="830"/>
      <c r="I25" s="875" t="str">
        <f t="shared" si="1"/>
        <v>2.3</v>
      </c>
      <c r="J25" s="875" t="str">
        <f t="shared" si="2"/>
        <v>Расходы на приобретаемую электрическую энергию (мощность), используемую в технологическом процессе</v>
      </c>
      <c r="K25" s="875">
        <f t="shared" si="3"/>
        <v>0</v>
      </c>
      <c r="L25" s="722" t="str">
        <f t="shared" si="4"/>
        <v>2.3</v>
      </c>
      <c r="M25" s="722" t="str">
        <f t="shared" si="5"/>
        <v>Расходы на приобретаемую электрическую энергию (мощность), используемую в технологическом процессе</v>
      </c>
      <c r="N25" s="722" t="str">
        <f t="shared" si="6"/>
        <v/>
      </c>
      <c r="O25" s="829" t="s">
        <v>570</v>
      </c>
      <c r="P25" s="829" t="s">
        <v>567</v>
      </c>
      <c r="Q25" s="829" t="s">
        <v>1006</v>
      </c>
      <c r="R25" s="829" t="s">
        <v>567</v>
      </c>
      <c r="S25" s="829"/>
      <c r="T25" s="836" t="s">
        <v>2370</v>
      </c>
      <c r="U25" s="724" t="s">
        <v>2370</v>
      </c>
      <c r="V25" s="724" t="s">
        <v>2370</v>
      </c>
      <c r="W25" s="724" t="s">
        <v>2370</v>
      </c>
      <c r="X25" s="721"/>
      <c r="Y25" s="871"/>
      <c r="Z25" s="724"/>
      <c r="AA25" s="727"/>
      <c r="AB25" s="724"/>
      <c r="AC25" s="724"/>
      <c r="AD25" s="724"/>
    </row>
    <row r="26" spans="1:30" ht="18" customHeight="1">
      <c r="A26" s="723"/>
      <c r="B26" s="775">
        <v>9</v>
      </c>
      <c r="C26" s="721" t="s">
        <v>1175</v>
      </c>
      <c r="D26" s="839"/>
      <c r="E26" s="721"/>
      <c r="F26" s="721"/>
      <c r="G26" s="767"/>
      <c r="H26" s="830"/>
      <c r="I26" s="875" t="str">
        <f t="shared" si="1"/>
        <v>2.3.1</v>
      </c>
      <c r="J26" s="875" t="str">
        <f t="shared" si="2"/>
        <v>Средневзвешенная стоимость 1 кВт.ч (с учетом мощности)</v>
      </c>
      <c r="K26" s="875">
        <f t="shared" si="3"/>
        <v>0</v>
      </c>
      <c r="L26" s="722" t="str">
        <f t="shared" si="4"/>
        <v>2.3.1</v>
      </c>
      <c r="M26" s="722" t="str">
        <f t="shared" si="5"/>
        <v>Средневзвешенная стоимость 1 кВт.ч (с учетом мощности)</v>
      </c>
      <c r="N26" s="722" t="str">
        <f t="shared" si="6"/>
        <v/>
      </c>
      <c r="O26" s="829" t="s">
        <v>995</v>
      </c>
      <c r="P26" s="829" t="s">
        <v>989</v>
      </c>
      <c r="Q26" s="829" t="s">
        <v>2371</v>
      </c>
      <c r="R26" s="829" t="s">
        <v>989</v>
      </c>
      <c r="S26" s="829"/>
      <c r="T26" s="836" t="s">
        <v>2372</v>
      </c>
      <c r="U26" s="836" t="s">
        <v>2372</v>
      </c>
      <c r="V26" s="836" t="s">
        <v>2372</v>
      </c>
      <c r="W26" s="836" t="s">
        <v>2372</v>
      </c>
      <c r="X26" s="721"/>
      <c r="Y26" s="871"/>
      <c r="Z26" s="724"/>
      <c r="AA26" s="727"/>
      <c r="AB26" s="724"/>
      <c r="AC26" s="724"/>
      <c r="AD26" s="724"/>
    </row>
    <row r="27" spans="1:30" ht="18" customHeight="1">
      <c r="A27" s="723"/>
      <c r="B27" s="775">
        <v>10</v>
      </c>
      <c r="C27" s="721" t="s">
        <v>2373</v>
      </c>
      <c r="D27" s="839"/>
      <c r="E27" s="721"/>
      <c r="F27" s="721"/>
      <c r="G27" s="767"/>
      <c r="H27" s="830"/>
      <c r="I27" s="875" t="str">
        <f t="shared" si="1"/>
        <v>2.3.2</v>
      </c>
      <c r="J27" s="875" t="str">
        <f t="shared" si="2"/>
        <v>Объём приобретения электрической энергии</v>
      </c>
      <c r="K27" s="875">
        <f t="shared" si="3"/>
        <v>0</v>
      </c>
      <c r="L27" s="722" t="str">
        <f t="shared" si="4"/>
        <v>2.3.2</v>
      </c>
      <c r="M27" s="722" t="str">
        <f t="shared" si="5"/>
        <v>Объём приобретения электрической энергии</v>
      </c>
      <c r="N27" s="722" t="str">
        <f t="shared" si="6"/>
        <v/>
      </c>
      <c r="O27" s="829" t="s">
        <v>997</v>
      </c>
      <c r="P27" s="829" t="s">
        <v>991</v>
      </c>
      <c r="Q27" s="829" t="s">
        <v>2374</v>
      </c>
      <c r="R27" s="829" t="s">
        <v>991</v>
      </c>
      <c r="S27" s="829"/>
      <c r="T27" s="836" t="s">
        <v>2375</v>
      </c>
      <c r="U27" s="836" t="s">
        <v>2375</v>
      </c>
      <c r="V27" s="836" t="s">
        <v>2375</v>
      </c>
      <c r="W27" s="836" t="s">
        <v>2375</v>
      </c>
      <c r="X27" s="721"/>
      <c r="Y27" s="871"/>
      <c r="Z27" s="724"/>
      <c r="AA27" s="727"/>
      <c r="AB27" s="724"/>
      <c r="AC27" s="724"/>
      <c r="AD27" s="724"/>
    </row>
    <row r="28" spans="1:30" ht="27" customHeight="1">
      <c r="A28" s="723"/>
      <c r="B28" s="775">
        <v>11</v>
      </c>
      <c r="C28" s="721">
        <v>7</v>
      </c>
      <c r="D28" s="839"/>
      <c r="E28" s="721"/>
      <c r="F28" s="721"/>
      <c r="G28" s="767"/>
      <c r="H28" s="830"/>
      <c r="I28" s="875" t="str">
        <f t="shared" si="1"/>
        <v>2.4</v>
      </c>
      <c r="J28" s="875" t="str">
        <f t="shared" si="2"/>
        <v>Расходы на приобретение холодной воды, используемой в технологическом процессе</v>
      </c>
      <c r="K28" s="875">
        <f t="shared" si="3"/>
        <v>0</v>
      </c>
      <c r="L28" s="722" t="str">
        <f t="shared" si="4"/>
        <v>2.4</v>
      </c>
      <c r="M28" s="722" t="str">
        <f t="shared" si="5"/>
        <v>Расходы на приобретение холодной воды, используемой в технологическом процессе</v>
      </c>
      <c r="N28" s="722" t="str">
        <f t="shared" si="6"/>
        <v/>
      </c>
      <c r="O28" s="829" t="s">
        <v>999</v>
      </c>
      <c r="P28" s="829"/>
      <c r="Q28" s="829"/>
      <c r="R28" s="829"/>
      <c r="S28" s="829"/>
      <c r="T28" s="836" t="s">
        <v>2376</v>
      </c>
      <c r="U28" s="724"/>
      <c r="V28" s="724"/>
      <c r="W28" s="724"/>
      <c r="X28" s="721"/>
      <c r="Y28" s="871"/>
      <c r="Z28" s="724"/>
      <c r="AA28" s="727"/>
      <c r="AB28" s="724"/>
      <c r="AC28" s="724"/>
      <c r="AD28" s="724"/>
    </row>
    <row r="29" spans="1:30" ht="27" customHeight="1">
      <c r="A29" s="723"/>
      <c r="B29" s="775">
        <v>12</v>
      </c>
      <c r="C29" s="721">
        <v>8</v>
      </c>
      <c r="D29" s="839"/>
      <c r="E29" s="721"/>
      <c r="F29" s="721"/>
      <c r="G29" s="767"/>
      <c r="H29" s="830"/>
      <c r="I29" s="875" t="str">
        <f t="shared" si="1"/>
        <v>2.5</v>
      </c>
      <c r="J29" s="875" t="str">
        <f t="shared" si="2"/>
        <v>Расходы на химические реагенты, используемые в технологическом процессе</v>
      </c>
      <c r="K29" s="875">
        <f t="shared" si="3"/>
        <v>0</v>
      </c>
      <c r="L29" s="722" t="str">
        <f t="shared" si="4"/>
        <v>2.5</v>
      </c>
      <c r="M29" s="722" t="str">
        <f t="shared" si="5"/>
        <v>Расходы на химические реагенты, используемые в технологическом процессе</v>
      </c>
      <c r="N29" s="722" t="str">
        <f t="shared" si="6"/>
        <v/>
      </c>
      <c r="O29" s="829" t="s">
        <v>1006</v>
      </c>
      <c r="P29" s="829" t="s">
        <v>570</v>
      </c>
      <c r="Q29" s="829"/>
      <c r="R29" s="829" t="s">
        <v>570</v>
      </c>
      <c r="S29" s="829"/>
      <c r="T29" s="836" t="s">
        <v>2377</v>
      </c>
      <c r="U29" s="724" t="s">
        <v>2377</v>
      </c>
      <c r="V29" s="724"/>
      <c r="W29" s="724" t="s">
        <v>2377</v>
      </c>
      <c r="X29" s="721"/>
      <c r="Y29" s="871"/>
      <c r="Z29" s="724"/>
      <c r="AA29" s="727"/>
      <c r="AB29" s="724"/>
      <c r="AC29" s="724"/>
      <c r="AD29" s="724"/>
    </row>
    <row r="30" spans="1:30" ht="54" customHeight="1">
      <c r="A30" s="723"/>
      <c r="B30" s="775">
        <v>13</v>
      </c>
      <c r="C30" s="721">
        <v>9</v>
      </c>
      <c r="D30" s="839"/>
      <c r="E30" s="721"/>
      <c r="F30" s="721"/>
      <c r="G30" s="767"/>
      <c r="H30" s="830"/>
      <c r="I30" s="875" t="str">
        <f t="shared" si="1"/>
        <v>2.6</v>
      </c>
      <c r="J30" s="87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875">
        <f t="shared" si="3"/>
        <v>0</v>
      </c>
      <c r="L30" s="722" t="str">
        <f t="shared" si="4"/>
        <v>2.6</v>
      </c>
      <c r="M30" s="722"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22" t="str">
        <f t="shared" si="6"/>
        <v/>
      </c>
      <c r="O30" s="829" t="s">
        <v>1008</v>
      </c>
      <c r="P30" s="829" t="s">
        <v>999</v>
      </c>
      <c r="Q30" s="829" t="s">
        <v>1008</v>
      </c>
      <c r="R30" s="829" t="s">
        <v>999</v>
      </c>
      <c r="S30" s="829"/>
      <c r="T30" s="836" t="s">
        <v>2378</v>
      </c>
      <c r="U30" s="724" t="s">
        <v>2378</v>
      </c>
      <c r="V30" s="724" t="s">
        <v>2378</v>
      </c>
      <c r="W30" s="724" t="s">
        <v>2378</v>
      </c>
      <c r="X30" s="721"/>
      <c r="Y30" s="871"/>
      <c r="Z30" s="724"/>
      <c r="AA30" s="727" t="s">
        <v>2379</v>
      </c>
      <c r="AB30" s="727" t="s">
        <v>2379</v>
      </c>
      <c r="AC30" s="727" t="s">
        <v>2379</v>
      </c>
      <c r="AD30" s="724"/>
    </row>
    <row r="31" spans="1:30" ht="18" customHeight="1">
      <c r="A31" s="723"/>
      <c r="B31" s="775">
        <v>14</v>
      </c>
      <c r="C31" s="721" t="s">
        <v>2380</v>
      </c>
      <c r="D31" s="839"/>
      <c r="E31" s="721"/>
      <c r="F31" s="721"/>
      <c r="G31" s="767"/>
      <c r="H31" s="830"/>
      <c r="I31" s="875" t="str">
        <f t="shared" si="1"/>
        <v>2.6.1</v>
      </c>
      <c r="J31" s="875" t="str">
        <f t="shared" si="2"/>
        <v>Расходы на оплату труда основного производственного персонала</v>
      </c>
      <c r="K31" s="875">
        <f t="shared" si="3"/>
        <v>0</v>
      </c>
      <c r="L31" s="722" t="str">
        <f t="shared" si="4"/>
        <v>2.6.1</v>
      </c>
      <c r="M31" s="722" t="str">
        <f t="shared" si="5"/>
        <v>Расходы на оплату труда основного производственного персонала</v>
      </c>
      <c r="N31" s="722" t="str">
        <f t="shared" si="6"/>
        <v/>
      </c>
      <c r="O31" s="829" t="s">
        <v>2381</v>
      </c>
      <c r="P31" s="829" t="s">
        <v>1002</v>
      </c>
      <c r="Q31" s="829" t="s">
        <v>2381</v>
      </c>
      <c r="R31" s="829" t="s">
        <v>1002</v>
      </c>
      <c r="S31" s="829"/>
      <c r="T31" s="837" t="s">
        <v>2382</v>
      </c>
      <c r="U31" s="724" t="s">
        <v>2382</v>
      </c>
      <c r="V31" s="724" t="s">
        <v>2382</v>
      </c>
      <c r="W31" s="724" t="s">
        <v>2382</v>
      </c>
      <c r="X31" s="721"/>
      <c r="Y31" s="871"/>
      <c r="Z31" s="724"/>
      <c r="AA31" s="727"/>
      <c r="AB31" s="727"/>
      <c r="AC31" s="727"/>
      <c r="AD31" s="724"/>
    </row>
    <row r="32" spans="1:30" ht="36" customHeight="1">
      <c r="A32" s="723"/>
      <c r="B32" s="775">
        <v>15</v>
      </c>
      <c r="C32" s="721" t="s">
        <v>2383</v>
      </c>
      <c r="D32" s="839"/>
      <c r="E32" s="721"/>
      <c r="F32" s="721"/>
      <c r="G32" s="767"/>
      <c r="H32" s="830"/>
      <c r="I32" s="875" t="str">
        <f t="shared" si="1"/>
        <v>2.6.2</v>
      </c>
      <c r="J32" s="875" t="str">
        <f t="shared" si="2"/>
        <v>Страховые взносы на обязательное социальное страхование, выплачиваемые из фонда оплаты труда основного производственного персонала</v>
      </c>
      <c r="K32" s="875">
        <f t="shared" si="3"/>
        <v>0</v>
      </c>
      <c r="L32" s="722" t="str">
        <f t="shared" si="4"/>
        <v>2.6.2</v>
      </c>
      <c r="M32" s="722" t="str">
        <f t="shared" si="5"/>
        <v>Страховые взносы на обязательное социальное страхование, выплачиваемые из фонда оплаты труда основного производственного персонала</v>
      </c>
      <c r="N32" s="722" t="str">
        <f t="shared" si="6"/>
        <v/>
      </c>
      <c r="O32" s="829" t="s">
        <v>2384</v>
      </c>
      <c r="P32" s="829" t="s">
        <v>1004</v>
      </c>
      <c r="Q32" s="829" t="s">
        <v>2384</v>
      </c>
      <c r="R32" s="829" t="s">
        <v>1004</v>
      </c>
      <c r="S32" s="829"/>
      <c r="T32" s="838" t="s">
        <v>2385</v>
      </c>
      <c r="U32" s="724" t="s">
        <v>2385</v>
      </c>
      <c r="V32" s="724" t="s">
        <v>2385</v>
      </c>
      <c r="W32" s="724" t="s">
        <v>2385</v>
      </c>
      <c r="X32" s="721"/>
      <c r="Y32" s="871"/>
      <c r="Z32" s="724"/>
      <c r="AA32" s="727"/>
      <c r="AB32" s="727"/>
      <c r="AC32" s="727"/>
      <c r="AD32" s="724"/>
    </row>
    <row r="33" spans="1:30" ht="45" customHeight="1">
      <c r="A33" s="723"/>
      <c r="B33" s="775">
        <v>16</v>
      </c>
      <c r="C33" s="721">
        <v>10</v>
      </c>
      <c r="D33" s="839"/>
      <c r="E33" s="721"/>
      <c r="F33" s="721"/>
      <c r="G33" s="767"/>
      <c r="H33" s="830"/>
      <c r="I33" s="875" t="str">
        <f t="shared" si="1"/>
        <v>2.7</v>
      </c>
      <c r="J33" s="87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875">
        <f t="shared" si="3"/>
        <v>0</v>
      </c>
      <c r="L33" s="722" t="str">
        <f t="shared" si="4"/>
        <v>2.7</v>
      </c>
      <c r="M33" s="722"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22" t="str">
        <f t="shared" si="6"/>
        <v/>
      </c>
      <c r="O33" s="829" t="s">
        <v>1010</v>
      </c>
      <c r="P33" s="829" t="s">
        <v>1006</v>
      </c>
      <c r="Q33" s="829" t="s">
        <v>1010</v>
      </c>
      <c r="R33" s="829" t="s">
        <v>1006</v>
      </c>
      <c r="S33" s="829"/>
      <c r="T33" s="837" t="s">
        <v>2386</v>
      </c>
      <c r="U33" s="724" t="s">
        <v>2386</v>
      </c>
      <c r="V33" s="724" t="s">
        <v>2386</v>
      </c>
      <c r="W33" s="724" t="s">
        <v>2387</v>
      </c>
      <c r="X33" s="721"/>
      <c r="Y33" s="871"/>
      <c r="Z33" s="724"/>
      <c r="AA33" s="727" t="s">
        <v>2388</v>
      </c>
      <c r="AB33" s="727" t="s">
        <v>2388</v>
      </c>
      <c r="AC33" s="727" t="s">
        <v>2388</v>
      </c>
      <c r="AD33" s="724"/>
    </row>
    <row r="34" spans="1:30" ht="27" customHeight="1">
      <c r="A34" s="723"/>
      <c r="B34" s="775">
        <v>17</v>
      </c>
      <c r="C34" s="721" t="s">
        <v>2389</v>
      </c>
      <c r="D34" s="839"/>
      <c r="E34" s="721"/>
      <c r="F34" s="721"/>
      <c r="G34" s="767"/>
      <c r="H34" s="830"/>
      <c r="I34" s="875" t="str">
        <f t="shared" si="1"/>
        <v>2.7.1</v>
      </c>
      <c r="J34" s="875" t="str">
        <f t="shared" si="2"/>
        <v>Расходы на оплату труда административно-управленческого персонала</v>
      </c>
      <c r="K34" s="875">
        <f t="shared" si="3"/>
        <v>0</v>
      </c>
      <c r="L34" s="722" t="str">
        <f t="shared" si="4"/>
        <v>2.7.1</v>
      </c>
      <c r="M34" s="722" t="str">
        <f t="shared" si="5"/>
        <v>Расходы на оплату труда административно-управленческого персонала</v>
      </c>
      <c r="N34" s="722" t="str">
        <f t="shared" si="6"/>
        <v/>
      </c>
      <c r="O34" s="829" t="s">
        <v>2390</v>
      </c>
      <c r="P34" s="829" t="s">
        <v>2371</v>
      </c>
      <c r="Q34" s="829" t="s">
        <v>2390</v>
      </c>
      <c r="R34" s="829" t="s">
        <v>2371</v>
      </c>
      <c r="S34" s="829"/>
      <c r="T34" s="838" t="s">
        <v>2391</v>
      </c>
      <c r="U34" s="724" t="s">
        <v>2391</v>
      </c>
      <c r="V34" s="724" t="s">
        <v>2391</v>
      </c>
      <c r="W34" s="724" t="s">
        <v>2392</v>
      </c>
      <c r="X34" s="721"/>
      <c r="Y34" s="871"/>
      <c r="Z34" s="724"/>
      <c r="AA34" s="727"/>
      <c r="AB34" s="724"/>
      <c r="AC34" s="724"/>
      <c r="AD34" s="724"/>
    </row>
    <row r="35" spans="1:30" ht="45" customHeight="1">
      <c r="A35" s="723"/>
      <c r="B35" s="775">
        <v>18</v>
      </c>
      <c r="C35" s="721" t="s">
        <v>2393</v>
      </c>
      <c r="D35" s="839"/>
      <c r="E35" s="721"/>
      <c r="F35" s="721"/>
      <c r="G35" s="767"/>
      <c r="H35" s="830"/>
      <c r="I35" s="875" t="str">
        <f t="shared" si="1"/>
        <v>2.7.2</v>
      </c>
      <c r="J35" s="87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875">
        <f t="shared" si="3"/>
        <v>0</v>
      </c>
      <c r="L35" s="722" t="str">
        <f t="shared" si="4"/>
        <v>2.7.2</v>
      </c>
      <c r="M35" s="722"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22" t="str">
        <f t="shared" si="6"/>
        <v/>
      </c>
      <c r="O35" s="829" t="s">
        <v>2394</v>
      </c>
      <c r="P35" s="829" t="s">
        <v>2374</v>
      </c>
      <c r="Q35" s="829" t="s">
        <v>2394</v>
      </c>
      <c r="R35" s="829" t="s">
        <v>2374</v>
      </c>
      <c r="S35" s="829"/>
      <c r="T35" s="836" t="s">
        <v>2395</v>
      </c>
      <c r="U35" s="724" t="s">
        <v>2395</v>
      </c>
      <c r="V35" s="724" t="s">
        <v>2395</v>
      </c>
      <c r="W35" s="724" t="s">
        <v>2395</v>
      </c>
      <c r="X35" s="721"/>
      <c r="Y35" s="871"/>
      <c r="Z35" s="724"/>
      <c r="AA35" s="727"/>
      <c r="AB35" s="724"/>
      <c r="AC35" s="724"/>
      <c r="AD35" s="724"/>
    </row>
    <row r="36" spans="1:30" ht="18" customHeight="1">
      <c r="A36" s="723"/>
      <c r="B36" s="775">
        <v>19</v>
      </c>
      <c r="C36" s="721">
        <v>11</v>
      </c>
      <c r="D36" s="839"/>
      <c r="E36" s="721"/>
      <c r="F36" s="721"/>
      <c r="G36" s="767"/>
      <c r="H36" s="830"/>
      <c r="I36" s="875" t="str">
        <f t="shared" si="1"/>
        <v>2.8</v>
      </c>
      <c r="J36" s="875" t="str">
        <f t="shared" si="2"/>
        <v>Расходы на амортизацию основных средств и нематериальных активов</v>
      </c>
      <c r="K36" s="875">
        <f t="shared" si="3"/>
        <v>0</v>
      </c>
      <c r="L36" s="722" t="str">
        <f t="shared" si="4"/>
        <v>2.8</v>
      </c>
      <c r="M36" s="722" t="str">
        <f t="shared" si="5"/>
        <v>Расходы на амортизацию основных средств и нематериальных активов</v>
      </c>
      <c r="N36" s="722" t="str">
        <f t="shared" si="6"/>
        <v/>
      </c>
      <c r="O36" s="829" t="s">
        <v>1012</v>
      </c>
      <c r="P36" s="829" t="s">
        <v>1008</v>
      </c>
      <c r="Q36" s="829" t="s">
        <v>1012</v>
      </c>
      <c r="R36" s="829" t="s">
        <v>1008</v>
      </c>
      <c r="S36" s="829"/>
      <c r="T36" s="836" t="s">
        <v>2396</v>
      </c>
      <c r="U36" s="724" t="s">
        <v>2396</v>
      </c>
      <c r="V36" s="724" t="s">
        <v>2396</v>
      </c>
      <c r="W36" s="724" t="s">
        <v>2396</v>
      </c>
      <c r="X36" s="721"/>
      <c r="Y36" s="871"/>
      <c r="Z36" s="724"/>
      <c r="AA36" s="727"/>
      <c r="AB36" s="724"/>
      <c r="AC36" s="724"/>
      <c r="AD36" s="724"/>
    </row>
    <row r="37" spans="1:30" ht="18" customHeight="1">
      <c r="A37" s="723"/>
      <c r="B37" s="775">
        <v>20</v>
      </c>
      <c r="C37" s="721" t="s">
        <v>2397</v>
      </c>
      <c r="D37" s="839"/>
      <c r="E37" s="721"/>
      <c r="F37" s="721"/>
      <c r="G37" s="767"/>
      <c r="H37" s="830"/>
      <c r="I37" s="875" t="str">
        <f t="shared" si="1"/>
        <v>2.8.1</v>
      </c>
      <c r="J37" s="875" t="str">
        <f t="shared" si="2"/>
        <v>Расходы на амортизацию основных средств</v>
      </c>
      <c r="K37" s="875">
        <f t="shared" si="3"/>
        <v>0</v>
      </c>
      <c r="L37" s="722" t="str">
        <f t="shared" si="4"/>
        <v>2.8.1</v>
      </c>
      <c r="M37" s="722" t="str">
        <f t="shared" si="5"/>
        <v>Расходы на амортизацию основных средств</v>
      </c>
      <c r="N37" s="722" t="str">
        <f t="shared" si="6"/>
        <v/>
      </c>
      <c r="O37" s="829" t="s">
        <v>2398</v>
      </c>
      <c r="P37" s="829" t="s">
        <v>2381</v>
      </c>
      <c r="Q37" s="829" t="s">
        <v>2398</v>
      </c>
      <c r="R37" s="829" t="s">
        <v>2381</v>
      </c>
      <c r="S37" s="829"/>
      <c r="T37" s="836" t="s">
        <v>2399</v>
      </c>
      <c r="U37" s="724" t="s">
        <v>2399</v>
      </c>
      <c r="V37" s="724" t="s">
        <v>2399</v>
      </c>
      <c r="W37" s="724" t="s">
        <v>2399</v>
      </c>
      <c r="X37" s="721"/>
      <c r="Y37" s="871"/>
      <c r="Z37" s="724"/>
      <c r="AA37" s="727"/>
      <c r="AB37" s="724"/>
      <c r="AC37" s="724"/>
      <c r="AD37" s="724"/>
    </row>
    <row r="38" spans="1:30" ht="18" customHeight="1">
      <c r="A38" s="723"/>
      <c r="B38" s="775">
        <v>21</v>
      </c>
      <c r="C38" s="721" t="s">
        <v>2400</v>
      </c>
      <c r="D38" s="839"/>
      <c r="E38" s="721"/>
      <c r="F38" s="721"/>
      <c r="G38" s="767"/>
      <c r="H38" s="830"/>
      <c r="I38" s="875" t="str">
        <f t="shared" si="1"/>
        <v>2.8.2</v>
      </c>
      <c r="J38" s="875" t="str">
        <f t="shared" si="2"/>
        <v>Расходы на амортизацию нематериальных активов</v>
      </c>
      <c r="K38" s="875">
        <f t="shared" si="3"/>
        <v>0</v>
      </c>
      <c r="L38" s="722" t="str">
        <f t="shared" si="4"/>
        <v>2.8.2</v>
      </c>
      <c r="M38" s="722" t="str">
        <f t="shared" si="5"/>
        <v>Расходы на амортизацию нематериальных активов</v>
      </c>
      <c r="N38" s="722" t="str">
        <f t="shared" si="6"/>
        <v/>
      </c>
      <c r="O38" s="829" t="s">
        <v>2401</v>
      </c>
      <c r="P38" s="829" t="s">
        <v>2384</v>
      </c>
      <c r="Q38" s="829" t="s">
        <v>2401</v>
      </c>
      <c r="R38" s="829" t="s">
        <v>2384</v>
      </c>
      <c r="S38" s="829"/>
      <c r="T38" s="836" t="s">
        <v>2402</v>
      </c>
      <c r="U38" s="724" t="s">
        <v>2402</v>
      </c>
      <c r="V38" s="724" t="s">
        <v>2402</v>
      </c>
      <c r="W38" s="724" t="s">
        <v>2402</v>
      </c>
      <c r="X38" s="721"/>
      <c r="Y38" s="871"/>
      <c r="Z38" s="724"/>
      <c r="AA38" s="727"/>
      <c r="AB38" s="724"/>
      <c r="AC38" s="724"/>
      <c r="AD38" s="724"/>
    </row>
    <row r="39" spans="1:30" ht="36" customHeight="1">
      <c r="A39" s="723"/>
      <c r="B39" s="775">
        <v>22</v>
      </c>
      <c r="C39" s="721">
        <v>12</v>
      </c>
      <c r="D39" s="839"/>
      <c r="E39" s="721"/>
      <c r="F39" s="721"/>
      <c r="G39" s="767"/>
      <c r="H39" s="830"/>
      <c r="I39" s="875" t="str">
        <f t="shared" si="1"/>
        <v>2.9</v>
      </c>
      <c r="J39" s="875" t="str">
        <f t="shared" si="2"/>
        <v>Расходы на аренду имущества, используемого для осуществления регулируемого вида деятельности</v>
      </c>
      <c r="K39" s="875">
        <f t="shared" si="3"/>
        <v>0</v>
      </c>
      <c r="L39" s="722" t="str">
        <f t="shared" si="4"/>
        <v>2.9</v>
      </c>
      <c r="M39" s="722" t="str">
        <f t="shared" si="5"/>
        <v>Расходы на аренду имущества, используемого для осуществления регулируемого вида деятельности</v>
      </c>
      <c r="N39" s="722" t="str">
        <f t="shared" si="6"/>
        <v/>
      </c>
      <c r="O39" s="829" t="s">
        <v>1016</v>
      </c>
      <c r="P39" s="829" t="s">
        <v>1010</v>
      </c>
      <c r="Q39" s="829" t="s">
        <v>1016</v>
      </c>
      <c r="R39" s="829" t="s">
        <v>1010</v>
      </c>
      <c r="S39" s="829"/>
      <c r="T39" s="836" t="s">
        <v>2403</v>
      </c>
      <c r="U39" s="724" t="s">
        <v>2404</v>
      </c>
      <c r="V39" s="724" t="s">
        <v>2405</v>
      </c>
      <c r="W39" s="724" t="s">
        <v>2406</v>
      </c>
      <c r="X39" s="721"/>
      <c r="Y39" s="871"/>
      <c r="Z39" s="724"/>
      <c r="AA39" s="727"/>
      <c r="AB39" s="724"/>
      <c r="AC39" s="724"/>
      <c r="AD39" s="724"/>
    </row>
    <row r="40" spans="1:30" ht="18" customHeight="1">
      <c r="A40" s="723"/>
      <c r="B40" s="775">
        <v>23</v>
      </c>
      <c r="C40" s="721">
        <v>13</v>
      </c>
      <c r="D40" s="839"/>
      <c r="E40" s="721"/>
      <c r="F40" s="721"/>
      <c r="G40" s="721"/>
      <c r="H40" s="770"/>
      <c r="I40" s="875" t="str">
        <f t="shared" si="1"/>
        <v>2.10</v>
      </c>
      <c r="J40" s="875" t="str">
        <f t="shared" si="2"/>
        <v>Общепроизводственные расходы, в том числе:</v>
      </c>
      <c r="K40" s="875" t="str">
        <f t="shared" si="3"/>
        <v>Указывается общая сумма общепроизводственных расходов.</v>
      </c>
      <c r="L40" s="722" t="str">
        <f t="shared" si="4"/>
        <v>2.10</v>
      </c>
      <c r="M40" s="722" t="str">
        <f t="shared" si="5"/>
        <v>Общепроизводственные расходы, в том числе:</v>
      </c>
      <c r="N40" s="722" t="str">
        <f t="shared" si="6"/>
        <v>Указывается общая сумма общепроизводственных расходов.</v>
      </c>
      <c r="O40" s="829" t="s">
        <v>2407</v>
      </c>
      <c r="P40" s="829" t="s">
        <v>1012</v>
      </c>
      <c r="Q40" s="829" t="s">
        <v>2407</v>
      </c>
      <c r="R40" s="829" t="s">
        <v>1012</v>
      </c>
      <c r="S40" s="829"/>
      <c r="T40" s="721" t="s">
        <v>2408</v>
      </c>
      <c r="U40" s="721" t="s">
        <v>2408</v>
      </c>
      <c r="V40" s="721" t="s">
        <v>2408</v>
      </c>
      <c r="W40" s="721" t="s">
        <v>2408</v>
      </c>
      <c r="X40" s="721"/>
      <c r="Y40" s="871"/>
      <c r="Z40" s="724" t="s">
        <v>2409</v>
      </c>
      <c r="AA40" s="727" t="s">
        <v>2409</v>
      </c>
      <c r="AB40" s="727" t="s">
        <v>2409</v>
      </c>
      <c r="AC40" s="727" t="s">
        <v>2409</v>
      </c>
      <c r="AD40" s="724"/>
    </row>
    <row r="41" spans="1:30" ht="27" customHeight="1">
      <c r="A41" s="723"/>
      <c r="B41" s="775">
        <v>24</v>
      </c>
      <c r="C41" s="721" t="s">
        <v>2410</v>
      </c>
      <c r="D41" s="839"/>
      <c r="E41" s="721"/>
      <c r="F41" s="721"/>
      <c r="G41" s="721"/>
      <c r="H41" s="767"/>
      <c r="I41" s="875" t="str">
        <f t="shared" si="1"/>
        <v>2.10.1</v>
      </c>
      <c r="J41" s="875" t="str">
        <f t="shared" si="2"/>
        <v>Расходы на текущий ремонт</v>
      </c>
      <c r="K41" s="875" t="str">
        <f t="shared" si="3"/>
        <v>Указываются расходы на текущий ремонт, отнесенные к общепроизводственным расходам.</v>
      </c>
      <c r="L41" s="722" t="str">
        <f t="shared" si="4"/>
        <v>2.10.1</v>
      </c>
      <c r="M41" s="722" t="str">
        <f t="shared" si="5"/>
        <v>Расходы на текущий ремонт</v>
      </c>
      <c r="N41" s="722" t="str">
        <f t="shared" si="6"/>
        <v>Указываются расходы на текущий ремонт, отнесенные к общепроизводственным расходам.</v>
      </c>
      <c r="O41" s="829" t="s">
        <v>2411</v>
      </c>
      <c r="P41" s="829" t="s">
        <v>2398</v>
      </c>
      <c r="Q41" s="829" t="s">
        <v>2411</v>
      </c>
      <c r="R41" s="829" t="s">
        <v>2398</v>
      </c>
      <c r="S41" s="829"/>
      <c r="T41" s="721" t="s">
        <v>2412</v>
      </c>
      <c r="U41" s="721" t="s">
        <v>2412</v>
      </c>
      <c r="V41" s="721" t="s">
        <v>2412</v>
      </c>
      <c r="W41" s="721" t="s">
        <v>2412</v>
      </c>
      <c r="X41" s="721"/>
      <c r="Y41" s="871"/>
      <c r="Z41" s="724" t="s">
        <v>2413</v>
      </c>
      <c r="AA41" s="724" t="s">
        <v>2413</v>
      </c>
      <c r="AB41" s="724" t="s">
        <v>2413</v>
      </c>
      <c r="AC41" s="724" t="s">
        <v>2413</v>
      </c>
      <c r="AD41" s="724"/>
    </row>
    <row r="42" spans="1:30" ht="27" customHeight="1">
      <c r="A42" s="723"/>
      <c r="B42" s="775">
        <v>25</v>
      </c>
      <c r="C42" s="721" t="s">
        <v>2414</v>
      </c>
      <c r="D42" s="839"/>
      <c r="E42" s="721"/>
      <c r="F42" s="721"/>
      <c r="G42" s="721"/>
      <c r="H42" s="767"/>
      <c r="I42" s="875" t="str">
        <f t="shared" si="1"/>
        <v>2.10.2</v>
      </c>
      <c r="J42" s="875" t="str">
        <f t="shared" si="2"/>
        <v>Расходы на капитальный ремонт</v>
      </c>
      <c r="K42" s="875" t="str">
        <f t="shared" si="3"/>
        <v>Указываются расходы на капитальный ремонт, отнесенные к общепроизводственным расходам.</v>
      </c>
      <c r="L42" s="722" t="str">
        <f t="shared" si="4"/>
        <v>2.10.2</v>
      </c>
      <c r="M42" s="722" t="str">
        <f t="shared" si="5"/>
        <v>Расходы на капитальный ремонт</v>
      </c>
      <c r="N42" s="722" t="str">
        <f t="shared" si="6"/>
        <v>Указываются расходы на капитальный ремонт, отнесенные к общепроизводственным расходам.</v>
      </c>
      <c r="O42" s="829" t="s">
        <v>2415</v>
      </c>
      <c r="P42" s="829" t="s">
        <v>2401</v>
      </c>
      <c r="Q42" s="829" t="s">
        <v>2415</v>
      </c>
      <c r="R42" s="829" t="s">
        <v>2401</v>
      </c>
      <c r="S42" s="829"/>
      <c r="T42" s="721" t="s">
        <v>2416</v>
      </c>
      <c r="U42" s="721" t="s">
        <v>2416</v>
      </c>
      <c r="V42" s="721" t="s">
        <v>2416</v>
      </c>
      <c r="W42" s="721" t="s">
        <v>2416</v>
      </c>
      <c r="X42" s="721"/>
      <c r="Y42" s="871"/>
      <c r="Z42" s="724" t="s">
        <v>2417</v>
      </c>
      <c r="AA42" s="724" t="s">
        <v>2417</v>
      </c>
      <c r="AB42" s="724" t="s">
        <v>2417</v>
      </c>
      <c r="AC42" s="724" t="s">
        <v>2417</v>
      </c>
      <c r="AD42" s="724"/>
    </row>
    <row r="43" spans="1:30" ht="18" customHeight="1">
      <c r="A43" s="723"/>
      <c r="B43" s="775">
        <v>26</v>
      </c>
      <c r="C43" s="721">
        <v>14</v>
      </c>
      <c r="D43" s="839"/>
      <c r="E43" s="721"/>
      <c r="F43" s="721"/>
      <c r="G43" s="721"/>
      <c r="H43" s="767"/>
      <c r="I43" s="875" t="str">
        <f t="shared" si="1"/>
        <v>2.11</v>
      </c>
      <c r="J43" s="875" t="str">
        <f t="shared" si="2"/>
        <v>Общехозяйственные расходы, в том числе:</v>
      </c>
      <c r="K43" s="875" t="str">
        <f t="shared" si="3"/>
        <v>Указывается общая сумма общехозяйственных расходов.</v>
      </c>
      <c r="L43" s="722" t="str">
        <f t="shared" si="4"/>
        <v>2.11</v>
      </c>
      <c r="M43" s="722" t="str">
        <f t="shared" si="5"/>
        <v>Общехозяйственные расходы, в том числе:</v>
      </c>
      <c r="N43" s="722" t="str">
        <f t="shared" si="6"/>
        <v>Указывается общая сумма общехозяйственных расходов.</v>
      </c>
      <c r="O43" s="829" t="s">
        <v>2418</v>
      </c>
      <c r="P43" s="829" t="s">
        <v>1016</v>
      </c>
      <c r="Q43" s="829" t="s">
        <v>2418</v>
      </c>
      <c r="R43" s="829" t="s">
        <v>1016</v>
      </c>
      <c r="S43" s="829"/>
      <c r="T43" s="721" t="s">
        <v>2419</v>
      </c>
      <c r="U43" s="721" t="s">
        <v>2419</v>
      </c>
      <c r="V43" s="721" t="s">
        <v>2419</v>
      </c>
      <c r="W43" s="721" t="s">
        <v>2419</v>
      </c>
      <c r="X43" s="721"/>
      <c r="Y43" s="871"/>
      <c r="Z43" s="724" t="s">
        <v>2420</v>
      </c>
      <c r="AA43" s="724" t="s">
        <v>2420</v>
      </c>
      <c r="AB43" s="724" t="s">
        <v>2420</v>
      </c>
      <c r="AC43" s="724" t="s">
        <v>2420</v>
      </c>
      <c r="AD43" s="724"/>
    </row>
    <row r="44" spans="1:30" ht="27" customHeight="1">
      <c r="A44" s="723"/>
      <c r="B44" s="775">
        <v>27</v>
      </c>
      <c r="C44" s="721" t="s">
        <v>2421</v>
      </c>
      <c r="D44" s="839"/>
      <c r="E44" s="721"/>
      <c r="F44" s="721"/>
      <c r="G44" s="721"/>
      <c r="H44" s="767"/>
      <c r="I44" s="875" t="str">
        <f t="shared" si="1"/>
        <v>2.11.1</v>
      </c>
      <c r="J44" s="875" t="str">
        <f t="shared" si="2"/>
        <v>Расходы на текущий ремонт</v>
      </c>
      <c r="K44" s="875" t="str">
        <f t="shared" si="3"/>
        <v>Указываются расходы на текущий ремонт, отнесенные к общехозяйственным расходам.</v>
      </c>
      <c r="L44" s="722" t="str">
        <f t="shared" si="4"/>
        <v>2.11.1</v>
      </c>
      <c r="M44" s="722" t="str">
        <f t="shared" si="5"/>
        <v>Расходы на текущий ремонт</v>
      </c>
      <c r="N44" s="722" t="str">
        <f t="shared" si="6"/>
        <v>Указываются расходы на текущий ремонт, отнесенные к общехозяйственным расходам.</v>
      </c>
      <c r="O44" s="829" t="s">
        <v>2422</v>
      </c>
      <c r="P44" s="829" t="s">
        <v>2423</v>
      </c>
      <c r="Q44" s="829" t="s">
        <v>2422</v>
      </c>
      <c r="R44" s="829" t="s">
        <v>2423</v>
      </c>
      <c r="S44" s="829"/>
      <c r="T44" s="721" t="s">
        <v>2412</v>
      </c>
      <c r="U44" s="721" t="s">
        <v>2412</v>
      </c>
      <c r="V44" s="721" t="s">
        <v>2412</v>
      </c>
      <c r="W44" s="721" t="s">
        <v>2412</v>
      </c>
      <c r="X44" s="721"/>
      <c r="Y44" s="871"/>
      <c r="Z44" s="724" t="s">
        <v>2424</v>
      </c>
      <c r="AA44" s="724" t="s">
        <v>2424</v>
      </c>
      <c r="AB44" s="724" t="s">
        <v>2424</v>
      </c>
      <c r="AC44" s="724" t="s">
        <v>2424</v>
      </c>
      <c r="AD44" s="724"/>
    </row>
    <row r="45" spans="1:30" ht="27" customHeight="1">
      <c r="A45" s="723"/>
      <c r="B45" s="775">
        <v>28</v>
      </c>
      <c r="C45" s="721" t="s">
        <v>2425</v>
      </c>
      <c r="D45" s="839"/>
      <c r="E45" s="721"/>
      <c r="F45" s="721"/>
      <c r="G45" s="721"/>
      <c r="H45" s="767"/>
      <c r="I45" s="875" t="str">
        <f t="shared" si="1"/>
        <v>2.11.2</v>
      </c>
      <c r="J45" s="875" t="str">
        <f t="shared" si="2"/>
        <v>Расходы на капитальный ремонт</v>
      </c>
      <c r="K45" s="875" t="str">
        <f t="shared" si="3"/>
        <v>Указываются расходы на капитальный ремонт, отнесенные к общехозяйственным расходам.</v>
      </c>
      <c r="L45" s="722" t="str">
        <f t="shared" si="4"/>
        <v>2.11.2</v>
      </c>
      <c r="M45" s="722" t="str">
        <f t="shared" si="5"/>
        <v>Расходы на капитальный ремонт</v>
      </c>
      <c r="N45" s="722" t="str">
        <f t="shared" si="6"/>
        <v>Указываются расходы на капитальный ремонт, отнесенные к общехозяйственным расходам.</v>
      </c>
      <c r="O45" s="829" t="s">
        <v>2426</v>
      </c>
      <c r="P45" s="829" t="s">
        <v>2427</v>
      </c>
      <c r="Q45" s="829" t="s">
        <v>2426</v>
      </c>
      <c r="R45" s="829" t="s">
        <v>2427</v>
      </c>
      <c r="S45" s="829"/>
      <c r="T45" s="721" t="s">
        <v>2416</v>
      </c>
      <c r="U45" s="721" t="s">
        <v>2416</v>
      </c>
      <c r="V45" s="721" t="s">
        <v>2416</v>
      </c>
      <c r="W45" s="721" t="s">
        <v>2416</v>
      </c>
      <c r="X45" s="721"/>
      <c r="Y45" s="871"/>
      <c r="Z45" s="724" t="s">
        <v>2428</v>
      </c>
      <c r="AA45" s="724" t="s">
        <v>2428</v>
      </c>
      <c r="AB45" s="724" t="s">
        <v>2428</v>
      </c>
      <c r="AC45" s="724" t="s">
        <v>2428</v>
      </c>
      <c r="AD45" s="724"/>
    </row>
    <row r="46" spans="1:30" ht="54" customHeight="1">
      <c r="A46" s="723"/>
      <c r="B46" s="775">
        <v>29</v>
      </c>
      <c r="C46" s="721">
        <v>15</v>
      </c>
      <c r="D46" s="839"/>
      <c r="E46" s="721"/>
      <c r="F46" s="721"/>
      <c r="G46" s="721"/>
      <c r="H46" s="767"/>
      <c r="I46" s="875" t="str">
        <f t="shared" si="1"/>
        <v>2.12</v>
      </c>
      <c r="J46" s="875" t="str">
        <f t="shared" si="2"/>
        <v>Расходы на капитальный и текущий ремонт основных средств</v>
      </c>
      <c r="K46" s="87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22" t="str">
        <f t="shared" si="4"/>
        <v>2.12</v>
      </c>
      <c r="M46" s="722" t="str">
        <f t="shared" si="5"/>
        <v>Расходы на капитальный и текущий ремонт основных средств</v>
      </c>
      <c r="N46" s="722"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29" t="s">
        <v>2429</v>
      </c>
      <c r="P46" s="829" t="s">
        <v>2407</v>
      </c>
      <c r="Q46" s="829" t="s">
        <v>2429</v>
      </c>
      <c r="R46" s="829" t="s">
        <v>2407</v>
      </c>
      <c r="S46" s="829"/>
      <c r="T46" s="721" t="s">
        <v>2430</v>
      </c>
      <c r="U46" s="721" t="s">
        <v>2430</v>
      </c>
      <c r="V46" s="721" t="s">
        <v>2430</v>
      </c>
      <c r="W46" s="721" t="s">
        <v>2430</v>
      </c>
      <c r="X46" s="721"/>
      <c r="Y46" s="871"/>
      <c r="Z46" s="724" t="s">
        <v>2431</v>
      </c>
      <c r="AA46" s="724" t="s">
        <v>2432</v>
      </c>
      <c r="AB46" s="724" t="s">
        <v>2432</v>
      </c>
      <c r="AC46" s="724" t="s">
        <v>2432</v>
      </c>
      <c r="AD46" s="724"/>
    </row>
    <row r="47" spans="1:30" ht="54" customHeight="1">
      <c r="A47" s="723"/>
      <c r="B47" s="775">
        <v>30</v>
      </c>
      <c r="C47" s="721" t="s">
        <v>2433</v>
      </c>
      <c r="D47" s="839"/>
      <c r="E47" s="721"/>
      <c r="F47" s="721"/>
      <c r="G47" s="721"/>
      <c r="H47" s="767"/>
      <c r="I47" s="875" t="str">
        <f t="shared" si="1"/>
        <v>2.12.1</v>
      </c>
      <c r="J47" s="87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875">
        <f t="shared" si="3"/>
        <v>0</v>
      </c>
      <c r="L47" s="722" t="str">
        <f t="shared" si="4"/>
        <v>2.12.1</v>
      </c>
      <c r="M47" s="72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22" t="str">
        <f t="shared" si="6"/>
        <v/>
      </c>
      <c r="O47" s="829" t="s">
        <v>2434</v>
      </c>
      <c r="P47" s="829" t="s">
        <v>2411</v>
      </c>
      <c r="Q47" s="829" t="s">
        <v>2434</v>
      </c>
      <c r="R47" s="829" t="s">
        <v>2411</v>
      </c>
      <c r="S47" s="829"/>
      <c r="T47" s="721" t="s">
        <v>2435</v>
      </c>
      <c r="U47" s="721" t="s">
        <v>2435</v>
      </c>
      <c r="V47" s="721" t="s">
        <v>2435</v>
      </c>
      <c r="W47" s="721" t="s">
        <v>2435</v>
      </c>
      <c r="X47" s="721"/>
      <c r="Y47" s="871"/>
      <c r="Z47" s="724"/>
      <c r="AA47" s="727"/>
      <c r="AB47" s="727"/>
      <c r="AC47" s="727"/>
      <c r="AD47" s="724"/>
    </row>
    <row r="48" spans="1:30" ht="54" customHeight="1">
      <c r="A48" s="723"/>
      <c r="B48" s="775">
        <v>31</v>
      </c>
      <c r="C48" s="721">
        <v>16</v>
      </c>
      <c r="D48" s="839"/>
      <c r="E48" s="721"/>
      <c r="F48" s="721"/>
      <c r="G48" s="721"/>
      <c r="H48" s="767"/>
      <c r="I48" s="875">
        <f t="shared" si="1"/>
        <v>0</v>
      </c>
      <c r="J48" s="875">
        <f t="shared" si="2"/>
        <v>0</v>
      </c>
      <c r="K48" s="875">
        <f t="shared" si="3"/>
        <v>0</v>
      </c>
      <c r="L48" s="722" t="str">
        <f t="shared" si="4"/>
        <v/>
      </c>
      <c r="M48" s="722" t="str">
        <f t="shared" si="5"/>
        <v/>
      </c>
      <c r="N48" s="722" t="str">
        <f t="shared" si="6"/>
        <v/>
      </c>
      <c r="O48" s="829"/>
      <c r="P48" s="829" t="s">
        <v>2418</v>
      </c>
      <c r="Q48" s="829" t="s">
        <v>2436</v>
      </c>
      <c r="R48" s="829" t="s">
        <v>2418</v>
      </c>
      <c r="S48" s="829"/>
      <c r="T48" s="721"/>
      <c r="U48" s="721" t="s">
        <v>2437</v>
      </c>
      <c r="V48" s="721" t="s">
        <v>2438</v>
      </c>
      <c r="W48" s="721" t="s">
        <v>2438</v>
      </c>
      <c r="X48" s="721"/>
      <c r="Y48" s="871"/>
      <c r="Z48" s="724"/>
      <c r="AA48" s="727" t="s">
        <v>2432</v>
      </c>
      <c r="AB48" s="727" t="s">
        <v>2432</v>
      </c>
      <c r="AC48" s="727" t="s">
        <v>2432</v>
      </c>
      <c r="AD48" s="724"/>
    </row>
    <row r="49" spans="1:30" ht="54" customHeight="1">
      <c r="A49" s="723"/>
      <c r="B49" s="775">
        <v>32</v>
      </c>
      <c r="C49" s="721" t="s">
        <v>2439</v>
      </c>
      <c r="D49" s="839"/>
      <c r="E49" s="721"/>
      <c r="F49" s="721"/>
      <c r="G49" s="721"/>
      <c r="H49" s="767"/>
      <c r="I49" s="875">
        <f t="shared" si="1"/>
        <v>0</v>
      </c>
      <c r="J49" s="875">
        <f t="shared" si="2"/>
        <v>0</v>
      </c>
      <c r="K49" s="875">
        <f t="shared" si="3"/>
        <v>0</v>
      </c>
      <c r="L49" s="722" t="str">
        <f t="shared" si="4"/>
        <v/>
      </c>
      <c r="M49" s="722" t="str">
        <f t="shared" si="5"/>
        <v/>
      </c>
      <c r="N49" s="722" t="str">
        <f t="shared" si="6"/>
        <v/>
      </c>
      <c r="O49" s="829"/>
      <c r="P49" s="829" t="s">
        <v>2422</v>
      </c>
      <c r="Q49" s="829" t="s">
        <v>2440</v>
      </c>
      <c r="R49" s="829" t="s">
        <v>2422</v>
      </c>
      <c r="S49" s="829"/>
      <c r="T49" s="721"/>
      <c r="U49" s="721" t="s">
        <v>2435</v>
      </c>
      <c r="V49" s="721" t="s">
        <v>2435</v>
      </c>
      <c r="W49" s="721" t="s">
        <v>2435</v>
      </c>
      <c r="X49" s="721"/>
      <c r="Y49" s="871"/>
      <c r="Z49" s="724"/>
      <c r="AA49" s="727"/>
      <c r="AB49" s="727"/>
      <c r="AC49" s="727"/>
      <c r="AD49" s="724"/>
    </row>
    <row r="50" spans="1:30" ht="126" customHeight="1">
      <c r="A50" s="723"/>
      <c r="B50" s="775">
        <v>33</v>
      </c>
      <c r="C50" s="721">
        <v>17</v>
      </c>
      <c r="D50" s="839"/>
      <c r="E50" s="721"/>
      <c r="F50" s="721"/>
      <c r="G50" s="721"/>
      <c r="H50" s="767"/>
      <c r="I50" s="875" t="str">
        <f t="shared" ref="I50:I81" si="7">INDEX(TEMPLATE_NUMBER_POINT_FHD,B50,MATCH(TEMPLATE_SPHERE,TEMPLATE_SPHERE_LIST_FOR_NOTE,0))</f>
        <v>2.13</v>
      </c>
      <c r="J50" s="87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87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22" t="str">
        <f t="shared" ref="L50:L81" si="10">IF(I50=0,"",I50)</f>
        <v>2.13</v>
      </c>
      <c r="M50" s="722"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22"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29" t="s">
        <v>2436</v>
      </c>
      <c r="P50" s="829" t="s">
        <v>2429</v>
      </c>
      <c r="Q50" s="829" t="s">
        <v>2441</v>
      </c>
      <c r="R50" s="829" t="s">
        <v>2429</v>
      </c>
      <c r="S50" s="829"/>
      <c r="T50" s="721" t="s">
        <v>2442</v>
      </c>
      <c r="U50" s="721" t="s">
        <v>2443</v>
      </c>
      <c r="V50" s="721" t="s">
        <v>2444</v>
      </c>
      <c r="W50" s="721" t="s">
        <v>2445</v>
      </c>
      <c r="X50" s="721"/>
      <c r="Y50" s="871"/>
      <c r="Z50" s="724" t="s">
        <v>2446</v>
      </c>
      <c r="AA50" s="727" t="s">
        <v>2447</v>
      </c>
      <c r="AB50" s="727" t="s">
        <v>2447</v>
      </c>
      <c r="AC50" s="727" t="s">
        <v>2447</v>
      </c>
      <c r="AD50" s="724"/>
    </row>
    <row r="51" spans="1:30" ht="27" customHeight="1">
      <c r="A51" s="723"/>
      <c r="B51" s="775">
        <v>34</v>
      </c>
      <c r="C51" s="721" t="s">
        <v>2448</v>
      </c>
      <c r="D51" s="839"/>
      <c r="E51" s="721"/>
      <c r="F51" s="721"/>
      <c r="G51" s="721"/>
      <c r="H51" s="767"/>
      <c r="I51" s="875" t="str">
        <f t="shared" si="7"/>
        <v>3</v>
      </c>
      <c r="J51" s="875" t="str">
        <f t="shared" si="8"/>
        <v>Валовая прибыль (убытки) от реализации товаров и оказания услуг по регулируемому виду деятельности</v>
      </c>
      <c r="K51" s="875">
        <f t="shared" si="9"/>
        <v>0</v>
      </c>
      <c r="L51" s="722" t="str">
        <f t="shared" si="10"/>
        <v>3</v>
      </c>
      <c r="M51" s="722" t="str">
        <f t="shared" si="11"/>
        <v>Валовая прибыль (убытки) от реализации товаров и оказания услуг по регулируемому виду деятельности</v>
      </c>
      <c r="N51" s="722" t="str">
        <f t="shared" si="12"/>
        <v/>
      </c>
      <c r="O51" s="829" t="s">
        <v>87</v>
      </c>
      <c r="P51" s="829"/>
      <c r="Q51" s="829"/>
      <c r="R51" s="829"/>
      <c r="S51" s="829"/>
      <c r="T51" s="721" t="s">
        <v>2449</v>
      </c>
      <c r="U51" s="721"/>
      <c r="V51" s="721"/>
      <c r="W51" s="721"/>
      <c r="X51" s="721"/>
      <c r="Y51" s="871"/>
      <c r="Z51" s="724"/>
      <c r="AA51" s="727"/>
      <c r="AB51" s="727"/>
      <c r="AC51" s="727"/>
      <c r="AD51" s="724"/>
    </row>
    <row r="52" spans="1:30" ht="36" customHeight="1">
      <c r="A52" s="723"/>
      <c r="B52" s="775">
        <v>35</v>
      </c>
      <c r="C52" s="721" t="s">
        <v>2341</v>
      </c>
      <c r="D52" s="839" t="s">
        <v>2341</v>
      </c>
      <c r="E52" s="721" t="s">
        <v>2341</v>
      </c>
      <c r="F52" s="721" t="s">
        <v>2341</v>
      </c>
      <c r="G52" s="721"/>
      <c r="H52" s="767"/>
      <c r="I52" s="875" t="str">
        <f t="shared" si="7"/>
        <v>4</v>
      </c>
      <c r="J52" s="875" t="str">
        <f t="shared" si="8"/>
        <v>Чистая прибыль, полученная от регулируемого вида деятельности, в том числе:</v>
      </c>
      <c r="K52" s="875" t="str">
        <f t="shared" si="9"/>
        <v>Указывается общая сумма чистой прибыли, полученной от регулируемого вида деятельности.</v>
      </c>
      <c r="L52" s="722" t="str">
        <f t="shared" si="10"/>
        <v>4</v>
      </c>
      <c r="M52" s="722" t="str">
        <f t="shared" si="11"/>
        <v>Чистая прибыль, полученная от регулируемого вида деятельности, в том числе:</v>
      </c>
      <c r="N52" s="722" t="str">
        <f t="shared" si="12"/>
        <v>Указывается общая сумма чистой прибыли, полученной от регулируемого вида деятельности.</v>
      </c>
      <c r="O52" s="829" t="s">
        <v>88</v>
      </c>
      <c r="P52" s="829" t="s">
        <v>87</v>
      </c>
      <c r="Q52" s="829" t="s">
        <v>87</v>
      </c>
      <c r="R52" s="829" t="s">
        <v>87</v>
      </c>
      <c r="S52" s="829"/>
      <c r="T52" s="721" t="s">
        <v>2450</v>
      </c>
      <c r="U52" s="721" t="s">
        <v>2451</v>
      </c>
      <c r="V52" s="721" t="s">
        <v>2452</v>
      </c>
      <c r="W52" s="721" t="s">
        <v>2453</v>
      </c>
      <c r="X52" s="721"/>
      <c r="Y52" s="871"/>
      <c r="Z52" s="724" t="s">
        <v>1020</v>
      </c>
      <c r="AA52" s="727" t="s">
        <v>1020</v>
      </c>
      <c r="AB52" s="727" t="s">
        <v>1020</v>
      </c>
      <c r="AC52" s="727" t="s">
        <v>1020</v>
      </c>
      <c r="AD52" s="724"/>
    </row>
    <row r="53" spans="1:30" ht="36" customHeight="1">
      <c r="A53" s="723"/>
      <c r="B53" s="775">
        <v>36</v>
      </c>
      <c r="C53" s="721">
        <v>1</v>
      </c>
      <c r="D53" s="839"/>
      <c r="E53" s="721"/>
      <c r="F53" s="721"/>
      <c r="G53" s="721"/>
      <c r="H53" s="767"/>
      <c r="I53" s="875" t="str">
        <f t="shared" si="7"/>
        <v>4.1</v>
      </c>
      <c r="J53" s="87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875">
        <f t="shared" si="9"/>
        <v>0</v>
      </c>
      <c r="L53" s="722" t="str">
        <f t="shared" si="10"/>
        <v>4.1</v>
      </c>
      <c r="M53" s="722"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22" t="str">
        <f t="shared" si="12"/>
        <v/>
      </c>
      <c r="O53" s="829" t="s">
        <v>1024</v>
      </c>
      <c r="P53" s="829" t="s">
        <v>586</v>
      </c>
      <c r="Q53" s="829" t="s">
        <v>586</v>
      </c>
      <c r="R53" s="829" t="s">
        <v>586</v>
      </c>
      <c r="S53" s="829"/>
      <c r="T53" s="721" t="s">
        <v>2454</v>
      </c>
      <c r="U53" s="721" t="s">
        <v>2454</v>
      </c>
      <c r="V53" s="721" t="s">
        <v>2454</v>
      </c>
      <c r="W53" s="721" t="s">
        <v>2454</v>
      </c>
      <c r="X53" s="721"/>
      <c r="Y53" s="871"/>
      <c r="Z53" s="724"/>
      <c r="AA53" s="727"/>
      <c r="AB53" s="724"/>
      <c r="AC53" s="724"/>
      <c r="AD53" s="724"/>
    </row>
    <row r="54" spans="1:30" ht="18" customHeight="1">
      <c r="A54" s="723"/>
      <c r="B54" s="775">
        <v>37</v>
      </c>
      <c r="C54" s="721" t="s">
        <v>2347</v>
      </c>
      <c r="D54" s="839" t="s">
        <v>2347</v>
      </c>
      <c r="E54" s="721" t="s">
        <v>2347</v>
      </c>
      <c r="F54" s="721" t="s">
        <v>2347</v>
      </c>
      <c r="G54" s="721"/>
      <c r="H54" s="767"/>
      <c r="I54" s="875" t="str">
        <f t="shared" si="7"/>
        <v>5</v>
      </c>
      <c r="J54" s="875" t="str">
        <f t="shared" si="8"/>
        <v>Изменение стоимости основных фондов, в том числе:</v>
      </c>
      <c r="K54" s="875" t="str">
        <f t="shared" si="9"/>
        <v>Указывается общее изменение стоимости основных фондов.</v>
      </c>
      <c r="L54" s="722" t="str">
        <f t="shared" si="10"/>
        <v>5</v>
      </c>
      <c r="M54" s="722" t="str">
        <f t="shared" si="11"/>
        <v>Изменение стоимости основных фондов, в том числе:</v>
      </c>
      <c r="N54" s="722" t="str">
        <f t="shared" si="12"/>
        <v>Указывается общее изменение стоимости основных фондов.</v>
      </c>
      <c r="O54" s="829" t="s">
        <v>108</v>
      </c>
      <c r="P54" s="829" t="s">
        <v>88</v>
      </c>
      <c r="Q54" s="829" t="s">
        <v>88</v>
      </c>
      <c r="R54" s="829" t="s">
        <v>88</v>
      </c>
      <c r="S54" s="829"/>
      <c r="T54" s="721" t="s">
        <v>1022</v>
      </c>
      <c r="U54" s="721" t="s">
        <v>1022</v>
      </c>
      <c r="V54" s="721" t="s">
        <v>1022</v>
      </c>
      <c r="W54" s="721" t="s">
        <v>1022</v>
      </c>
      <c r="X54" s="721"/>
      <c r="Y54" s="871"/>
      <c r="Z54" s="724" t="s">
        <v>1023</v>
      </c>
      <c r="AA54" s="724" t="s">
        <v>1023</v>
      </c>
      <c r="AB54" s="724" t="s">
        <v>1023</v>
      </c>
      <c r="AC54" s="724" t="s">
        <v>1023</v>
      </c>
      <c r="AD54" s="724"/>
    </row>
    <row r="55" spans="1:30" ht="36" customHeight="1">
      <c r="A55" s="723"/>
      <c r="B55" s="775">
        <v>38</v>
      </c>
      <c r="C55" s="721">
        <v>1</v>
      </c>
      <c r="D55" s="839"/>
      <c r="E55" s="721"/>
      <c r="F55" s="721"/>
      <c r="G55" s="721"/>
      <c r="H55" s="767"/>
      <c r="I55" s="875" t="str">
        <f t="shared" si="7"/>
        <v>5.1</v>
      </c>
      <c r="J55" s="875" t="str">
        <f t="shared" si="8"/>
        <v>Изменение стоимости основных фондов за счет:</v>
      </c>
      <c r="K55" s="875" t="str">
        <f t="shared" si="9"/>
        <v>Указываются общее изменение стоимости основных фондов за счет их ввода в эксплуатацию и вывода из эксплуатации.</v>
      </c>
      <c r="L55" s="722" t="str">
        <f t="shared" si="10"/>
        <v>5.1</v>
      </c>
      <c r="M55" s="722" t="str">
        <f t="shared" si="11"/>
        <v>Изменение стоимости основных фондов за счет:</v>
      </c>
      <c r="N55" s="722" t="str">
        <f t="shared" si="12"/>
        <v>Указываются общее изменение стоимости основных фондов за счет их ввода в эксплуатацию и вывода из эксплуатации.</v>
      </c>
      <c r="O55" s="829" t="s">
        <v>575</v>
      </c>
      <c r="P55" s="829" t="s">
        <v>1024</v>
      </c>
      <c r="Q55" s="829" t="s">
        <v>1024</v>
      </c>
      <c r="R55" s="829" t="s">
        <v>1024</v>
      </c>
      <c r="S55" s="829"/>
      <c r="T55" s="721" t="s">
        <v>2455</v>
      </c>
      <c r="U55" s="721" t="s">
        <v>2456</v>
      </c>
      <c r="V55" s="721" t="s">
        <v>2456</v>
      </c>
      <c r="W55" s="721" t="s">
        <v>2456</v>
      </c>
      <c r="X55" s="721"/>
      <c r="Y55" s="871"/>
      <c r="Z55" s="724" t="s">
        <v>2457</v>
      </c>
      <c r="AA55" s="724" t="s">
        <v>2457</v>
      </c>
      <c r="AB55" s="724" t="s">
        <v>2457</v>
      </c>
      <c r="AC55" s="724" t="s">
        <v>2457</v>
      </c>
      <c r="AD55" s="724"/>
    </row>
    <row r="56" spans="1:30" ht="27" customHeight="1">
      <c r="A56" s="723"/>
      <c r="B56" s="775">
        <v>39</v>
      </c>
      <c r="C56" s="721" t="s">
        <v>1294</v>
      </c>
      <c r="D56" s="839"/>
      <c r="E56" s="721"/>
      <c r="F56" s="721"/>
      <c r="G56" s="721"/>
      <c r="H56" s="767"/>
      <c r="I56" s="875" t="str">
        <f t="shared" si="7"/>
        <v>5.1.1</v>
      </c>
      <c r="J56" s="875" t="str">
        <f t="shared" si="8"/>
        <v>Изменения стоимости основных фондов за счет их ввода в эксплуатацию</v>
      </c>
      <c r="K56" s="875" t="str">
        <f t="shared" si="9"/>
        <v>Указываются изменение стоимости основных фондов за счет их ввода в эксплуатацию.</v>
      </c>
      <c r="L56" s="722" t="str">
        <f t="shared" si="10"/>
        <v>5.1.1</v>
      </c>
      <c r="M56" s="722" t="str">
        <f t="shared" si="11"/>
        <v>Изменения стоимости основных фондов за счет их ввода в эксплуатацию</v>
      </c>
      <c r="N56" s="722" t="str">
        <f t="shared" si="12"/>
        <v>Указываются изменение стоимости основных фондов за счет их ввода в эксплуатацию.</v>
      </c>
      <c r="O56" s="829" t="s">
        <v>1501</v>
      </c>
      <c r="P56" s="829" t="s">
        <v>1027</v>
      </c>
      <c r="Q56" s="829" t="s">
        <v>1027</v>
      </c>
      <c r="R56" s="829" t="s">
        <v>1027</v>
      </c>
      <c r="S56" s="829"/>
      <c r="T56" s="721" t="s">
        <v>2458</v>
      </c>
      <c r="U56" s="721" t="s">
        <v>2459</v>
      </c>
      <c r="V56" s="721" t="s">
        <v>2459</v>
      </c>
      <c r="W56" s="721" t="s">
        <v>2459</v>
      </c>
      <c r="X56" s="721"/>
      <c r="Y56" s="871"/>
      <c r="Z56" s="724" t="s">
        <v>1029</v>
      </c>
      <c r="AA56" s="724" t="s">
        <v>1029</v>
      </c>
      <c r="AB56" s="724" t="s">
        <v>1029</v>
      </c>
      <c r="AC56" s="724" t="s">
        <v>1029</v>
      </c>
      <c r="AD56" s="724"/>
    </row>
    <row r="57" spans="1:30" ht="27" customHeight="1">
      <c r="A57" s="723"/>
      <c r="B57" s="775">
        <v>40</v>
      </c>
      <c r="C57" s="721" t="s">
        <v>1296</v>
      </c>
      <c r="D57" s="839"/>
      <c r="E57" s="721"/>
      <c r="F57" s="721"/>
      <c r="G57" s="721"/>
      <c r="H57" s="767"/>
      <c r="I57" s="875" t="str">
        <f t="shared" si="7"/>
        <v>5.1.2</v>
      </c>
      <c r="J57" s="875" t="str">
        <f t="shared" si="8"/>
        <v>Изменения стоимости основных фондов за счет их вывода в эксплуатацию</v>
      </c>
      <c r="K57" s="875" t="str">
        <f t="shared" si="9"/>
        <v>Указываются изменение стоимости основных фондов за счет их вывода из эксплуатации.</v>
      </c>
      <c r="L57" s="722" t="str">
        <f t="shared" si="10"/>
        <v>5.1.2</v>
      </c>
      <c r="M57" s="722" t="str">
        <f t="shared" si="11"/>
        <v>Изменения стоимости основных фондов за счет их вывода в эксплуатацию</v>
      </c>
      <c r="N57" s="722" t="str">
        <f t="shared" si="12"/>
        <v>Указываются изменение стоимости основных фондов за счет их вывода из эксплуатации.</v>
      </c>
      <c r="O57" s="829" t="s">
        <v>2460</v>
      </c>
      <c r="P57" s="829" t="s">
        <v>1030</v>
      </c>
      <c r="Q57" s="829" t="s">
        <v>1030</v>
      </c>
      <c r="R57" s="829" t="s">
        <v>1030</v>
      </c>
      <c r="S57" s="829"/>
      <c r="T57" s="721" t="s">
        <v>2461</v>
      </c>
      <c r="U57" s="721" t="s">
        <v>2462</v>
      </c>
      <c r="V57" s="721" t="s">
        <v>2462</v>
      </c>
      <c r="W57" s="721" t="s">
        <v>2462</v>
      </c>
      <c r="X57" s="721"/>
      <c r="Y57" s="871"/>
      <c r="Z57" s="724" t="s">
        <v>1032</v>
      </c>
      <c r="AA57" s="724" t="s">
        <v>1032</v>
      </c>
      <c r="AB57" s="724" t="s">
        <v>1032</v>
      </c>
      <c r="AC57" s="724" t="s">
        <v>1032</v>
      </c>
      <c r="AD57" s="724"/>
    </row>
    <row r="58" spans="1:30" ht="18" customHeight="1">
      <c r="A58" s="723"/>
      <c r="B58" s="775">
        <v>41</v>
      </c>
      <c r="C58" s="721">
        <v>2</v>
      </c>
      <c r="D58" s="839"/>
      <c r="E58" s="721"/>
      <c r="F58" s="721"/>
      <c r="G58" s="721"/>
      <c r="H58" s="767"/>
      <c r="I58" s="875" t="str">
        <f t="shared" si="7"/>
        <v>5.2</v>
      </c>
      <c r="J58" s="875" t="str">
        <f t="shared" si="8"/>
        <v>Изменение стоимости основных фондов за счет их переоценки</v>
      </c>
      <c r="K58" s="875">
        <f t="shared" si="9"/>
        <v>0</v>
      </c>
      <c r="L58" s="722" t="str">
        <f t="shared" si="10"/>
        <v>5.2</v>
      </c>
      <c r="M58" s="722" t="str">
        <f t="shared" si="11"/>
        <v>Изменение стоимости основных фондов за счет их переоценки</v>
      </c>
      <c r="N58" s="722" t="str">
        <f t="shared" si="12"/>
        <v/>
      </c>
      <c r="O58" s="829" t="s">
        <v>577</v>
      </c>
      <c r="P58" s="829" t="s">
        <v>1067</v>
      </c>
      <c r="Q58" s="829" t="s">
        <v>1067</v>
      </c>
      <c r="R58" s="829" t="s">
        <v>1067</v>
      </c>
      <c r="S58" s="829"/>
      <c r="T58" s="721" t="s">
        <v>2463</v>
      </c>
      <c r="U58" s="721" t="s">
        <v>2463</v>
      </c>
      <c r="V58" s="721" t="s">
        <v>2463</v>
      </c>
      <c r="W58" s="721" t="s">
        <v>2463</v>
      </c>
      <c r="X58" s="721"/>
      <c r="Y58" s="871"/>
      <c r="Z58" s="724"/>
      <c r="AA58" s="727"/>
      <c r="AB58" s="724"/>
      <c r="AC58" s="724"/>
      <c r="AD58" s="724"/>
    </row>
    <row r="59" spans="1:30" ht="36" customHeight="1">
      <c r="A59" s="723"/>
      <c r="B59" s="775">
        <v>42</v>
      </c>
      <c r="C59" s="721">
        <v>3</v>
      </c>
      <c r="D59" s="839" t="s">
        <v>2448</v>
      </c>
      <c r="E59" s="721" t="s">
        <v>2448</v>
      </c>
      <c r="F59" s="721" t="s">
        <v>2448</v>
      </c>
      <c r="G59" s="721"/>
      <c r="H59" s="767"/>
      <c r="I59" s="875">
        <f t="shared" si="7"/>
        <v>0</v>
      </c>
      <c r="J59" s="875">
        <f t="shared" si="8"/>
        <v>0</v>
      </c>
      <c r="K59" s="875">
        <f t="shared" si="9"/>
        <v>0</v>
      </c>
      <c r="L59" s="722" t="str">
        <f t="shared" si="10"/>
        <v/>
      </c>
      <c r="M59" s="722" t="str">
        <f t="shared" si="11"/>
        <v/>
      </c>
      <c r="N59" s="722" t="str">
        <f t="shared" si="12"/>
        <v/>
      </c>
      <c r="O59" s="829"/>
      <c r="P59" s="829" t="s">
        <v>108</v>
      </c>
      <c r="Q59" s="829" t="s">
        <v>108</v>
      </c>
      <c r="R59" s="829" t="s">
        <v>108</v>
      </c>
      <c r="S59" s="829"/>
      <c r="T59" s="721"/>
      <c r="U59" s="721" t="s">
        <v>2464</v>
      </c>
      <c r="V59" s="721" t="s">
        <v>2465</v>
      </c>
      <c r="W59" s="721" t="s">
        <v>2466</v>
      </c>
      <c r="X59" s="721"/>
      <c r="Y59" s="871"/>
      <c r="Z59" s="724"/>
      <c r="AA59" s="727"/>
      <c r="AB59" s="724"/>
      <c r="AC59" s="724"/>
      <c r="AD59" s="724"/>
    </row>
    <row r="60" spans="1:30" ht="81" customHeight="1">
      <c r="A60" s="723"/>
      <c r="B60" s="775">
        <v>43</v>
      </c>
      <c r="C60" s="721" t="s">
        <v>2467</v>
      </c>
      <c r="D60" s="839" t="s">
        <v>2467</v>
      </c>
      <c r="E60" s="721" t="s">
        <v>2467</v>
      </c>
      <c r="F60" s="721" t="s">
        <v>2467</v>
      </c>
      <c r="G60" s="721"/>
      <c r="H60" s="767"/>
      <c r="I60" s="875" t="str">
        <f t="shared" si="7"/>
        <v>6</v>
      </c>
      <c r="J60" s="875" t="str">
        <f t="shared" si="8"/>
        <v>Годовая бухгалтерская (финансовая) отчетность, включая бухгалтерский баланс и приложения к нему</v>
      </c>
      <c r="K60" s="87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22" t="str">
        <f t="shared" si="10"/>
        <v>6</v>
      </c>
      <c r="M60" s="722" t="str">
        <f t="shared" si="11"/>
        <v>Годовая бухгалтерская (финансовая) отчетность, включая бухгалтерский баланс и приложения к нему</v>
      </c>
      <c r="N60" s="722"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29" t="s">
        <v>89</v>
      </c>
      <c r="P60" s="829" t="s">
        <v>89</v>
      </c>
      <c r="Q60" s="829" t="s">
        <v>89</v>
      </c>
      <c r="R60" s="829" t="s">
        <v>89</v>
      </c>
      <c r="S60" s="829"/>
      <c r="T60" s="721" t="s">
        <v>1036</v>
      </c>
      <c r="U60" s="721" t="s">
        <v>1036</v>
      </c>
      <c r="V60" s="721" t="s">
        <v>1036</v>
      </c>
      <c r="W60" s="721" t="s">
        <v>1036</v>
      </c>
      <c r="X60" s="721"/>
      <c r="Y60" s="871"/>
      <c r="Z60" s="724" t="s">
        <v>2468</v>
      </c>
      <c r="AA60" s="727" t="s">
        <v>2469</v>
      </c>
      <c r="AB60" s="724" t="s">
        <v>2470</v>
      </c>
      <c r="AC60" s="724" t="s">
        <v>2469</v>
      </c>
      <c r="AD60" s="724"/>
    </row>
    <row r="61" spans="1:30" ht="9" customHeight="1">
      <c r="A61" s="723"/>
      <c r="B61" s="775">
        <v>44</v>
      </c>
      <c r="C61" s="721"/>
      <c r="D61" s="839" t="s">
        <v>2471</v>
      </c>
      <c r="E61" s="721"/>
      <c r="F61" s="721"/>
      <c r="G61" s="721"/>
      <c r="H61" s="767"/>
      <c r="I61" s="875">
        <f t="shared" si="7"/>
        <v>0</v>
      </c>
      <c r="J61" s="875">
        <f t="shared" si="8"/>
        <v>0</v>
      </c>
      <c r="K61" s="875">
        <f t="shared" si="9"/>
        <v>0</v>
      </c>
      <c r="L61" s="722" t="str">
        <f t="shared" si="10"/>
        <v/>
      </c>
      <c r="M61" s="722" t="str">
        <f t="shared" si="11"/>
        <v/>
      </c>
      <c r="N61" s="722" t="str">
        <f t="shared" si="12"/>
        <v/>
      </c>
      <c r="O61" s="829"/>
      <c r="P61" s="829" t="s">
        <v>90</v>
      </c>
      <c r="Q61" s="829"/>
      <c r="R61" s="829"/>
      <c r="S61" s="829"/>
      <c r="T61" s="721"/>
      <c r="U61" s="721" t="s">
        <v>2472</v>
      </c>
      <c r="V61" s="721"/>
      <c r="W61" s="721"/>
      <c r="X61" s="721"/>
      <c r="Y61" s="871"/>
      <c r="Z61" s="724"/>
      <c r="AA61" s="727"/>
      <c r="AB61" s="724"/>
      <c r="AC61" s="724"/>
      <c r="AD61" s="724"/>
    </row>
    <row r="62" spans="1:30" ht="9" customHeight="1">
      <c r="A62" s="723"/>
      <c r="B62" s="775">
        <v>45</v>
      </c>
      <c r="C62" s="721"/>
      <c r="D62" s="839" t="s">
        <v>2473</v>
      </c>
      <c r="E62" s="721"/>
      <c r="F62" s="721"/>
      <c r="G62" s="721"/>
      <c r="H62" s="767"/>
      <c r="I62" s="875">
        <f t="shared" si="7"/>
        <v>0</v>
      </c>
      <c r="J62" s="875">
        <f t="shared" si="8"/>
        <v>0</v>
      </c>
      <c r="K62" s="875">
        <f t="shared" si="9"/>
        <v>0</v>
      </c>
      <c r="L62" s="722" t="str">
        <f t="shared" si="10"/>
        <v/>
      </c>
      <c r="M62" s="722" t="str">
        <f t="shared" si="11"/>
        <v/>
      </c>
      <c r="N62" s="722" t="str">
        <f t="shared" si="12"/>
        <v/>
      </c>
      <c r="O62" s="829"/>
      <c r="P62" s="829" t="s">
        <v>109</v>
      </c>
      <c r="Q62" s="829"/>
      <c r="R62" s="829"/>
      <c r="S62" s="829"/>
      <c r="T62" s="721"/>
      <c r="U62" s="721" t="s">
        <v>2474</v>
      </c>
      <c r="V62" s="721"/>
      <c r="W62" s="721"/>
      <c r="X62" s="721"/>
      <c r="Y62" s="871"/>
      <c r="Z62" s="724"/>
      <c r="AA62" s="727"/>
      <c r="AB62" s="724"/>
      <c r="AC62" s="724"/>
      <c r="AD62" s="724"/>
    </row>
    <row r="63" spans="1:30" ht="18" customHeight="1">
      <c r="A63" s="723"/>
      <c r="B63" s="775">
        <v>46</v>
      </c>
      <c r="C63" s="721"/>
      <c r="D63" s="839" t="s">
        <v>2475</v>
      </c>
      <c r="E63" s="721"/>
      <c r="F63" s="721"/>
      <c r="G63" s="721"/>
      <c r="H63" s="767"/>
      <c r="I63" s="875">
        <f t="shared" si="7"/>
        <v>0</v>
      </c>
      <c r="J63" s="875">
        <f t="shared" si="8"/>
        <v>0</v>
      </c>
      <c r="K63" s="875">
        <f t="shared" si="9"/>
        <v>0</v>
      </c>
      <c r="L63" s="722" t="str">
        <f t="shared" si="10"/>
        <v/>
      </c>
      <c r="M63" s="722" t="str">
        <f t="shared" si="11"/>
        <v/>
      </c>
      <c r="N63" s="722" t="str">
        <f t="shared" si="12"/>
        <v/>
      </c>
      <c r="O63" s="829"/>
      <c r="P63" s="829" t="s">
        <v>133</v>
      </c>
      <c r="Q63" s="829"/>
      <c r="R63" s="829"/>
      <c r="S63" s="829"/>
      <c r="T63" s="721"/>
      <c r="U63" s="721" t="s">
        <v>2476</v>
      </c>
      <c r="V63" s="721"/>
      <c r="W63" s="721"/>
      <c r="X63" s="721"/>
      <c r="Y63" s="871"/>
      <c r="Z63" s="724"/>
      <c r="AA63" s="727"/>
      <c r="AB63" s="724"/>
      <c r="AC63" s="724"/>
      <c r="AD63" s="724"/>
    </row>
    <row r="64" spans="1:30" ht="18" customHeight="1">
      <c r="A64" s="723"/>
      <c r="B64" s="775">
        <v>47</v>
      </c>
      <c r="C64" s="721"/>
      <c r="D64" s="839" t="s">
        <v>2477</v>
      </c>
      <c r="E64" s="721"/>
      <c r="F64" s="721"/>
      <c r="G64" s="721"/>
      <c r="H64" s="767"/>
      <c r="I64" s="875">
        <f t="shared" si="7"/>
        <v>0</v>
      </c>
      <c r="J64" s="875">
        <f t="shared" si="8"/>
        <v>0</v>
      </c>
      <c r="K64" s="875">
        <f t="shared" si="9"/>
        <v>0</v>
      </c>
      <c r="L64" s="722" t="str">
        <f t="shared" si="10"/>
        <v/>
      </c>
      <c r="M64" s="722" t="str">
        <f t="shared" si="11"/>
        <v/>
      </c>
      <c r="N64" s="722" t="str">
        <f t="shared" si="12"/>
        <v/>
      </c>
      <c r="O64" s="829"/>
      <c r="P64" s="829" t="s">
        <v>136</v>
      </c>
      <c r="Q64" s="829"/>
      <c r="R64" s="829"/>
      <c r="S64" s="829"/>
      <c r="T64" s="721"/>
      <c r="U64" s="721" t="s">
        <v>2478</v>
      </c>
      <c r="V64" s="721"/>
      <c r="W64" s="721"/>
      <c r="X64" s="721"/>
      <c r="Y64" s="871"/>
      <c r="Z64" s="724"/>
      <c r="AA64" s="727" t="s">
        <v>2479</v>
      </c>
      <c r="AB64" s="724"/>
      <c r="AC64" s="724"/>
      <c r="AD64" s="724"/>
    </row>
    <row r="65" spans="1:30" ht="18" customHeight="1">
      <c r="A65" s="723"/>
      <c r="B65" s="775">
        <v>48</v>
      </c>
      <c r="C65" s="721"/>
      <c r="D65" s="839"/>
      <c r="E65" s="721"/>
      <c r="F65" s="721"/>
      <c r="G65" s="721"/>
      <c r="H65" s="767"/>
      <c r="I65" s="875">
        <f t="shared" si="7"/>
        <v>0</v>
      </c>
      <c r="J65" s="875">
        <f t="shared" si="8"/>
        <v>0</v>
      </c>
      <c r="K65" s="875">
        <f t="shared" si="9"/>
        <v>0</v>
      </c>
      <c r="L65" s="722" t="str">
        <f t="shared" si="10"/>
        <v/>
      </c>
      <c r="M65" s="722" t="str">
        <f t="shared" si="11"/>
        <v/>
      </c>
      <c r="N65" s="722" t="str">
        <f t="shared" si="12"/>
        <v/>
      </c>
      <c r="O65" s="829"/>
      <c r="P65" s="829" t="s">
        <v>2389</v>
      </c>
      <c r="Q65" s="829"/>
      <c r="R65" s="829"/>
      <c r="S65" s="829"/>
      <c r="T65" s="721"/>
      <c r="U65" s="721" t="s">
        <v>2480</v>
      </c>
      <c r="V65" s="721"/>
      <c r="W65" s="721"/>
      <c r="X65" s="721"/>
      <c r="Y65" s="871"/>
      <c r="Z65" s="724"/>
      <c r="AA65" s="727"/>
      <c r="AB65" s="724"/>
      <c r="AC65" s="724"/>
      <c r="AD65" s="724"/>
    </row>
    <row r="66" spans="1:30" ht="18" customHeight="1">
      <c r="A66" s="723"/>
      <c r="B66" s="775">
        <v>49</v>
      </c>
      <c r="C66" s="721"/>
      <c r="D66" s="839"/>
      <c r="E66" s="721"/>
      <c r="F66" s="721"/>
      <c r="G66" s="721"/>
      <c r="H66" s="767"/>
      <c r="I66" s="875">
        <f t="shared" si="7"/>
        <v>0</v>
      </c>
      <c r="J66" s="875">
        <f t="shared" si="8"/>
        <v>0</v>
      </c>
      <c r="K66" s="875">
        <f t="shared" si="9"/>
        <v>0</v>
      </c>
      <c r="L66" s="722" t="str">
        <f t="shared" si="10"/>
        <v/>
      </c>
      <c r="M66" s="722" t="str">
        <f t="shared" si="11"/>
        <v/>
      </c>
      <c r="N66" s="722" t="str">
        <f t="shared" si="12"/>
        <v/>
      </c>
      <c r="O66" s="829"/>
      <c r="P66" s="829" t="s">
        <v>2393</v>
      </c>
      <c r="Q66" s="829"/>
      <c r="R66" s="829"/>
      <c r="S66" s="829"/>
      <c r="T66" s="721"/>
      <c r="U66" s="721" t="s">
        <v>2481</v>
      </c>
      <c r="V66" s="721"/>
      <c r="W66" s="721"/>
      <c r="X66" s="721"/>
      <c r="Y66" s="871"/>
      <c r="Z66" s="724"/>
      <c r="AA66" s="727"/>
      <c r="AB66" s="724"/>
      <c r="AC66" s="724"/>
      <c r="AD66" s="724"/>
    </row>
    <row r="67" spans="1:30" ht="27" customHeight="1">
      <c r="A67" s="723"/>
      <c r="B67" s="775">
        <v>50</v>
      </c>
      <c r="C67" s="721"/>
      <c r="D67" s="839"/>
      <c r="E67" s="721"/>
      <c r="F67" s="721"/>
      <c r="G67" s="721"/>
      <c r="H67" s="767"/>
      <c r="I67" s="875">
        <f t="shared" si="7"/>
        <v>0</v>
      </c>
      <c r="J67" s="875">
        <f t="shared" si="8"/>
        <v>0</v>
      </c>
      <c r="K67" s="875">
        <f t="shared" si="9"/>
        <v>0</v>
      </c>
      <c r="L67" s="722" t="str">
        <f t="shared" si="10"/>
        <v/>
      </c>
      <c r="M67" s="722" t="str">
        <f t="shared" si="11"/>
        <v/>
      </c>
      <c r="N67" s="722" t="str">
        <f t="shared" si="12"/>
        <v/>
      </c>
      <c r="O67" s="829"/>
      <c r="P67" s="829" t="s">
        <v>2482</v>
      </c>
      <c r="Q67" s="829"/>
      <c r="R67" s="829"/>
      <c r="S67" s="829"/>
      <c r="T67" s="721"/>
      <c r="U67" s="721" t="s">
        <v>2483</v>
      </c>
      <c r="V67" s="721"/>
      <c r="W67" s="721"/>
      <c r="X67" s="721"/>
      <c r="Y67" s="871"/>
      <c r="Z67" s="724"/>
      <c r="AA67" s="727"/>
      <c r="AB67" s="724"/>
      <c r="AC67" s="724"/>
      <c r="AD67" s="724"/>
    </row>
    <row r="68" spans="1:30" ht="27" customHeight="1">
      <c r="A68" s="723"/>
      <c r="B68" s="775">
        <v>51</v>
      </c>
      <c r="C68" s="721"/>
      <c r="D68" s="839"/>
      <c r="E68" s="721"/>
      <c r="F68" s="721"/>
      <c r="G68" s="721"/>
      <c r="H68" s="767"/>
      <c r="I68" s="875">
        <f t="shared" si="7"/>
        <v>0</v>
      </c>
      <c r="J68" s="875">
        <f t="shared" si="8"/>
        <v>0</v>
      </c>
      <c r="K68" s="875">
        <f t="shared" si="9"/>
        <v>0</v>
      </c>
      <c r="L68" s="722" t="str">
        <f t="shared" si="10"/>
        <v/>
      </c>
      <c r="M68" s="722" t="str">
        <f t="shared" si="11"/>
        <v/>
      </c>
      <c r="N68" s="722" t="str">
        <f t="shared" si="12"/>
        <v/>
      </c>
      <c r="O68" s="829"/>
      <c r="P68" s="829" t="s">
        <v>2484</v>
      </c>
      <c r="Q68" s="829"/>
      <c r="R68" s="829"/>
      <c r="S68" s="829"/>
      <c r="T68" s="721"/>
      <c r="U68" s="721" t="s">
        <v>2485</v>
      </c>
      <c r="V68" s="721"/>
      <c r="W68" s="721"/>
      <c r="X68" s="721"/>
      <c r="Y68" s="871"/>
      <c r="Z68" s="724"/>
      <c r="AA68" s="727"/>
      <c r="AB68" s="724"/>
      <c r="AC68" s="724"/>
      <c r="AD68" s="724"/>
    </row>
    <row r="69" spans="1:30" ht="9" customHeight="1">
      <c r="A69" s="723"/>
      <c r="B69" s="775">
        <v>52</v>
      </c>
      <c r="C69" s="721"/>
      <c r="D69" s="839" t="s">
        <v>2486</v>
      </c>
      <c r="E69" s="721"/>
      <c r="F69" s="721"/>
      <c r="G69" s="721"/>
      <c r="H69" s="767"/>
      <c r="I69" s="875">
        <f t="shared" si="7"/>
        <v>0</v>
      </c>
      <c r="J69" s="875">
        <f t="shared" si="8"/>
        <v>0</v>
      </c>
      <c r="K69" s="875">
        <f t="shared" si="9"/>
        <v>0</v>
      </c>
      <c r="L69" s="722" t="str">
        <f t="shared" si="10"/>
        <v/>
      </c>
      <c r="M69" s="722" t="str">
        <f t="shared" si="11"/>
        <v/>
      </c>
      <c r="N69" s="722" t="str">
        <f t="shared" si="12"/>
        <v/>
      </c>
      <c r="O69" s="829"/>
      <c r="P69" s="829" t="s">
        <v>139</v>
      </c>
      <c r="Q69" s="829"/>
      <c r="R69" s="829"/>
      <c r="S69" s="829"/>
      <c r="T69" s="721"/>
      <c r="U69" s="721" t="s">
        <v>2487</v>
      </c>
      <c r="V69" s="721"/>
      <c r="W69" s="721"/>
      <c r="X69" s="721"/>
      <c r="Y69" s="871"/>
      <c r="Z69" s="724"/>
      <c r="AA69" s="727"/>
      <c r="AB69" s="724"/>
      <c r="AC69" s="724"/>
      <c r="AD69" s="724"/>
    </row>
    <row r="70" spans="1:30" ht="27" customHeight="1">
      <c r="A70" s="723"/>
      <c r="B70" s="775">
        <v>53</v>
      </c>
      <c r="C70" s="721"/>
      <c r="D70" s="839"/>
      <c r="E70" s="721" t="s">
        <v>2471</v>
      </c>
      <c r="F70" s="721"/>
      <c r="G70" s="721"/>
      <c r="H70" s="767"/>
      <c r="I70" s="875">
        <f t="shared" si="7"/>
        <v>0</v>
      </c>
      <c r="J70" s="875">
        <f t="shared" si="8"/>
        <v>0</v>
      </c>
      <c r="K70" s="875">
        <f t="shared" si="9"/>
        <v>0</v>
      </c>
      <c r="L70" s="722" t="str">
        <f t="shared" si="10"/>
        <v/>
      </c>
      <c r="M70" s="722" t="str">
        <f t="shared" si="11"/>
        <v/>
      </c>
      <c r="N70" s="722" t="str">
        <f t="shared" si="12"/>
        <v/>
      </c>
      <c r="O70" s="829"/>
      <c r="P70" s="829"/>
      <c r="Q70" s="829" t="s">
        <v>90</v>
      </c>
      <c r="R70" s="829"/>
      <c r="S70" s="829"/>
      <c r="T70" s="721"/>
      <c r="U70" s="721"/>
      <c r="V70" s="721" t="s">
        <v>2488</v>
      </c>
      <c r="W70" s="721"/>
      <c r="X70" s="721"/>
      <c r="Y70" s="871"/>
      <c r="Z70" s="724"/>
      <c r="AA70" s="727"/>
      <c r="AB70" s="724"/>
      <c r="AC70" s="724"/>
      <c r="AD70" s="724"/>
    </row>
    <row r="71" spans="1:30" ht="36" customHeight="1">
      <c r="A71" s="723"/>
      <c r="B71" s="775">
        <v>54</v>
      </c>
      <c r="C71" s="721"/>
      <c r="D71" s="839"/>
      <c r="E71" s="721" t="s">
        <v>2473</v>
      </c>
      <c r="F71" s="721"/>
      <c r="G71" s="721"/>
      <c r="H71" s="767"/>
      <c r="I71" s="875">
        <f t="shared" si="7"/>
        <v>0</v>
      </c>
      <c r="J71" s="875">
        <f t="shared" si="8"/>
        <v>0</v>
      </c>
      <c r="K71" s="875">
        <f t="shared" si="9"/>
        <v>0</v>
      </c>
      <c r="L71" s="722" t="str">
        <f t="shared" si="10"/>
        <v/>
      </c>
      <c r="M71" s="722" t="str">
        <f t="shared" si="11"/>
        <v/>
      </c>
      <c r="N71" s="722" t="str">
        <f t="shared" si="12"/>
        <v/>
      </c>
      <c r="O71" s="829"/>
      <c r="P71" s="829"/>
      <c r="Q71" s="829" t="s">
        <v>109</v>
      </c>
      <c r="R71" s="829"/>
      <c r="S71" s="829"/>
      <c r="T71" s="721"/>
      <c r="U71" s="721"/>
      <c r="V71" s="721" t="s">
        <v>2489</v>
      </c>
      <c r="W71" s="721"/>
      <c r="X71" s="721"/>
      <c r="Y71" s="871"/>
      <c r="Z71" s="724"/>
      <c r="AA71" s="727"/>
      <c r="AB71" s="724"/>
      <c r="AC71" s="724"/>
      <c r="AD71" s="724"/>
    </row>
    <row r="72" spans="1:30" ht="27" customHeight="1">
      <c r="A72" s="723"/>
      <c r="B72" s="775">
        <v>55</v>
      </c>
      <c r="C72" s="721"/>
      <c r="D72" s="839"/>
      <c r="E72" s="721" t="s">
        <v>2475</v>
      </c>
      <c r="F72" s="721"/>
      <c r="G72" s="721"/>
      <c r="H72" s="767"/>
      <c r="I72" s="875">
        <f t="shared" si="7"/>
        <v>0</v>
      </c>
      <c r="J72" s="875">
        <f t="shared" si="8"/>
        <v>0</v>
      </c>
      <c r="K72" s="875">
        <f t="shared" si="9"/>
        <v>0</v>
      </c>
      <c r="L72" s="722" t="str">
        <f t="shared" si="10"/>
        <v/>
      </c>
      <c r="M72" s="722" t="str">
        <f t="shared" si="11"/>
        <v/>
      </c>
      <c r="N72" s="722" t="str">
        <f t="shared" si="12"/>
        <v/>
      </c>
      <c r="O72" s="829"/>
      <c r="P72" s="829"/>
      <c r="Q72" s="829" t="s">
        <v>133</v>
      </c>
      <c r="R72" s="829"/>
      <c r="S72" s="829"/>
      <c r="T72" s="721"/>
      <c r="U72" s="721"/>
      <c r="V72" s="721" t="s">
        <v>2490</v>
      </c>
      <c r="W72" s="721"/>
      <c r="X72" s="721"/>
      <c r="Y72" s="871"/>
      <c r="Z72" s="724"/>
      <c r="AA72" s="727"/>
      <c r="AB72" s="724"/>
      <c r="AC72" s="724"/>
      <c r="AD72" s="724"/>
    </row>
    <row r="73" spans="1:30" ht="36" customHeight="1">
      <c r="A73" s="723"/>
      <c r="B73" s="775">
        <v>56</v>
      </c>
      <c r="C73" s="721"/>
      <c r="D73" s="839"/>
      <c r="E73" s="721" t="s">
        <v>2477</v>
      </c>
      <c r="F73" s="721"/>
      <c r="G73" s="721"/>
      <c r="H73" s="767"/>
      <c r="I73" s="875">
        <f t="shared" si="7"/>
        <v>0</v>
      </c>
      <c r="J73" s="875">
        <f t="shared" si="8"/>
        <v>0</v>
      </c>
      <c r="K73" s="875">
        <f t="shared" si="9"/>
        <v>0</v>
      </c>
      <c r="L73" s="722" t="str">
        <f t="shared" si="10"/>
        <v/>
      </c>
      <c r="M73" s="722" t="str">
        <f t="shared" si="11"/>
        <v/>
      </c>
      <c r="N73" s="722" t="str">
        <f t="shared" si="12"/>
        <v/>
      </c>
      <c r="O73" s="829"/>
      <c r="P73" s="829"/>
      <c r="Q73" s="829" t="s">
        <v>136</v>
      </c>
      <c r="R73" s="829"/>
      <c r="S73" s="829"/>
      <c r="T73" s="721"/>
      <c r="U73" s="721"/>
      <c r="V73" s="721" t="s">
        <v>2491</v>
      </c>
      <c r="W73" s="721"/>
      <c r="X73" s="721"/>
      <c r="Y73" s="871"/>
      <c r="Z73" s="724"/>
      <c r="AA73" s="727"/>
      <c r="AB73" s="724"/>
      <c r="AC73" s="724"/>
      <c r="AD73" s="724"/>
    </row>
    <row r="74" spans="1:30" ht="18" customHeight="1">
      <c r="A74" s="723"/>
      <c r="B74" s="775">
        <v>57</v>
      </c>
      <c r="C74" s="721"/>
      <c r="D74" s="839"/>
      <c r="E74" s="721" t="s">
        <v>2486</v>
      </c>
      <c r="F74" s="721"/>
      <c r="G74" s="721"/>
      <c r="H74" s="767"/>
      <c r="I74" s="875">
        <f t="shared" si="7"/>
        <v>0</v>
      </c>
      <c r="J74" s="875">
        <f t="shared" si="8"/>
        <v>0</v>
      </c>
      <c r="K74" s="875">
        <f t="shared" si="9"/>
        <v>0</v>
      </c>
      <c r="L74" s="722" t="str">
        <f t="shared" si="10"/>
        <v/>
      </c>
      <c r="M74" s="722" t="str">
        <f t="shared" si="11"/>
        <v/>
      </c>
      <c r="N74" s="722" t="str">
        <f t="shared" si="12"/>
        <v/>
      </c>
      <c r="O74" s="829"/>
      <c r="P74" s="829"/>
      <c r="Q74" s="829" t="s">
        <v>139</v>
      </c>
      <c r="R74" s="829"/>
      <c r="S74" s="829"/>
      <c r="T74" s="721"/>
      <c r="U74" s="721"/>
      <c r="V74" s="721" t="s">
        <v>2492</v>
      </c>
      <c r="W74" s="721"/>
      <c r="X74" s="721"/>
      <c r="Y74" s="871"/>
      <c r="Z74" s="724"/>
      <c r="AA74" s="727"/>
      <c r="AB74" s="724"/>
      <c r="AC74" s="724"/>
      <c r="AD74" s="724"/>
    </row>
    <row r="75" spans="1:30" ht="18" customHeight="1">
      <c r="A75" s="723"/>
      <c r="B75" s="775">
        <v>58</v>
      </c>
      <c r="C75" s="721"/>
      <c r="D75" s="839"/>
      <c r="E75" s="721"/>
      <c r="F75" s="721" t="s">
        <v>2471</v>
      </c>
      <c r="G75" s="721"/>
      <c r="H75" s="767"/>
      <c r="I75" s="875">
        <f t="shared" si="7"/>
        <v>0</v>
      </c>
      <c r="J75" s="875">
        <f t="shared" si="8"/>
        <v>0</v>
      </c>
      <c r="K75" s="875">
        <f t="shared" si="9"/>
        <v>0</v>
      </c>
      <c r="L75" s="722" t="str">
        <f t="shared" si="10"/>
        <v/>
      </c>
      <c r="M75" s="722" t="str">
        <f t="shared" si="11"/>
        <v/>
      </c>
      <c r="N75" s="722" t="str">
        <f t="shared" si="12"/>
        <v/>
      </c>
      <c r="O75" s="829"/>
      <c r="P75" s="829"/>
      <c r="Q75" s="829"/>
      <c r="R75" s="829" t="s">
        <v>90</v>
      </c>
      <c r="S75" s="829"/>
      <c r="T75" s="721"/>
      <c r="U75" s="721"/>
      <c r="V75" s="721"/>
      <c r="W75" s="721" t="s">
        <v>2493</v>
      </c>
      <c r="X75" s="721"/>
      <c r="Y75" s="871"/>
      <c r="Z75" s="724"/>
      <c r="AA75" s="727"/>
      <c r="AB75" s="724"/>
      <c r="AC75" s="724"/>
      <c r="AD75" s="724"/>
    </row>
    <row r="76" spans="1:30" ht="36" customHeight="1">
      <c r="A76" s="723"/>
      <c r="B76" s="775">
        <v>59</v>
      </c>
      <c r="C76" s="721"/>
      <c r="D76" s="839"/>
      <c r="E76" s="721"/>
      <c r="F76" s="721" t="s">
        <v>2473</v>
      </c>
      <c r="G76" s="721"/>
      <c r="H76" s="767"/>
      <c r="I76" s="875">
        <f t="shared" si="7"/>
        <v>0</v>
      </c>
      <c r="J76" s="875">
        <f t="shared" si="8"/>
        <v>0</v>
      </c>
      <c r="K76" s="875">
        <f t="shared" si="9"/>
        <v>0</v>
      </c>
      <c r="L76" s="722" t="str">
        <f t="shared" si="10"/>
        <v/>
      </c>
      <c r="M76" s="722" t="str">
        <f t="shared" si="11"/>
        <v/>
      </c>
      <c r="N76" s="722" t="str">
        <f t="shared" si="12"/>
        <v/>
      </c>
      <c r="O76" s="829"/>
      <c r="P76" s="829"/>
      <c r="Q76" s="829"/>
      <c r="R76" s="829" t="s">
        <v>109</v>
      </c>
      <c r="S76" s="829"/>
      <c r="T76" s="721"/>
      <c r="U76" s="721"/>
      <c r="V76" s="721"/>
      <c r="W76" s="721" t="s">
        <v>2494</v>
      </c>
      <c r="X76" s="721"/>
      <c r="Y76" s="871"/>
      <c r="Z76" s="724"/>
      <c r="AA76" s="727"/>
      <c r="AB76" s="724"/>
      <c r="AC76" s="724"/>
      <c r="AD76" s="724"/>
    </row>
    <row r="77" spans="1:30" ht="18" customHeight="1">
      <c r="A77" s="723"/>
      <c r="B77" s="775">
        <v>60</v>
      </c>
      <c r="C77" s="721"/>
      <c r="D77" s="839"/>
      <c r="E77" s="721"/>
      <c r="F77" s="721" t="s">
        <v>2475</v>
      </c>
      <c r="G77" s="721"/>
      <c r="H77" s="767"/>
      <c r="I77" s="875">
        <f t="shared" si="7"/>
        <v>0</v>
      </c>
      <c r="J77" s="875">
        <f t="shared" si="8"/>
        <v>0</v>
      </c>
      <c r="K77" s="875">
        <f t="shared" si="9"/>
        <v>0</v>
      </c>
      <c r="L77" s="722" t="str">
        <f t="shared" si="10"/>
        <v/>
      </c>
      <c r="M77" s="722" t="str">
        <f t="shared" si="11"/>
        <v/>
      </c>
      <c r="N77" s="722" t="str">
        <f t="shared" si="12"/>
        <v/>
      </c>
      <c r="O77" s="829"/>
      <c r="P77" s="829"/>
      <c r="Q77" s="829"/>
      <c r="R77" s="829" t="s">
        <v>133</v>
      </c>
      <c r="S77" s="829"/>
      <c r="T77" s="721"/>
      <c r="U77" s="721"/>
      <c r="V77" s="721"/>
      <c r="W77" s="721" t="s">
        <v>2495</v>
      </c>
      <c r="X77" s="721"/>
      <c r="Y77" s="871"/>
      <c r="Z77" s="724"/>
      <c r="AA77" s="727"/>
      <c r="AB77" s="724"/>
      <c r="AC77" s="724"/>
      <c r="AD77" s="724"/>
    </row>
    <row r="78" spans="1:30" ht="72" customHeight="1">
      <c r="A78" s="723"/>
      <c r="B78" s="775">
        <v>61</v>
      </c>
      <c r="C78" s="721" t="s">
        <v>2471</v>
      </c>
      <c r="D78" s="839"/>
      <c r="E78" s="721"/>
      <c r="F78" s="721"/>
      <c r="G78" s="721"/>
      <c r="H78" s="767"/>
      <c r="I78" s="875" t="str">
        <f t="shared" si="7"/>
        <v>7</v>
      </c>
      <c r="J78" s="87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87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22" t="str">
        <f t="shared" si="10"/>
        <v>7</v>
      </c>
      <c r="M78" s="722"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22"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29" t="s">
        <v>90</v>
      </c>
      <c r="P78" s="829"/>
      <c r="Q78" s="829"/>
      <c r="R78" s="829"/>
      <c r="S78" s="829"/>
      <c r="T78" s="721" t="s">
        <v>2496</v>
      </c>
      <c r="U78" s="721"/>
      <c r="V78" s="721"/>
      <c r="W78" s="721"/>
      <c r="X78" s="721"/>
      <c r="Y78" s="871"/>
      <c r="Z78" s="724" t="s">
        <v>2497</v>
      </c>
      <c r="AA78" s="727"/>
      <c r="AB78" s="724"/>
      <c r="AC78" s="724"/>
      <c r="AD78" s="724"/>
    </row>
    <row r="79" spans="1:30" ht="36" customHeight="1">
      <c r="A79" s="723"/>
      <c r="B79" s="775">
        <v>62</v>
      </c>
      <c r="C79" s="721" t="s">
        <v>2473</v>
      </c>
      <c r="D79" s="839"/>
      <c r="E79" s="721"/>
      <c r="F79" s="721"/>
      <c r="G79" s="721"/>
      <c r="H79" s="767"/>
      <c r="I79" s="875" t="str">
        <f t="shared" si="7"/>
        <v>8</v>
      </c>
      <c r="J79" s="875" t="str">
        <f t="shared" si="8"/>
        <v>Тепловая нагрузка по договорам, заключенным в рамках осуществления регулируемых видов деятельности</v>
      </c>
      <c r="K79" s="87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22" t="str">
        <f t="shared" si="10"/>
        <v>8</v>
      </c>
      <c r="M79" s="722" t="str">
        <f t="shared" si="11"/>
        <v>Тепловая нагрузка по договорам, заключенным в рамках осуществления регулируемых видов деятельности</v>
      </c>
      <c r="N79" s="722"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29" t="s">
        <v>109</v>
      </c>
      <c r="P79" s="829"/>
      <c r="Q79" s="829"/>
      <c r="R79" s="829"/>
      <c r="S79" s="829"/>
      <c r="T79" s="721" t="s">
        <v>2498</v>
      </c>
      <c r="U79" s="721"/>
      <c r="V79" s="721"/>
      <c r="W79" s="721"/>
      <c r="X79" s="721"/>
      <c r="Y79" s="871"/>
      <c r="Z79" s="724" t="s">
        <v>2499</v>
      </c>
      <c r="AA79" s="727"/>
      <c r="AB79" s="724"/>
      <c r="AC79" s="724"/>
      <c r="AD79" s="724"/>
    </row>
    <row r="80" spans="1:30" ht="45" customHeight="1">
      <c r="A80" s="723"/>
      <c r="B80" s="775">
        <v>63</v>
      </c>
      <c r="C80" s="721" t="s">
        <v>2475</v>
      </c>
      <c r="D80" s="839"/>
      <c r="E80" s="721"/>
      <c r="F80" s="721"/>
      <c r="G80" s="721"/>
      <c r="H80" s="767"/>
      <c r="I80" s="875" t="str">
        <f t="shared" si="7"/>
        <v>9</v>
      </c>
      <c r="J80" s="875" t="str">
        <f t="shared" si="8"/>
        <v>Объем вырабатываемой регулируемой организацией тепловой энергии в рамках осуществления регулируемых видов деятельности</v>
      </c>
      <c r="K80" s="87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22" t="str">
        <f t="shared" si="10"/>
        <v>9</v>
      </c>
      <c r="M80" s="722" t="str">
        <f t="shared" si="11"/>
        <v>Объем вырабатываемой регулируемой организацией тепловой энергии в рамках осуществления регулируемых видов деятельности</v>
      </c>
      <c r="N80" s="722"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29" t="s">
        <v>133</v>
      </c>
      <c r="P80" s="829"/>
      <c r="Q80" s="829"/>
      <c r="R80" s="829"/>
      <c r="S80" s="829"/>
      <c r="T80" s="721" t="s">
        <v>2500</v>
      </c>
      <c r="U80" s="721"/>
      <c r="V80" s="721"/>
      <c r="W80" s="721"/>
      <c r="X80" s="721"/>
      <c r="Y80" s="871"/>
      <c r="Z80" s="724" t="s">
        <v>2501</v>
      </c>
      <c r="AA80" s="727"/>
      <c r="AB80" s="724"/>
      <c r="AC80" s="724"/>
      <c r="AD80" s="724"/>
    </row>
    <row r="81" spans="1:30" ht="36" customHeight="1">
      <c r="A81" s="723"/>
      <c r="B81" s="775">
        <v>64</v>
      </c>
      <c r="C81" s="721" t="s">
        <v>2477</v>
      </c>
      <c r="D81" s="839"/>
      <c r="E81" s="721"/>
      <c r="F81" s="721"/>
      <c r="G81" s="721"/>
      <c r="H81" s="767"/>
      <c r="I81" s="875" t="str">
        <f t="shared" si="7"/>
        <v>9.1</v>
      </c>
      <c r="J81" s="875" t="str">
        <f t="shared" si="8"/>
        <v>Объем приобретаемой регулируемой организацией тепловой энергии в рамках осуществления регулируемых видов деятельности</v>
      </c>
      <c r="K81" s="875" t="str">
        <f t="shared" si="9"/>
        <v>Информация указывается только едиными теплоснабжающими организациями.</v>
      </c>
      <c r="L81" s="722" t="str">
        <f t="shared" si="10"/>
        <v>9.1</v>
      </c>
      <c r="M81" s="722" t="str">
        <f t="shared" si="11"/>
        <v>Объем приобретаемой регулируемой организацией тепловой энергии в рамках осуществления регулируемых видов деятельности</v>
      </c>
      <c r="N81" s="722" t="str">
        <f t="shared" si="12"/>
        <v>Информация указывается только едиными теплоснабжающими организациями.</v>
      </c>
      <c r="O81" s="829" t="s">
        <v>2380</v>
      </c>
      <c r="P81" s="829"/>
      <c r="Q81" s="829"/>
      <c r="R81" s="829"/>
      <c r="S81" s="829"/>
      <c r="T81" s="721" t="s">
        <v>2502</v>
      </c>
      <c r="U81" s="721"/>
      <c r="V81" s="721"/>
      <c r="W81" s="721"/>
      <c r="X81" s="721"/>
      <c r="Y81" s="871"/>
      <c r="Z81" s="724" t="s">
        <v>2503</v>
      </c>
      <c r="AA81" s="727"/>
      <c r="AB81" s="724"/>
      <c r="AC81" s="724"/>
      <c r="AD81" s="724"/>
    </row>
    <row r="82" spans="1:30" ht="90" customHeight="1">
      <c r="A82" s="723"/>
      <c r="B82" s="775">
        <v>65</v>
      </c>
      <c r="C82" s="721" t="s">
        <v>2486</v>
      </c>
      <c r="D82" s="839"/>
      <c r="E82" s="721"/>
      <c r="F82" s="721"/>
      <c r="G82" s="721"/>
      <c r="H82" s="767"/>
      <c r="I82" s="875" t="str">
        <f t="shared" ref="I82:I101" si="13">INDEX(TEMPLATE_NUMBER_POINT_FHD,B82,MATCH(TEMPLATE_SPHERE,TEMPLATE_SPHERE_LIST_FOR_NOTE,0))</f>
        <v>10</v>
      </c>
      <c r="J82" s="87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87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22" t="str">
        <f t="shared" ref="L82:L101" si="16">IF(I82=0,"",I82)</f>
        <v>10</v>
      </c>
      <c r="M82" s="722"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22"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29" t="s">
        <v>136</v>
      </c>
      <c r="P82" s="829"/>
      <c r="Q82" s="829"/>
      <c r="R82" s="829"/>
      <c r="S82" s="829"/>
      <c r="T82" s="721" t="s">
        <v>2504</v>
      </c>
      <c r="U82" s="721"/>
      <c r="V82" s="721"/>
      <c r="W82" s="721"/>
      <c r="X82" s="721"/>
      <c r="Y82" s="871"/>
      <c r="Z82" s="724" t="s">
        <v>2505</v>
      </c>
      <c r="AA82" s="727"/>
      <c r="AB82" s="724"/>
      <c r="AC82" s="724"/>
      <c r="AD82" s="724"/>
    </row>
    <row r="83" spans="1:30" ht="9" customHeight="1">
      <c r="A83" s="723"/>
      <c r="B83" s="775">
        <v>66</v>
      </c>
      <c r="C83" s="721"/>
      <c r="D83" s="839"/>
      <c r="E83" s="721"/>
      <c r="F83" s="721"/>
      <c r="G83" s="721"/>
      <c r="H83" s="767"/>
      <c r="I83" s="875" t="str">
        <f t="shared" si="13"/>
        <v>10.1</v>
      </c>
      <c r="J83" s="875" t="str">
        <f t="shared" si="14"/>
        <v xml:space="preserve">По приборам учёта </v>
      </c>
      <c r="K83" s="875">
        <f t="shared" si="15"/>
        <v>0</v>
      </c>
      <c r="L83" s="722" t="str">
        <f t="shared" si="16"/>
        <v>10.1</v>
      </c>
      <c r="M83" s="722" t="str">
        <f t="shared" si="17"/>
        <v xml:space="preserve">По приборам учёта </v>
      </c>
      <c r="N83" s="722" t="str">
        <f t="shared" si="18"/>
        <v/>
      </c>
      <c r="O83" s="829" t="s">
        <v>2389</v>
      </c>
      <c r="P83" s="829"/>
      <c r="Q83" s="829"/>
      <c r="R83" s="829"/>
      <c r="S83" s="829"/>
      <c r="T83" s="721" t="s">
        <v>2506</v>
      </c>
      <c r="U83" s="721"/>
      <c r="V83" s="721"/>
      <c r="W83" s="721"/>
      <c r="X83" s="721"/>
      <c r="Y83" s="871"/>
      <c r="Z83" s="724"/>
      <c r="AA83" s="727"/>
      <c r="AB83" s="724"/>
      <c r="AC83" s="724"/>
      <c r="AD83" s="724"/>
    </row>
    <row r="84" spans="1:30" ht="54" customHeight="1">
      <c r="A84" s="723"/>
      <c r="B84" s="775">
        <v>67</v>
      </c>
      <c r="C84" s="721"/>
      <c r="D84" s="839"/>
      <c r="E84" s="721"/>
      <c r="F84" s="721"/>
      <c r="G84" s="721"/>
      <c r="H84" s="767"/>
      <c r="I84" s="875" t="str">
        <f t="shared" si="13"/>
        <v>10.1.1</v>
      </c>
      <c r="J84" s="87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875">
        <f t="shared" si="15"/>
        <v>0</v>
      </c>
      <c r="L84" s="722" t="str">
        <f t="shared" si="16"/>
        <v>10.1.1</v>
      </c>
      <c r="M84" s="722"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22" t="str">
        <f t="shared" si="18"/>
        <v/>
      </c>
      <c r="O84" s="829" t="s">
        <v>2507</v>
      </c>
      <c r="P84" s="829"/>
      <c r="Q84" s="829"/>
      <c r="R84" s="829"/>
      <c r="S84" s="829"/>
      <c r="T84" s="721" t="s">
        <v>2508</v>
      </c>
      <c r="U84" s="721"/>
      <c r="V84" s="721"/>
      <c r="W84" s="721"/>
      <c r="X84" s="721"/>
      <c r="Y84" s="871"/>
      <c r="Z84" s="724"/>
      <c r="AA84" s="727"/>
      <c r="AB84" s="724"/>
      <c r="AC84" s="724"/>
      <c r="AD84" s="724"/>
    </row>
    <row r="85" spans="1:30" ht="9" customHeight="1">
      <c r="A85" s="723"/>
      <c r="B85" s="775">
        <v>68</v>
      </c>
      <c r="C85" s="721"/>
      <c r="D85" s="839"/>
      <c r="E85" s="721"/>
      <c r="F85" s="721"/>
      <c r="G85" s="721"/>
      <c r="H85" s="767"/>
      <c r="I85" s="875" t="str">
        <f t="shared" si="13"/>
        <v>10.2</v>
      </c>
      <c r="J85" s="875" t="str">
        <f t="shared" si="14"/>
        <v>Расчётным путём</v>
      </c>
      <c r="K85" s="875">
        <f t="shared" si="15"/>
        <v>0</v>
      </c>
      <c r="L85" s="722" t="str">
        <f t="shared" si="16"/>
        <v>10.2</v>
      </c>
      <c r="M85" s="722" t="str">
        <f t="shared" si="17"/>
        <v>Расчётным путём</v>
      </c>
      <c r="N85" s="722" t="str">
        <f t="shared" si="18"/>
        <v/>
      </c>
      <c r="O85" s="829" t="s">
        <v>2393</v>
      </c>
      <c r="P85" s="829"/>
      <c r="Q85" s="829"/>
      <c r="R85" s="829"/>
      <c r="S85" s="829"/>
      <c r="T85" s="721" t="s">
        <v>2509</v>
      </c>
      <c r="U85" s="721"/>
      <c r="V85" s="721"/>
      <c r="W85" s="721"/>
      <c r="X85" s="721"/>
      <c r="Y85" s="871"/>
      <c r="Z85" s="724"/>
      <c r="AA85" s="727"/>
      <c r="AB85" s="724"/>
      <c r="AC85" s="724"/>
      <c r="AD85" s="724"/>
    </row>
    <row r="86" spans="1:30" ht="27" customHeight="1">
      <c r="A86" s="723"/>
      <c r="B86" s="775">
        <v>69</v>
      </c>
      <c r="C86" s="721"/>
      <c r="D86" s="839"/>
      <c r="E86" s="721"/>
      <c r="F86" s="721"/>
      <c r="G86" s="721"/>
      <c r="H86" s="767"/>
      <c r="I86" s="875" t="str">
        <f t="shared" si="13"/>
        <v>10.3</v>
      </c>
      <c r="J86" s="875" t="str">
        <f t="shared" si="14"/>
        <v>По нормативам потребления коммунальных услуг и нормативам потребления коммунальных ресурсов</v>
      </c>
      <c r="K86" s="875">
        <f t="shared" si="15"/>
        <v>0</v>
      </c>
      <c r="L86" s="722" t="str">
        <f t="shared" si="16"/>
        <v>10.3</v>
      </c>
      <c r="M86" s="722" t="str">
        <f t="shared" si="17"/>
        <v>По нормативам потребления коммунальных услуг и нормативам потребления коммунальных ресурсов</v>
      </c>
      <c r="N86" s="722" t="str">
        <f t="shared" si="18"/>
        <v/>
      </c>
      <c r="O86" s="829" t="s">
        <v>2510</v>
      </c>
      <c r="P86" s="829"/>
      <c r="Q86" s="829"/>
      <c r="R86" s="829"/>
      <c r="S86" s="829"/>
      <c r="T86" s="721" t="s">
        <v>2511</v>
      </c>
      <c r="U86" s="721"/>
      <c r="V86" s="721"/>
      <c r="W86" s="721"/>
      <c r="X86" s="721"/>
      <c r="Y86" s="871"/>
      <c r="Z86" s="724"/>
      <c r="AA86" s="727"/>
      <c r="AB86" s="724"/>
      <c r="AC86" s="724"/>
      <c r="AD86" s="724"/>
    </row>
    <row r="87" spans="1:30" ht="36" customHeight="1">
      <c r="A87" s="723"/>
      <c r="B87" s="775">
        <v>70</v>
      </c>
      <c r="C87" s="721" t="s">
        <v>2512</v>
      </c>
      <c r="D87" s="839"/>
      <c r="E87" s="721"/>
      <c r="F87" s="721"/>
      <c r="G87" s="721"/>
      <c r="H87" s="767"/>
      <c r="I87" s="875" t="str">
        <f t="shared" si="13"/>
        <v>11</v>
      </c>
      <c r="J87" s="87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875">
        <f t="shared" si="15"/>
        <v>0</v>
      </c>
      <c r="L87" s="722" t="str">
        <f t="shared" si="16"/>
        <v>11</v>
      </c>
      <c r="M87" s="722"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22" t="str">
        <f t="shared" si="18"/>
        <v/>
      </c>
      <c r="O87" s="829" t="s">
        <v>139</v>
      </c>
      <c r="P87" s="829"/>
      <c r="Q87" s="829"/>
      <c r="R87" s="829"/>
      <c r="S87" s="829"/>
      <c r="T87" s="721" t="s">
        <v>2513</v>
      </c>
      <c r="U87" s="721"/>
      <c r="V87" s="721"/>
      <c r="W87" s="721"/>
      <c r="X87" s="721"/>
      <c r="Y87" s="871"/>
      <c r="Z87" s="724"/>
      <c r="AA87" s="727"/>
      <c r="AB87" s="724"/>
      <c r="AC87" s="724"/>
      <c r="AD87" s="724"/>
    </row>
    <row r="88" spans="1:30" ht="18" customHeight="1">
      <c r="A88" s="723"/>
      <c r="B88" s="775">
        <v>71</v>
      </c>
      <c r="C88" s="721" t="s">
        <v>2514</v>
      </c>
      <c r="D88" s="839"/>
      <c r="E88" s="721"/>
      <c r="F88" s="721"/>
      <c r="G88" s="721"/>
      <c r="H88" s="767"/>
      <c r="I88" s="875" t="str">
        <f t="shared" si="13"/>
        <v>12</v>
      </c>
      <c r="J88" s="875" t="str">
        <f t="shared" si="14"/>
        <v>Фактический объем потерь при передаче тепловой энергии</v>
      </c>
      <c r="K88" s="875">
        <f t="shared" si="15"/>
        <v>0</v>
      </c>
      <c r="L88" s="722" t="str">
        <f t="shared" si="16"/>
        <v>12</v>
      </c>
      <c r="M88" s="722" t="str">
        <f t="shared" si="17"/>
        <v>Фактический объем потерь при передаче тепловой энергии</v>
      </c>
      <c r="N88" s="722" t="str">
        <f t="shared" si="18"/>
        <v/>
      </c>
      <c r="O88" s="829" t="s">
        <v>142</v>
      </c>
      <c r="P88" s="829"/>
      <c r="Q88" s="829"/>
      <c r="R88" s="829"/>
      <c r="S88" s="829"/>
      <c r="T88" s="721" t="s">
        <v>2515</v>
      </c>
      <c r="U88" s="721"/>
      <c r="V88" s="721"/>
      <c r="W88" s="721"/>
      <c r="X88" s="721"/>
      <c r="Y88" s="871"/>
      <c r="Z88" s="724"/>
      <c r="AA88" s="727"/>
      <c r="AB88" s="724"/>
      <c r="AC88" s="724"/>
      <c r="AD88" s="724"/>
    </row>
    <row r="89" spans="1:30" ht="18" customHeight="1">
      <c r="A89" s="723"/>
      <c r="B89" s="775">
        <v>72</v>
      </c>
      <c r="C89" s="721" t="s">
        <v>2516</v>
      </c>
      <c r="D89" s="839" t="s">
        <v>2512</v>
      </c>
      <c r="E89" s="721" t="s">
        <v>2512</v>
      </c>
      <c r="F89" s="721" t="s">
        <v>2477</v>
      </c>
      <c r="G89" s="721"/>
      <c r="H89" s="767"/>
      <c r="I89" s="875" t="str">
        <f t="shared" si="13"/>
        <v>13</v>
      </c>
      <c r="J89" s="875" t="str">
        <f t="shared" si="14"/>
        <v>Среднесписочная численность основного производственного персонала</v>
      </c>
      <c r="K89" s="875">
        <f t="shared" si="15"/>
        <v>0</v>
      </c>
      <c r="L89" s="722" t="str">
        <f t="shared" si="16"/>
        <v>13</v>
      </c>
      <c r="M89" s="722" t="str">
        <f t="shared" si="17"/>
        <v>Среднесписочная численность основного производственного персонала</v>
      </c>
      <c r="N89" s="722" t="str">
        <f t="shared" si="18"/>
        <v/>
      </c>
      <c r="O89" s="829" t="s">
        <v>145</v>
      </c>
      <c r="P89" s="829" t="s">
        <v>142</v>
      </c>
      <c r="Q89" s="829" t="s">
        <v>142</v>
      </c>
      <c r="R89" s="829" t="s">
        <v>136</v>
      </c>
      <c r="S89" s="829"/>
      <c r="T89" s="721" t="s">
        <v>2517</v>
      </c>
      <c r="U89" s="721" t="s">
        <v>2517</v>
      </c>
      <c r="V89" s="721" t="s">
        <v>2517</v>
      </c>
      <c r="W89" s="721" t="s">
        <v>2517</v>
      </c>
      <c r="X89" s="721"/>
      <c r="Y89" s="871"/>
      <c r="Z89" s="724"/>
      <c r="AA89" s="727"/>
      <c r="AB89" s="724"/>
      <c r="AC89" s="724"/>
      <c r="AD89" s="724"/>
    </row>
    <row r="90" spans="1:30" ht="27" customHeight="1">
      <c r="A90" s="723"/>
      <c r="B90" s="775">
        <v>73</v>
      </c>
      <c r="C90" s="721" t="s">
        <v>2518</v>
      </c>
      <c r="D90" s="839"/>
      <c r="E90" s="721"/>
      <c r="F90" s="721"/>
      <c r="G90" s="721"/>
      <c r="H90" s="767"/>
      <c r="I90" s="875" t="str">
        <f t="shared" si="13"/>
        <v>14</v>
      </c>
      <c r="J90" s="875" t="str">
        <f t="shared" si="14"/>
        <v>Среднесписочная численность административно-управленческого персонала</v>
      </c>
      <c r="K90" s="875">
        <f t="shared" si="15"/>
        <v>0</v>
      </c>
      <c r="L90" s="722" t="str">
        <f t="shared" si="16"/>
        <v>14</v>
      </c>
      <c r="M90" s="722" t="str">
        <f t="shared" si="17"/>
        <v>Среднесписочная численность административно-управленческого персонала</v>
      </c>
      <c r="N90" s="722" t="str">
        <f t="shared" si="18"/>
        <v/>
      </c>
      <c r="O90" s="829" t="s">
        <v>148</v>
      </c>
      <c r="P90" s="829"/>
      <c r="Q90" s="829"/>
      <c r="R90" s="829"/>
      <c r="S90" s="829"/>
      <c r="T90" s="721" t="s">
        <v>2519</v>
      </c>
      <c r="U90" s="721"/>
      <c r="V90" s="721"/>
      <c r="W90" s="721"/>
      <c r="X90" s="721"/>
      <c r="Y90" s="871"/>
      <c r="Z90" s="724"/>
      <c r="AA90" s="727"/>
      <c r="AB90" s="724"/>
      <c r="AC90" s="724"/>
      <c r="AD90" s="724"/>
    </row>
    <row r="91" spans="1:30" ht="18" customHeight="1">
      <c r="A91" s="723"/>
      <c r="B91" s="775">
        <v>74</v>
      </c>
      <c r="C91" s="721"/>
      <c r="D91" s="839" t="s">
        <v>2514</v>
      </c>
      <c r="E91" s="721" t="s">
        <v>2514</v>
      </c>
      <c r="F91" s="721"/>
      <c r="G91" s="721"/>
      <c r="H91" s="767"/>
      <c r="I91" s="875">
        <f t="shared" si="13"/>
        <v>0</v>
      </c>
      <c r="J91" s="875">
        <f t="shared" si="14"/>
        <v>0</v>
      </c>
      <c r="K91" s="875">
        <f t="shared" si="15"/>
        <v>0</v>
      </c>
      <c r="L91" s="722" t="str">
        <f t="shared" si="16"/>
        <v/>
      </c>
      <c r="M91" s="722" t="str">
        <f t="shared" si="17"/>
        <v/>
      </c>
      <c r="N91" s="722" t="str">
        <f t="shared" si="18"/>
        <v/>
      </c>
      <c r="O91" s="829"/>
      <c r="P91" s="829" t="s">
        <v>145</v>
      </c>
      <c r="Q91" s="829" t="s">
        <v>145</v>
      </c>
      <c r="R91" s="829"/>
      <c r="S91" s="829"/>
      <c r="T91" s="721"/>
      <c r="U91" s="721" t="s">
        <v>2520</v>
      </c>
      <c r="V91" s="721" t="s">
        <v>2520</v>
      </c>
      <c r="W91" s="721"/>
      <c r="X91" s="721"/>
      <c r="Y91" s="871"/>
      <c r="Z91" s="724"/>
      <c r="AA91" s="727"/>
      <c r="AB91" s="724"/>
      <c r="AC91" s="724"/>
      <c r="AD91" s="724"/>
    </row>
    <row r="92" spans="1:30" ht="27" customHeight="1">
      <c r="A92" s="723"/>
      <c r="B92" s="775">
        <v>75</v>
      </c>
      <c r="C92" s="721"/>
      <c r="D92" s="839" t="s">
        <v>2516</v>
      </c>
      <c r="E92" s="721"/>
      <c r="F92" s="721"/>
      <c r="G92" s="721"/>
      <c r="H92" s="767"/>
      <c r="I92" s="875">
        <f t="shared" si="13"/>
        <v>0</v>
      </c>
      <c r="J92" s="875">
        <f t="shared" si="14"/>
        <v>0</v>
      </c>
      <c r="K92" s="875">
        <f t="shared" si="15"/>
        <v>0</v>
      </c>
      <c r="L92" s="722" t="str">
        <f t="shared" si="16"/>
        <v/>
      </c>
      <c r="M92" s="722" t="str">
        <f t="shared" si="17"/>
        <v/>
      </c>
      <c r="N92" s="722" t="str">
        <f t="shared" si="18"/>
        <v/>
      </c>
      <c r="O92" s="829"/>
      <c r="P92" s="829" t="s">
        <v>148</v>
      </c>
      <c r="Q92" s="829"/>
      <c r="R92" s="829"/>
      <c r="S92" s="829"/>
      <c r="T92" s="721"/>
      <c r="U92" s="721" t="s">
        <v>2521</v>
      </c>
      <c r="V92" s="721"/>
      <c r="W92" s="721"/>
      <c r="X92" s="721"/>
      <c r="Y92" s="871"/>
      <c r="Z92" s="724"/>
      <c r="AA92" s="727" t="s">
        <v>2522</v>
      </c>
      <c r="AB92" s="724"/>
      <c r="AC92" s="724"/>
      <c r="AD92" s="724"/>
    </row>
    <row r="93" spans="1:30" ht="27" customHeight="1">
      <c r="A93" s="723"/>
      <c r="B93" s="775">
        <v>76</v>
      </c>
      <c r="C93" s="721"/>
      <c r="D93" s="839"/>
      <c r="E93" s="721"/>
      <c r="F93" s="721"/>
      <c r="G93" s="721"/>
      <c r="H93" s="767"/>
      <c r="I93" s="875">
        <f t="shared" si="13"/>
        <v>0</v>
      </c>
      <c r="J93" s="875">
        <f t="shared" si="14"/>
        <v>0</v>
      </c>
      <c r="K93" s="875">
        <f t="shared" si="15"/>
        <v>0</v>
      </c>
      <c r="L93" s="722" t="str">
        <f t="shared" si="16"/>
        <v/>
      </c>
      <c r="M93" s="722" t="str">
        <f t="shared" si="17"/>
        <v/>
      </c>
      <c r="N93" s="722" t="str">
        <f t="shared" si="18"/>
        <v/>
      </c>
      <c r="O93" s="829"/>
      <c r="P93" s="829" t="s">
        <v>2421</v>
      </c>
      <c r="Q93" s="829"/>
      <c r="R93" s="829"/>
      <c r="S93" s="829"/>
      <c r="T93" s="721"/>
      <c r="U93" s="721" t="s">
        <v>2523</v>
      </c>
      <c r="V93" s="721"/>
      <c r="W93" s="721"/>
      <c r="X93" s="721"/>
      <c r="Y93" s="871"/>
      <c r="Z93" s="724"/>
      <c r="AA93" s="727" t="s">
        <v>2524</v>
      </c>
      <c r="AB93" s="724"/>
      <c r="AC93" s="724"/>
      <c r="AD93" s="724"/>
    </row>
    <row r="94" spans="1:30" ht="45" customHeight="1">
      <c r="A94" s="723"/>
      <c r="B94" s="775">
        <v>77</v>
      </c>
      <c r="C94" s="721"/>
      <c r="D94" s="839" t="s">
        <v>2518</v>
      </c>
      <c r="E94" s="721"/>
      <c r="F94" s="721"/>
      <c r="G94" s="721"/>
      <c r="H94" s="767"/>
      <c r="I94" s="875">
        <f t="shared" si="13"/>
        <v>0</v>
      </c>
      <c r="J94" s="875">
        <f t="shared" si="14"/>
        <v>0</v>
      </c>
      <c r="K94" s="875">
        <f t="shared" si="15"/>
        <v>0</v>
      </c>
      <c r="L94" s="722" t="str">
        <f t="shared" si="16"/>
        <v/>
      </c>
      <c r="M94" s="722" t="str">
        <f t="shared" si="17"/>
        <v/>
      </c>
      <c r="N94" s="722" t="str">
        <f t="shared" si="18"/>
        <v/>
      </c>
      <c r="O94" s="829"/>
      <c r="P94" s="829" t="s">
        <v>151</v>
      </c>
      <c r="Q94" s="829"/>
      <c r="R94" s="829"/>
      <c r="S94" s="829"/>
      <c r="T94" s="721"/>
      <c r="U94" s="721" t="s">
        <v>2525</v>
      </c>
      <c r="V94" s="721"/>
      <c r="W94" s="721"/>
      <c r="X94" s="721"/>
      <c r="Y94" s="871"/>
      <c r="Z94" s="724"/>
      <c r="AA94" s="727" t="s">
        <v>2526</v>
      </c>
      <c r="AB94" s="724"/>
      <c r="AC94" s="724"/>
      <c r="AD94" s="724"/>
    </row>
    <row r="95" spans="1:30" ht="99" customHeight="1">
      <c r="A95" s="723"/>
      <c r="B95" s="775">
        <v>78</v>
      </c>
      <c r="C95" s="721" t="s">
        <v>2527</v>
      </c>
      <c r="D95" s="839"/>
      <c r="E95" s="721"/>
      <c r="F95" s="721"/>
      <c r="G95" s="721"/>
      <c r="H95" s="767"/>
      <c r="I95" s="875" t="str">
        <f t="shared" si="13"/>
        <v>15</v>
      </c>
      <c r="J95" s="87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875">
        <f t="shared" si="15"/>
        <v>0</v>
      </c>
      <c r="L95" s="722" t="str">
        <f t="shared" si="16"/>
        <v>15</v>
      </c>
      <c r="M95" s="722"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22" t="str">
        <f t="shared" si="18"/>
        <v/>
      </c>
      <c r="O95" s="829" t="s">
        <v>151</v>
      </c>
      <c r="P95" s="829"/>
      <c r="Q95" s="829"/>
      <c r="R95" s="829"/>
      <c r="S95" s="829"/>
      <c r="T95" s="721" t="s">
        <v>2528</v>
      </c>
      <c r="U95" s="721"/>
      <c r="V95" s="721"/>
      <c r="W95" s="721"/>
      <c r="X95" s="721"/>
      <c r="Y95" s="871"/>
      <c r="Z95" s="724"/>
      <c r="AA95" s="727"/>
      <c r="AB95" s="724"/>
      <c r="AC95" s="724"/>
      <c r="AD95" s="724"/>
    </row>
    <row r="96" spans="1:30" ht="99" customHeight="1">
      <c r="A96" s="723"/>
      <c r="B96" s="775">
        <v>79</v>
      </c>
      <c r="C96" s="721" t="s">
        <v>1510</v>
      </c>
      <c r="D96" s="839"/>
      <c r="E96" s="721"/>
      <c r="F96" s="721"/>
      <c r="G96" s="721"/>
      <c r="H96" s="767"/>
      <c r="I96" s="875" t="str">
        <f t="shared" si="13"/>
        <v>16</v>
      </c>
      <c r="J96" s="87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87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22" t="str">
        <f t="shared" si="16"/>
        <v>16</v>
      </c>
      <c r="M96" s="722"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22"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29" t="s">
        <v>154</v>
      </c>
      <c r="P96" s="829"/>
      <c r="Q96" s="829"/>
      <c r="R96" s="829"/>
      <c r="S96" s="829"/>
      <c r="T96" s="721" t="s">
        <v>2529</v>
      </c>
      <c r="U96" s="721"/>
      <c r="V96" s="721"/>
      <c r="W96" s="721"/>
      <c r="X96" s="721"/>
      <c r="Y96" s="871"/>
      <c r="Z96" s="724" t="s">
        <v>2530</v>
      </c>
      <c r="AA96" s="727"/>
      <c r="AB96" s="724"/>
      <c r="AC96" s="724"/>
      <c r="AD96" s="724"/>
    </row>
    <row r="97" spans="1:30" ht="63" customHeight="1">
      <c r="A97" s="723"/>
      <c r="B97" s="775">
        <v>80</v>
      </c>
      <c r="C97" s="721" t="s">
        <v>2531</v>
      </c>
      <c r="D97" s="839"/>
      <c r="E97" s="721"/>
      <c r="F97" s="721"/>
      <c r="G97" s="721"/>
      <c r="H97" s="767"/>
      <c r="I97" s="875" t="str">
        <f t="shared" si="13"/>
        <v>17</v>
      </c>
      <c r="J97" s="87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875" t="str">
        <f t="shared" si="15"/>
        <v>Регулируемыми организациями указывается информация с по договорам, заключенным в рамках осуществления регулируемой деятельности.</v>
      </c>
      <c r="L97" s="722" t="str">
        <f t="shared" si="16"/>
        <v>17</v>
      </c>
      <c r="M97" s="722"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22" t="str">
        <f t="shared" si="18"/>
        <v>Регулируемыми организациями указывается информация с по договорам, заключенным в рамках осуществления регулируемой деятельности.</v>
      </c>
      <c r="O97" s="829" t="s">
        <v>157</v>
      </c>
      <c r="P97" s="829"/>
      <c r="Q97" s="829"/>
      <c r="R97" s="829"/>
      <c r="S97" s="829"/>
      <c r="T97" s="721" t="s">
        <v>2532</v>
      </c>
      <c r="U97" s="721"/>
      <c r="V97" s="721"/>
      <c r="W97" s="721"/>
      <c r="X97" s="721"/>
      <c r="Y97" s="871"/>
      <c r="Z97" s="724" t="s">
        <v>2533</v>
      </c>
      <c r="AA97" s="727"/>
      <c r="AB97" s="724"/>
      <c r="AC97" s="724"/>
      <c r="AD97" s="724"/>
    </row>
    <row r="98" spans="1:30" ht="63" customHeight="1">
      <c r="A98" s="723"/>
      <c r="B98" s="775">
        <v>81</v>
      </c>
      <c r="C98" s="721" t="s">
        <v>2534</v>
      </c>
      <c r="D98" s="839"/>
      <c r="E98" s="721"/>
      <c r="F98" s="721"/>
      <c r="G98" s="721"/>
      <c r="H98" s="767"/>
      <c r="I98" s="875" t="str">
        <f t="shared" si="13"/>
        <v>18</v>
      </c>
      <c r="J98" s="87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875" t="str">
        <f t="shared" si="15"/>
        <v>Регулируемыми организациями указывается информация с по договорам, заключенным в рамках осуществления регулируемой деятельности.</v>
      </c>
      <c r="L98" s="722" t="str">
        <f t="shared" si="16"/>
        <v>18</v>
      </c>
      <c r="M98" s="722"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22" t="str">
        <f t="shared" si="18"/>
        <v>Регулируемыми организациями указывается информация с по договорам, заключенным в рамках осуществления регулируемой деятельности.</v>
      </c>
      <c r="O98" s="829" t="s">
        <v>160</v>
      </c>
      <c r="P98" s="829"/>
      <c r="Q98" s="829"/>
      <c r="R98" s="829"/>
      <c r="S98" s="829"/>
      <c r="T98" s="721" t="s">
        <v>2535</v>
      </c>
      <c r="U98" s="721"/>
      <c r="V98" s="721"/>
      <c r="W98" s="721"/>
      <c r="X98" s="721"/>
      <c r="Y98" s="871"/>
      <c r="Z98" s="724" t="s">
        <v>2533</v>
      </c>
      <c r="AA98" s="727"/>
      <c r="AB98" s="724"/>
      <c r="AC98" s="724"/>
      <c r="AD98" s="724"/>
    </row>
    <row r="99" spans="1:30" ht="90" customHeight="1">
      <c r="A99" s="723"/>
      <c r="B99" s="775">
        <v>82</v>
      </c>
      <c r="C99" s="721" t="s">
        <v>2536</v>
      </c>
      <c r="D99" s="839"/>
      <c r="E99" s="721"/>
      <c r="F99" s="721"/>
      <c r="G99" s="721"/>
      <c r="H99" s="767"/>
      <c r="I99" s="875" t="str">
        <f t="shared" si="13"/>
        <v>19</v>
      </c>
      <c r="J99" s="87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875" t="str">
        <f t="shared" si="15"/>
        <v>Указывается ссылка на документ, предварительно загруженный в хранилище файлов ФГИС ЕИАС.</v>
      </c>
      <c r="L99" s="722" t="str">
        <f t="shared" si="16"/>
        <v>19</v>
      </c>
      <c r="M99" s="722"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22" t="str">
        <f t="shared" si="18"/>
        <v>Указывается ссылка на документ, предварительно загруженный в хранилище файлов ФГИС ЕИАС.</v>
      </c>
      <c r="O99" s="829" t="s">
        <v>163</v>
      </c>
      <c r="P99" s="829"/>
      <c r="Q99" s="829"/>
      <c r="R99" s="829"/>
      <c r="S99" s="829"/>
      <c r="T99" s="721" t="s">
        <v>2537</v>
      </c>
      <c r="U99" s="721"/>
      <c r="V99" s="721"/>
      <c r="W99" s="721"/>
      <c r="X99" s="721"/>
      <c r="Y99" s="871"/>
      <c r="Z99" s="724" t="s">
        <v>1160</v>
      </c>
      <c r="AA99" s="727"/>
      <c r="AB99" s="724"/>
      <c r="AC99" s="724"/>
      <c r="AD99" s="724"/>
    </row>
    <row r="100" spans="1:30" ht="27" customHeight="1">
      <c r="A100" s="723"/>
      <c r="B100" s="775">
        <v>83</v>
      </c>
      <c r="C100" s="721"/>
      <c r="D100" s="839"/>
      <c r="E100" s="721"/>
      <c r="F100" s="721"/>
      <c r="G100" s="721"/>
      <c r="H100" s="767"/>
      <c r="I100" s="875" t="str">
        <f t="shared" si="13"/>
        <v>19.1</v>
      </c>
      <c r="J100" s="875" t="str">
        <f t="shared" si="14"/>
        <v>Информация о показателях физического износа объектов теплоснабжения</v>
      </c>
      <c r="K100" s="875" t="str">
        <f t="shared" si="15"/>
        <v>Указывается ссылка на документ, предварительно загруженный в хранилище файлов ФГИС ЕИАС.</v>
      </c>
      <c r="L100" s="722" t="str">
        <f t="shared" si="16"/>
        <v>19.1</v>
      </c>
      <c r="M100" s="722" t="str">
        <f t="shared" si="17"/>
        <v>Информация о показателях физического износа объектов теплоснабжения</v>
      </c>
      <c r="N100" s="722" t="str">
        <f t="shared" si="18"/>
        <v>Указывается ссылка на документ, предварительно загруженный в хранилище файлов ФГИС ЕИАС.</v>
      </c>
      <c r="O100" s="829" t="s">
        <v>2538</v>
      </c>
      <c r="P100" s="829"/>
      <c r="Q100" s="829"/>
      <c r="R100" s="829"/>
      <c r="S100" s="829"/>
      <c r="T100" s="721" t="s">
        <v>2539</v>
      </c>
      <c r="U100" s="721"/>
      <c r="V100" s="721"/>
      <c r="W100" s="721"/>
      <c r="X100" s="721"/>
      <c r="Y100" s="871"/>
      <c r="Z100" s="724" t="s">
        <v>1160</v>
      </c>
      <c r="AA100" s="727"/>
      <c r="AB100" s="724"/>
      <c r="AC100" s="724"/>
      <c r="AD100" s="724"/>
    </row>
    <row r="101" spans="1:30" ht="27" customHeight="1">
      <c r="A101" s="723"/>
      <c r="B101" s="775">
        <v>84</v>
      </c>
      <c r="C101" s="721"/>
      <c r="D101" s="839"/>
      <c r="E101" s="721"/>
      <c r="F101" s="721"/>
      <c r="G101" s="721"/>
      <c r="H101" s="767"/>
      <c r="I101" s="875" t="str">
        <f t="shared" si="13"/>
        <v>19.2</v>
      </c>
      <c r="J101" s="875" t="str">
        <f t="shared" si="14"/>
        <v>Информация о показателях энергетической эффективности объектов теплоснабжения</v>
      </c>
      <c r="K101" s="875" t="str">
        <f t="shared" si="15"/>
        <v>Указывается ссылка на документ, предварительно загруженный в хранилище файлов ФГИС ЕИАС.</v>
      </c>
      <c r="L101" s="722" t="str">
        <f t="shared" si="16"/>
        <v>19.2</v>
      </c>
      <c r="M101" s="722" t="str">
        <f t="shared" si="17"/>
        <v>Информация о показателях энергетической эффективности объектов теплоснабжения</v>
      </c>
      <c r="N101" s="722" t="str">
        <f t="shared" si="18"/>
        <v>Указывается ссылка на документ, предварительно загруженный в хранилище файлов ФГИС ЕИАС.</v>
      </c>
      <c r="O101" s="829" t="s">
        <v>2540</v>
      </c>
      <c r="P101" s="829"/>
      <c r="Q101" s="829"/>
      <c r="R101" s="829"/>
      <c r="S101" s="829"/>
      <c r="T101" s="721" t="s">
        <v>2541</v>
      </c>
      <c r="U101" s="721"/>
      <c r="V101" s="721"/>
      <c r="W101" s="721"/>
      <c r="X101" s="721"/>
      <c r="Y101" s="871"/>
      <c r="Z101" s="724" t="s">
        <v>1160</v>
      </c>
      <c r="AA101" s="727"/>
      <c r="AB101" s="724"/>
      <c r="AC101" s="724"/>
      <c r="AD101" s="724"/>
    </row>
    <row r="102" spans="1:30" ht="9" customHeight="1">
      <c r="A102" s="723"/>
      <c r="B102" s="723"/>
      <c r="C102" s="721"/>
      <c r="D102" s="721"/>
      <c r="E102" s="721"/>
      <c r="F102" s="721"/>
      <c r="G102" s="721"/>
      <c r="H102" s="767"/>
      <c r="I102" s="767"/>
      <c r="J102" s="767"/>
      <c r="K102" s="767"/>
      <c r="L102" s="767"/>
      <c r="M102" s="721"/>
      <c r="N102" s="766"/>
      <c r="O102" s="829"/>
      <c r="P102" s="829"/>
      <c r="Q102" s="829"/>
      <c r="R102" s="829"/>
      <c r="S102" s="721"/>
      <c r="T102" s="721"/>
      <c r="U102" s="721"/>
      <c r="V102" s="721"/>
      <c r="W102" s="721"/>
      <c r="X102" s="721"/>
      <c r="Y102" s="871"/>
      <c r="Z102" s="724"/>
      <c r="AA102" s="727"/>
      <c r="AB102" s="724"/>
      <c r="AC102" s="724"/>
      <c r="AD102" s="724"/>
    </row>
    <row r="103" spans="1:30" ht="9" customHeight="1">
      <c r="A103" s="723"/>
      <c r="B103" s="723"/>
      <c r="C103" s="721"/>
      <c r="D103" s="721"/>
      <c r="E103" s="721"/>
      <c r="F103" s="721"/>
      <c r="G103" s="721"/>
      <c r="H103" s="767"/>
      <c r="I103" s="767"/>
      <c r="J103" s="767"/>
      <c r="K103" s="767"/>
      <c r="L103" s="767"/>
      <c r="M103" s="721"/>
      <c r="N103" s="766"/>
      <c r="O103" s="829"/>
      <c r="P103" s="829"/>
      <c r="Q103" s="829"/>
      <c r="R103" s="829"/>
      <c r="S103" s="721"/>
      <c r="T103" s="721"/>
      <c r="U103" s="721"/>
      <c r="V103" s="721"/>
      <c r="W103" s="721"/>
      <c r="X103" s="721"/>
      <c r="Y103" s="871"/>
      <c r="Z103" s="724"/>
      <c r="AA103" s="727"/>
      <c r="AB103" s="724"/>
      <c r="AC103" s="724"/>
      <c r="AD103" s="724"/>
    </row>
    <row r="104" spans="1:30" ht="9" customHeight="1">
      <c r="A104" s="723"/>
      <c r="B104" s="723"/>
      <c r="C104" s="721"/>
      <c r="D104" s="721"/>
      <c r="E104" s="721"/>
      <c r="F104" s="721"/>
      <c r="G104" s="721"/>
      <c r="H104" s="767"/>
      <c r="I104" s="767"/>
      <c r="J104" s="767"/>
      <c r="K104" s="767"/>
      <c r="L104" s="767"/>
      <c r="M104" s="721"/>
      <c r="N104" s="766"/>
      <c r="O104" s="829"/>
      <c r="P104" s="829"/>
      <c r="Q104" s="829"/>
      <c r="R104" s="829"/>
      <c r="S104" s="721"/>
      <c r="T104" s="721"/>
      <c r="U104" s="721"/>
      <c r="V104" s="721"/>
      <c r="W104" s="721"/>
      <c r="X104" s="721"/>
      <c r="Y104" s="871"/>
      <c r="Z104" s="724"/>
      <c r="AA104" s="727"/>
      <c r="AB104" s="724"/>
      <c r="AC104" s="724"/>
      <c r="AD104" s="724"/>
    </row>
    <row r="105" spans="1:30" ht="9" customHeight="1">
      <c r="A105" s="723"/>
      <c r="B105" s="723"/>
      <c r="C105" s="721"/>
      <c r="D105" s="721"/>
      <c r="E105" s="721"/>
      <c r="F105" s="721"/>
      <c r="G105" s="721"/>
      <c r="H105" s="767"/>
      <c r="I105" s="767"/>
      <c r="J105" s="767"/>
      <c r="K105" s="767"/>
      <c r="L105" s="767"/>
      <c r="M105" s="721"/>
      <c r="N105" s="766"/>
      <c r="O105" s="829"/>
      <c r="P105" s="829"/>
      <c r="Q105" s="829"/>
      <c r="R105" s="829"/>
      <c r="S105" s="721"/>
      <c r="T105" s="721"/>
      <c r="U105" s="721"/>
      <c r="V105" s="721"/>
      <c r="W105" s="721"/>
      <c r="X105" s="721"/>
      <c r="Y105" s="871"/>
      <c r="Z105" s="724"/>
      <c r="AA105" s="727"/>
      <c r="AB105" s="724"/>
      <c r="AC105" s="724"/>
      <c r="AD105" s="724"/>
    </row>
    <row r="106" spans="1:30" ht="9" customHeight="1">
      <c r="A106" s="723"/>
      <c r="B106" s="723"/>
      <c r="C106" s="721"/>
      <c r="D106" s="721"/>
      <c r="E106" s="721"/>
      <c r="F106" s="721"/>
      <c r="G106" s="721"/>
      <c r="H106" s="767"/>
      <c r="I106" s="767"/>
      <c r="J106" s="767"/>
      <c r="K106" s="767"/>
      <c r="L106" s="767"/>
      <c r="M106" s="721"/>
      <c r="N106" s="766"/>
      <c r="O106" s="829"/>
      <c r="P106" s="829"/>
      <c r="Q106" s="829"/>
      <c r="R106" s="829"/>
      <c r="S106" s="721"/>
      <c r="T106" s="721"/>
      <c r="U106" s="721"/>
      <c r="V106" s="721"/>
      <c r="W106" s="721"/>
      <c r="X106" s="721"/>
      <c r="Y106" s="871"/>
      <c r="Z106" s="724"/>
      <c r="AA106" s="727"/>
      <c r="AB106" s="724"/>
      <c r="AC106" s="724"/>
      <c r="AD106" s="724"/>
    </row>
    <row r="107" spans="1:30" ht="9" customHeight="1">
      <c r="A107" s="723"/>
      <c r="B107" s="723"/>
      <c r="C107" s="721"/>
      <c r="D107" s="721"/>
      <c r="E107" s="721"/>
      <c r="F107" s="721"/>
      <c r="G107" s="721"/>
      <c r="H107" s="767"/>
      <c r="I107" s="767"/>
      <c r="J107" s="767"/>
      <c r="K107" s="767"/>
      <c r="L107" s="767"/>
      <c r="M107" s="721"/>
      <c r="N107" s="766"/>
      <c r="O107" s="829"/>
      <c r="P107" s="829"/>
      <c r="Q107" s="829"/>
      <c r="R107" s="829"/>
      <c r="S107" s="721"/>
      <c r="T107" s="721"/>
      <c r="U107" s="721"/>
      <c r="V107" s="721"/>
      <c r="W107" s="721"/>
      <c r="X107" s="721"/>
      <c r="Y107" s="871"/>
      <c r="Z107" s="724"/>
      <c r="AA107" s="727"/>
      <c r="AB107" s="724"/>
      <c r="AC107" s="724"/>
      <c r="AD107" s="724"/>
    </row>
    <row r="108" spans="1:30" ht="9" customHeight="1">
      <c r="A108" s="723"/>
      <c r="B108" s="723"/>
      <c r="C108" s="721"/>
      <c r="D108" s="721"/>
      <c r="E108" s="721"/>
      <c r="F108" s="721"/>
      <c r="G108" s="721"/>
      <c r="H108" s="767"/>
      <c r="I108" s="767"/>
      <c r="J108" s="767"/>
      <c r="K108" s="767"/>
      <c r="L108" s="767"/>
      <c r="M108" s="721"/>
      <c r="N108" s="766"/>
      <c r="O108" s="829"/>
      <c r="P108" s="829"/>
      <c r="Q108" s="829"/>
      <c r="R108" s="829"/>
      <c r="S108" s="721"/>
      <c r="T108" s="721"/>
      <c r="U108" s="721"/>
      <c r="V108" s="721"/>
      <c r="W108" s="721"/>
      <c r="X108" s="721"/>
      <c r="Y108" s="871"/>
      <c r="Z108" s="724"/>
      <c r="AA108" s="727"/>
      <c r="AB108" s="724"/>
      <c r="AC108" s="724"/>
      <c r="AD108" s="724"/>
    </row>
    <row r="109" spans="1:30" ht="9" customHeight="1">
      <c r="A109" s="723"/>
      <c r="B109" s="723"/>
      <c r="C109" s="721"/>
      <c r="D109" s="721"/>
      <c r="E109" s="721"/>
      <c r="F109" s="721"/>
      <c r="G109" s="721"/>
      <c r="H109" s="767"/>
      <c r="I109" s="767"/>
      <c r="J109" s="767"/>
      <c r="K109" s="767"/>
      <c r="L109" s="767"/>
      <c r="M109" s="721"/>
      <c r="N109" s="766"/>
      <c r="O109" s="829"/>
      <c r="P109" s="829"/>
      <c r="Q109" s="829"/>
      <c r="R109" s="829"/>
      <c r="S109" s="721"/>
      <c r="T109" s="721"/>
      <c r="U109" s="721"/>
      <c r="V109" s="721"/>
      <c r="W109" s="721"/>
      <c r="X109" s="721"/>
      <c r="Y109" s="871"/>
      <c r="Z109" s="724"/>
      <c r="AA109" s="727"/>
      <c r="AB109" s="724"/>
      <c r="AC109" s="724"/>
      <c r="AD109" s="724"/>
    </row>
    <row r="110" spans="1:30" ht="9" customHeight="1">
      <c r="A110" s="723"/>
      <c r="B110" s="723"/>
      <c r="C110" s="721"/>
      <c r="D110" s="721"/>
      <c r="E110" s="721"/>
      <c r="F110" s="721"/>
      <c r="G110" s="721"/>
      <c r="H110" s="767"/>
      <c r="I110" s="767"/>
      <c r="J110" s="767"/>
      <c r="K110" s="767"/>
      <c r="L110" s="767"/>
      <c r="M110" s="721"/>
      <c r="N110" s="766"/>
      <c r="O110" s="829"/>
      <c r="P110" s="829"/>
      <c r="Q110" s="829"/>
      <c r="R110" s="829"/>
      <c r="S110" s="721"/>
      <c r="T110" s="721"/>
      <c r="U110" s="721"/>
      <c r="V110" s="721"/>
      <c r="W110" s="721"/>
      <c r="X110" s="721"/>
      <c r="Y110" s="871"/>
      <c r="Z110" s="724"/>
      <c r="AA110" s="727"/>
      <c r="AB110" s="724"/>
      <c r="AC110" s="724"/>
      <c r="AD110" s="724"/>
    </row>
    <row r="111" spans="1:30" ht="9" customHeight="1">
      <c r="A111" s="723"/>
      <c r="B111" s="723"/>
      <c r="C111" s="721"/>
      <c r="D111" s="721"/>
      <c r="E111" s="721"/>
      <c r="F111" s="721"/>
      <c r="G111" s="721"/>
      <c r="H111" s="767"/>
      <c r="I111" s="767"/>
      <c r="J111" s="767"/>
      <c r="K111" s="767"/>
      <c r="L111" s="767"/>
      <c r="M111" s="721"/>
      <c r="N111" s="766"/>
      <c r="O111" s="829"/>
      <c r="P111" s="829"/>
      <c r="Q111" s="829"/>
      <c r="R111" s="829"/>
      <c r="S111" s="721"/>
      <c r="T111" s="721"/>
      <c r="U111" s="721"/>
      <c r="V111" s="721"/>
      <c r="W111" s="721"/>
      <c r="X111" s="721"/>
      <c r="Y111" s="871"/>
      <c r="Z111" s="724"/>
      <c r="AA111" s="727"/>
      <c r="AB111" s="724"/>
      <c r="AC111" s="724"/>
      <c r="AD111" s="724"/>
    </row>
    <row r="112" spans="1:30" ht="9" customHeight="1">
      <c r="A112" s="723"/>
      <c r="B112" s="723"/>
      <c r="C112" s="721"/>
      <c r="D112" s="721"/>
      <c r="E112" s="721"/>
      <c r="F112" s="721"/>
      <c r="G112" s="721"/>
      <c r="H112" s="767"/>
      <c r="I112" s="767"/>
      <c r="J112" s="767"/>
      <c r="K112" s="767"/>
      <c r="L112" s="767"/>
      <c r="M112" s="721"/>
      <c r="N112" s="766"/>
      <c r="O112" s="829"/>
      <c r="P112" s="829"/>
      <c r="Q112" s="829"/>
      <c r="R112" s="829"/>
      <c r="S112" s="721"/>
      <c r="T112" s="721"/>
      <c r="U112" s="721"/>
      <c r="V112" s="721"/>
      <c r="W112" s="721"/>
      <c r="X112" s="721"/>
      <c r="Y112" s="871"/>
      <c r="Z112" s="724"/>
      <c r="AA112" s="727"/>
      <c r="AB112" s="724"/>
      <c r="AC112" s="724"/>
      <c r="AD112" s="724"/>
    </row>
    <row r="113" spans="1:30" ht="9" customHeight="1">
      <c r="A113" s="723"/>
      <c r="B113" s="723"/>
      <c r="C113" s="721"/>
      <c r="D113" s="721"/>
      <c r="E113" s="721"/>
      <c r="F113" s="721"/>
      <c r="G113" s="721"/>
      <c r="H113" s="767"/>
      <c r="I113" s="767"/>
      <c r="J113" s="767"/>
      <c r="K113" s="767"/>
      <c r="L113" s="767"/>
      <c r="M113" s="721"/>
      <c r="N113" s="766"/>
      <c r="O113" s="829"/>
      <c r="P113" s="829"/>
      <c r="Q113" s="829"/>
      <c r="R113" s="829"/>
      <c r="S113" s="721"/>
      <c r="T113" s="721"/>
      <c r="U113" s="721"/>
      <c r="V113" s="721"/>
      <c r="W113" s="721"/>
      <c r="X113" s="721"/>
      <c r="Y113" s="871"/>
      <c r="Z113" s="724"/>
      <c r="AA113" s="727"/>
      <c r="AB113" s="724"/>
      <c r="AC113" s="724"/>
      <c r="AD113" s="724"/>
    </row>
    <row r="114" spans="1:30" ht="9" customHeight="1">
      <c r="A114" s="723"/>
      <c r="B114" s="723"/>
      <c r="C114" s="721"/>
      <c r="D114" s="721"/>
      <c r="E114" s="721"/>
      <c r="F114" s="721"/>
      <c r="G114" s="721"/>
      <c r="H114" s="767"/>
      <c r="I114" s="767"/>
      <c r="J114" s="767"/>
      <c r="K114" s="767"/>
      <c r="L114" s="767"/>
      <c r="M114" s="721"/>
      <c r="N114" s="766"/>
      <c r="O114" s="829"/>
      <c r="P114" s="829"/>
      <c r="Q114" s="829"/>
      <c r="R114" s="829"/>
      <c r="S114" s="721"/>
      <c r="T114" s="721"/>
      <c r="U114" s="721"/>
      <c r="V114" s="721"/>
      <c r="W114" s="721"/>
      <c r="X114" s="721"/>
      <c r="Y114" s="871"/>
      <c r="Z114" s="724"/>
      <c r="AA114" s="727"/>
      <c r="AB114" s="724"/>
      <c r="AC114" s="724"/>
      <c r="AD114" s="724"/>
    </row>
    <row r="115" spans="1:30" ht="9" customHeight="1">
      <c r="A115" s="723"/>
      <c r="B115" s="723"/>
      <c r="C115" s="721"/>
      <c r="D115" s="721"/>
      <c r="E115" s="721"/>
      <c r="F115" s="721"/>
      <c r="G115" s="721"/>
      <c r="H115" s="767"/>
      <c r="I115" s="767"/>
      <c r="J115" s="767"/>
      <c r="K115" s="767"/>
      <c r="L115" s="767"/>
      <c r="M115" s="721"/>
      <c r="N115" s="766"/>
      <c r="O115" s="829"/>
      <c r="P115" s="829"/>
      <c r="Q115" s="829"/>
      <c r="R115" s="829"/>
      <c r="S115" s="721"/>
      <c r="T115" s="721"/>
      <c r="U115" s="721"/>
      <c r="V115" s="721"/>
      <c r="W115" s="721"/>
      <c r="X115" s="721"/>
      <c r="Y115" s="871"/>
      <c r="Z115" s="724"/>
      <c r="AA115" s="727"/>
      <c r="AB115" s="724"/>
      <c r="AC115" s="724"/>
      <c r="AD115" s="724"/>
    </row>
    <row r="116" spans="1:30" ht="9" customHeight="1">
      <c r="A116" s="723"/>
      <c r="B116" s="723"/>
      <c r="C116" s="721"/>
      <c r="D116" s="721"/>
      <c r="E116" s="721"/>
      <c r="F116" s="721"/>
      <c r="G116" s="721"/>
      <c r="H116" s="767"/>
      <c r="I116" s="767"/>
      <c r="J116" s="767"/>
      <c r="K116" s="767"/>
      <c r="L116" s="767"/>
      <c r="M116" s="721"/>
      <c r="N116" s="766"/>
      <c r="O116" s="829"/>
      <c r="P116" s="829"/>
      <c r="Q116" s="829"/>
      <c r="R116" s="829"/>
      <c r="S116" s="721"/>
      <c r="T116" s="721"/>
      <c r="U116" s="721"/>
      <c r="V116" s="721"/>
      <c r="W116" s="721"/>
      <c r="X116" s="721"/>
      <c r="Y116" s="871"/>
      <c r="Z116" s="724"/>
      <c r="AA116" s="727"/>
      <c r="AB116" s="724"/>
      <c r="AC116" s="724"/>
      <c r="AD116" s="724"/>
    </row>
    <row r="117" spans="1:30" ht="9" customHeight="1">
      <c r="A117" s="723"/>
      <c r="B117" s="723"/>
      <c r="C117" s="721"/>
      <c r="D117" s="721"/>
      <c r="E117" s="721"/>
      <c r="F117" s="721"/>
      <c r="G117" s="721"/>
      <c r="H117" s="767"/>
      <c r="I117" s="767"/>
      <c r="J117" s="767"/>
      <c r="K117" s="767"/>
      <c r="L117" s="767"/>
      <c r="M117" s="721"/>
      <c r="N117" s="766"/>
      <c r="O117" s="829"/>
      <c r="P117" s="829"/>
      <c r="Q117" s="829"/>
      <c r="R117" s="829"/>
      <c r="S117" s="721"/>
      <c r="T117" s="721"/>
      <c r="U117" s="721"/>
      <c r="V117" s="721"/>
      <c r="W117" s="721"/>
      <c r="X117" s="721"/>
      <c r="Y117" s="871"/>
      <c r="Z117" s="724"/>
      <c r="AA117" s="727"/>
      <c r="AB117" s="724"/>
      <c r="AC117" s="724"/>
      <c r="AD117" s="724"/>
    </row>
    <row r="118" spans="1:30" ht="9" customHeight="1">
      <c r="A118" s="723"/>
      <c r="B118" s="723"/>
      <c r="C118" s="721"/>
      <c r="D118" s="721"/>
      <c r="E118" s="721"/>
      <c r="F118" s="721"/>
      <c r="G118" s="721"/>
      <c r="H118" s="767"/>
      <c r="I118" s="767"/>
      <c r="J118" s="767"/>
      <c r="K118" s="767"/>
      <c r="L118" s="767"/>
      <c r="M118" s="721"/>
      <c r="N118" s="766"/>
      <c r="O118" s="829"/>
      <c r="P118" s="829"/>
      <c r="Q118" s="829"/>
      <c r="R118" s="829"/>
      <c r="S118" s="721"/>
      <c r="T118" s="721"/>
      <c r="U118" s="721"/>
      <c r="V118" s="721"/>
      <c r="W118" s="721"/>
      <c r="X118" s="721"/>
      <c r="Y118" s="871"/>
      <c r="Z118" s="724"/>
      <c r="AA118" s="727"/>
      <c r="AB118" s="724"/>
      <c r="AC118" s="724"/>
      <c r="AD118" s="724"/>
    </row>
    <row r="119" spans="1:30" ht="9" customHeight="1">
      <c r="A119" s="723"/>
      <c r="B119" s="723"/>
      <c r="C119" s="721"/>
      <c r="D119" s="721"/>
      <c r="E119" s="721"/>
      <c r="F119" s="721"/>
      <c r="G119" s="721"/>
      <c r="H119" s="767"/>
      <c r="I119" s="767"/>
      <c r="J119" s="767"/>
      <c r="K119" s="767"/>
      <c r="L119" s="767"/>
      <c r="M119" s="721"/>
      <c r="N119" s="766"/>
      <c r="O119" s="829"/>
      <c r="P119" s="829"/>
      <c r="Q119" s="829"/>
      <c r="R119" s="829"/>
      <c r="S119" s="721"/>
      <c r="T119" s="721"/>
      <c r="U119" s="721"/>
      <c r="V119" s="721"/>
      <c r="W119" s="721"/>
      <c r="X119" s="721"/>
      <c r="Y119" s="871"/>
      <c r="Z119" s="724"/>
      <c r="AA119" s="727"/>
      <c r="AB119" s="724"/>
      <c r="AC119" s="724"/>
      <c r="AD119" s="724"/>
    </row>
    <row r="120" spans="1:30" ht="9" customHeight="1">
      <c r="A120" s="723"/>
      <c r="B120" s="723"/>
      <c r="C120" s="721"/>
      <c r="D120" s="721"/>
      <c r="E120" s="721"/>
      <c r="F120" s="721"/>
      <c r="G120" s="721"/>
      <c r="H120" s="767"/>
      <c r="I120" s="767"/>
      <c r="J120" s="767"/>
      <c r="K120" s="767"/>
      <c r="L120" s="767"/>
      <c r="M120" s="721"/>
      <c r="N120" s="766"/>
      <c r="O120" s="829"/>
      <c r="P120" s="829"/>
      <c r="Q120" s="829"/>
      <c r="R120" s="829"/>
      <c r="S120" s="721"/>
      <c r="T120" s="721"/>
      <c r="U120" s="721"/>
      <c r="V120" s="721"/>
      <c r="W120" s="721"/>
      <c r="X120" s="721"/>
      <c r="Y120" s="871"/>
      <c r="Z120" s="724"/>
      <c r="AA120" s="727"/>
      <c r="AB120" s="724"/>
      <c r="AC120" s="724"/>
      <c r="AD120" s="724"/>
    </row>
    <row r="121" spans="1:30" ht="9" customHeight="1">
      <c r="A121" s="723"/>
      <c r="B121" s="723"/>
      <c r="C121" s="721"/>
      <c r="D121" s="721"/>
      <c r="E121" s="721"/>
      <c r="F121" s="721"/>
      <c r="G121" s="721"/>
      <c r="H121" s="767"/>
      <c r="I121" s="767"/>
      <c r="J121" s="767"/>
      <c r="K121" s="767"/>
      <c r="L121" s="767"/>
      <c r="M121" s="721"/>
      <c r="N121" s="766"/>
      <c r="O121" s="829"/>
      <c r="P121" s="829"/>
      <c r="Q121" s="829"/>
      <c r="R121" s="829"/>
      <c r="S121" s="721"/>
      <c r="T121" s="721"/>
      <c r="U121" s="721"/>
      <c r="V121" s="721"/>
      <c r="W121" s="721"/>
      <c r="X121" s="721"/>
      <c r="Y121" s="871"/>
      <c r="Z121" s="724"/>
      <c r="AA121" s="727"/>
      <c r="AB121" s="724"/>
      <c r="AC121" s="724"/>
      <c r="AD121" s="724"/>
    </row>
    <row r="122" spans="1:30" ht="9" customHeight="1">
      <c r="A122" s="723"/>
      <c r="B122" s="723"/>
      <c r="C122" s="721"/>
      <c r="D122" s="721"/>
      <c r="E122" s="721"/>
      <c r="F122" s="721"/>
      <c r="G122" s="721"/>
      <c r="H122" s="767"/>
      <c r="I122" s="767"/>
      <c r="J122" s="767"/>
      <c r="K122" s="767"/>
      <c r="L122" s="767"/>
      <c r="M122" s="721"/>
      <c r="N122" s="766"/>
      <c r="O122" s="829"/>
      <c r="P122" s="829"/>
      <c r="Q122" s="829"/>
      <c r="R122" s="829"/>
      <c r="S122" s="721"/>
      <c r="T122" s="721"/>
      <c r="U122" s="721"/>
      <c r="V122" s="721"/>
      <c r="W122" s="721"/>
      <c r="X122" s="721"/>
      <c r="Y122" s="871"/>
      <c r="Z122" s="724"/>
      <c r="AA122" s="727"/>
      <c r="AB122" s="724"/>
      <c r="AC122" s="724"/>
      <c r="AD122" s="724"/>
    </row>
    <row r="123" spans="1:30" ht="9" customHeight="1">
      <c r="A123" s="723"/>
      <c r="B123" s="723"/>
      <c r="C123" s="721"/>
      <c r="D123" s="721"/>
      <c r="E123" s="721"/>
      <c r="F123" s="721"/>
      <c r="G123" s="721"/>
      <c r="H123" s="767"/>
      <c r="I123" s="767"/>
      <c r="J123" s="767"/>
      <c r="K123" s="767"/>
      <c r="L123" s="767"/>
      <c r="M123" s="721"/>
      <c r="N123" s="766"/>
      <c r="O123" s="829"/>
      <c r="P123" s="829"/>
      <c r="Q123" s="829"/>
      <c r="R123" s="829"/>
      <c r="S123" s="721"/>
      <c r="T123" s="721"/>
      <c r="U123" s="721"/>
      <c r="V123" s="721"/>
      <c r="W123" s="721"/>
      <c r="X123" s="721"/>
      <c r="Y123" s="871"/>
      <c r="Z123" s="724"/>
      <c r="AA123" s="727"/>
      <c r="AB123" s="724"/>
      <c r="AC123" s="724"/>
      <c r="AD123" s="724"/>
    </row>
    <row r="124" spans="1:30" ht="9" customHeight="1">
      <c r="A124" s="723"/>
      <c r="B124" s="723"/>
      <c r="C124" s="721"/>
      <c r="D124" s="721"/>
      <c r="E124" s="721"/>
      <c r="F124" s="721"/>
      <c r="G124" s="721"/>
      <c r="H124" s="767"/>
      <c r="I124" s="767"/>
      <c r="J124" s="767"/>
      <c r="K124" s="767"/>
      <c r="L124" s="767"/>
      <c r="M124" s="721"/>
      <c r="N124" s="766"/>
      <c r="O124" s="829"/>
      <c r="P124" s="829"/>
      <c r="Q124" s="829"/>
      <c r="R124" s="829"/>
      <c r="S124" s="721"/>
      <c r="T124" s="721"/>
      <c r="U124" s="721"/>
      <c r="V124" s="721"/>
      <c r="W124" s="721"/>
      <c r="X124" s="721"/>
      <c r="Y124" s="871"/>
      <c r="Z124" s="724"/>
      <c r="AA124" s="727"/>
      <c r="AB124" s="724"/>
      <c r="AC124" s="724"/>
      <c r="AD124" s="724"/>
    </row>
    <row r="125" spans="1:30" ht="9" customHeight="1">
      <c r="A125" s="723"/>
      <c r="B125" s="723"/>
      <c r="C125" s="721"/>
      <c r="D125" s="721"/>
      <c r="E125" s="721"/>
      <c r="F125" s="721"/>
      <c r="G125" s="721"/>
      <c r="H125" s="767"/>
      <c r="I125" s="767"/>
      <c r="J125" s="767"/>
      <c r="K125" s="767"/>
      <c r="L125" s="767"/>
      <c r="M125" s="721"/>
      <c r="N125" s="766"/>
      <c r="O125" s="829"/>
      <c r="P125" s="829"/>
      <c r="Q125" s="829"/>
      <c r="R125" s="829"/>
      <c r="S125" s="721"/>
      <c r="T125" s="721"/>
      <c r="U125" s="721"/>
      <c r="V125" s="721"/>
      <c r="W125" s="721"/>
      <c r="X125" s="721"/>
      <c r="Y125" s="871"/>
      <c r="Z125" s="724"/>
      <c r="AA125" s="727"/>
      <c r="AB125" s="724"/>
      <c r="AC125" s="724"/>
      <c r="AD125" s="724"/>
    </row>
    <row r="126" spans="1:30" ht="9" customHeight="1">
      <c r="A126" s="723"/>
      <c r="B126" s="723"/>
      <c r="C126" s="721"/>
      <c r="D126" s="721"/>
      <c r="E126" s="721"/>
      <c r="F126" s="721"/>
      <c r="G126" s="721"/>
      <c r="H126" s="767"/>
      <c r="I126" s="767"/>
      <c r="J126" s="767"/>
      <c r="K126" s="767"/>
      <c r="L126" s="767"/>
      <c r="M126" s="721"/>
      <c r="N126" s="766"/>
      <c r="O126" s="829"/>
      <c r="P126" s="829"/>
      <c r="Q126" s="829"/>
      <c r="R126" s="829"/>
      <c r="S126" s="721"/>
      <c r="T126" s="721"/>
      <c r="U126" s="721"/>
      <c r="V126" s="721"/>
      <c r="W126" s="721"/>
      <c r="X126" s="721"/>
      <c r="Y126" s="871"/>
      <c r="Z126" s="724"/>
      <c r="AA126" s="727"/>
      <c r="AB126" s="724"/>
      <c r="AC126" s="724"/>
      <c r="AD126" s="724"/>
    </row>
    <row r="127" spans="1:30" ht="9" customHeight="1">
      <c r="A127" s="723"/>
      <c r="B127" s="723"/>
      <c r="C127" s="721"/>
      <c r="D127" s="721"/>
      <c r="E127" s="721"/>
      <c r="F127" s="721"/>
      <c r="G127" s="721"/>
      <c r="H127" s="767"/>
      <c r="I127" s="767"/>
      <c r="J127" s="767"/>
      <c r="K127" s="767"/>
      <c r="L127" s="767"/>
      <c r="M127" s="721"/>
      <c r="N127" s="766"/>
      <c r="O127" s="829"/>
      <c r="P127" s="829"/>
      <c r="Q127" s="829"/>
      <c r="R127" s="829"/>
      <c r="S127" s="721"/>
      <c r="T127" s="721"/>
      <c r="U127" s="721"/>
      <c r="V127" s="721"/>
      <c r="W127" s="721"/>
      <c r="X127" s="721"/>
      <c r="Y127" s="871"/>
      <c r="Z127" s="724"/>
      <c r="AA127" s="727"/>
      <c r="AB127" s="724"/>
      <c r="AC127" s="724"/>
      <c r="AD127" s="724"/>
    </row>
    <row r="128" spans="1:30" ht="9" customHeight="1">
      <c r="A128" s="723"/>
      <c r="B128" s="723"/>
      <c r="C128" s="721"/>
      <c r="D128" s="721"/>
      <c r="E128" s="721"/>
      <c r="F128" s="721"/>
      <c r="G128" s="721"/>
      <c r="H128" s="767"/>
      <c r="I128" s="767"/>
      <c r="J128" s="767"/>
      <c r="K128" s="767"/>
      <c r="L128" s="767"/>
      <c r="M128" s="721"/>
      <c r="N128" s="766"/>
      <c r="O128" s="829"/>
      <c r="P128" s="829"/>
      <c r="Q128" s="829"/>
      <c r="R128" s="829"/>
      <c r="S128" s="721"/>
      <c r="T128" s="721"/>
      <c r="U128" s="721"/>
      <c r="V128" s="721"/>
      <c r="W128" s="721"/>
      <c r="X128" s="721"/>
      <c r="Y128" s="871"/>
      <c r="Z128" s="724"/>
      <c r="AA128" s="727"/>
      <c r="AB128" s="724"/>
      <c r="AC128" s="724"/>
      <c r="AD128" s="724"/>
    </row>
    <row r="129" spans="1:30" ht="9" customHeight="1">
      <c r="A129" s="723"/>
      <c r="B129" s="723"/>
      <c r="C129" s="721"/>
      <c r="D129" s="721"/>
      <c r="E129" s="721"/>
      <c r="F129" s="721"/>
      <c r="G129" s="721"/>
      <c r="H129" s="767"/>
      <c r="I129" s="767"/>
      <c r="J129" s="767"/>
      <c r="K129" s="767"/>
      <c r="L129" s="767"/>
      <c r="M129" s="721"/>
      <c r="N129" s="766"/>
      <c r="O129" s="829"/>
      <c r="P129" s="829"/>
      <c r="Q129" s="829"/>
      <c r="R129" s="829"/>
      <c r="S129" s="721"/>
      <c r="T129" s="721"/>
      <c r="U129" s="721"/>
      <c r="V129" s="721"/>
      <c r="W129" s="721"/>
      <c r="X129" s="721"/>
      <c r="Y129" s="871"/>
      <c r="Z129" s="724"/>
      <c r="AA129" s="727"/>
      <c r="AB129" s="724"/>
      <c r="AC129" s="724"/>
      <c r="AD129" s="724"/>
    </row>
    <row r="130" spans="1:30" ht="9" customHeight="1">
      <c r="A130" s="723"/>
      <c r="B130" s="723"/>
      <c r="C130" s="721"/>
      <c r="D130" s="721"/>
      <c r="E130" s="721"/>
      <c r="F130" s="721"/>
      <c r="G130" s="721"/>
      <c r="H130" s="767"/>
      <c r="I130" s="767"/>
      <c r="J130" s="767"/>
      <c r="K130" s="767"/>
      <c r="L130" s="767"/>
      <c r="M130" s="721"/>
      <c r="N130" s="766"/>
      <c r="O130" s="831"/>
      <c r="P130" s="831"/>
      <c r="Q130" s="831"/>
      <c r="R130" s="831"/>
      <c r="S130" s="721"/>
      <c r="T130" s="721"/>
      <c r="U130" s="721"/>
      <c r="V130" s="721"/>
      <c r="W130" s="721"/>
      <c r="X130" s="721"/>
      <c r="Y130" s="871"/>
      <c r="Z130" s="724"/>
      <c r="AA130" s="727"/>
      <c r="AB130" s="724"/>
      <c r="AC130" s="724"/>
      <c r="AD130" s="724"/>
    </row>
    <row r="131" spans="1:30" ht="9" customHeight="1">
      <c r="A131" s="723"/>
      <c r="B131" s="723"/>
      <c r="C131" s="721"/>
      <c r="D131" s="721"/>
      <c r="E131" s="721"/>
      <c r="F131" s="721"/>
      <c r="G131" s="721"/>
      <c r="H131" s="767"/>
      <c r="I131" s="767"/>
      <c r="J131" s="767"/>
      <c r="K131" s="767"/>
      <c r="L131" s="767"/>
      <c r="M131" s="721"/>
      <c r="N131" s="766"/>
      <c r="O131" s="832"/>
      <c r="P131" s="832"/>
      <c r="Q131" s="832"/>
      <c r="R131" s="832"/>
      <c r="S131" s="721"/>
      <c r="T131" s="721"/>
      <c r="U131" s="721"/>
      <c r="V131" s="721"/>
      <c r="W131" s="721"/>
      <c r="X131" s="721"/>
      <c r="Y131" s="871"/>
      <c r="Z131" s="724"/>
      <c r="AA131" s="727"/>
      <c r="AB131" s="724"/>
      <c r="AC131" s="724"/>
      <c r="AD131" s="724"/>
    </row>
    <row r="132" spans="1:30" ht="9" customHeight="1">
      <c r="A132" s="723"/>
      <c r="B132" s="723"/>
      <c r="C132" s="721"/>
      <c r="D132" s="721"/>
      <c r="E132" s="721"/>
      <c r="F132" s="721"/>
      <c r="G132" s="721"/>
      <c r="H132" s="767"/>
      <c r="I132" s="767"/>
      <c r="J132" s="767"/>
      <c r="K132" s="767"/>
      <c r="L132" s="767"/>
      <c r="M132" s="721"/>
      <c r="N132" s="766"/>
      <c r="O132" s="831"/>
      <c r="P132" s="831"/>
      <c r="Q132" s="831"/>
      <c r="R132" s="831"/>
      <c r="S132" s="721"/>
      <c r="T132" s="721"/>
      <c r="U132" s="721"/>
      <c r="V132" s="721"/>
      <c r="W132" s="721"/>
      <c r="X132" s="721"/>
      <c r="Y132" s="871"/>
      <c r="Z132" s="724"/>
      <c r="AA132" s="727"/>
      <c r="AB132" s="724"/>
      <c r="AC132" s="724"/>
      <c r="AD132" s="724"/>
    </row>
    <row r="133" spans="1:30" ht="9" customHeight="1">
      <c r="A133" s="723"/>
      <c r="B133" s="723"/>
      <c r="C133" s="721"/>
      <c r="D133" s="721"/>
      <c r="E133" s="721"/>
      <c r="F133" s="721"/>
      <c r="G133" s="721"/>
      <c r="H133" s="767"/>
      <c r="I133" s="767"/>
      <c r="J133" s="767"/>
      <c r="K133" s="767"/>
      <c r="L133" s="767"/>
      <c r="M133" s="721"/>
      <c r="N133" s="766"/>
      <c r="O133" s="832"/>
      <c r="P133" s="832"/>
      <c r="Q133" s="832"/>
      <c r="R133" s="832"/>
      <c r="S133" s="721"/>
      <c r="T133" s="721"/>
      <c r="U133" s="721"/>
      <c r="V133" s="721"/>
      <c r="W133" s="721"/>
      <c r="X133" s="721"/>
      <c r="Y133" s="871"/>
      <c r="Z133" s="724"/>
      <c r="AA133" s="727"/>
      <c r="AB133" s="724"/>
      <c r="AC133" s="724"/>
      <c r="AD133" s="724"/>
    </row>
    <row r="134" spans="1:30" ht="9" customHeight="1">
      <c r="A134" s="723"/>
      <c r="B134" s="723"/>
      <c r="C134" s="721"/>
      <c r="D134" s="721"/>
      <c r="E134" s="721"/>
      <c r="F134" s="721"/>
      <c r="G134" s="721"/>
      <c r="H134" s="767"/>
      <c r="I134" s="767"/>
      <c r="J134" s="767"/>
      <c r="K134" s="767"/>
      <c r="L134" s="767"/>
      <c r="M134" s="721"/>
      <c r="N134" s="766"/>
      <c r="O134" s="829"/>
      <c r="P134" s="829"/>
      <c r="Q134" s="829"/>
      <c r="R134" s="829"/>
      <c r="S134" s="721"/>
      <c r="T134" s="721"/>
      <c r="U134" s="721"/>
      <c r="V134" s="721"/>
      <c r="W134" s="721"/>
      <c r="X134" s="721"/>
      <c r="Y134" s="871"/>
      <c r="Z134" s="724"/>
      <c r="AA134" s="727"/>
      <c r="AB134" s="724"/>
      <c r="AC134" s="724"/>
      <c r="AD134" s="724"/>
    </row>
    <row r="135" spans="1:30" ht="9" customHeight="1">
      <c r="A135" s="723"/>
      <c r="B135" s="723"/>
      <c r="C135" s="721"/>
      <c r="D135" s="721"/>
      <c r="E135" s="721"/>
      <c r="F135" s="721"/>
      <c r="G135" s="721"/>
      <c r="H135" s="767"/>
      <c r="I135" s="767"/>
      <c r="J135" s="767"/>
      <c r="K135" s="767"/>
      <c r="L135" s="767"/>
      <c r="M135" s="721"/>
      <c r="N135" s="766"/>
      <c r="O135" s="829"/>
      <c r="P135" s="829"/>
      <c r="Q135" s="829"/>
      <c r="R135" s="829"/>
      <c r="S135" s="721"/>
      <c r="T135" s="721"/>
      <c r="U135" s="721"/>
      <c r="V135" s="721"/>
      <c r="W135" s="721"/>
      <c r="X135" s="721"/>
      <c r="Y135" s="871"/>
      <c r="Z135" s="724"/>
      <c r="AA135" s="727"/>
      <c r="AB135" s="724"/>
      <c r="AC135" s="724"/>
      <c r="AD135" s="724"/>
    </row>
    <row r="136" spans="1:30" ht="9" customHeight="1">
      <c r="A136" s="723"/>
      <c r="B136" s="723"/>
      <c r="C136" s="721"/>
      <c r="D136" s="721"/>
      <c r="E136" s="721"/>
      <c r="F136" s="721"/>
      <c r="G136" s="721"/>
      <c r="H136" s="767"/>
      <c r="I136" s="767"/>
      <c r="J136" s="767"/>
      <c r="K136" s="767"/>
      <c r="L136" s="767"/>
      <c r="M136" s="721"/>
      <c r="N136" s="766"/>
      <c r="O136" s="829"/>
      <c r="P136" s="829"/>
      <c r="Q136" s="829"/>
      <c r="R136" s="829"/>
      <c r="S136" s="721"/>
      <c r="T136" s="721"/>
      <c r="U136" s="721"/>
      <c r="V136" s="721"/>
      <c r="W136" s="721"/>
      <c r="X136" s="721"/>
      <c r="Y136" s="871"/>
      <c r="Z136" s="724"/>
      <c r="AA136" s="727"/>
      <c r="AB136" s="724"/>
      <c r="AC136" s="724"/>
      <c r="AD136" s="724"/>
    </row>
    <row r="137" spans="1:30" ht="9" customHeight="1">
      <c r="A137" s="723"/>
      <c r="B137" s="723"/>
      <c r="C137" s="721"/>
      <c r="D137" s="721"/>
      <c r="E137" s="721"/>
      <c r="F137" s="721"/>
      <c r="G137" s="721"/>
      <c r="H137" s="767"/>
      <c r="I137" s="767"/>
      <c r="J137" s="767"/>
      <c r="K137" s="767"/>
      <c r="L137" s="767"/>
      <c r="M137" s="721"/>
      <c r="N137" s="766"/>
      <c r="O137" s="833"/>
      <c r="P137" s="833"/>
      <c r="Q137" s="833"/>
      <c r="R137" s="833"/>
      <c r="S137" s="721"/>
      <c r="T137" s="721"/>
      <c r="U137" s="721"/>
      <c r="V137" s="721"/>
      <c r="W137" s="721"/>
      <c r="X137" s="721"/>
      <c r="Y137" s="871"/>
      <c r="Z137" s="724"/>
      <c r="AA137" s="727"/>
      <c r="AB137" s="724"/>
      <c r="AC137" s="724"/>
      <c r="AD137" s="724"/>
    </row>
    <row r="138" spans="1:30" ht="9" customHeight="1">
      <c r="A138" s="723"/>
      <c r="B138" s="723"/>
      <c r="C138" s="721"/>
      <c r="D138" s="721"/>
      <c r="E138" s="721"/>
      <c r="F138" s="721"/>
      <c r="G138" s="721"/>
      <c r="H138" s="767"/>
      <c r="I138" s="767"/>
      <c r="J138" s="767"/>
      <c r="K138" s="767"/>
      <c r="L138" s="767"/>
      <c r="M138" s="721"/>
      <c r="N138" s="766"/>
      <c r="O138" s="830"/>
      <c r="P138" s="830"/>
      <c r="Q138" s="830"/>
      <c r="R138" s="830"/>
      <c r="S138" s="721"/>
      <c r="T138" s="721"/>
      <c r="U138" s="721"/>
      <c r="V138" s="721"/>
      <c r="W138" s="721"/>
      <c r="X138" s="721"/>
      <c r="Y138" s="871"/>
      <c r="Z138" s="724"/>
      <c r="AA138" s="727"/>
      <c r="AB138" s="724"/>
      <c r="AC138" s="724"/>
      <c r="AD138" s="724"/>
    </row>
    <row r="139" spans="1:30" ht="9" customHeight="1">
      <c r="A139" s="723"/>
      <c r="B139" s="723"/>
      <c r="C139" s="721"/>
      <c r="D139" s="721"/>
      <c r="E139" s="721"/>
      <c r="F139" s="721"/>
      <c r="G139" s="721"/>
      <c r="H139" s="767"/>
      <c r="I139" s="767"/>
      <c r="J139" s="767"/>
      <c r="K139" s="767"/>
      <c r="L139" s="767"/>
      <c r="M139" s="721"/>
      <c r="N139" s="766"/>
      <c r="O139" s="721"/>
      <c r="P139" s="721"/>
      <c r="Q139" s="721"/>
      <c r="R139" s="721"/>
      <c r="S139" s="721"/>
      <c r="T139" s="721"/>
      <c r="U139" s="721"/>
      <c r="V139" s="721"/>
      <c r="W139" s="721"/>
      <c r="X139" s="721"/>
      <c r="Y139" s="871"/>
      <c r="Z139" s="724"/>
      <c r="AA139" s="727"/>
      <c r="AB139" s="724"/>
      <c r="AC139" s="724"/>
      <c r="AD139" s="724"/>
    </row>
    <row r="140" spans="1:30" ht="9" customHeight="1">
      <c r="A140" s="723"/>
      <c r="B140" s="723"/>
      <c r="C140" s="721"/>
      <c r="D140" s="721"/>
      <c r="E140" s="721"/>
      <c r="F140" s="721"/>
      <c r="G140" s="721"/>
      <c r="H140" s="767"/>
      <c r="I140" s="767"/>
      <c r="J140" s="767"/>
      <c r="K140" s="767"/>
      <c r="L140" s="767"/>
      <c r="M140" s="721"/>
      <c r="N140" s="766"/>
      <c r="O140" s="721"/>
      <c r="P140" s="721"/>
      <c r="Q140" s="721"/>
      <c r="R140" s="721"/>
      <c r="S140" s="721"/>
      <c r="T140" s="721"/>
      <c r="U140" s="721"/>
      <c r="V140" s="721"/>
      <c r="W140" s="721"/>
      <c r="X140" s="721"/>
      <c r="Y140" s="871"/>
      <c r="Z140" s="724"/>
      <c r="AA140" s="727"/>
      <c r="AB140" s="724"/>
      <c r="AC140" s="724"/>
      <c r="AD140" s="724"/>
    </row>
    <row r="141" spans="1:30" ht="9" customHeight="1">
      <c r="A141" s="723"/>
      <c r="B141" s="723"/>
      <c r="C141" s="721"/>
      <c r="D141" s="721"/>
      <c r="E141" s="721"/>
      <c r="F141" s="721"/>
      <c r="G141" s="721"/>
      <c r="H141" s="767"/>
      <c r="I141" s="767"/>
      <c r="J141" s="767"/>
      <c r="K141" s="767"/>
      <c r="L141" s="767"/>
      <c r="M141" s="721"/>
      <c r="N141" s="766"/>
      <c r="O141" s="721"/>
      <c r="P141" s="721"/>
      <c r="Q141" s="721"/>
      <c r="R141" s="721"/>
      <c r="S141" s="721"/>
      <c r="T141" s="721"/>
      <c r="U141" s="721"/>
      <c r="V141" s="721"/>
      <c r="W141" s="721"/>
      <c r="X141" s="721"/>
      <c r="Y141" s="871"/>
      <c r="Z141" s="724"/>
      <c r="AA141" s="727"/>
      <c r="AB141" s="724"/>
      <c r="AC141" s="724"/>
      <c r="AD141" s="724"/>
    </row>
    <row r="142" spans="1:30" ht="9" customHeight="1">
      <c r="A142" s="723"/>
      <c r="B142" s="723"/>
      <c r="C142" s="721"/>
      <c r="D142" s="721"/>
      <c r="E142" s="721"/>
      <c r="F142" s="721"/>
      <c r="G142" s="721"/>
      <c r="H142" s="767"/>
      <c r="I142" s="767"/>
      <c r="J142" s="767"/>
      <c r="K142" s="767"/>
      <c r="L142" s="767"/>
      <c r="M142" s="721"/>
      <c r="N142" s="766"/>
      <c r="O142" s="721"/>
      <c r="P142" s="721"/>
      <c r="Q142" s="721"/>
      <c r="R142" s="721"/>
      <c r="S142" s="721"/>
      <c r="T142" s="721"/>
      <c r="U142" s="721"/>
      <c r="V142" s="721"/>
      <c r="W142" s="721"/>
      <c r="X142" s="721"/>
      <c r="Y142" s="871"/>
      <c r="Z142" s="724"/>
      <c r="AA142" s="727"/>
      <c r="AB142" s="724"/>
      <c r="AC142" s="724"/>
      <c r="AD142" s="724"/>
    </row>
    <row r="143" spans="1:30" ht="9" customHeight="1">
      <c r="A143" s="723"/>
      <c r="B143" s="723"/>
      <c r="C143" s="721"/>
      <c r="D143" s="721"/>
      <c r="E143" s="721"/>
      <c r="F143" s="721"/>
      <c r="G143" s="721"/>
      <c r="H143" s="767"/>
      <c r="I143" s="767"/>
      <c r="J143" s="767"/>
      <c r="K143" s="767"/>
      <c r="L143" s="767"/>
      <c r="M143" s="721"/>
      <c r="N143" s="766"/>
      <c r="O143" s="721"/>
      <c r="P143" s="721"/>
      <c r="Q143" s="721"/>
      <c r="R143" s="721"/>
      <c r="S143" s="721"/>
      <c r="T143" s="721"/>
      <c r="U143" s="721"/>
      <c r="V143" s="721"/>
      <c r="W143" s="721"/>
      <c r="X143" s="721"/>
      <c r="Y143" s="871"/>
      <c r="Z143" s="724"/>
      <c r="AA143" s="727"/>
      <c r="AB143" s="724"/>
      <c r="AC143" s="724"/>
      <c r="AD143" s="724"/>
    </row>
    <row r="144" spans="1:30" ht="9" customHeight="1">
      <c r="A144" s="723"/>
      <c r="B144" s="723"/>
      <c r="C144" s="721"/>
      <c r="D144" s="721"/>
      <c r="E144" s="721"/>
      <c r="F144" s="721"/>
      <c r="G144" s="721"/>
      <c r="H144" s="767"/>
      <c r="I144" s="767"/>
      <c r="J144" s="767"/>
      <c r="K144" s="767"/>
      <c r="L144" s="767"/>
      <c r="M144" s="721"/>
      <c r="N144" s="766"/>
      <c r="O144" s="721"/>
      <c r="P144" s="721"/>
      <c r="Q144" s="721"/>
      <c r="R144" s="721"/>
      <c r="S144" s="721"/>
      <c r="T144" s="721"/>
      <c r="U144" s="721"/>
      <c r="V144" s="721"/>
      <c r="W144" s="721"/>
      <c r="X144" s="721"/>
      <c r="Y144" s="871"/>
      <c r="Z144" s="724"/>
      <c r="AA144" s="727"/>
      <c r="AB144" s="724"/>
      <c r="AC144" s="724"/>
      <c r="AD144" s="724"/>
    </row>
    <row r="145" spans="1:30" ht="9" customHeight="1">
      <c r="A145" s="723"/>
      <c r="B145" s="723"/>
      <c r="C145" s="721"/>
      <c r="D145" s="721"/>
      <c r="E145" s="721"/>
      <c r="F145" s="721"/>
      <c r="G145" s="721"/>
      <c r="H145" s="767"/>
      <c r="I145" s="767"/>
      <c r="J145" s="767"/>
      <c r="K145" s="767"/>
      <c r="L145" s="767"/>
      <c r="M145" s="721"/>
      <c r="N145" s="766"/>
      <c r="O145" s="721"/>
      <c r="P145" s="721"/>
      <c r="Q145" s="721"/>
      <c r="R145" s="721"/>
      <c r="S145" s="721"/>
      <c r="T145" s="721"/>
      <c r="U145" s="721"/>
      <c r="V145" s="721"/>
      <c r="W145" s="721"/>
      <c r="X145" s="721"/>
      <c r="Y145" s="871"/>
      <c r="Z145" s="724"/>
      <c r="AA145" s="727"/>
      <c r="AB145" s="724"/>
      <c r="AC145" s="724"/>
      <c r="AD145" s="724"/>
    </row>
    <row r="146" spans="1:30" ht="9" customHeight="1">
      <c r="A146" s="723"/>
      <c r="B146" s="723"/>
      <c r="C146" s="721"/>
      <c r="D146" s="721"/>
      <c r="E146" s="721"/>
      <c r="F146" s="721"/>
      <c r="G146" s="721"/>
      <c r="H146" s="767"/>
      <c r="I146" s="767"/>
      <c r="J146" s="767"/>
      <c r="K146" s="767"/>
      <c r="L146" s="767"/>
      <c r="M146" s="721"/>
      <c r="N146" s="766"/>
      <c r="O146" s="721"/>
      <c r="P146" s="721"/>
      <c r="Q146" s="721"/>
      <c r="R146" s="721"/>
      <c r="S146" s="721"/>
      <c r="T146" s="721"/>
      <c r="U146" s="721"/>
      <c r="V146" s="721"/>
      <c r="W146" s="721"/>
      <c r="X146" s="721"/>
      <c r="Y146" s="871"/>
      <c r="Z146" s="724"/>
      <c r="AA146" s="727"/>
      <c r="AB146" s="724"/>
      <c r="AC146" s="724"/>
      <c r="AD146" s="724"/>
    </row>
    <row r="147" spans="1:30" ht="9" customHeight="1">
      <c r="A147" s="723"/>
      <c r="B147" s="723"/>
      <c r="C147" s="723"/>
      <c r="D147" s="723"/>
      <c r="E147" s="723"/>
      <c r="F147" s="723"/>
      <c r="G147" s="723"/>
      <c r="H147" s="723"/>
      <c r="I147" s="723"/>
      <c r="J147" s="723"/>
      <c r="K147" s="723"/>
      <c r="L147" s="723"/>
      <c r="M147" s="723"/>
      <c r="N147" s="723"/>
      <c r="O147" s="723"/>
      <c r="P147" s="723"/>
      <c r="Q147" s="723"/>
      <c r="R147" s="723"/>
      <c r="S147" s="723"/>
      <c r="T147" s="723"/>
      <c r="U147" s="723"/>
      <c r="V147" s="723"/>
      <c r="W147" s="723"/>
      <c r="X147" s="723"/>
      <c r="Y147" s="723"/>
      <c r="Z147" s="723"/>
      <c r="AA147" s="723"/>
      <c r="AB147" s="723"/>
      <c r="AC147" s="723"/>
      <c r="AD147" s="723"/>
    </row>
    <row r="148" spans="1:30" ht="90" customHeight="1">
      <c r="A148" s="723" t="s">
        <v>1986</v>
      </c>
      <c r="B148" s="723"/>
      <c r="C148" s="721" t="s">
        <v>2542</v>
      </c>
      <c r="D148" s="721" t="s">
        <v>184</v>
      </c>
      <c r="E148" s="721" t="s">
        <v>246</v>
      </c>
      <c r="F148" s="721" t="s">
        <v>309</v>
      </c>
      <c r="G148" s="721"/>
      <c r="H148" s="721"/>
      <c r="I148" s="835"/>
      <c r="J148" s="835"/>
      <c r="K148" s="835"/>
      <c r="L148" s="835"/>
      <c r="M148" s="769"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26"/>
      <c r="O148" s="721"/>
      <c r="P148" s="722"/>
      <c r="Q148" s="722"/>
      <c r="R148" s="722"/>
      <c r="S148" s="721"/>
      <c r="T148" s="721" t="s">
        <v>2543</v>
      </c>
      <c r="U148" s="722"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22"/>
      <c r="W148" s="722"/>
      <c r="X148" s="721" t="s">
        <v>2544</v>
      </c>
      <c r="Y148" s="871"/>
      <c r="Z148" s="724"/>
      <c r="AA148" s="727"/>
      <c r="AB148" s="724"/>
      <c r="AC148" s="724"/>
      <c r="AD148" s="724"/>
    </row>
    <row r="149" spans="1:30" ht="9" customHeight="1">
      <c r="A149" s="723"/>
      <c r="B149" s="723"/>
      <c r="C149" s="723"/>
      <c r="D149" s="723"/>
      <c r="E149" s="723"/>
      <c r="F149" s="723"/>
      <c r="G149" s="723"/>
      <c r="H149" s="723"/>
      <c r="I149" s="723"/>
      <c r="J149" s="723"/>
      <c r="K149" s="723"/>
      <c r="L149" s="723"/>
      <c r="M149" s="723"/>
      <c r="N149" s="723"/>
      <c r="O149" s="723"/>
      <c r="P149" s="723"/>
      <c r="Q149" s="723"/>
      <c r="R149" s="723"/>
      <c r="S149" s="723"/>
      <c r="T149" s="723"/>
      <c r="U149" s="723"/>
      <c r="V149" s="723"/>
      <c r="W149" s="723"/>
      <c r="X149" s="723"/>
      <c r="Y149" s="723"/>
      <c r="Z149" s="723"/>
      <c r="AA149" s="723"/>
      <c r="AB149" s="723"/>
      <c r="AC149" s="723"/>
      <c r="AD149" s="723"/>
    </row>
    <row r="150" spans="1:30" ht="9" customHeight="1">
      <c r="A150" s="723" t="s">
        <v>1989</v>
      </c>
      <c r="B150" s="723"/>
      <c r="C150" s="721"/>
      <c r="D150" s="721"/>
      <c r="E150" s="721"/>
      <c r="F150" s="721"/>
      <c r="G150" s="721"/>
      <c r="H150" s="721"/>
      <c r="I150" s="721"/>
      <c r="J150" s="721"/>
      <c r="K150" s="721"/>
      <c r="L150" s="721"/>
      <c r="M150" s="721"/>
      <c r="N150" s="721"/>
      <c r="O150" s="721"/>
      <c r="P150" s="721"/>
      <c r="Q150" s="721"/>
      <c r="R150" s="721"/>
      <c r="S150" s="721"/>
      <c r="T150" s="721"/>
      <c r="U150" s="721"/>
      <c r="V150" s="721"/>
      <c r="W150" s="721"/>
      <c r="X150" s="721"/>
      <c r="Y150" s="871"/>
      <c r="Z150" s="724"/>
      <c r="AA150" s="727"/>
      <c r="AB150" s="724"/>
      <c r="AC150" s="724"/>
      <c r="AD150" s="724"/>
    </row>
    <row r="151" spans="1:30" ht="9" customHeight="1">
      <c r="A151" s="723"/>
      <c r="B151" s="723"/>
      <c r="C151" s="723"/>
      <c r="D151" s="723"/>
      <c r="E151" s="723"/>
      <c r="F151" s="723"/>
      <c r="G151" s="723"/>
      <c r="H151" s="723"/>
      <c r="I151" s="723"/>
      <c r="J151" s="723"/>
      <c r="K151" s="723"/>
      <c r="L151" s="723"/>
      <c r="M151" s="723"/>
      <c r="N151" s="723"/>
      <c r="O151" s="723"/>
      <c r="P151" s="723"/>
      <c r="Q151" s="723"/>
      <c r="R151" s="723"/>
      <c r="S151" s="723"/>
      <c r="T151" s="723"/>
      <c r="U151" s="723"/>
      <c r="V151" s="723"/>
      <c r="W151" s="723"/>
      <c r="X151" s="723"/>
      <c r="Y151" s="723"/>
      <c r="Z151" s="723"/>
      <c r="AA151" s="723"/>
      <c r="AB151" s="723"/>
      <c r="AC151" s="723"/>
      <c r="AD151" s="723"/>
    </row>
    <row r="152" spans="1:30" ht="9" customHeight="1">
      <c r="A152" s="723" t="s">
        <v>1991</v>
      </c>
      <c r="B152" s="723"/>
      <c r="C152" s="721"/>
      <c r="D152" s="721"/>
      <c r="E152" s="721"/>
      <c r="F152" s="721"/>
      <c r="G152" s="721"/>
      <c r="H152" s="721"/>
      <c r="I152" s="721"/>
      <c r="J152" s="721"/>
      <c r="K152" s="721"/>
      <c r="L152" s="721"/>
      <c r="M152" s="721"/>
      <c r="N152" s="721"/>
      <c r="O152" s="721"/>
      <c r="P152" s="721"/>
      <c r="Q152" s="721"/>
      <c r="R152" s="721"/>
      <c r="S152" s="721"/>
      <c r="T152" s="721"/>
      <c r="U152" s="721"/>
      <c r="V152" s="721"/>
      <c r="W152" s="721"/>
      <c r="X152" s="721"/>
      <c r="Y152" s="871"/>
      <c r="Z152" s="724"/>
      <c r="AA152" s="727"/>
      <c r="AB152" s="724"/>
      <c r="AC152" s="724"/>
      <c r="AD152" s="724"/>
    </row>
    <row r="153" spans="1:30" ht="9" customHeight="1">
      <c r="A153" s="723"/>
      <c r="B153" s="723"/>
      <c r="C153" s="723"/>
      <c r="D153" s="723"/>
      <c r="E153" s="723"/>
      <c r="F153" s="723"/>
      <c r="G153" s="723"/>
      <c r="H153" s="723"/>
      <c r="I153" s="723"/>
      <c r="J153" s="723"/>
      <c r="K153" s="723"/>
      <c r="L153" s="723"/>
      <c r="M153" s="723"/>
      <c r="N153" s="723"/>
      <c r="O153" s="723"/>
      <c r="P153" s="723"/>
      <c r="Q153" s="723"/>
      <c r="R153" s="723"/>
      <c r="S153" s="723"/>
      <c r="T153" s="723"/>
      <c r="U153" s="723"/>
      <c r="V153" s="723"/>
      <c r="W153" s="723"/>
      <c r="X153" s="723"/>
      <c r="Y153" s="723"/>
      <c r="Z153" s="723"/>
      <c r="AA153" s="723"/>
      <c r="AB153" s="723"/>
      <c r="AC153" s="723"/>
      <c r="AD153" s="723"/>
    </row>
    <row r="154" spans="1:30" ht="9" customHeight="1">
      <c r="A154" s="723" t="s">
        <v>1995</v>
      </c>
      <c r="B154" s="723"/>
      <c r="C154" s="721"/>
      <c r="D154" s="721"/>
      <c r="E154" s="721"/>
      <c r="F154" s="721"/>
      <c r="G154" s="721"/>
      <c r="H154" s="721"/>
      <c r="I154" s="721"/>
      <c r="J154" s="721"/>
      <c r="K154" s="721"/>
      <c r="L154" s="721"/>
      <c r="M154" s="721"/>
      <c r="N154" s="721"/>
      <c r="O154" s="721"/>
      <c r="P154" s="721"/>
      <c r="Q154" s="721"/>
      <c r="R154" s="721"/>
      <c r="S154" s="721"/>
      <c r="T154" s="721"/>
      <c r="U154" s="721"/>
      <c r="V154" s="721"/>
      <c r="W154" s="721"/>
      <c r="X154" s="721"/>
      <c r="Y154" s="871"/>
      <c r="Z154" s="724"/>
      <c r="AA154" s="727"/>
      <c r="AB154" s="724"/>
      <c r="AC154" s="724"/>
      <c r="AD154" s="724"/>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2DC2-4001-60A9-DB98-0E4813EAA46D}">
  <sheetPr>
    <tabColor theme="6" tint="0.39997558519241921"/>
  </sheetPr>
  <dimension ref="A1:AC40"/>
  <sheetViews>
    <sheetView showGridLines="0" topLeftCell="I4" workbookViewId="0"/>
  </sheetViews>
  <sheetFormatPr defaultColWidth="10.5703125" defaultRowHeight="14.25" customHeight="1"/>
  <cols>
    <col min="1" max="1" width="10.5703125" style="1903" hidden="1"/>
    <col min="2" max="2" width="11" style="1903" hidden="1" customWidth="1"/>
    <col min="3" max="3" width="10.5703125" style="1903" hidden="1"/>
    <col min="4" max="4" width="11.85546875" style="1903" hidden="1" customWidth="1"/>
    <col min="5" max="5" width="12.28515625" style="1903" hidden="1" customWidth="1"/>
    <col min="6" max="8" width="12.28515625" style="1839" hidden="1" customWidth="1"/>
    <col min="9" max="9" width="3.7109375" style="1957" customWidth="1"/>
    <col min="10" max="11" width="3.7109375" style="1906" customWidth="1"/>
    <col min="12" max="12" width="12.7109375" style="1951" customWidth="1"/>
    <col min="13" max="13" width="32" style="1910" customWidth="1"/>
    <col min="14" max="14" width="1.7109375" style="1910" customWidth="1"/>
    <col min="15" max="18" width="24.7109375" style="1910" customWidth="1"/>
    <col min="19" max="19" width="11.7109375" style="1910" customWidth="1"/>
    <col min="20" max="20" width="3.7109375" style="1910" customWidth="1"/>
    <col min="21" max="21" width="11.7109375" style="1910" customWidth="1"/>
    <col min="22" max="22" width="8.5703125" style="1910" customWidth="1"/>
    <col min="23" max="23" width="4.7109375" style="1910" customWidth="1"/>
    <col min="24" max="24" width="115.7109375" style="1910" customWidth="1"/>
    <col min="25" max="26" width="10.5703125" style="1866"/>
    <col min="27" max="27" width="11.140625" style="1866" customWidth="1"/>
    <col min="28" max="29" width="10.5703125" style="1866"/>
  </cols>
  <sheetData>
    <row r="1" spans="1:29" ht="14.25" hidden="1" customHeight="1">
      <c r="R1" s="238"/>
      <c r="S1" s="238"/>
    </row>
    <row r="2" spans="1:29" ht="14.25" hidden="1" customHeight="1">
      <c r="V2" s="238"/>
    </row>
    <row r="3" spans="1:29" ht="14.25" hidden="1" customHeight="1"/>
    <row r="4" spans="1:29" ht="14.25" customHeight="1">
      <c r="J4" s="283"/>
      <c r="K4" s="283"/>
      <c r="L4" s="1141"/>
      <c r="M4" s="272"/>
      <c r="N4" s="272"/>
      <c r="O4" s="407"/>
      <c r="P4" s="407"/>
      <c r="Q4" s="407"/>
      <c r="R4" s="407"/>
      <c r="S4" s="407"/>
      <c r="T4" s="407"/>
      <c r="U4" s="407"/>
      <c r="V4" s="407"/>
    </row>
    <row r="5" spans="1:29" ht="64.5" customHeight="1">
      <c r="J5" s="283"/>
      <c r="K5" s="283"/>
      <c r="L5" s="3795" t="s">
        <v>2545</v>
      </c>
      <c r="M5" s="3795"/>
      <c r="N5" s="3795"/>
      <c r="O5" s="3795"/>
      <c r="P5" s="3795"/>
      <c r="Q5" s="3795"/>
      <c r="R5" s="3795"/>
      <c r="S5" s="3795"/>
      <c r="T5" s="3795"/>
      <c r="U5" s="3795"/>
      <c r="V5" s="1109"/>
    </row>
    <row r="6" spans="1:29" ht="14.25" customHeight="1">
      <c r="J6" s="283"/>
      <c r="K6" s="283"/>
      <c r="L6" s="3796" t="str">
        <f>IF(org=0,"Не определено",org)</f>
        <v>АО "Орелгортеплоэнерго"</v>
      </c>
      <c r="M6" s="3796"/>
      <c r="N6" s="3796"/>
      <c r="O6" s="3796"/>
      <c r="P6" s="3796"/>
      <c r="Q6" s="3796"/>
      <c r="R6" s="3796"/>
      <c r="S6" s="3796"/>
      <c r="T6" s="3796"/>
      <c r="U6" s="3796"/>
      <c r="V6" s="1109"/>
    </row>
    <row r="7" spans="1:29" ht="14.25" customHeight="1">
      <c r="J7" s="283"/>
      <c r="K7" s="283"/>
      <c r="L7" s="1141"/>
      <c r="M7" s="272"/>
      <c r="N7" s="272"/>
      <c r="O7" s="233"/>
      <c r="P7" s="233"/>
      <c r="Q7" s="233"/>
      <c r="R7" s="233"/>
      <c r="S7" s="233"/>
      <c r="T7" s="233"/>
      <c r="U7" s="233"/>
      <c r="V7" s="233"/>
      <c r="W7" s="407"/>
    </row>
    <row r="8" spans="1:29" s="1944" customFormat="1" ht="45" customHeight="1">
      <c r="A8" s="1229"/>
      <c r="B8" s="1229"/>
      <c r="C8" s="1229"/>
      <c r="D8" s="1229"/>
      <c r="E8" s="1229"/>
      <c r="F8" s="1229"/>
      <c r="G8" s="1229"/>
      <c r="H8" s="1229"/>
      <c r="L8" s="1142"/>
      <c r="M8" s="206" t="s">
        <v>38</v>
      </c>
      <c r="N8" s="215"/>
      <c r="O8" s="3521" t="str">
        <f>IF(TITLE_NAME_OR_PR_CHANGE="",IF(TITLE_NAME_OR_PR="","",TITLE_NAME_OR_PR),TITLE_NAME_OR_PR_CHANGE)</f>
        <v/>
      </c>
      <c r="P8" s="3521"/>
      <c r="Q8" s="3521"/>
      <c r="R8" s="3521"/>
      <c r="S8" s="3521"/>
      <c r="T8" s="3521"/>
      <c r="U8" s="3521"/>
      <c r="V8" s="237"/>
      <c r="W8" s="237"/>
      <c r="X8" s="193"/>
      <c r="Y8" s="276"/>
      <c r="Z8" s="276"/>
      <c r="AA8" s="276"/>
      <c r="AB8" s="276"/>
      <c r="AC8" s="276"/>
    </row>
    <row r="9" spans="1:29" s="1944" customFormat="1" ht="22.5" customHeight="1">
      <c r="A9" s="1229"/>
      <c r="B9" s="1229"/>
      <c r="C9" s="1229"/>
      <c r="D9" s="1229"/>
      <c r="E9" s="1229"/>
      <c r="F9" s="1229"/>
      <c r="G9" s="1229"/>
      <c r="H9" s="1229"/>
      <c r="L9" s="1142"/>
      <c r="M9" s="206" t="s">
        <v>685</v>
      </c>
      <c r="N9" s="215"/>
      <c r="O9" s="3521" t="str">
        <f>IF(TITLE_DATE_CHANGE_PERIOD="",IF(TITLE_DATE_PR="","",TITLE_DATE_PR),TITLE_DATE_CHANGE_PERIOD)</f>
        <v/>
      </c>
      <c r="P9" s="3521"/>
      <c r="Q9" s="3521"/>
      <c r="R9" s="3521"/>
      <c r="S9" s="3521"/>
      <c r="T9" s="3521"/>
      <c r="U9" s="3521"/>
      <c r="V9" s="237"/>
      <c r="W9" s="237"/>
      <c r="X9" s="193"/>
      <c r="Y9" s="276"/>
      <c r="Z9" s="276"/>
      <c r="AA9" s="276"/>
      <c r="AB9" s="276"/>
      <c r="AC9" s="276"/>
    </row>
    <row r="10" spans="1:29" s="1944" customFormat="1" ht="22.5" customHeight="1">
      <c r="A10" s="1229"/>
      <c r="B10" s="1229"/>
      <c r="C10" s="1229"/>
      <c r="D10" s="1229"/>
      <c r="E10" s="1229"/>
      <c r="F10" s="1229"/>
      <c r="G10" s="1229"/>
      <c r="H10" s="1229"/>
      <c r="L10" s="1116"/>
      <c r="M10" s="206" t="s">
        <v>686</v>
      </c>
      <c r="N10" s="215"/>
      <c r="O10" s="3521" t="str">
        <f>IF(TITLE_NUMBER_PR_CHANGE="",IF(TITLE_NUMBER_PR="","",TITLE_NUMBER_PR),TITLE_NUMBER_PR_CHANGE)</f>
        <v/>
      </c>
      <c r="P10" s="3521"/>
      <c r="Q10" s="3521"/>
      <c r="R10" s="3521"/>
      <c r="S10" s="3521"/>
      <c r="T10" s="3521"/>
      <c r="U10" s="3521"/>
      <c r="V10" s="237"/>
      <c r="W10" s="237"/>
      <c r="X10" s="193"/>
      <c r="Y10" s="276"/>
      <c r="Z10" s="276"/>
      <c r="AA10" s="276"/>
      <c r="AB10" s="276"/>
      <c r="AC10" s="276"/>
    </row>
    <row r="11" spans="1:29" s="1944" customFormat="1" ht="22.5" customHeight="1">
      <c r="A11" s="1229"/>
      <c r="B11" s="1229"/>
      <c r="C11" s="1229"/>
      <c r="D11" s="1229"/>
      <c r="E11" s="1229"/>
      <c r="F11" s="1229"/>
      <c r="G11" s="1229"/>
      <c r="H11" s="1229"/>
      <c r="L11" s="1116"/>
      <c r="M11" s="206" t="s">
        <v>39</v>
      </c>
      <c r="N11" s="215"/>
      <c r="O11" s="3521" t="str">
        <f>IF(TITLE_IST_PUB_CHANGE="",IF(TITLE_IST_PUB="","",TITLE_IST_PUB),TITLE_IST_PUB_CHANGE)</f>
        <v/>
      </c>
      <c r="P11" s="3521"/>
      <c r="Q11" s="3521"/>
      <c r="R11" s="3521"/>
      <c r="S11" s="3521"/>
      <c r="T11" s="3521"/>
      <c r="U11" s="3521"/>
      <c r="V11" s="237"/>
      <c r="W11" s="237"/>
      <c r="X11" s="193"/>
      <c r="Y11" s="276"/>
      <c r="Z11" s="276"/>
      <c r="AA11" s="276"/>
      <c r="AB11" s="276"/>
      <c r="AC11" s="276"/>
    </row>
    <row r="12" spans="1:29" s="1944" customFormat="1" ht="11.25" hidden="1" customHeight="1">
      <c r="A12" s="1229"/>
      <c r="B12" s="1229"/>
      <c r="C12" s="1229"/>
      <c r="D12" s="1229"/>
      <c r="E12" s="1229"/>
      <c r="F12" s="1229"/>
      <c r="G12" s="1229"/>
      <c r="H12" s="1229"/>
      <c r="L12" s="3794"/>
      <c r="M12" s="3794"/>
      <c r="N12" s="1151"/>
      <c r="O12" s="237"/>
      <c r="P12" s="237"/>
      <c r="Q12" s="237"/>
      <c r="R12" s="237"/>
      <c r="S12" s="237"/>
      <c r="T12" s="237"/>
      <c r="U12" s="237"/>
      <c r="V12" s="191" t="s">
        <v>689</v>
      </c>
      <c r="Y12" s="276"/>
      <c r="Z12" s="276"/>
      <c r="AA12" s="276"/>
      <c r="AB12" s="276"/>
      <c r="AC12" s="276"/>
    </row>
    <row r="13" spans="1:29" ht="14.25" customHeight="1">
      <c r="J13" s="283"/>
      <c r="K13" s="283"/>
      <c r="L13" s="1141"/>
      <c r="M13" s="272"/>
      <c r="N13" s="1110"/>
      <c r="O13" s="3540"/>
      <c r="P13" s="3540"/>
      <c r="Q13" s="3540"/>
      <c r="R13" s="3540"/>
      <c r="S13" s="3540"/>
      <c r="T13" s="3540"/>
      <c r="U13" s="3540"/>
      <c r="V13" s="3540"/>
    </row>
    <row r="14" spans="1:29" ht="14.25" customHeight="1">
      <c r="J14" s="283"/>
      <c r="K14" s="283"/>
      <c r="L14" s="3401" t="s">
        <v>560</v>
      </c>
      <c r="M14" s="3401"/>
      <c r="N14" s="3401"/>
      <c r="O14" s="3401"/>
      <c r="P14" s="3401"/>
      <c r="Q14" s="3401"/>
      <c r="R14" s="3401"/>
      <c r="S14" s="3401"/>
      <c r="T14" s="3401"/>
      <c r="U14" s="3401"/>
      <c r="V14" s="3401"/>
      <c r="W14" s="3401"/>
      <c r="X14" s="3401" t="s">
        <v>561</v>
      </c>
    </row>
    <row r="15" spans="1:29" ht="14.25" customHeight="1">
      <c r="J15" s="283"/>
      <c r="K15" s="283"/>
      <c r="L15" s="3541" t="s">
        <v>85</v>
      </c>
      <c r="M15" s="3489" t="s">
        <v>690</v>
      </c>
      <c r="N15" s="212"/>
      <c r="O15" s="3542" t="s">
        <v>2546</v>
      </c>
      <c r="P15" s="3543"/>
      <c r="Q15" s="3543"/>
      <c r="R15" s="3543"/>
      <c r="S15" s="3543"/>
      <c r="T15" s="3543"/>
      <c r="U15" s="3544"/>
      <c r="V15" s="3545" t="s">
        <v>692</v>
      </c>
      <c r="W15" s="3548" t="s">
        <v>1507</v>
      </c>
      <c r="X15" s="3401"/>
    </row>
    <row r="16" spans="1:29" ht="33.75" customHeight="1">
      <c r="J16" s="283"/>
      <c r="K16" s="283"/>
      <c r="L16" s="3541"/>
      <c r="M16" s="3489"/>
      <c r="N16" s="901"/>
      <c r="O16" s="3458" t="s">
        <v>695</v>
      </c>
      <c r="P16" s="3458" t="s">
        <v>696</v>
      </c>
      <c r="Q16" s="3383" t="s">
        <v>697</v>
      </c>
      <c r="R16" s="3382"/>
      <c r="S16" s="3383" t="s">
        <v>711</v>
      </c>
      <c r="T16" s="3388"/>
      <c r="U16" s="3382"/>
      <c r="V16" s="3546"/>
      <c r="W16" s="3549"/>
      <c r="X16" s="3401"/>
    </row>
    <row r="17" spans="1:29" ht="33.75" customHeight="1">
      <c r="A17" s="1231" t="s">
        <v>402</v>
      </c>
      <c r="B17" s="1231" t="s">
        <v>403</v>
      </c>
      <c r="C17" s="1231" t="s">
        <v>404</v>
      </c>
      <c r="D17" s="1231" t="s">
        <v>405</v>
      </c>
      <c r="E17" s="1231"/>
      <c r="J17" s="283"/>
      <c r="K17" s="283"/>
      <c r="L17" s="3541"/>
      <c r="M17" s="3489"/>
      <c r="N17" s="213"/>
      <c r="O17" s="3514"/>
      <c r="P17" s="3514"/>
      <c r="Q17" s="1088" t="s">
        <v>706</v>
      </c>
      <c r="R17" s="1088" t="s">
        <v>707</v>
      </c>
      <c r="S17" s="1156" t="s">
        <v>708</v>
      </c>
      <c r="T17" s="3494" t="s">
        <v>709</v>
      </c>
      <c r="U17" s="3508"/>
      <c r="V17" s="3547"/>
      <c r="W17" s="3550"/>
      <c r="X17" s="3401"/>
    </row>
    <row r="18" spans="1:29" s="1838" customFormat="1" ht="11.25" customHeight="1">
      <c r="A18" s="1231"/>
      <c r="B18" s="1231"/>
      <c r="C18" s="1231"/>
      <c r="D18" s="1231"/>
      <c r="E18" s="1231"/>
      <c r="F18" s="1223"/>
      <c r="G18" s="1223"/>
      <c r="H18" s="1223"/>
      <c r="I18" s="1112"/>
      <c r="J18" s="1113"/>
      <c r="K18" s="1120">
        <v>1</v>
      </c>
      <c r="L18" s="1143" t="s">
        <v>106</v>
      </c>
      <c r="M18" s="1121" t="s">
        <v>107</v>
      </c>
      <c r="N18" s="1111" t="str">
        <f ca="1">OFFSET(N18,0,-1)</f>
        <v>2</v>
      </c>
      <c r="O18" s="1153">
        <f ca="1">OFFSET(O18,0,-1)+1</f>
        <v>3</v>
      </c>
      <c r="P18" s="1153"/>
      <c r="Q18" s="1153">
        <f ca="1">OFFSET(Q18,0,-1)+1</f>
        <v>1</v>
      </c>
      <c r="R18" s="1153">
        <f ca="1">OFFSET(R18,0,-1)+1</f>
        <v>2</v>
      </c>
      <c r="S18" s="1153">
        <f ca="1">OFFSET(S18,0,-1)+1</f>
        <v>3</v>
      </c>
      <c r="T18" s="3539">
        <f ca="1">OFFSET(T18,0,-1)+1</f>
        <v>4</v>
      </c>
      <c r="U18" s="3539"/>
      <c r="V18" s="1153">
        <f ca="1">OFFSET(V18,0,-2)+1</f>
        <v>5</v>
      </c>
      <c r="W18" s="1111">
        <f ca="1">OFFSET(W18,0,-1)</f>
        <v>5</v>
      </c>
      <c r="X18" s="1153">
        <f ca="1">OFFSET(X18,0,-1)+1</f>
        <v>6</v>
      </c>
      <c r="Y18" s="409"/>
      <c r="Z18" s="409"/>
      <c r="AA18" s="409"/>
      <c r="AB18" s="409"/>
      <c r="AC18" s="409"/>
    </row>
    <row r="19" spans="1:29" ht="21" customHeight="1">
      <c r="A19" s="1224" t="s">
        <v>430</v>
      </c>
      <c r="B19" s="1224" t="s">
        <v>431</v>
      </c>
      <c r="C19" s="1224" t="s">
        <v>432</v>
      </c>
      <c r="D19" s="1224" t="s">
        <v>433</v>
      </c>
      <c r="E19" s="1224"/>
      <c r="F19" s="1226"/>
      <c r="G19" s="1226"/>
      <c r="H19" s="1226"/>
      <c r="I19" s="270"/>
      <c r="J19" s="269"/>
      <c r="K19" s="264"/>
      <c r="L19" s="1157">
        <f>INDEX(PT_DIFFERENTIATION_NUM_NTAR,MATCH(A19,PT_DIFFERENTIATION_NTAR_ID,0))</f>
        <v>0</v>
      </c>
      <c r="M19" s="209" t="s">
        <v>391</v>
      </c>
      <c r="N19" s="211"/>
      <c r="O19" s="3789" t="str">
        <f>INDEX(PT_DIFFERENTIATION_NTAR,MATCH(A19,PT_DIFFERENTIATION_NTAR_ID,0))</f>
        <v/>
      </c>
      <c r="P19" s="3789"/>
      <c r="Q19" s="3789"/>
      <c r="R19" s="3789"/>
      <c r="S19" s="3789"/>
      <c r="T19" s="3789"/>
      <c r="U19" s="3789"/>
      <c r="V19" s="3789"/>
      <c r="W19" s="3789"/>
      <c r="X19" s="1124" t="s">
        <v>658</v>
      </c>
      <c r="Z19" s="398"/>
      <c r="AA19" s="398" t="str">
        <f t="shared" ref="AA19:AA32" si="0">IF(M19="","",M19)</f>
        <v>Наименование тарифа</v>
      </c>
      <c r="AB19" s="398"/>
      <c r="AC19" s="398"/>
    </row>
    <row r="20" spans="1:29" ht="21" customHeight="1">
      <c r="A20" s="1224" t="s">
        <v>430</v>
      </c>
      <c r="B20" s="1224" t="s">
        <v>431</v>
      </c>
      <c r="C20" s="1224" t="s">
        <v>432</v>
      </c>
      <c r="D20" s="1224" t="s">
        <v>433</v>
      </c>
      <c r="E20" s="1224"/>
      <c r="F20" s="1226"/>
      <c r="G20" s="1226"/>
      <c r="H20" s="1226"/>
      <c r="I20" s="1154"/>
      <c r="J20" s="261"/>
      <c r="K20" s="262"/>
      <c r="L20" s="1157" t="str">
        <f>INDEX(PT_DIFFERENTIATION_NUM_TER,MATCH(B19,PT_DIFFERENTIATION_TER_ID,0))</f>
        <v>.</v>
      </c>
      <c r="M20" s="219" t="s">
        <v>659</v>
      </c>
      <c r="N20" s="211"/>
      <c r="O20" s="3789" t="str">
        <f>INDEX(PT_DIFFERENTIATION_TER,MATCH(B19,PT_DIFFERENTIATION_TER_ID,0))</f>
        <v/>
      </c>
      <c r="P20" s="3789"/>
      <c r="Q20" s="3789"/>
      <c r="R20" s="3789"/>
      <c r="S20" s="3789"/>
      <c r="T20" s="3789"/>
      <c r="U20" s="3789"/>
      <c r="V20" s="3789"/>
      <c r="W20" s="3789"/>
      <c r="X20" s="1124" t="s">
        <v>660</v>
      </c>
      <c r="Z20" s="398"/>
      <c r="AA20" s="398" t="str">
        <f t="shared" si="0"/>
        <v>Территория действия тарифа</v>
      </c>
      <c r="AB20" s="398"/>
      <c r="AC20" s="398"/>
    </row>
    <row r="21" spans="1:29" ht="22.5" customHeight="1">
      <c r="A21" s="1224" t="s">
        <v>430</v>
      </c>
      <c r="B21" s="1224" t="s">
        <v>431</v>
      </c>
      <c r="C21" s="1224" t="s">
        <v>432</v>
      </c>
      <c r="D21" s="1224" t="s">
        <v>433</v>
      </c>
      <c r="E21" s="1224"/>
      <c r="F21" s="1226"/>
      <c r="G21" s="1226"/>
      <c r="H21" s="1226"/>
      <c r="I21" s="263"/>
      <c r="J21" s="261"/>
      <c r="K21" s="262"/>
      <c r="L21" s="1157" t="str">
        <f>INDEX(PT_DIFFERENTIATION_NUM_CS,MATCH(C19,PT_DIFFERENTIATION_CS_ID,0))</f>
        <v>..</v>
      </c>
      <c r="M21" s="220" t="s">
        <v>661</v>
      </c>
      <c r="N21" s="211"/>
      <c r="O21" s="3789" t="str">
        <f>INDEX(PT_DIFFERENTIATION_CS,MATCH(C19,PT_DIFFERENTIATION_CS_ID,0))</f>
        <v/>
      </c>
      <c r="P21" s="3789"/>
      <c r="Q21" s="3789"/>
      <c r="R21" s="3789"/>
      <c r="S21" s="3789"/>
      <c r="T21" s="3789"/>
      <c r="U21" s="3789"/>
      <c r="V21" s="3789"/>
      <c r="W21" s="3789"/>
      <c r="X21" s="1124" t="s">
        <v>662</v>
      </c>
      <c r="Z21" s="398"/>
      <c r="AA21" s="398" t="str">
        <f t="shared" si="0"/>
        <v xml:space="preserve">Наименование системы теплоснабжения </v>
      </c>
      <c r="AB21" s="398"/>
      <c r="AC21" s="398"/>
    </row>
    <row r="22" spans="1:29" ht="21" customHeight="1">
      <c r="A22" s="1224" t="s">
        <v>430</v>
      </c>
      <c r="B22" s="1224" t="s">
        <v>431</v>
      </c>
      <c r="C22" s="1224" t="s">
        <v>432</v>
      </c>
      <c r="D22" s="1224" t="s">
        <v>433</v>
      </c>
      <c r="E22" s="1224"/>
      <c r="F22" s="1226"/>
      <c r="G22" s="1226"/>
      <c r="H22" s="1226"/>
      <c r="I22" s="263"/>
      <c r="J22" s="261"/>
      <c r="K22" s="262"/>
      <c r="L22" s="1157" t="str">
        <f>INDEX(PT_DIFFERENTIATION_NUM_IST_TE,MATCH(D19,PT_DIFFERENTIATION_IST_TE_ID,0))</f>
        <v>...</v>
      </c>
      <c r="M22" s="221" t="s">
        <v>663</v>
      </c>
      <c r="N22" s="211"/>
      <c r="O22" s="3789" t="str">
        <f>INDEX(PT_DIFFERENTIATION_IST_TE,MATCH(D19,PT_DIFFERENTIATION_IST_TE_ID,0))</f>
        <v/>
      </c>
      <c r="P22" s="3789"/>
      <c r="Q22" s="3789"/>
      <c r="R22" s="3789"/>
      <c r="S22" s="3789"/>
      <c r="T22" s="3789"/>
      <c r="U22" s="3789"/>
      <c r="V22" s="3789"/>
      <c r="W22" s="3789"/>
      <c r="X22" s="1124" t="s">
        <v>664</v>
      </c>
      <c r="Z22" s="398"/>
      <c r="AA22" s="398" t="str">
        <f t="shared" si="0"/>
        <v xml:space="preserve">Источник тепловой энергии  </v>
      </c>
      <c r="AB22" s="398"/>
      <c r="AC22" s="398"/>
    </row>
    <row r="23" spans="1:29" ht="94.5" customHeight="1">
      <c r="A23" s="1224" t="s">
        <v>430</v>
      </c>
      <c r="B23" s="1224" t="s">
        <v>431</v>
      </c>
      <c r="C23" s="1224" t="s">
        <v>432</v>
      </c>
      <c r="D23" s="1224" t="s">
        <v>433</v>
      </c>
      <c r="E23" s="1224"/>
      <c r="F23" s="3506" t="str">
        <f>L22&amp;".1"</f>
        <v>....1</v>
      </c>
      <c r="I23" s="3532">
        <v>1</v>
      </c>
      <c r="J23" s="1155"/>
      <c r="K23" s="265"/>
      <c r="L23" s="1157" t="str">
        <f>$F$23</f>
        <v>....1</v>
      </c>
      <c r="M23" s="197" t="s">
        <v>666</v>
      </c>
      <c r="N23" s="211"/>
      <c r="O23" s="3790"/>
      <c r="P23" s="3790"/>
      <c r="Q23" s="3790"/>
      <c r="R23" s="3790"/>
      <c r="S23" s="3790"/>
      <c r="T23" s="3790"/>
      <c r="U23" s="3790"/>
      <c r="V23" s="3790"/>
      <c r="W23" s="3790"/>
      <c r="X23" s="1124" t="s">
        <v>667</v>
      </c>
      <c r="Z23" s="398"/>
      <c r="AA23" s="398" t="str">
        <f t="shared" si="0"/>
        <v>Схема подключения теплопотребляющей установки к коллектору источника тепловой энергии</v>
      </c>
      <c r="AB23" s="398"/>
      <c r="AC23" s="398"/>
    </row>
    <row r="24" spans="1:29" ht="84" customHeight="1">
      <c r="A24" s="1224" t="s">
        <v>430</v>
      </c>
      <c r="B24" s="1224" t="s">
        <v>431</v>
      </c>
      <c r="C24" s="1224" t="s">
        <v>432</v>
      </c>
      <c r="D24" s="1224" t="s">
        <v>433</v>
      </c>
      <c r="E24" s="1224"/>
      <c r="F24" s="3506"/>
      <c r="G24" s="3506" t="str">
        <f>F23&amp;".1"</f>
        <v>....1.1</v>
      </c>
      <c r="I24" s="3532"/>
      <c r="J24" s="3532">
        <v>1</v>
      </c>
      <c r="K24" s="266"/>
      <c r="L24" s="1157" t="str">
        <f>$G$24</f>
        <v>....1.1</v>
      </c>
      <c r="M24" s="198" t="s">
        <v>669</v>
      </c>
      <c r="N24" s="211"/>
      <c r="O24" s="3791"/>
      <c r="P24" s="3792"/>
      <c r="Q24" s="3792"/>
      <c r="R24" s="3792"/>
      <c r="S24" s="3792"/>
      <c r="T24" s="3792"/>
      <c r="U24" s="3792"/>
      <c r="V24" s="3792"/>
      <c r="W24" s="3793"/>
      <c r="X24" s="1124" t="s">
        <v>670</v>
      </c>
      <c r="Z24" s="398"/>
      <c r="AA24" s="398" t="str">
        <f t="shared" si="0"/>
        <v>Группа потребителей</v>
      </c>
      <c r="AB24" s="398"/>
      <c r="AC24" s="398"/>
    </row>
    <row r="25" spans="1:29" ht="11.25" customHeight="1">
      <c r="A25" s="1224" t="s">
        <v>430</v>
      </c>
      <c r="B25" s="1224" t="s">
        <v>431</v>
      </c>
      <c r="C25" s="1224" t="s">
        <v>432</v>
      </c>
      <c r="D25" s="1224" t="s">
        <v>433</v>
      </c>
      <c r="E25" s="1224"/>
      <c r="F25" s="3506"/>
      <c r="G25" s="3506"/>
      <c r="H25" s="3506" t="str">
        <f>G24&amp;".1"</f>
        <v>....1.1.1</v>
      </c>
      <c r="I25" s="3532"/>
      <c r="J25" s="3532"/>
      <c r="K25" s="266">
        <v>1</v>
      </c>
      <c r="L25" s="1157" t="str">
        <f>$H$25</f>
        <v>....1.1.1</v>
      </c>
      <c r="M25" s="1125"/>
      <c r="N25" s="211"/>
      <c r="O25" s="639"/>
      <c r="P25" s="236"/>
      <c r="Q25" s="639"/>
      <c r="R25" s="1123"/>
      <c r="S25" s="3533"/>
      <c r="T25" s="3412" t="s">
        <v>64</v>
      </c>
      <c r="U25" s="3533"/>
      <c r="V25" s="3412" t="s">
        <v>54</v>
      </c>
      <c r="W25" s="236"/>
      <c r="X25" s="3551" t="s">
        <v>672</v>
      </c>
      <c r="Y25" s="409" t="e">
        <f ca="1">STRCHECKDATE(O26:W26)</f>
        <v>#NAME?</v>
      </c>
      <c r="Z25" s="398"/>
      <c r="AA25" s="398" t="str">
        <f t="shared" si="0"/>
        <v/>
      </c>
      <c r="AB25" s="398"/>
      <c r="AC25" s="398"/>
    </row>
    <row r="26" spans="1:29" ht="11.25" customHeight="1">
      <c r="A26" s="1224" t="s">
        <v>430</v>
      </c>
      <c r="B26" s="1224" t="s">
        <v>431</v>
      </c>
      <c r="C26" s="1224" t="s">
        <v>432</v>
      </c>
      <c r="D26" s="1224" t="s">
        <v>433</v>
      </c>
      <c r="E26" s="1224"/>
      <c r="F26" s="3506"/>
      <c r="G26" s="3506"/>
      <c r="H26" s="3506"/>
      <c r="I26" s="3532"/>
      <c r="J26" s="3532"/>
      <c r="K26" s="266"/>
      <c r="L26" s="1158"/>
      <c r="M26" s="211"/>
      <c r="N26" s="211"/>
      <c r="O26" s="236"/>
      <c r="P26" s="236"/>
      <c r="Q26" s="236"/>
      <c r="R26" s="239" t="str">
        <f>S25&amp;"-"&amp;U25</f>
        <v>-</v>
      </c>
      <c r="S26" s="3534"/>
      <c r="T26" s="3412"/>
      <c r="U26" s="3534"/>
      <c r="V26" s="3412"/>
      <c r="W26" s="236"/>
      <c r="X26" s="3552"/>
      <c r="Z26" s="398"/>
      <c r="AA26" s="398" t="str">
        <f t="shared" si="0"/>
        <v/>
      </c>
      <c r="AB26" s="398"/>
      <c r="AC26" s="398"/>
    </row>
    <row r="27" spans="1:29" ht="15" customHeight="1">
      <c r="A27" s="1224" t="s">
        <v>430</v>
      </c>
      <c r="B27" s="1224" t="s">
        <v>431</v>
      </c>
      <c r="C27" s="1224" t="s">
        <v>432</v>
      </c>
      <c r="D27" s="1224" t="s">
        <v>433</v>
      </c>
      <c r="E27" s="1224"/>
      <c r="F27" s="3506"/>
      <c r="G27" s="3506"/>
      <c r="I27" s="3532"/>
      <c r="J27" s="3532"/>
      <c r="K27" s="265"/>
      <c r="L27" s="1144"/>
      <c r="M27" s="200" t="s">
        <v>673</v>
      </c>
      <c r="N27" s="275"/>
      <c r="O27" s="275"/>
      <c r="P27" s="275"/>
      <c r="Q27" s="275"/>
      <c r="R27" s="275"/>
      <c r="S27" s="275"/>
      <c r="T27" s="275"/>
      <c r="U27" s="275"/>
      <c r="V27" s="275"/>
      <c r="W27" s="235"/>
      <c r="X27" s="3553"/>
      <c r="Z27" s="398"/>
      <c r="AA27" s="398" t="str">
        <f t="shared" si="0"/>
        <v>Добавить вид теплоносителя (параметры теплоносителя)</v>
      </c>
      <c r="AB27" s="398"/>
      <c r="AC27" s="398"/>
    </row>
    <row r="28" spans="1:29" ht="15" customHeight="1">
      <c r="A28" s="1224" t="s">
        <v>430</v>
      </c>
      <c r="B28" s="1224" t="s">
        <v>431</v>
      </c>
      <c r="C28" s="1224" t="s">
        <v>432</v>
      </c>
      <c r="D28" s="1224" t="s">
        <v>433</v>
      </c>
      <c r="E28" s="1224"/>
      <c r="F28" s="3506"/>
      <c r="I28" s="3532"/>
      <c r="J28" s="1155"/>
      <c r="K28" s="265"/>
      <c r="L28" s="1144"/>
      <c r="M28" s="199" t="s">
        <v>674</v>
      </c>
      <c r="N28" s="275"/>
      <c r="O28" s="275"/>
      <c r="P28" s="275"/>
      <c r="Q28" s="275"/>
      <c r="R28" s="275"/>
      <c r="S28" s="275"/>
      <c r="T28" s="275"/>
      <c r="U28" s="275"/>
      <c r="V28" s="274"/>
      <c r="W28" s="275"/>
      <c r="X28" s="214"/>
      <c r="Z28" s="398"/>
      <c r="AA28" s="398" t="str">
        <f t="shared" si="0"/>
        <v>Добавить группу потребителей</v>
      </c>
      <c r="AB28" s="398"/>
      <c r="AC28" s="398"/>
    </row>
    <row r="29" spans="1:29" ht="14.25" customHeight="1">
      <c r="A29" s="1224" t="s">
        <v>430</v>
      </c>
      <c r="B29" s="1224" t="s">
        <v>431</v>
      </c>
      <c r="C29" s="1224" t="s">
        <v>432</v>
      </c>
      <c r="D29" s="1224" t="s">
        <v>433</v>
      </c>
      <c r="E29" s="1224"/>
      <c r="F29" s="1226"/>
      <c r="G29" s="1226"/>
      <c r="H29" s="434"/>
      <c r="I29" s="269"/>
      <c r="J29" s="282"/>
      <c r="K29" s="264"/>
      <c r="L29" s="1144"/>
      <c r="M29" s="273" t="s">
        <v>675</v>
      </c>
      <c r="N29" s="275"/>
      <c r="O29" s="275"/>
      <c r="P29" s="275"/>
      <c r="Q29" s="275"/>
      <c r="R29" s="275"/>
      <c r="S29" s="275"/>
      <c r="T29" s="275"/>
      <c r="U29" s="275"/>
      <c r="V29" s="274"/>
      <c r="W29" s="275"/>
      <c r="X29" s="214"/>
      <c r="Z29" s="398"/>
      <c r="AA29" s="398" t="str">
        <f t="shared" si="0"/>
        <v>Добавить схему подключения</v>
      </c>
      <c r="AB29" s="398"/>
      <c r="AC29" s="398"/>
    </row>
    <row r="30" spans="1:29" ht="14.25" customHeight="1">
      <c r="A30" s="1224" t="s">
        <v>430</v>
      </c>
      <c r="B30" s="1224" t="s">
        <v>431</v>
      </c>
      <c r="C30" s="1224" t="s">
        <v>432</v>
      </c>
      <c r="D30" s="1224"/>
      <c r="E30" s="1224" t="s">
        <v>851</v>
      </c>
      <c r="F30" s="1226"/>
      <c r="G30" s="1226"/>
      <c r="H30" s="434"/>
      <c r="I30" s="269"/>
      <c r="J30" s="282"/>
      <c r="K30" s="264"/>
      <c r="L30" s="1145"/>
      <c r="M30" s="1134"/>
      <c r="N30" s="1135"/>
      <c r="O30" s="1135"/>
      <c r="P30" s="1135"/>
      <c r="Q30" s="1135"/>
      <c r="R30" s="1135"/>
      <c r="S30" s="1135"/>
      <c r="T30" s="1135"/>
      <c r="U30" s="1135"/>
      <c r="V30" s="1136"/>
      <c r="W30" s="1135"/>
      <c r="X30" s="1137"/>
      <c r="Z30" s="398"/>
      <c r="AA30" s="398" t="str">
        <f t="shared" si="0"/>
        <v/>
      </c>
      <c r="AB30" s="398"/>
      <c r="AC30" s="398"/>
    </row>
    <row r="31" spans="1:29" ht="14.25" customHeight="1">
      <c r="A31" s="1224" t="s">
        <v>430</v>
      </c>
      <c r="B31" s="1224" t="s">
        <v>431</v>
      </c>
      <c r="C31" s="1224"/>
      <c r="D31" s="1224"/>
      <c r="E31" s="1224" t="s">
        <v>2547</v>
      </c>
      <c r="F31" s="1372"/>
      <c r="G31" s="1372"/>
      <c r="H31" s="434"/>
      <c r="I31" s="267"/>
      <c r="J31" s="282"/>
      <c r="K31" s="268"/>
      <c r="L31" s="1145"/>
      <c r="M31" s="1138"/>
      <c r="N31" s="1135"/>
      <c r="O31" s="1135"/>
      <c r="P31" s="1135"/>
      <c r="Q31" s="1135"/>
      <c r="R31" s="1135"/>
      <c r="S31" s="1135"/>
      <c r="T31" s="1135"/>
      <c r="U31" s="1135"/>
      <c r="V31" s="1136"/>
      <c r="W31" s="1135"/>
      <c r="X31" s="1137"/>
      <c r="Z31" s="398"/>
      <c r="AA31" s="398" t="str">
        <f t="shared" si="0"/>
        <v/>
      </c>
      <c r="AB31" s="398"/>
      <c r="AC31" s="398"/>
    </row>
    <row r="32" spans="1:29" ht="14.25" customHeight="1">
      <c r="A32" s="1224" t="s">
        <v>2548</v>
      </c>
      <c r="B32" s="1224"/>
      <c r="C32" s="1224"/>
      <c r="D32" s="1224"/>
      <c r="E32" s="1224" t="s">
        <v>101</v>
      </c>
      <c r="F32" s="1372"/>
      <c r="G32" s="1372"/>
      <c r="H32" s="434"/>
      <c r="I32" s="269"/>
      <c r="J32" s="282"/>
      <c r="K32" s="264"/>
      <c r="L32" s="1145"/>
      <c r="M32" s="1139"/>
      <c r="N32" s="1135"/>
      <c r="O32" s="1135"/>
      <c r="P32" s="1135"/>
      <c r="Q32" s="1135"/>
      <c r="R32" s="1135"/>
      <c r="S32" s="1135"/>
      <c r="T32" s="1135"/>
      <c r="U32" s="1135"/>
      <c r="V32" s="1136"/>
      <c r="W32" s="1135"/>
      <c r="X32" s="1137"/>
      <c r="Z32" s="398"/>
      <c r="AA32" s="398" t="str">
        <f t="shared" si="0"/>
        <v/>
      </c>
      <c r="AB32" s="398"/>
      <c r="AC32" s="398"/>
    </row>
    <row r="33" spans="1:29" s="1962" customFormat="1" ht="11.25" customHeight="1">
      <c r="A33" s="1224"/>
      <c r="B33" s="1224"/>
      <c r="C33" s="1224"/>
      <c r="D33" s="1224"/>
      <c r="E33" s="1224" t="s">
        <v>710</v>
      </c>
      <c r="F33" s="1373"/>
      <c r="G33" s="1374"/>
      <c r="H33" s="434"/>
      <c r="L33" s="1146"/>
      <c r="M33" s="1140"/>
      <c r="N33" s="1135"/>
      <c r="O33" s="1135"/>
      <c r="P33" s="1135"/>
      <c r="Q33" s="1135"/>
      <c r="R33" s="1135"/>
      <c r="S33" s="1135"/>
      <c r="T33" s="1135"/>
      <c r="U33" s="1135"/>
      <c r="V33" s="1136"/>
      <c r="W33" s="1135"/>
      <c r="X33" s="1137"/>
      <c r="Y33" s="286"/>
      <c r="Z33" s="286"/>
      <c r="AA33" s="286"/>
      <c r="AB33" s="286"/>
      <c r="AC33" s="286"/>
    </row>
    <row r="34" spans="1:29" ht="11.25" customHeight="1">
      <c r="F34" s="1023"/>
      <c r="G34" s="1023"/>
      <c r="H34" s="434"/>
      <c r="I34" s="1018"/>
      <c r="J34" s="1018"/>
      <c r="K34" s="1018"/>
      <c r="Y34" s="1018"/>
      <c r="Z34" s="1018"/>
      <c r="AA34" s="1018"/>
      <c r="AB34" s="1018"/>
      <c r="AC34" s="1018"/>
    </row>
    <row r="35" spans="1:29" ht="27" customHeight="1">
      <c r="H35" s="434"/>
      <c r="L35" s="1152" t="s">
        <v>1075</v>
      </c>
      <c r="M35" s="3527" t="s">
        <v>2549</v>
      </c>
      <c r="N35" s="3527"/>
      <c r="O35" s="3527"/>
      <c r="P35" s="3527"/>
      <c r="Q35" s="3527"/>
      <c r="R35" s="3527"/>
      <c r="S35" s="3527"/>
      <c r="T35" s="3527"/>
      <c r="U35" s="3527"/>
      <c r="V35" s="3527"/>
      <c r="W35" s="3527"/>
      <c r="X35" s="3527"/>
    </row>
    <row r="36" spans="1:29" ht="104.25" customHeight="1">
      <c r="H36" s="434"/>
      <c r="I36" s="1167"/>
      <c r="M36" s="3527" t="s">
        <v>2550</v>
      </c>
      <c r="N36" s="3527"/>
      <c r="O36" s="3527"/>
      <c r="P36" s="3527"/>
      <c r="Q36" s="3527"/>
      <c r="R36" s="3527"/>
      <c r="S36" s="3527"/>
      <c r="T36" s="3527"/>
      <c r="U36" s="3527"/>
      <c r="V36" s="3527"/>
      <c r="W36" s="3527"/>
      <c r="X36" s="3527"/>
    </row>
    <row r="37" spans="1:29" ht="14.25" customHeight="1">
      <c r="H37" s="434"/>
    </row>
    <row r="38" spans="1:29" ht="14.25" customHeight="1">
      <c r="H38" s="434"/>
    </row>
    <row r="39" spans="1:29" ht="14.25" customHeight="1">
      <c r="H39" s="434"/>
    </row>
    <row r="40" spans="1:29" ht="14.25" customHeight="1">
      <c r="H40" s="434"/>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D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D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D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D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D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D00-000005000000}"/>
    <dataValidation allowBlank="1" promptTitle="checkPeriodRange" sqref="R26 R65562 R131098 R196634 R262170 R327706 R393242 R458778 R524314 R589850 R655386 R720922 R786458 R851994 R917530 R983066" xr:uid="{00000000-0002-0000-3D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B9DD4-D7C2-B294-5245-84A2146A751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D2C24-56D6-0749-5A65-28B853C1900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63615-700E-2A07-6D49-086B87A60DD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A6D55-FC81-41AB-073F-C8AA5A783C3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233DC-BD9A-87E7-3BBB-0839DFCBCF5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3332C-F807-FB8B-390E-E5B6BE404F4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0B6C2-5E1F-17ED-B4D4-7ED4E5A2ABB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F2008-778B-73EE-2511-4713D80548CE}">
  <sheetPr>
    <tabColor theme="3" tint="0.59999389629810485"/>
  </sheetPr>
  <dimension ref="A1:I58"/>
  <sheetViews>
    <sheetView showGridLines="0" topLeftCell="C3" zoomScale="90" workbookViewId="0"/>
  </sheetViews>
  <sheetFormatPr defaultColWidth="9.140625" defaultRowHeight="11.25" customHeight="1"/>
  <cols>
    <col min="1" max="1" width="15" style="1928" hidden="1" customWidth="1"/>
    <col min="2" max="2" width="15" style="1825" hidden="1" customWidth="1"/>
    <col min="3" max="3" width="3.7109375" style="1828" customWidth="1"/>
    <col min="4" max="4" width="6.85546875" style="1829" customWidth="1"/>
    <col min="5" max="5" width="52.28515625" style="1828" customWidth="1"/>
    <col min="6" max="6" width="48.85546875" style="1828" customWidth="1"/>
    <col min="7" max="7" width="121.7109375" style="1828" customWidth="1"/>
    <col min="8" max="8" width="9.140625" style="1828"/>
    <col min="9" max="9" width="65" style="1828" customWidth="1"/>
  </cols>
  <sheetData>
    <row r="1" spans="1:9" ht="11.25" hidden="1" customHeight="1">
      <c r="A1" s="1531" t="s">
        <v>559</v>
      </c>
    </row>
    <row r="2" spans="1:9" ht="11.25" hidden="1" customHeight="1"/>
    <row r="3" spans="1:9" s="1824" customFormat="1" ht="11.25" customHeight="1">
      <c r="A3" s="1531"/>
      <c r="B3" s="399"/>
      <c r="D3" s="376"/>
    </row>
    <row r="4" spans="1:9" ht="25.5" customHeight="1">
      <c r="D4" s="344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3450"/>
      <c r="F4" s="3451"/>
      <c r="I4" s="605"/>
    </row>
    <row r="5" spans="1:9" ht="17.25" customHeight="1">
      <c r="D5" s="3480" t="str">
        <f>IF(org=0,"Не определено",org)</f>
        <v>АО "Орелгортеплоэнерго"</v>
      </c>
      <c r="E5" s="3480"/>
      <c r="F5" s="3480"/>
      <c r="I5" s="605"/>
    </row>
    <row r="6" spans="1:9" s="1824" customFormat="1" ht="11.25" customHeight="1">
      <c r="A6" s="1531"/>
      <c r="B6" s="399"/>
      <c r="D6" s="604"/>
      <c r="E6" s="604"/>
      <c r="F6" s="640"/>
      <c r="G6" s="604"/>
    </row>
    <row r="7" spans="1:9" ht="11.25" hidden="1" customHeight="1">
      <c r="A7" s="357"/>
      <c r="B7" s="400"/>
      <c r="C7" s="357"/>
      <c r="D7" s="362"/>
      <c r="E7" s="3487"/>
      <c r="F7" s="3487"/>
    </row>
    <row r="8" spans="1:9" ht="11.25" customHeight="1">
      <c r="A8" s="357"/>
      <c r="B8" s="400"/>
      <c r="C8" s="357"/>
      <c r="D8" s="3483" t="s">
        <v>560</v>
      </c>
      <c r="E8" s="3484"/>
      <c r="F8" s="3484"/>
      <c r="G8" s="3488" t="s">
        <v>561</v>
      </c>
    </row>
    <row r="9" spans="1:9" ht="11.25" customHeight="1">
      <c r="A9" s="357"/>
      <c r="B9" s="400"/>
      <c r="C9" s="357"/>
      <c r="D9" s="371" t="s">
        <v>85</v>
      </c>
      <c r="E9" s="350" t="s">
        <v>562</v>
      </c>
      <c r="F9" s="350" t="s">
        <v>563</v>
      </c>
      <c r="G9" s="3489"/>
    </row>
    <row r="10" spans="1:9" ht="12" hidden="1" customHeight="1">
      <c r="A10" s="357"/>
      <c r="B10" s="400"/>
      <c r="C10" s="357"/>
      <c r="D10" s="363"/>
      <c r="E10" s="363"/>
      <c r="F10" s="363"/>
      <c r="G10" s="363"/>
    </row>
    <row r="11" spans="1:9" ht="22.5" hidden="1" customHeight="1">
      <c r="A11" s="357"/>
      <c r="B11" s="400"/>
      <c r="C11" s="357"/>
      <c r="D11" s="879" t="s">
        <v>106</v>
      </c>
      <c r="E11" s="882" t="s">
        <v>564</v>
      </c>
      <c r="F11" s="881" t="str">
        <f>IF(region_name="","",region_name)</f>
        <v>Орловская область</v>
      </c>
      <c r="G11" s="882" t="s">
        <v>565</v>
      </c>
      <c r="H11" s="374"/>
    </row>
    <row r="12" spans="1:9" ht="22.5" hidden="1" customHeight="1">
      <c r="A12" s="357"/>
      <c r="B12" s="400"/>
      <c r="C12" s="357"/>
      <c r="D12" s="349" t="s">
        <v>106</v>
      </c>
      <c r="E12" s="34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47" t="s">
        <v>566</v>
      </c>
      <c r="G12" s="373"/>
      <c r="H12" s="374"/>
    </row>
    <row r="13" spans="1:9" ht="22.5" customHeight="1">
      <c r="A13" s="357"/>
      <c r="B13" s="400"/>
      <c r="C13" s="357"/>
      <c r="D13" s="349" t="s">
        <v>106</v>
      </c>
      <c r="E13" s="346" t="str">
        <f>"Наименование юридического лица"&amp;IF(TEMPLATE_SPHERE="TKO"," (индивидуального предпринимателя)","")</f>
        <v>Наименование юридического лица</v>
      </c>
      <c r="F13" s="345"/>
      <c r="G13" s="34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374"/>
    </row>
    <row r="14" spans="1:9" ht="22.5" hidden="1" customHeight="1">
      <c r="A14" s="357"/>
      <c r="B14" s="400"/>
      <c r="C14" s="357"/>
      <c r="D14" s="879" t="s">
        <v>567</v>
      </c>
      <c r="E14" s="880" t="s">
        <v>568</v>
      </c>
      <c r="F14" s="881" t="str">
        <f>IF(inn="","",inn)</f>
        <v>5752049900</v>
      </c>
      <c r="G14" s="882" t="s">
        <v>569</v>
      </c>
      <c r="H14" s="374"/>
    </row>
    <row r="15" spans="1:9" ht="22.5" hidden="1" customHeight="1">
      <c r="A15" s="357"/>
      <c r="B15" s="400"/>
      <c r="C15" s="357"/>
      <c r="D15" s="879" t="s">
        <v>570</v>
      </c>
      <c r="E15" s="880" t="s">
        <v>571</v>
      </c>
      <c r="F15" s="881" t="str">
        <f>IF(kpp="","",kpp)</f>
        <v>575201001</v>
      </c>
      <c r="G15" s="882" t="s">
        <v>572</v>
      </c>
      <c r="H15" s="374"/>
    </row>
    <row r="16" spans="1:9" ht="36.75" customHeight="1">
      <c r="A16" s="357"/>
      <c r="B16" s="400"/>
      <c r="C16" s="357"/>
      <c r="D16" s="349" t="s">
        <v>107</v>
      </c>
      <c r="E16" s="34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45"/>
      <c r="G16" s="34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74"/>
    </row>
    <row r="17" spans="1:9" ht="22.5" customHeight="1">
      <c r="A17" s="357"/>
      <c r="B17" s="400"/>
      <c r="C17" s="357"/>
      <c r="D17" s="349" t="s">
        <v>87</v>
      </c>
      <c r="E17" s="346" t="str">
        <f>"Дата присвоения ОГРН"&amp;IF(TEMPLATE_SPHERE="TKO",""," (ОГРНИП)")</f>
        <v>Дата присвоения ОГРН (ОГРНИП)</v>
      </c>
      <c r="F17" s="1575" t="s">
        <v>18</v>
      </c>
      <c r="G17" s="348" t="str">
        <f>"Дата присвоения ОГРН"&amp;IF(TEMPLATE_SPHERE="TKO",""," (ОГРНИП)")&amp;" указывается в виде «ДД.ММ.ГГГГ»."</f>
        <v>Дата присвоения ОГРН (ОГРНИП) указывается в виде «ДД.ММ.ГГГГ».</v>
      </c>
      <c r="H17" s="374"/>
    </row>
    <row r="18" spans="1:9" ht="56.25" customHeight="1">
      <c r="A18" s="357"/>
      <c r="B18" s="400"/>
      <c r="C18" s="357"/>
      <c r="D18" s="349" t="s">
        <v>88</v>
      </c>
      <c r="E18" s="34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45"/>
      <c r="G18" s="373"/>
      <c r="H18" s="374"/>
    </row>
    <row r="19" spans="1:9" ht="22.5" customHeight="1">
      <c r="A19" s="3485">
        <v>1</v>
      </c>
      <c r="B19" s="400"/>
      <c r="C19" s="3490"/>
      <c r="D19" s="344">
        <v>5</v>
      </c>
      <c r="E19" s="346" t="s">
        <v>573</v>
      </c>
      <c r="F19" s="347" t="s">
        <v>566</v>
      </c>
      <c r="G19" s="348" t="s">
        <v>574</v>
      </c>
      <c r="H19" s="374"/>
      <c r="I19" s="729"/>
    </row>
    <row r="20" spans="1:9" ht="33.75" customHeight="1">
      <c r="A20" s="3485"/>
      <c r="B20" s="400"/>
      <c r="C20" s="3490"/>
      <c r="D20" s="349" t="s">
        <v>575</v>
      </c>
      <c r="E20" s="343" t="s">
        <v>576</v>
      </c>
      <c r="F20" s="1965" t="s">
        <v>18</v>
      </c>
      <c r="G20" s="373"/>
      <c r="H20" s="374"/>
      <c r="I20" s="729"/>
    </row>
    <row r="21" spans="1:9" ht="22.5" customHeight="1">
      <c r="A21" s="3485"/>
      <c r="B21" s="400"/>
      <c r="C21" s="3490"/>
      <c r="D21" s="349" t="s">
        <v>577</v>
      </c>
      <c r="E21" s="343" t="s">
        <v>578</v>
      </c>
      <c r="F21" s="1966" t="s">
        <v>18</v>
      </c>
      <c r="G21" s="348" t="s">
        <v>579</v>
      </c>
      <c r="H21" s="374"/>
      <c r="I21" s="729"/>
    </row>
    <row r="22" spans="1:9" ht="22.5" customHeight="1">
      <c r="A22" s="3485"/>
      <c r="B22" s="400"/>
      <c r="C22" s="3490"/>
      <c r="D22" s="349" t="s">
        <v>580</v>
      </c>
      <c r="E22" s="343" t="s">
        <v>581</v>
      </c>
      <c r="F22" s="1965" t="s">
        <v>18</v>
      </c>
      <c r="G22" s="373"/>
      <c r="H22" s="374"/>
      <c r="I22" s="729"/>
    </row>
    <row r="23" spans="1:9" ht="22.5" customHeight="1">
      <c r="A23" s="3485"/>
      <c r="B23" s="400"/>
      <c r="C23" s="3490"/>
      <c r="D23" s="349" t="s">
        <v>582</v>
      </c>
      <c r="E23" s="343" t="s">
        <v>583</v>
      </c>
      <c r="F23" s="1965" t="s">
        <v>18</v>
      </c>
      <c r="G23" s="348" t="s">
        <v>584</v>
      </c>
      <c r="H23" s="374"/>
      <c r="I23" s="729"/>
    </row>
    <row r="24" spans="1:9" s="1825" customFormat="1" ht="24.75" hidden="1" customHeight="1">
      <c r="A24" s="357"/>
      <c r="B24" s="400"/>
      <c r="C24" s="400"/>
      <c r="D24" s="876" t="s">
        <v>87</v>
      </c>
      <c r="E24" s="878" t="s">
        <v>585</v>
      </c>
      <c r="F24" s="883" t="s">
        <v>566</v>
      </c>
      <c r="G24" s="878"/>
    </row>
    <row r="25" spans="1:9" s="1825" customFormat="1" ht="11.25" hidden="1" customHeight="1">
      <c r="A25" s="357"/>
      <c r="B25" s="400"/>
      <c r="C25" s="400"/>
      <c r="D25" s="876" t="s">
        <v>586</v>
      </c>
      <c r="E25" s="877" t="s">
        <v>587</v>
      </c>
      <c r="F25" s="883" t="s">
        <v>566</v>
      </c>
      <c r="G25" s="878"/>
    </row>
    <row r="26" spans="1:9" s="1825" customFormat="1" ht="11.25" hidden="1" customHeight="1">
      <c r="A26" s="357"/>
      <c r="B26" s="400"/>
      <c r="C26" s="400"/>
      <c r="D26" s="876" t="s">
        <v>588</v>
      </c>
      <c r="E26" s="884" t="s">
        <v>589</v>
      </c>
      <c r="F26" s="885"/>
      <c r="G26" s="87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1825" customFormat="1" ht="11.25" hidden="1" customHeight="1">
      <c r="A27" s="357"/>
      <c r="B27" s="400"/>
      <c r="C27" s="400"/>
      <c r="D27" s="876" t="s">
        <v>590</v>
      </c>
      <c r="E27" s="884" t="s">
        <v>591</v>
      </c>
      <c r="F27" s="885"/>
      <c r="G27" s="87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1825" customFormat="1" ht="11.25" hidden="1" customHeight="1">
      <c r="A28" s="357"/>
      <c r="B28" s="400"/>
      <c r="C28" s="400"/>
      <c r="D28" s="876" t="s">
        <v>592</v>
      </c>
      <c r="E28" s="884" t="s">
        <v>593</v>
      </c>
      <c r="F28" s="885"/>
      <c r="G28" s="87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1825" customFormat="1" ht="11.25" hidden="1" customHeight="1">
      <c r="A29" s="357"/>
      <c r="B29" s="400"/>
      <c r="C29" s="400"/>
      <c r="D29" s="876" t="s">
        <v>594</v>
      </c>
      <c r="E29" s="877" t="s">
        <v>595</v>
      </c>
      <c r="F29" s="885"/>
      <c r="G29" s="878"/>
    </row>
    <row r="30" spans="1:9" s="1825" customFormat="1" ht="11.25" hidden="1" customHeight="1">
      <c r="A30" s="357"/>
      <c r="B30" s="400"/>
      <c r="C30" s="400"/>
      <c r="D30" s="876" t="s">
        <v>596</v>
      </c>
      <c r="E30" s="877" t="s">
        <v>597</v>
      </c>
      <c r="F30" s="885"/>
      <c r="G30" s="878"/>
    </row>
    <row r="31" spans="1:9" s="1825" customFormat="1" ht="11.25" hidden="1" customHeight="1">
      <c r="A31" s="357"/>
      <c r="B31" s="400"/>
      <c r="C31" s="400"/>
      <c r="D31" s="876" t="s">
        <v>598</v>
      </c>
      <c r="E31" s="877" t="s">
        <v>599</v>
      </c>
      <c r="F31" s="886"/>
      <c r="G31" s="878"/>
    </row>
    <row r="32" spans="1:9" ht="22.5" customHeight="1">
      <c r="A32" s="357" t="str">
        <f>IF(TEMPLATE_SPHERE="HEAT","6","5")</f>
        <v>6</v>
      </c>
      <c r="B32" s="400"/>
      <c r="C32" s="357"/>
      <c r="D32" s="344" t="str">
        <f>A32</f>
        <v>6</v>
      </c>
      <c r="E32" s="34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47" t="s">
        <v>566</v>
      </c>
      <c r="G32" s="373"/>
      <c r="H32" s="374"/>
    </row>
    <row r="33" spans="1:8" ht="22.5" customHeight="1">
      <c r="A33" s="357"/>
      <c r="B33" s="400"/>
      <c r="C33" s="357"/>
      <c r="D33" s="344" t="str">
        <f>D32&amp;".1"</f>
        <v>6.1</v>
      </c>
      <c r="E33" s="346" t="str">
        <f>"фамилия"&amp;IF(TEMPLATE_SPHERE&lt;&gt;"HEAT"," руководителя","")</f>
        <v>фамилия</v>
      </c>
      <c r="F33" s="345"/>
      <c r="G33" s="34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374"/>
    </row>
    <row r="34" spans="1:8" ht="22.5" customHeight="1">
      <c r="A34" s="357"/>
      <c r="B34" s="400"/>
      <c r="C34" s="357"/>
      <c r="D34" s="344" t="str">
        <f>D32&amp;".2"</f>
        <v>6.2</v>
      </c>
      <c r="E34" s="346" t="str">
        <f>"имя"&amp;IF(TEMPLATE_SPHERE&lt;&gt;"HEAT"," руководителя","")</f>
        <v>имя</v>
      </c>
      <c r="F34" s="345"/>
      <c r="G34" s="34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374"/>
    </row>
    <row r="35" spans="1:8" ht="22.5" customHeight="1">
      <c r="A35" s="357"/>
      <c r="B35" s="400"/>
      <c r="C35" s="357"/>
      <c r="D35" s="344" t="str">
        <f>D32&amp;".3"</f>
        <v>6.3</v>
      </c>
      <c r="E35" s="346" t="str">
        <f>"отчество"&amp;IF(TEMPLATE_SPHERE&lt;&gt;"HEAT"," руководителя","")</f>
        <v>отчество</v>
      </c>
      <c r="F35" s="589"/>
      <c r="G35" s="34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374"/>
    </row>
    <row r="36" spans="1:8" ht="33.75" customHeight="1">
      <c r="A36" s="357"/>
      <c r="B36" s="400"/>
      <c r="C36" s="357"/>
      <c r="D36" s="344">
        <f>D32+1</f>
        <v>7</v>
      </c>
      <c r="E36" s="34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345"/>
      <c r="G36" s="348" t="s">
        <v>600</v>
      </c>
      <c r="H36" s="374"/>
    </row>
    <row r="37" spans="1:8" ht="33.75" customHeight="1">
      <c r="A37" s="357"/>
      <c r="B37" s="400"/>
      <c r="C37" s="357"/>
      <c r="D37" s="344">
        <f>D36+1</f>
        <v>8</v>
      </c>
      <c r="E37" s="34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345"/>
      <c r="G37" s="348" t="s">
        <v>600</v>
      </c>
      <c r="H37" s="374"/>
    </row>
    <row r="38" spans="1:8" ht="22.5" customHeight="1">
      <c r="A38" s="357"/>
      <c r="B38" s="400"/>
      <c r="C38" s="357"/>
      <c r="D38" s="344">
        <f>D37+1</f>
        <v>9</v>
      </c>
      <c r="E38" s="34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47" t="s">
        <v>566</v>
      </c>
      <c r="G38" s="349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374"/>
    </row>
    <row r="39" spans="1:8" ht="22.5" hidden="1" customHeight="1">
      <c r="A39" s="357"/>
      <c r="B39" s="400"/>
      <c r="C39" s="357"/>
      <c r="D39" s="344" t="str">
        <f>D38&amp;".0"</f>
        <v>9.0</v>
      </c>
      <c r="E39" s="1456"/>
      <c r="F39" s="757"/>
      <c r="G39" s="3492"/>
      <c r="H39" s="374"/>
    </row>
    <row r="40" spans="1:8" ht="22.5" customHeight="1">
      <c r="A40" s="357"/>
      <c r="B40" s="357"/>
      <c r="C40" s="1533"/>
      <c r="D40" s="344" t="str">
        <f>D38&amp;".1"</f>
        <v>9.1</v>
      </c>
      <c r="E40" s="737"/>
      <c r="F40" s="738"/>
      <c r="G40" s="3492"/>
      <c r="H40" s="374"/>
    </row>
    <row r="41" spans="1:8" ht="15" customHeight="1">
      <c r="A41" s="357"/>
      <c r="B41" s="400"/>
      <c r="C41" s="357"/>
      <c r="D41" s="366"/>
      <c r="E41" s="322" t="s">
        <v>601</v>
      </c>
      <c r="F41" s="368"/>
      <c r="G41" s="3493"/>
      <c r="H41" s="375"/>
    </row>
    <row r="42" spans="1:8" ht="25.5" customHeight="1">
      <c r="A42" s="357"/>
      <c r="B42" s="400"/>
      <c r="C42" s="357"/>
      <c r="D42" s="344">
        <f>D38+1</f>
        <v>10</v>
      </c>
      <c r="E42" s="34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739"/>
      <c r="G42" s="34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374"/>
    </row>
    <row r="43" spans="1:8" ht="22.5" customHeight="1">
      <c r="A43" s="357"/>
      <c r="B43" s="400"/>
      <c r="C43" s="357"/>
      <c r="D43" s="344">
        <f>D42+1</f>
        <v>11</v>
      </c>
      <c r="E43" s="34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285"/>
      <c r="G43" s="373" t="s">
        <v>602</v>
      </c>
      <c r="H43" s="374"/>
    </row>
    <row r="44" spans="1:8" ht="22.5" customHeight="1">
      <c r="A44" s="357"/>
      <c r="B44" s="400"/>
      <c r="C44" s="357"/>
      <c r="D44" s="344">
        <f>D43+1</f>
        <v>12</v>
      </c>
      <c r="E44" s="342" t="s">
        <v>603</v>
      </c>
      <c r="F44" s="347" t="s">
        <v>566</v>
      </c>
      <c r="G44" s="341" t="str">
        <f>IF(TEMPLATE_SPHERE="TKO","Указывается режим работы организации.","")</f>
        <v/>
      </c>
      <c r="H44" s="374"/>
    </row>
    <row r="45" spans="1:8" ht="22.5" customHeight="1">
      <c r="A45" s="357"/>
      <c r="B45" s="400"/>
      <c r="C45" s="357"/>
      <c r="D45" s="344" t="str">
        <f>D44&amp;".1"</f>
        <v>12.1</v>
      </c>
      <c r="E45" s="346" t="str">
        <f>"режим работы регулируемой организации"&amp;IF(TEMPLATE_SPHERE="HEAT",", ЕТО, ТО","")</f>
        <v>режим работы регулируемой организации, ЕТО, ТО</v>
      </c>
      <c r="F45" s="1529"/>
      <c r="G45" s="341" t="s">
        <v>604</v>
      </c>
      <c r="H45" s="374"/>
    </row>
    <row r="46" spans="1:8" ht="22.5" customHeight="1">
      <c r="A46" s="3481"/>
      <c r="B46" s="400"/>
      <c r="C46" s="390"/>
      <c r="D46" s="344" t="str">
        <f>D44&amp;".2"</f>
        <v>12.2</v>
      </c>
      <c r="E46" s="346" t="s">
        <v>605</v>
      </c>
      <c r="F46" s="388"/>
      <c r="G46" s="341" t="s">
        <v>606</v>
      </c>
      <c r="H46" s="374"/>
    </row>
    <row r="47" spans="1:8" ht="22.5" customHeight="1">
      <c r="A47" s="3481"/>
      <c r="B47" s="400"/>
      <c r="C47" s="390"/>
      <c r="D47" s="344" t="str">
        <f>D44&amp;".3"</f>
        <v>12.3</v>
      </c>
      <c r="E47" s="346" t="s">
        <v>607</v>
      </c>
      <c r="F47" s="388"/>
      <c r="G47" s="341" t="s">
        <v>608</v>
      </c>
      <c r="H47" s="374"/>
    </row>
    <row r="48" spans="1:8" ht="22.5" customHeight="1">
      <c r="A48" s="3481"/>
      <c r="B48" s="400"/>
      <c r="C48" s="390"/>
      <c r="D48" s="344" t="str">
        <f>IF(TEMPLATE_SPHERE="TKO",D44&amp;".0",D44&amp;".4")</f>
        <v>12.4</v>
      </c>
      <c r="E48" s="340" t="s">
        <v>609</v>
      </c>
      <c r="F48" s="1530"/>
      <c r="G48" s="1605" t="s">
        <v>610</v>
      </c>
      <c r="H48" s="374"/>
    </row>
    <row r="49" spans="1:9" ht="22.5" customHeight="1">
      <c r="A49" s="357"/>
      <c r="B49" s="400"/>
      <c r="C49" s="357"/>
      <c r="D49" s="366"/>
      <c r="E49" s="322" t="s">
        <v>611</v>
      </c>
      <c r="F49" s="367"/>
      <c r="G49" s="1605" t="s">
        <v>612</v>
      </c>
      <c r="H49" s="375"/>
    </row>
    <row r="50" spans="1:9" ht="22.5" customHeight="1">
      <c r="A50" s="735"/>
      <c r="B50" s="400"/>
      <c r="C50" s="390"/>
      <c r="D50" s="344">
        <f>D44+1</f>
        <v>13</v>
      </c>
      <c r="E50" s="426" t="s">
        <v>613</v>
      </c>
      <c r="F50" s="388"/>
      <c r="G50" s="153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374"/>
    </row>
    <row r="51" spans="1:9" ht="11.25" customHeight="1">
      <c r="A51" s="357"/>
      <c r="B51" s="400"/>
      <c r="C51" s="357"/>
    </row>
    <row r="52" spans="1:9" s="1827" customFormat="1" ht="30" customHeight="1">
      <c r="A52" s="1532"/>
      <c r="B52" s="401"/>
      <c r="C52" s="3482"/>
      <c r="D52" s="348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3486"/>
      <c r="F52" s="3486"/>
      <c r="G52" s="3486"/>
      <c r="H52" s="356"/>
      <c r="I52" s="356"/>
    </row>
    <row r="53" spans="1:9" s="1827" customFormat="1" ht="39.75" customHeight="1">
      <c r="A53" s="357"/>
      <c r="B53" s="400"/>
      <c r="C53" s="3482"/>
      <c r="D53" s="348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3486"/>
      <c r="F53" s="3486"/>
      <c r="G53" s="3486"/>
    </row>
    <row r="54" spans="1:9" ht="11.25" customHeight="1">
      <c r="D54" s="358"/>
      <c r="E54" s="359"/>
      <c r="F54" s="359"/>
      <c r="G54" s="359"/>
    </row>
    <row r="55" spans="1:9" ht="27" customHeight="1">
      <c r="D55" s="360"/>
      <c r="E55" s="358"/>
      <c r="F55" s="369"/>
      <c r="G55" s="369"/>
    </row>
    <row r="56" spans="1:9" ht="11.25" customHeight="1">
      <c r="D56" s="358"/>
      <c r="E56" s="358"/>
      <c r="F56" s="359"/>
      <c r="G56" s="359"/>
    </row>
    <row r="57" spans="1:9" ht="39" customHeight="1">
      <c r="D57" s="361"/>
      <c r="E57" s="370"/>
      <c r="F57" s="370"/>
      <c r="G57" s="370"/>
    </row>
    <row r="58" spans="1:9" ht="27" customHeight="1">
      <c r="D58" s="361"/>
      <c r="E58" s="370"/>
      <c r="F58" s="370"/>
      <c r="G58" s="370"/>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2:F43 F26:F31 F16 F22:F23 F18 F20 F33:F37 E39:F40"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1E3B2-3DF9-5B9D-044D-D89838E9C68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29C2C-6603-E11D-2B19-4D255B79A484}">
  <dimension ref="A1:E8"/>
  <sheetViews>
    <sheetView showGridLines="0" workbookViewId="0"/>
  </sheetViews>
  <sheetFormatPr defaultRowHeight="11.25" customHeight="1"/>
  <cols>
    <col min="1" max="1" width="10.5703125" style="1" customWidth="1"/>
    <col min="2" max="2" width="8.7109375" style="1" customWidth="1"/>
    <col min="3" max="3" width="18.140625" style="1" customWidth="1"/>
    <col min="4" max="4" width="12.5703125" style="1" customWidth="1"/>
  </cols>
  <sheetData>
    <row r="1" spans="1:5" ht="11.25" customHeight="1">
      <c r="A1" s="3353" t="s">
        <v>2551</v>
      </c>
      <c r="B1" s="3354" t="s">
        <v>2552</v>
      </c>
      <c r="C1" s="3797" t="s">
        <v>2553</v>
      </c>
      <c r="D1" s="3798"/>
      <c r="E1" s="717" t="s">
        <v>2554</v>
      </c>
    </row>
    <row r="2" spans="1:5" ht="11.25" customHeight="1">
      <c r="A2" s="3355"/>
      <c r="B2" s="651" t="s">
        <v>23</v>
      </c>
      <c r="C2" s="641"/>
      <c r="D2" s="650"/>
      <c r="E2" s="717"/>
    </row>
    <row r="3" spans="1:5" ht="11.25" customHeight="1">
      <c r="A3" s="3356"/>
      <c r="B3" s="3357" t="s">
        <v>29</v>
      </c>
      <c r="C3" s="641"/>
      <c r="D3" s="650"/>
      <c r="E3" s="717"/>
    </row>
    <row r="4" spans="1:5" ht="11.25" customHeight="1">
      <c r="A4" s="3358"/>
      <c r="B4" s="652" t="s">
        <v>1986</v>
      </c>
      <c r="C4" s="641"/>
      <c r="D4" s="650"/>
      <c r="E4" s="717"/>
    </row>
    <row r="5" spans="1:5" ht="11.25" customHeight="1">
      <c r="A5" s="3359"/>
      <c r="B5" s="652" t="s">
        <v>1981</v>
      </c>
      <c r="C5" s="3360" t="s">
        <v>2312</v>
      </c>
      <c r="D5" s="3361" t="s">
        <v>2555</v>
      </c>
      <c r="E5" s="717"/>
    </row>
    <row r="6" spans="1:5" s="1962" customFormat="1" ht="11.25" customHeight="1">
      <c r="A6" s="3362"/>
      <c r="B6" s="652" t="s">
        <v>1989</v>
      </c>
      <c r="C6" s="641"/>
      <c r="D6" s="650"/>
      <c r="E6" s="717"/>
    </row>
    <row r="7" spans="1:5" ht="11.25" customHeight="1">
      <c r="A7" s="3363"/>
      <c r="B7" s="652" t="s">
        <v>1995</v>
      </c>
      <c r="C7" s="641"/>
      <c r="D7" s="650"/>
      <c r="E7" s="717"/>
    </row>
    <row r="8" spans="1:5" ht="11.25" customHeight="1">
      <c r="A8" s="643"/>
      <c r="B8" s="652" t="s">
        <v>1991</v>
      </c>
      <c r="C8" s="641"/>
      <c r="D8" s="650"/>
      <c r="E8" s="71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328C9-1BEC-AE62-8262-6F05700EE5E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9F866-1DD6-7853-CD89-7AAFB477078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D87CE-69F4-589A-F2BD-CD3A3F7D2AEF}">
  <sheetPr>
    <tabColor rgb="FFFFCC99"/>
  </sheetPr>
  <dimension ref="A1:I281"/>
  <sheetViews>
    <sheetView showGridLines="0" workbookViewId="0"/>
  </sheetViews>
  <sheetFormatPr defaultColWidth="9.140625" defaultRowHeight="11.25" customHeight="1"/>
  <cols>
    <col min="1" max="2" width="9.140625" style="1962"/>
    <col min="3" max="3" width="20.7109375" style="1962" customWidth="1"/>
    <col min="4" max="4" width="25.140625" style="1962" customWidth="1"/>
    <col min="5" max="9" width="9.140625" style="1962"/>
  </cols>
  <sheetData>
    <row r="1" spans="1:9" ht="11.25" customHeight="1">
      <c r="A1" t="s">
        <v>2556</v>
      </c>
      <c r="B1" t="s">
        <v>2557</v>
      </c>
      <c r="C1" t="s">
        <v>2558</v>
      </c>
      <c r="D1" t="s">
        <v>2559</v>
      </c>
      <c r="E1" t="s">
        <v>2560</v>
      </c>
      <c r="F1" t="s">
        <v>2561</v>
      </c>
      <c r="G1" t="s">
        <v>2562</v>
      </c>
      <c r="H1" t="s">
        <v>2563</v>
      </c>
      <c r="I1" t="s">
        <v>2564</v>
      </c>
    </row>
    <row r="2" spans="1:9" ht="11.25" customHeight="1">
      <c r="A2" s="1962" t="s">
        <v>2565</v>
      </c>
      <c r="B2" s="1962" t="s">
        <v>14</v>
      </c>
      <c r="C2" s="1962" t="s">
        <v>18</v>
      </c>
      <c r="D2" s="1962" t="s">
        <v>2566</v>
      </c>
      <c r="E2" s="1962" t="s">
        <v>2567</v>
      </c>
      <c r="F2" s="1962" t="s">
        <v>2568</v>
      </c>
      <c r="G2" s="1962" t="s">
        <v>18</v>
      </c>
      <c r="H2" s="1962" t="s">
        <v>18</v>
      </c>
      <c r="I2" s="1962" t="s">
        <v>1079</v>
      </c>
    </row>
    <row r="3" spans="1:9" ht="11.25" customHeight="1">
      <c r="A3" s="1962" t="s">
        <v>2565</v>
      </c>
      <c r="B3" s="1962" t="s">
        <v>14</v>
      </c>
      <c r="C3" s="1962" t="s">
        <v>2569</v>
      </c>
      <c r="D3" s="1962" t="s">
        <v>2570</v>
      </c>
      <c r="E3" s="1962" t="s">
        <v>2571</v>
      </c>
      <c r="F3" s="1962" t="s">
        <v>2572</v>
      </c>
      <c r="G3" s="1962" t="s">
        <v>18</v>
      </c>
      <c r="H3" s="1962" t="s">
        <v>18</v>
      </c>
      <c r="I3" s="1962" t="s">
        <v>1079</v>
      </c>
    </row>
    <row r="4" spans="1:9" ht="11.25" customHeight="1">
      <c r="A4" s="1962" t="s">
        <v>2565</v>
      </c>
      <c r="B4" s="1962" t="s">
        <v>14</v>
      </c>
      <c r="C4" s="1962" t="s">
        <v>2573</v>
      </c>
      <c r="D4" s="1962" t="s">
        <v>2574</v>
      </c>
      <c r="E4" s="1962" t="s">
        <v>2575</v>
      </c>
      <c r="F4" s="1962" t="s">
        <v>2576</v>
      </c>
      <c r="G4" s="1962" t="s">
        <v>18</v>
      </c>
      <c r="H4" s="1962" t="s">
        <v>18</v>
      </c>
      <c r="I4" s="1962" t="s">
        <v>1079</v>
      </c>
    </row>
    <row r="5" spans="1:9" ht="11.25" customHeight="1">
      <c r="A5" s="1962" t="s">
        <v>2565</v>
      </c>
      <c r="B5" s="1962" t="s">
        <v>14</v>
      </c>
      <c r="C5" s="1962" t="s">
        <v>2577</v>
      </c>
      <c r="D5" s="1962" t="s">
        <v>2578</v>
      </c>
      <c r="E5" s="1962" t="s">
        <v>2579</v>
      </c>
      <c r="F5" s="1962" t="s">
        <v>2580</v>
      </c>
      <c r="G5" s="1962" t="s">
        <v>18</v>
      </c>
      <c r="H5" s="1962" t="s">
        <v>18</v>
      </c>
      <c r="I5" s="1962" t="s">
        <v>1079</v>
      </c>
    </row>
    <row r="6" spans="1:9" ht="11.25" customHeight="1">
      <c r="A6" s="1962" t="s">
        <v>2565</v>
      </c>
      <c r="B6" s="1962" t="s">
        <v>14</v>
      </c>
      <c r="C6" s="1962" t="s">
        <v>2581</v>
      </c>
      <c r="D6" s="1962" t="s">
        <v>43</v>
      </c>
      <c r="E6" s="1962" t="s">
        <v>46</v>
      </c>
      <c r="F6" s="1962" t="s">
        <v>48</v>
      </c>
      <c r="G6" s="1962" t="s">
        <v>18</v>
      </c>
      <c r="H6" s="1962" t="s">
        <v>18</v>
      </c>
      <c r="I6" s="1962" t="s">
        <v>1079</v>
      </c>
    </row>
    <row r="7" spans="1:9" ht="11.25" customHeight="1">
      <c r="A7" s="1962" t="s">
        <v>2565</v>
      </c>
      <c r="B7" s="1962" t="s">
        <v>14</v>
      </c>
      <c r="C7" s="1962" t="s">
        <v>2582</v>
      </c>
      <c r="D7" s="1962" t="s">
        <v>2583</v>
      </c>
      <c r="E7" s="1962" t="s">
        <v>2584</v>
      </c>
      <c r="F7" s="1962" t="s">
        <v>2585</v>
      </c>
      <c r="G7" s="1962" t="s">
        <v>18</v>
      </c>
      <c r="H7" s="1962" t="s">
        <v>18</v>
      </c>
      <c r="I7" s="1962" t="s">
        <v>1079</v>
      </c>
    </row>
    <row r="8" spans="1:9" ht="11.25" customHeight="1">
      <c r="A8" s="1962" t="s">
        <v>2565</v>
      </c>
      <c r="B8" s="1962" t="s">
        <v>14</v>
      </c>
      <c r="C8" s="1962" t="s">
        <v>2586</v>
      </c>
      <c r="D8" s="1962" t="s">
        <v>2587</v>
      </c>
      <c r="E8" s="1962" t="s">
        <v>2588</v>
      </c>
      <c r="F8" s="1962" t="s">
        <v>2589</v>
      </c>
      <c r="G8" s="1962" t="s">
        <v>18</v>
      </c>
      <c r="H8" s="1962" t="s">
        <v>18</v>
      </c>
      <c r="I8" s="1962" t="s">
        <v>1079</v>
      </c>
    </row>
    <row r="9" spans="1:9" ht="11.25" customHeight="1">
      <c r="A9" s="1962" t="s">
        <v>2565</v>
      </c>
      <c r="B9" s="1962" t="s">
        <v>14</v>
      </c>
      <c r="C9" s="1962" t="s">
        <v>2590</v>
      </c>
      <c r="D9" s="1962" t="s">
        <v>2591</v>
      </c>
      <c r="E9" s="1962" t="s">
        <v>2592</v>
      </c>
      <c r="F9" s="1962" t="s">
        <v>2593</v>
      </c>
      <c r="G9" s="1962" t="s">
        <v>18</v>
      </c>
      <c r="H9" s="1962" t="s">
        <v>18</v>
      </c>
      <c r="I9" s="1962" t="s">
        <v>1079</v>
      </c>
    </row>
    <row r="10" spans="1:9" ht="11.25" customHeight="1">
      <c r="A10" s="1962" t="s">
        <v>2565</v>
      </c>
      <c r="B10" s="1962" t="s">
        <v>14</v>
      </c>
      <c r="C10" s="1962" t="s">
        <v>2594</v>
      </c>
      <c r="D10" s="1962" t="s">
        <v>2595</v>
      </c>
      <c r="E10" s="1962" t="s">
        <v>2596</v>
      </c>
      <c r="F10" s="1962" t="s">
        <v>2597</v>
      </c>
      <c r="G10" s="1962" t="s">
        <v>18</v>
      </c>
      <c r="H10" s="1962" t="s">
        <v>18</v>
      </c>
      <c r="I10" s="1962" t="s">
        <v>1079</v>
      </c>
    </row>
    <row r="11" spans="1:9" ht="11.25" customHeight="1">
      <c r="A11" s="1962" t="s">
        <v>2565</v>
      </c>
      <c r="B11" s="1962" t="s">
        <v>14</v>
      </c>
      <c r="C11" s="1962" t="s">
        <v>2598</v>
      </c>
      <c r="D11" s="1962" t="s">
        <v>2599</v>
      </c>
      <c r="E11" s="1962" t="s">
        <v>2600</v>
      </c>
      <c r="F11" s="1962" t="s">
        <v>2601</v>
      </c>
      <c r="G11" s="1962" t="s">
        <v>18</v>
      </c>
      <c r="H11" s="1962" t="s">
        <v>18</v>
      </c>
      <c r="I11" s="1962" t="s">
        <v>1079</v>
      </c>
    </row>
    <row r="12" spans="1:9" ht="11.25" customHeight="1">
      <c r="A12" s="1962" t="s">
        <v>2565</v>
      </c>
      <c r="B12" s="1962" t="s">
        <v>14</v>
      </c>
      <c r="C12" s="1962" t="s">
        <v>18</v>
      </c>
      <c r="D12" s="1962" t="s">
        <v>2602</v>
      </c>
      <c r="E12" s="1962" t="s">
        <v>2603</v>
      </c>
      <c r="F12" s="1962" t="s">
        <v>2589</v>
      </c>
      <c r="G12" s="1962" t="s">
        <v>18</v>
      </c>
      <c r="H12" s="1962" t="s">
        <v>18</v>
      </c>
      <c r="I12" s="1962" t="s">
        <v>1079</v>
      </c>
    </row>
    <row r="13" spans="1:9" ht="11.25" customHeight="1">
      <c r="A13" s="1962" t="s">
        <v>2565</v>
      </c>
      <c r="B13" s="1962" t="s">
        <v>14</v>
      </c>
      <c r="C13" s="1962" t="s">
        <v>2604</v>
      </c>
      <c r="D13" s="1962" t="s">
        <v>2605</v>
      </c>
      <c r="E13" s="1962" t="s">
        <v>2606</v>
      </c>
      <c r="F13" s="1962" t="s">
        <v>2607</v>
      </c>
      <c r="G13" s="1962" t="s">
        <v>18</v>
      </c>
      <c r="H13" s="1962" t="s">
        <v>18</v>
      </c>
      <c r="I13" s="1962" t="s">
        <v>1079</v>
      </c>
    </row>
    <row r="14" spans="1:9" ht="11.25" customHeight="1">
      <c r="A14" s="1962" t="s">
        <v>2565</v>
      </c>
      <c r="B14" s="1962" t="s">
        <v>14</v>
      </c>
      <c r="C14" s="1962" t="s">
        <v>2608</v>
      </c>
      <c r="D14" s="1962" t="s">
        <v>2609</v>
      </c>
      <c r="E14" s="1962" t="s">
        <v>2610</v>
      </c>
      <c r="F14" s="1962" t="s">
        <v>2611</v>
      </c>
      <c r="G14" s="1962" t="s">
        <v>18</v>
      </c>
      <c r="H14" s="1962" t="s">
        <v>18</v>
      </c>
      <c r="I14" s="1962" t="s">
        <v>1079</v>
      </c>
    </row>
    <row r="15" spans="1:9" ht="11.25" customHeight="1">
      <c r="A15" s="1962" t="s">
        <v>2565</v>
      </c>
      <c r="B15" s="1962" t="s">
        <v>14</v>
      </c>
      <c r="C15" s="1962" t="s">
        <v>2612</v>
      </c>
      <c r="D15" s="1962" t="s">
        <v>2613</v>
      </c>
      <c r="E15" s="1962" t="s">
        <v>2614</v>
      </c>
      <c r="F15" s="1962" t="s">
        <v>2615</v>
      </c>
      <c r="G15" s="1962" t="s">
        <v>18</v>
      </c>
      <c r="H15" s="1962" t="s">
        <v>18</v>
      </c>
      <c r="I15" s="1962" t="s">
        <v>1079</v>
      </c>
    </row>
    <row r="16" spans="1:9" ht="11.25" customHeight="1">
      <c r="A16" s="1962" t="s">
        <v>2565</v>
      </c>
      <c r="B16" s="1962" t="s">
        <v>14</v>
      </c>
      <c r="C16" s="1962" t="s">
        <v>2616</v>
      </c>
      <c r="D16" s="1962" t="s">
        <v>2617</v>
      </c>
      <c r="E16" s="1962" t="s">
        <v>2618</v>
      </c>
      <c r="F16" s="1962" t="s">
        <v>2619</v>
      </c>
      <c r="G16" s="1962" t="s">
        <v>18</v>
      </c>
      <c r="H16" s="1962" t="s">
        <v>18</v>
      </c>
      <c r="I16" s="1962" t="s">
        <v>1079</v>
      </c>
    </row>
    <row r="17" spans="1:9" ht="11.25" customHeight="1">
      <c r="A17" s="1962" t="s">
        <v>2565</v>
      </c>
      <c r="B17" s="1962" t="s">
        <v>14</v>
      </c>
      <c r="C17" s="1962" t="s">
        <v>2620</v>
      </c>
      <c r="D17" s="1962" t="s">
        <v>2621</v>
      </c>
      <c r="E17" s="1962" t="s">
        <v>2622</v>
      </c>
      <c r="F17" s="1962" t="s">
        <v>2623</v>
      </c>
      <c r="G17" s="1962" t="s">
        <v>18</v>
      </c>
      <c r="H17" s="1962" t="s">
        <v>18</v>
      </c>
      <c r="I17" s="1962" t="s">
        <v>1079</v>
      </c>
    </row>
    <row r="18" spans="1:9" ht="11.25" customHeight="1">
      <c r="A18" s="1962" t="s">
        <v>2565</v>
      </c>
      <c r="B18" s="1962" t="s">
        <v>14</v>
      </c>
      <c r="C18" s="1962" t="s">
        <v>2624</v>
      </c>
      <c r="D18" s="1962" t="s">
        <v>2625</v>
      </c>
      <c r="E18" s="1962" t="s">
        <v>2626</v>
      </c>
      <c r="F18" s="1962" t="s">
        <v>2627</v>
      </c>
      <c r="G18" s="1962" t="s">
        <v>18</v>
      </c>
      <c r="H18" s="1962" t="s">
        <v>18</v>
      </c>
      <c r="I18" s="1962" t="s">
        <v>1079</v>
      </c>
    </row>
    <row r="19" spans="1:9" ht="11.25" customHeight="1">
      <c r="A19" s="1962" t="s">
        <v>2565</v>
      </c>
      <c r="B19" s="1962" t="s">
        <v>14</v>
      </c>
      <c r="C19" s="1962" t="s">
        <v>2628</v>
      </c>
      <c r="D19" s="1962" t="s">
        <v>2629</v>
      </c>
      <c r="E19" s="1962" t="s">
        <v>2630</v>
      </c>
      <c r="F19" s="1962" t="s">
        <v>48</v>
      </c>
      <c r="G19" s="1962" t="s">
        <v>18</v>
      </c>
      <c r="H19" s="1962" t="s">
        <v>18</v>
      </c>
      <c r="I19" s="1962" t="s">
        <v>1079</v>
      </c>
    </row>
    <row r="20" spans="1:9" ht="11.25" customHeight="1">
      <c r="A20" s="1962" t="s">
        <v>2565</v>
      </c>
      <c r="B20" s="1962" t="s">
        <v>14</v>
      </c>
      <c r="C20" s="1962" t="s">
        <v>2631</v>
      </c>
      <c r="D20" s="1962" t="s">
        <v>2632</v>
      </c>
      <c r="E20" s="1962" t="s">
        <v>2633</v>
      </c>
      <c r="F20" s="1962" t="s">
        <v>2634</v>
      </c>
      <c r="G20" s="1962" t="s">
        <v>18</v>
      </c>
      <c r="H20" s="1962" t="s">
        <v>18</v>
      </c>
      <c r="I20" s="1962" t="s">
        <v>1079</v>
      </c>
    </row>
    <row r="21" spans="1:9" ht="11.25" customHeight="1">
      <c r="A21" s="1962" t="s">
        <v>2565</v>
      </c>
      <c r="B21" s="1962" t="s">
        <v>14</v>
      </c>
      <c r="C21" s="1962" t="s">
        <v>2635</v>
      </c>
      <c r="D21" s="1962" t="s">
        <v>2636</v>
      </c>
      <c r="E21" s="1962" t="s">
        <v>2637</v>
      </c>
      <c r="F21" s="1962" t="s">
        <v>2638</v>
      </c>
      <c r="G21" s="1962" t="s">
        <v>2639</v>
      </c>
      <c r="H21" s="1962" t="s">
        <v>18</v>
      </c>
      <c r="I21" s="1962" t="s">
        <v>1079</v>
      </c>
    </row>
    <row r="22" spans="1:9" ht="11.25" customHeight="1">
      <c r="A22" s="1962" t="s">
        <v>2565</v>
      </c>
      <c r="B22" s="1962" t="s">
        <v>14</v>
      </c>
      <c r="C22" s="1962" t="s">
        <v>2640</v>
      </c>
      <c r="D22" s="1962" t="s">
        <v>2641</v>
      </c>
      <c r="E22" s="1962" t="s">
        <v>2642</v>
      </c>
      <c r="F22" s="1962" t="s">
        <v>2643</v>
      </c>
      <c r="G22" s="1962" t="s">
        <v>18</v>
      </c>
      <c r="H22" s="1962" t="s">
        <v>18</v>
      </c>
      <c r="I22" s="1962" t="s">
        <v>1079</v>
      </c>
    </row>
    <row r="23" spans="1:9" ht="11.25" customHeight="1">
      <c r="A23" s="1962" t="s">
        <v>2565</v>
      </c>
      <c r="B23" s="1962" t="s">
        <v>14</v>
      </c>
      <c r="C23" s="1962" t="s">
        <v>2644</v>
      </c>
      <c r="D23" s="1962" t="s">
        <v>2645</v>
      </c>
      <c r="E23" s="1962" t="s">
        <v>2646</v>
      </c>
      <c r="F23" s="1962" t="s">
        <v>2647</v>
      </c>
      <c r="G23" s="1962" t="s">
        <v>18</v>
      </c>
      <c r="H23" s="1962" t="s">
        <v>18</v>
      </c>
      <c r="I23" s="1962" t="s">
        <v>1079</v>
      </c>
    </row>
    <row r="24" spans="1:9" ht="11.25" customHeight="1">
      <c r="A24" s="1962" t="s">
        <v>2565</v>
      </c>
      <c r="B24" s="1962" t="s">
        <v>14</v>
      </c>
      <c r="C24" s="1962" t="s">
        <v>2648</v>
      </c>
      <c r="D24" s="1962" t="s">
        <v>2649</v>
      </c>
      <c r="E24" s="1962" t="s">
        <v>2650</v>
      </c>
      <c r="F24" s="1962" t="s">
        <v>2651</v>
      </c>
      <c r="G24" s="1962" t="s">
        <v>18</v>
      </c>
      <c r="H24" s="1962" t="s">
        <v>18</v>
      </c>
      <c r="I24" s="1962" t="s">
        <v>1079</v>
      </c>
    </row>
    <row r="25" spans="1:9" ht="11.25" customHeight="1">
      <c r="A25" s="1962" t="s">
        <v>2565</v>
      </c>
      <c r="B25" s="1962" t="s">
        <v>14</v>
      </c>
      <c r="C25" s="1962" t="s">
        <v>2652</v>
      </c>
      <c r="D25" s="1962" t="s">
        <v>2653</v>
      </c>
      <c r="E25" s="1962" t="s">
        <v>2654</v>
      </c>
      <c r="F25" s="1962" t="s">
        <v>2638</v>
      </c>
      <c r="G25" s="1962" t="s">
        <v>18</v>
      </c>
      <c r="H25" s="1962" t="s">
        <v>18</v>
      </c>
      <c r="I25" s="1962" t="s">
        <v>1079</v>
      </c>
    </row>
    <row r="26" spans="1:9" ht="11.25" customHeight="1">
      <c r="A26" s="1962" t="s">
        <v>2565</v>
      </c>
      <c r="B26" s="1962" t="s">
        <v>14</v>
      </c>
      <c r="C26" s="1962" t="s">
        <v>2655</v>
      </c>
      <c r="D26" s="1962" t="s">
        <v>2656</v>
      </c>
      <c r="E26" s="1962" t="s">
        <v>2657</v>
      </c>
      <c r="F26" s="1962" t="s">
        <v>2638</v>
      </c>
      <c r="G26" s="1962" t="s">
        <v>18</v>
      </c>
      <c r="H26" s="1962" t="s">
        <v>18</v>
      </c>
      <c r="I26" s="1962" t="s">
        <v>1079</v>
      </c>
    </row>
    <row r="27" spans="1:9" ht="11.25" customHeight="1">
      <c r="A27" s="1962" t="s">
        <v>2565</v>
      </c>
      <c r="B27" s="1962" t="s">
        <v>14</v>
      </c>
      <c r="C27" s="1962" t="s">
        <v>2658</v>
      </c>
      <c r="D27" s="1962" t="s">
        <v>2659</v>
      </c>
      <c r="E27" s="1962" t="s">
        <v>2660</v>
      </c>
      <c r="F27" s="1962" t="s">
        <v>2661</v>
      </c>
      <c r="G27" s="1962" t="s">
        <v>18</v>
      </c>
      <c r="H27" s="1962" t="s">
        <v>18</v>
      </c>
      <c r="I27" s="1962" t="s">
        <v>1079</v>
      </c>
    </row>
    <row r="28" spans="1:9" ht="11.25" customHeight="1">
      <c r="A28" s="1962" t="s">
        <v>2565</v>
      </c>
      <c r="B28" s="1962" t="s">
        <v>14</v>
      </c>
      <c r="C28" s="1962" t="s">
        <v>2662</v>
      </c>
      <c r="D28" s="1962" t="s">
        <v>2663</v>
      </c>
      <c r="E28" s="1962" t="s">
        <v>2664</v>
      </c>
      <c r="F28" s="1962" t="s">
        <v>2665</v>
      </c>
      <c r="G28" s="1962" t="s">
        <v>18</v>
      </c>
      <c r="H28" s="1962" t="s">
        <v>18</v>
      </c>
      <c r="I28" s="1962" t="s">
        <v>1079</v>
      </c>
    </row>
    <row r="29" spans="1:9" ht="11.25" customHeight="1">
      <c r="A29" s="1962" t="s">
        <v>2565</v>
      </c>
      <c r="B29" s="1962" t="s">
        <v>14</v>
      </c>
      <c r="C29" s="1962" t="s">
        <v>2666</v>
      </c>
      <c r="D29" s="1962" t="s">
        <v>2667</v>
      </c>
      <c r="E29" s="1962" t="s">
        <v>2668</v>
      </c>
      <c r="F29" s="1962" t="s">
        <v>2669</v>
      </c>
      <c r="G29" s="1962" t="s">
        <v>18</v>
      </c>
      <c r="H29" s="1962" t="s">
        <v>18</v>
      </c>
      <c r="I29" s="1962" t="s">
        <v>1079</v>
      </c>
    </row>
    <row r="30" spans="1:9" ht="11.25" customHeight="1">
      <c r="A30" s="1962" t="s">
        <v>2565</v>
      </c>
      <c r="B30" s="1962" t="s">
        <v>14</v>
      </c>
      <c r="C30" s="1962" t="s">
        <v>2670</v>
      </c>
      <c r="D30" s="1962" t="s">
        <v>2671</v>
      </c>
      <c r="E30" s="1962" t="s">
        <v>2672</v>
      </c>
      <c r="F30" s="1962" t="s">
        <v>2673</v>
      </c>
      <c r="G30" s="1962" t="s">
        <v>18</v>
      </c>
      <c r="H30" s="1962" t="s">
        <v>18</v>
      </c>
      <c r="I30" s="1962" t="s">
        <v>1079</v>
      </c>
    </row>
    <row r="31" spans="1:9" ht="11.25" customHeight="1">
      <c r="A31" s="1962" t="s">
        <v>2565</v>
      </c>
      <c r="B31" s="1962" t="s">
        <v>14</v>
      </c>
      <c r="C31" s="1962" t="s">
        <v>2674</v>
      </c>
      <c r="D31" s="1962" t="s">
        <v>2675</v>
      </c>
      <c r="E31" s="1962" t="s">
        <v>2676</v>
      </c>
      <c r="F31" s="1962" t="s">
        <v>2647</v>
      </c>
      <c r="G31" s="1962" t="s">
        <v>18</v>
      </c>
      <c r="H31" s="1962" t="s">
        <v>18</v>
      </c>
      <c r="I31" s="1962" t="s">
        <v>1079</v>
      </c>
    </row>
    <row r="32" spans="1:9" ht="11.25" customHeight="1">
      <c r="A32" s="1962" t="s">
        <v>2565</v>
      </c>
      <c r="B32" s="1962" t="s">
        <v>14</v>
      </c>
      <c r="C32" s="1962" t="s">
        <v>2677</v>
      </c>
      <c r="D32" s="1962" t="s">
        <v>2678</v>
      </c>
      <c r="E32" s="1962" t="s">
        <v>2679</v>
      </c>
      <c r="F32" s="1962" t="s">
        <v>2680</v>
      </c>
      <c r="G32" s="1962" t="s">
        <v>18</v>
      </c>
      <c r="H32" s="1962" t="s">
        <v>18</v>
      </c>
      <c r="I32" s="1962" t="s">
        <v>1079</v>
      </c>
    </row>
    <row r="33" spans="1:9" ht="11.25" customHeight="1">
      <c r="A33" s="1962" t="s">
        <v>2565</v>
      </c>
      <c r="B33" s="1962" t="s">
        <v>14</v>
      </c>
      <c r="C33" s="1962" t="s">
        <v>2681</v>
      </c>
      <c r="D33" s="1962" t="s">
        <v>2682</v>
      </c>
      <c r="E33" s="1962" t="s">
        <v>2683</v>
      </c>
      <c r="F33" s="1962" t="s">
        <v>2684</v>
      </c>
      <c r="G33" s="1962" t="s">
        <v>18</v>
      </c>
      <c r="H33" s="1962" t="s">
        <v>18</v>
      </c>
      <c r="I33" s="1962" t="s">
        <v>1079</v>
      </c>
    </row>
    <row r="34" spans="1:9" ht="11.25" customHeight="1">
      <c r="A34" s="1962" t="s">
        <v>2565</v>
      </c>
      <c r="B34" s="1962" t="s">
        <v>14</v>
      </c>
      <c r="C34" s="1962" t="s">
        <v>2685</v>
      </c>
      <c r="D34" s="1962" t="s">
        <v>2686</v>
      </c>
      <c r="E34" s="1962" t="s">
        <v>2687</v>
      </c>
      <c r="F34" s="1962" t="s">
        <v>2647</v>
      </c>
      <c r="G34" s="1962" t="s">
        <v>18</v>
      </c>
      <c r="H34" s="1962" t="s">
        <v>18</v>
      </c>
      <c r="I34" s="1962" t="s">
        <v>1079</v>
      </c>
    </row>
    <row r="35" spans="1:9" ht="11.25" customHeight="1">
      <c r="A35" s="1962" t="s">
        <v>2565</v>
      </c>
      <c r="B35" s="1962" t="s">
        <v>14</v>
      </c>
      <c r="C35" s="1962" t="s">
        <v>2688</v>
      </c>
      <c r="D35" s="1962" t="s">
        <v>2689</v>
      </c>
      <c r="E35" s="1962" t="s">
        <v>2690</v>
      </c>
      <c r="F35" s="1962" t="s">
        <v>2673</v>
      </c>
      <c r="G35" s="1962" t="s">
        <v>18</v>
      </c>
      <c r="H35" s="1962" t="s">
        <v>18</v>
      </c>
      <c r="I35" s="1962" t="s">
        <v>1079</v>
      </c>
    </row>
    <row r="36" spans="1:9" ht="11.25" customHeight="1">
      <c r="A36" s="1962" t="s">
        <v>2565</v>
      </c>
      <c r="B36" s="1962" t="s">
        <v>14</v>
      </c>
      <c r="C36" s="1962" t="s">
        <v>2691</v>
      </c>
      <c r="D36" s="1962" t="s">
        <v>2692</v>
      </c>
      <c r="E36" s="1962" t="s">
        <v>2693</v>
      </c>
      <c r="F36" s="1962" t="s">
        <v>48</v>
      </c>
      <c r="G36" s="1962" t="s">
        <v>18</v>
      </c>
      <c r="H36" s="1962" t="s">
        <v>18</v>
      </c>
      <c r="I36" s="1962" t="s">
        <v>1079</v>
      </c>
    </row>
    <row r="37" spans="1:9" ht="11.25" customHeight="1">
      <c r="A37" s="1962" t="s">
        <v>2565</v>
      </c>
      <c r="B37" s="1962" t="s">
        <v>14</v>
      </c>
      <c r="C37" s="1962" t="s">
        <v>2694</v>
      </c>
      <c r="D37" s="1962" t="s">
        <v>2695</v>
      </c>
      <c r="E37" s="1962" t="s">
        <v>2696</v>
      </c>
      <c r="F37" s="1962" t="s">
        <v>2697</v>
      </c>
      <c r="G37" s="1962" t="s">
        <v>18</v>
      </c>
      <c r="H37" s="1962" t="s">
        <v>18</v>
      </c>
      <c r="I37" s="1962" t="s">
        <v>1079</v>
      </c>
    </row>
    <row r="38" spans="1:9" ht="11.25" customHeight="1">
      <c r="A38" s="1962" t="s">
        <v>2565</v>
      </c>
      <c r="B38" s="1962" t="s">
        <v>14</v>
      </c>
      <c r="C38" s="1962" t="s">
        <v>2698</v>
      </c>
      <c r="D38" s="1962" t="s">
        <v>2699</v>
      </c>
      <c r="E38" s="1962" t="s">
        <v>2700</v>
      </c>
      <c r="F38" s="1962" t="s">
        <v>2701</v>
      </c>
      <c r="G38" s="1962" t="s">
        <v>18</v>
      </c>
      <c r="H38" s="1962" t="s">
        <v>18</v>
      </c>
      <c r="I38" s="1962" t="s">
        <v>1079</v>
      </c>
    </row>
    <row r="39" spans="1:9" ht="11.25" customHeight="1">
      <c r="A39" s="1962" t="s">
        <v>2565</v>
      </c>
      <c r="B39" s="1962" t="s">
        <v>14</v>
      </c>
      <c r="C39" s="1962" t="s">
        <v>2702</v>
      </c>
      <c r="D39" s="1962" t="s">
        <v>2703</v>
      </c>
      <c r="E39" s="1962" t="s">
        <v>2704</v>
      </c>
      <c r="F39" s="1962" t="s">
        <v>2705</v>
      </c>
      <c r="G39" s="1962" t="s">
        <v>18</v>
      </c>
      <c r="H39" s="1962" t="s">
        <v>18</v>
      </c>
      <c r="I39" s="1962" t="s">
        <v>1079</v>
      </c>
    </row>
    <row r="40" spans="1:9" ht="11.25" customHeight="1">
      <c r="A40" s="1962" t="s">
        <v>2565</v>
      </c>
      <c r="B40" s="1962" t="s">
        <v>14</v>
      </c>
      <c r="C40" s="1962" t="s">
        <v>2706</v>
      </c>
      <c r="D40" s="1962" t="s">
        <v>2707</v>
      </c>
      <c r="E40" s="1962" t="s">
        <v>2708</v>
      </c>
      <c r="F40" s="1962" t="s">
        <v>2709</v>
      </c>
      <c r="G40" s="1962" t="s">
        <v>18</v>
      </c>
      <c r="H40" s="1962" t="s">
        <v>18</v>
      </c>
      <c r="I40" s="1962" t="s">
        <v>1079</v>
      </c>
    </row>
    <row r="41" spans="1:9" ht="11.25" customHeight="1">
      <c r="A41" s="1962" t="s">
        <v>2565</v>
      </c>
      <c r="B41" s="1962" t="s">
        <v>14</v>
      </c>
      <c r="C41" s="1962" t="s">
        <v>2710</v>
      </c>
      <c r="D41" s="1962" t="s">
        <v>2711</v>
      </c>
      <c r="E41" s="1962" t="s">
        <v>2712</v>
      </c>
      <c r="F41" s="1962" t="s">
        <v>2647</v>
      </c>
      <c r="G41" s="1962" t="s">
        <v>18</v>
      </c>
      <c r="H41" s="1962" t="s">
        <v>18</v>
      </c>
      <c r="I41" s="1962" t="s">
        <v>1079</v>
      </c>
    </row>
    <row r="42" spans="1:9" ht="11.25" customHeight="1">
      <c r="A42" s="1962" t="s">
        <v>2565</v>
      </c>
      <c r="B42" s="1962" t="s">
        <v>14</v>
      </c>
      <c r="C42" s="1962" t="s">
        <v>2713</v>
      </c>
      <c r="D42" s="1962" t="s">
        <v>2714</v>
      </c>
      <c r="E42" s="1962" t="s">
        <v>2715</v>
      </c>
      <c r="F42" s="1962" t="s">
        <v>2673</v>
      </c>
      <c r="G42" s="1962" t="s">
        <v>18</v>
      </c>
      <c r="H42" s="1962" t="s">
        <v>18</v>
      </c>
      <c r="I42" s="1962" t="s">
        <v>1079</v>
      </c>
    </row>
    <row r="43" spans="1:9" ht="11.25" customHeight="1">
      <c r="A43" s="1962" t="s">
        <v>2565</v>
      </c>
      <c r="B43" s="1962" t="s">
        <v>14</v>
      </c>
      <c r="C43" s="1962" t="s">
        <v>2716</v>
      </c>
      <c r="D43" s="1962" t="s">
        <v>2717</v>
      </c>
      <c r="E43" s="1962" t="s">
        <v>2718</v>
      </c>
      <c r="F43" s="1962" t="s">
        <v>2647</v>
      </c>
      <c r="G43" s="1962" t="s">
        <v>18</v>
      </c>
      <c r="H43" s="1962" t="s">
        <v>18</v>
      </c>
      <c r="I43" s="1962" t="s">
        <v>1079</v>
      </c>
    </row>
    <row r="44" spans="1:9" ht="11.25" customHeight="1">
      <c r="A44" s="1962" t="s">
        <v>2565</v>
      </c>
      <c r="B44" s="1962" t="s">
        <v>14</v>
      </c>
      <c r="C44" s="1962" t="s">
        <v>2719</v>
      </c>
      <c r="D44" s="1962" t="s">
        <v>2720</v>
      </c>
      <c r="E44" s="1962" t="s">
        <v>2721</v>
      </c>
      <c r="F44" s="1962" t="s">
        <v>48</v>
      </c>
      <c r="G44" s="1962" t="s">
        <v>18</v>
      </c>
      <c r="H44" s="1962" t="s">
        <v>18</v>
      </c>
      <c r="I44" s="1962" t="s">
        <v>1079</v>
      </c>
    </row>
    <row r="45" spans="1:9" ht="11.25" customHeight="1">
      <c r="A45" s="1962" t="s">
        <v>2565</v>
      </c>
      <c r="B45" s="1962" t="s">
        <v>14</v>
      </c>
      <c r="C45" s="1962" t="s">
        <v>2722</v>
      </c>
      <c r="D45" s="1962" t="s">
        <v>2723</v>
      </c>
      <c r="E45" s="1962" t="s">
        <v>2724</v>
      </c>
      <c r="F45" s="1962" t="s">
        <v>2611</v>
      </c>
      <c r="G45" s="1962" t="s">
        <v>18</v>
      </c>
      <c r="H45" s="1962" t="s">
        <v>18</v>
      </c>
      <c r="I45" s="1962" t="s">
        <v>1079</v>
      </c>
    </row>
    <row r="46" spans="1:9" ht="11.25" customHeight="1">
      <c r="A46" s="1962" t="s">
        <v>2565</v>
      </c>
      <c r="B46" s="1962" t="s">
        <v>14</v>
      </c>
      <c r="C46" s="1962" t="s">
        <v>2725</v>
      </c>
      <c r="D46" s="1962" t="s">
        <v>2726</v>
      </c>
      <c r="E46" s="1962" t="s">
        <v>2727</v>
      </c>
      <c r="F46" s="1962" t="s">
        <v>2728</v>
      </c>
      <c r="G46" s="1962" t="s">
        <v>18</v>
      </c>
      <c r="H46" s="1962" t="s">
        <v>18</v>
      </c>
      <c r="I46" s="1962" t="s">
        <v>1079</v>
      </c>
    </row>
    <row r="47" spans="1:9" ht="11.25" customHeight="1">
      <c r="A47" s="1962" t="s">
        <v>2565</v>
      </c>
      <c r="B47" s="1962" t="s">
        <v>14</v>
      </c>
      <c r="C47" s="1962" t="s">
        <v>2729</v>
      </c>
      <c r="D47" s="1962" t="s">
        <v>2730</v>
      </c>
      <c r="E47" s="1962" t="s">
        <v>2731</v>
      </c>
      <c r="F47" s="1962" t="s">
        <v>2732</v>
      </c>
      <c r="G47" s="1962" t="s">
        <v>2733</v>
      </c>
      <c r="H47" s="1962" t="s">
        <v>18</v>
      </c>
      <c r="I47" s="1962" t="s">
        <v>1079</v>
      </c>
    </row>
    <row r="48" spans="1:9" ht="11.25" customHeight="1">
      <c r="A48" s="1962" t="s">
        <v>2565</v>
      </c>
      <c r="B48" s="1962" t="s">
        <v>14</v>
      </c>
      <c r="C48" s="1962" t="s">
        <v>2734</v>
      </c>
      <c r="D48" s="1962" t="s">
        <v>2735</v>
      </c>
      <c r="E48" s="1962" t="s">
        <v>2736</v>
      </c>
      <c r="F48" s="1962" t="s">
        <v>2737</v>
      </c>
      <c r="G48" s="1962" t="s">
        <v>18</v>
      </c>
      <c r="H48" s="1962" t="s">
        <v>18</v>
      </c>
      <c r="I48" s="1962" t="s">
        <v>1079</v>
      </c>
    </row>
    <row r="49" spans="1:9" ht="11.25" customHeight="1">
      <c r="A49" s="1962" t="s">
        <v>2565</v>
      </c>
      <c r="B49" s="1962" t="s">
        <v>14</v>
      </c>
      <c r="C49" s="1962" t="s">
        <v>2738</v>
      </c>
      <c r="D49" s="1962" t="s">
        <v>2739</v>
      </c>
      <c r="E49" s="1962" t="s">
        <v>2740</v>
      </c>
      <c r="F49" s="1962" t="s">
        <v>2741</v>
      </c>
      <c r="G49" s="1962" t="s">
        <v>18</v>
      </c>
      <c r="H49" s="1962" t="s">
        <v>18</v>
      </c>
      <c r="I49" s="1962" t="s">
        <v>1079</v>
      </c>
    </row>
    <row r="50" spans="1:9" ht="11.25" customHeight="1">
      <c r="A50" s="1962" t="s">
        <v>2565</v>
      </c>
      <c r="B50" s="1962" t="s">
        <v>14</v>
      </c>
      <c r="C50" s="1962" t="s">
        <v>2742</v>
      </c>
      <c r="D50" s="1962" t="s">
        <v>2743</v>
      </c>
      <c r="E50" s="1962" t="s">
        <v>2744</v>
      </c>
      <c r="F50" s="1962" t="s">
        <v>2647</v>
      </c>
      <c r="G50" s="1962" t="s">
        <v>18</v>
      </c>
      <c r="H50" s="1962" t="s">
        <v>18</v>
      </c>
      <c r="I50" s="1962" t="s">
        <v>1079</v>
      </c>
    </row>
    <row r="51" spans="1:9" ht="11.25" customHeight="1">
      <c r="A51" s="1962" t="s">
        <v>2565</v>
      </c>
      <c r="B51" s="1962" t="s">
        <v>14</v>
      </c>
      <c r="C51" s="1962" t="s">
        <v>2745</v>
      </c>
      <c r="D51" s="1962" t="s">
        <v>2746</v>
      </c>
      <c r="E51" s="1962" t="s">
        <v>2747</v>
      </c>
      <c r="F51" s="1962" t="s">
        <v>2589</v>
      </c>
      <c r="G51" s="1962" t="s">
        <v>18</v>
      </c>
      <c r="H51" s="1962" t="s">
        <v>18</v>
      </c>
      <c r="I51" s="1962" t="s">
        <v>1079</v>
      </c>
    </row>
    <row r="52" spans="1:9" ht="11.25" customHeight="1">
      <c r="A52" s="1962" t="s">
        <v>2565</v>
      </c>
      <c r="B52" s="1962" t="s">
        <v>14</v>
      </c>
      <c r="C52" s="1962" t="s">
        <v>2748</v>
      </c>
      <c r="D52" s="1962" t="s">
        <v>2749</v>
      </c>
      <c r="E52" s="1962" t="s">
        <v>2750</v>
      </c>
      <c r="F52" s="1962" t="s">
        <v>2589</v>
      </c>
      <c r="G52" s="1962" t="s">
        <v>18</v>
      </c>
      <c r="H52" s="1962" t="s">
        <v>18</v>
      </c>
      <c r="I52" s="1962" t="s">
        <v>1079</v>
      </c>
    </row>
    <row r="53" spans="1:9" ht="11.25" customHeight="1">
      <c r="A53" s="1962" t="s">
        <v>2565</v>
      </c>
      <c r="B53" s="1962" t="s">
        <v>14</v>
      </c>
      <c r="C53" s="1962" t="s">
        <v>2751</v>
      </c>
      <c r="D53" s="1962" t="s">
        <v>2752</v>
      </c>
      <c r="E53" s="1962" t="s">
        <v>2753</v>
      </c>
      <c r="F53" s="1962" t="s">
        <v>2589</v>
      </c>
      <c r="G53" s="1962" t="s">
        <v>18</v>
      </c>
      <c r="H53" s="1962" t="s">
        <v>18</v>
      </c>
      <c r="I53" s="1962" t="s">
        <v>1079</v>
      </c>
    </row>
    <row r="54" spans="1:9" ht="11.25" customHeight="1">
      <c r="A54" s="1962" t="s">
        <v>2565</v>
      </c>
      <c r="B54" s="1962" t="s">
        <v>14</v>
      </c>
      <c r="C54" s="1962" t="s">
        <v>2754</v>
      </c>
      <c r="D54" s="1962" t="s">
        <v>2755</v>
      </c>
      <c r="E54" s="1962" t="s">
        <v>2756</v>
      </c>
      <c r="F54" s="1962" t="s">
        <v>2757</v>
      </c>
      <c r="G54" s="1962" t="s">
        <v>18</v>
      </c>
      <c r="H54" s="1962" t="s">
        <v>18</v>
      </c>
      <c r="I54" s="1962" t="s">
        <v>1079</v>
      </c>
    </row>
    <row r="55" spans="1:9" ht="11.25" customHeight="1">
      <c r="A55" s="1962" t="s">
        <v>2565</v>
      </c>
      <c r="B55" s="1962" t="s">
        <v>14</v>
      </c>
      <c r="C55" s="1962" t="s">
        <v>2758</v>
      </c>
      <c r="D55" s="1962" t="s">
        <v>2759</v>
      </c>
      <c r="E55" s="1962" t="s">
        <v>2760</v>
      </c>
      <c r="F55" s="1962" t="s">
        <v>48</v>
      </c>
      <c r="G55" s="1962" t="s">
        <v>18</v>
      </c>
      <c r="H55" s="1962" t="s">
        <v>18</v>
      </c>
      <c r="I55" s="1962" t="s">
        <v>1079</v>
      </c>
    </row>
    <row r="56" spans="1:9" ht="11.25" customHeight="1">
      <c r="A56" s="1962" t="s">
        <v>2565</v>
      </c>
      <c r="B56" s="1962" t="s">
        <v>14</v>
      </c>
      <c r="C56" s="1962" t="s">
        <v>2761</v>
      </c>
      <c r="D56" s="1962" t="s">
        <v>2762</v>
      </c>
      <c r="E56" s="1962" t="s">
        <v>2763</v>
      </c>
      <c r="F56" s="1962" t="s">
        <v>2673</v>
      </c>
      <c r="G56" s="1962" t="s">
        <v>18</v>
      </c>
      <c r="H56" s="1962" t="s">
        <v>18</v>
      </c>
      <c r="I56" s="1962" t="s">
        <v>1079</v>
      </c>
    </row>
    <row r="57" spans="1:9" ht="11.25" customHeight="1">
      <c r="A57" s="1962" t="s">
        <v>2565</v>
      </c>
      <c r="B57" s="1962" t="s">
        <v>14</v>
      </c>
      <c r="C57" s="1962" t="s">
        <v>2764</v>
      </c>
      <c r="D57" s="1962" t="s">
        <v>2765</v>
      </c>
      <c r="E57" s="1962" t="s">
        <v>2766</v>
      </c>
      <c r="F57" s="1962" t="s">
        <v>2767</v>
      </c>
      <c r="G57" s="1962" t="s">
        <v>18</v>
      </c>
      <c r="H57" s="1962" t="s">
        <v>18</v>
      </c>
      <c r="I57" s="1962" t="s">
        <v>1079</v>
      </c>
    </row>
    <row r="58" spans="1:9" ht="11.25" customHeight="1">
      <c r="A58" s="1962" t="s">
        <v>2565</v>
      </c>
      <c r="B58" s="1962" t="s">
        <v>14</v>
      </c>
      <c r="C58" s="1962" t="s">
        <v>2768</v>
      </c>
      <c r="D58" s="1962" t="s">
        <v>2769</v>
      </c>
      <c r="E58" s="1962" t="s">
        <v>2770</v>
      </c>
      <c r="F58" s="1962" t="s">
        <v>2589</v>
      </c>
      <c r="G58" s="1962" t="s">
        <v>18</v>
      </c>
      <c r="H58" s="1962" t="s">
        <v>18</v>
      </c>
      <c r="I58" s="1962" t="s">
        <v>1079</v>
      </c>
    </row>
    <row r="59" spans="1:9" ht="11.25" customHeight="1">
      <c r="A59" s="1962" t="s">
        <v>2565</v>
      </c>
      <c r="B59" s="1962" t="s">
        <v>14</v>
      </c>
      <c r="C59" s="1962" t="s">
        <v>2771</v>
      </c>
      <c r="D59" s="1962" t="s">
        <v>2772</v>
      </c>
      <c r="E59" s="1962" t="s">
        <v>2773</v>
      </c>
      <c r="F59" s="1962" t="s">
        <v>2732</v>
      </c>
      <c r="G59" s="1962" t="s">
        <v>18</v>
      </c>
      <c r="H59" s="1962" t="s">
        <v>18</v>
      </c>
      <c r="I59" s="1962" t="s">
        <v>1079</v>
      </c>
    </row>
    <row r="60" spans="1:9" ht="11.25" customHeight="1">
      <c r="A60" s="1962" t="s">
        <v>2565</v>
      </c>
      <c r="B60" s="1962" t="s">
        <v>14</v>
      </c>
      <c r="C60" s="1962" t="s">
        <v>2774</v>
      </c>
      <c r="D60" s="1962" t="s">
        <v>2775</v>
      </c>
      <c r="E60" s="1962" t="s">
        <v>2776</v>
      </c>
      <c r="F60" s="1962" t="s">
        <v>2757</v>
      </c>
      <c r="G60" s="1962" t="s">
        <v>2777</v>
      </c>
      <c r="H60" s="1962" t="s">
        <v>18</v>
      </c>
      <c r="I60" s="1962" t="s">
        <v>1079</v>
      </c>
    </row>
    <row r="61" spans="1:9" ht="11.25" customHeight="1">
      <c r="A61" s="1962" t="s">
        <v>2565</v>
      </c>
      <c r="B61" s="1962" t="s">
        <v>14</v>
      </c>
      <c r="C61" s="1962" t="s">
        <v>2778</v>
      </c>
      <c r="D61" s="1962" t="s">
        <v>2779</v>
      </c>
      <c r="E61" s="1962" t="s">
        <v>2780</v>
      </c>
      <c r="F61" s="1962" t="s">
        <v>2647</v>
      </c>
      <c r="G61" s="1962" t="s">
        <v>18</v>
      </c>
      <c r="H61" s="1962" t="s">
        <v>18</v>
      </c>
      <c r="I61" s="1962" t="s">
        <v>1079</v>
      </c>
    </row>
    <row r="62" spans="1:9" ht="11.25" customHeight="1">
      <c r="A62" s="1962" t="s">
        <v>2565</v>
      </c>
      <c r="B62" s="1962" t="s">
        <v>14</v>
      </c>
      <c r="C62" s="1962" t="s">
        <v>2781</v>
      </c>
      <c r="D62" s="1962" t="s">
        <v>2782</v>
      </c>
      <c r="E62" s="1962" t="s">
        <v>2783</v>
      </c>
      <c r="F62" s="1962" t="s">
        <v>2669</v>
      </c>
      <c r="G62" s="1962" t="s">
        <v>18</v>
      </c>
      <c r="H62" s="1962" t="s">
        <v>18</v>
      </c>
      <c r="I62" s="1962" t="s">
        <v>1079</v>
      </c>
    </row>
    <row r="63" spans="1:9" ht="11.25" customHeight="1">
      <c r="A63" s="1962" t="s">
        <v>2565</v>
      </c>
      <c r="B63" s="1962" t="s">
        <v>14</v>
      </c>
      <c r="C63" s="1962" t="s">
        <v>2784</v>
      </c>
      <c r="D63" s="1962" t="s">
        <v>2785</v>
      </c>
      <c r="E63" s="1962" t="s">
        <v>2786</v>
      </c>
      <c r="F63" s="1962" t="s">
        <v>2757</v>
      </c>
      <c r="G63" s="1962" t="s">
        <v>18</v>
      </c>
      <c r="H63" s="1962" t="s">
        <v>18</v>
      </c>
      <c r="I63" s="1962" t="s">
        <v>1079</v>
      </c>
    </row>
    <row r="64" spans="1:9" ht="11.25" customHeight="1">
      <c r="A64" s="1962" t="s">
        <v>2565</v>
      </c>
      <c r="B64" s="1962" t="s">
        <v>14</v>
      </c>
      <c r="C64" s="1962" t="s">
        <v>2787</v>
      </c>
      <c r="D64" s="1962" t="s">
        <v>2788</v>
      </c>
      <c r="E64" s="1962" t="s">
        <v>2789</v>
      </c>
      <c r="F64" s="1962" t="s">
        <v>2647</v>
      </c>
      <c r="G64" s="1962" t="s">
        <v>18</v>
      </c>
      <c r="H64" s="1962" t="s">
        <v>18</v>
      </c>
      <c r="I64" s="1962" t="s">
        <v>1079</v>
      </c>
    </row>
    <row r="65" spans="1:9" ht="11.25" customHeight="1">
      <c r="A65" s="1962" t="s">
        <v>2565</v>
      </c>
      <c r="B65" s="1962" t="s">
        <v>14</v>
      </c>
      <c r="C65" s="1962" t="s">
        <v>2790</v>
      </c>
      <c r="D65" s="1962" t="s">
        <v>2791</v>
      </c>
      <c r="E65" s="1962" t="s">
        <v>2792</v>
      </c>
      <c r="F65" s="1962" t="s">
        <v>2647</v>
      </c>
      <c r="G65" s="1962" t="s">
        <v>18</v>
      </c>
      <c r="H65" s="1962" t="s">
        <v>18</v>
      </c>
      <c r="I65" s="1962" t="s">
        <v>1079</v>
      </c>
    </row>
    <row r="66" spans="1:9" ht="11.25" customHeight="1">
      <c r="A66" s="1962" t="s">
        <v>2565</v>
      </c>
      <c r="B66" s="1962" t="s">
        <v>14</v>
      </c>
      <c r="C66" s="1962" t="s">
        <v>2793</v>
      </c>
      <c r="D66" s="1962" t="s">
        <v>2794</v>
      </c>
      <c r="E66" s="1962" t="s">
        <v>2795</v>
      </c>
      <c r="F66" s="1962" t="s">
        <v>2647</v>
      </c>
      <c r="G66" s="1962" t="s">
        <v>18</v>
      </c>
      <c r="H66" s="1962" t="s">
        <v>18</v>
      </c>
      <c r="I66" s="1962" t="s">
        <v>1079</v>
      </c>
    </row>
    <row r="67" spans="1:9" ht="11.25" customHeight="1">
      <c r="A67" s="1962" t="s">
        <v>2565</v>
      </c>
      <c r="B67" s="1962" t="s">
        <v>14</v>
      </c>
      <c r="C67" s="1962" t="s">
        <v>2796</v>
      </c>
      <c r="D67" s="1962" t="s">
        <v>2797</v>
      </c>
      <c r="E67" s="1962" t="s">
        <v>2798</v>
      </c>
      <c r="F67" s="1962" t="s">
        <v>2647</v>
      </c>
      <c r="G67" s="1962" t="s">
        <v>18</v>
      </c>
      <c r="H67" s="1962" t="s">
        <v>18</v>
      </c>
      <c r="I67" s="1962" t="s">
        <v>1079</v>
      </c>
    </row>
    <row r="68" spans="1:9" ht="11.25" customHeight="1">
      <c r="A68" s="1962" t="s">
        <v>2565</v>
      </c>
      <c r="B68" s="1962" t="s">
        <v>14</v>
      </c>
      <c r="C68" s="1962" t="s">
        <v>2799</v>
      </c>
      <c r="D68" s="1962" t="s">
        <v>2800</v>
      </c>
      <c r="E68" s="1962" t="s">
        <v>2801</v>
      </c>
      <c r="F68" s="1962" t="s">
        <v>2741</v>
      </c>
      <c r="G68" s="1962" t="s">
        <v>18</v>
      </c>
      <c r="H68" s="1962" t="s">
        <v>18</v>
      </c>
      <c r="I68" s="1962" t="s">
        <v>1079</v>
      </c>
    </row>
    <row r="69" spans="1:9" ht="11.25" customHeight="1">
      <c r="A69" s="1962" t="s">
        <v>2565</v>
      </c>
      <c r="B69" s="1962" t="s">
        <v>14</v>
      </c>
      <c r="C69" s="1962" t="s">
        <v>2802</v>
      </c>
      <c r="D69" s="1962" t="s">
        <v>2803</v>
      </c>
      <c r="E69" s="1962" t="s">
        <v>2804</v>
      </c>
      <c r="F69" s="1962" t="s">
        <v>2805</v>
      </c>
      <c r="G69" s="1962" t="s">
        <v>18</v>
      </c>
      <c r="H69" s="1962" t="s">
        <v>18</v>
      </c>
      <c r="I69" s="1962" t="s">
        <v>1079</v>
      </c>
    </row>
    <row r="70" spans="1:9" ht="11.25" customHeight="1">
      <c r="A70" s="1962" t="s">
        <v>2565</v>
      </c>
      <c r="B70" s="1962" t="s">
        <v>14</v>
      </c>
      <c r="C70" s="1962" t="s">
        <v>2806</v>
      </c>
      <c r="D70" s="1962" t="s">
        <v>2807</v>
      </c>
      <c r="E70" s="1962" t="s">
        <v>2808</v>
      </c>
      <c r="F70" s="1962" t="s">
        <v>2809</v>
      </c>
      <c r="G70" s="1962" t="s">
        <v>18</v>
      </c>
      <c r="H70" s="1962" t="s">
        <v>18</v>
      </c>
      <c r="I70" s="1962" t="s">
        <v>1079</v>
      </c>
    </row>
    <row r="71" spans="1:9" ht="11.25" customHeight="1">
      <c r="A71" s="1962" t="s">
        <v>2565</v>
      </c>
      <c r="B71" s="1962" t="s">
        <v>14</v>
      </c>
      <c r="C71" s="1962" t="s">
        <v>2810</v>
      </c>
      <c r="D71" s="1962" t="s">
        <v>2811</v>
      </c>
      <c r="E71" s="1962" t="s">
        <v>2812</v>
      </c>
      <c r="F71" s="1962" t="s">
        <v>2589</v>
      </c>
      <c r="G71" s="1962" t="s">
        <v>18</v>
      </c>
      <c r="H71" s="1962" t="s">
        <v>18</v>
      </c>
      <c r="I71" s="1962" t="s">
        <v>1079</v>
      </c>
    </row>
    <row r="72" spans="1:9" ht="11.25" customHeight="1">
      <c r="A72" s="1962" t="s">
        <v>2565</v>
      </c>
      <c r="B72" s="1962" t="s">
        <v>14</v>
      </c>
      <c r="C72" s="1962" t="s">
        <v>2813</v>
      </c>
      <c r="D72" s="1962" t="s">
        <v>2814</v>
      </c>
      <c r="E72" s="1962" t="s">
        <v>2815</v>
      </c>
      <c r="F72" s="1962" t="s">
        <v>2589</v>
      </c>
      <c r="G72" s="1962" t="s">
        <v>18</v>
      </c>
      <c r="H72" s="1962" t="s">
        <v>18</v>
      </c>
      <c r="I72" s="1962" t="s">
        <v>1079</v>
      </c>
    </row>
    <row r="73" spans="1:9" ht="11.25" customHeight="1">
      <c r="A73" s="1962" t="s">
        <v>2565</v>
      </c>
      <c r="B73" s="1962" t="s">
        <v>14</v>
      </c>
      <c r="C73" s="1962" t="s">
        <v>2816</v>
      </c>
      <c r="D73" s="1962" t="s">
        <v>2817</v>
      </c>
      <c r="E73" s="1962" t="s">
        <v>2818</v>
      </c>
      <c r="F73" s="1962" t="s">
        <v>2819</v>
      </c>
      <c r="G73" s="1962" t="s">
        <v>18</v>
      </c>
      <c r="H73" s="1962" t="s">
        <v>18</v>
      </c>
      <c r="I73" s="1962" t="s">
        <v>1079</v>
      </c>
    </row>
    <row r="74" spans="1:9" ht="11.25" customHeight="1">
      <c r="A74" s="1962" t="s">
        <v>2565</v>
      </c>
      <c r="B74" s="1962" t="s">
        <v>14</v>
      </c>
      <c r="C74" s="1962" t="s">
        <v>2820</v>
      </c>
      <c r="D74" s="1962" t="s">
        <v>2821</v>
      </c>
      <c r="E74" s="1962" t="s">
        <v>2822</v>
      </c>
      <c r="F74" s="1962" t="s">
        <v>2767</v>
      </c>
      <c r="G74" s="1962" t="s">
        <v>18</v>
      </c>
      <c r="H74" s="1962" t="s">
        <v>18</v>
      </c>
      <c r="I74" s="1962" t="s">
        <v>1079</v>
      </c>
    </row>
    <row r="75" spans="1:9" ht="11.25" customHeight="1">
      <c r="A75" s="1962" t="s">
        <v>2565</v>
      </c>
      <c r="B75" s="1962" t="s">
        <v>14</v>
      </c>
      <c r="C75" s="1962" t="s">
        <v>2823</v>
      </c>
      <c r="D75" s="1962" t="s">
        <v>2824</v>
      </c>
      <c r="E75" s="1962" t="s">
        <v>2808</v>
      </c>
      <c r="F75" s="1962" t="s">
        <v>2825</v>
      </c>
      <c r="G75" s="1962" t="s">
        <v>18</v>
      </c>
      <c r="H75" s="1962" t="s">
        <v>18</v>
      </c>
      <c r="I75" s="1962" t="s">
        <v>1079</v>
      </c>
    </row>
    <row r="76" spans="1:9" ht="11.25" customHeight="1">
      <c r="A76" s="1962" t="s">
        <v>2565</v>
      </c>
      <c r="B76" s="1962" t="s">
        <v>14</v>
      </c>
      <c r="C76" s="1962" t="s">
        <v>2826</v>
      </c>
      <c r="D76" s="1962" t="s">
        <v>2827</v>
      </c>
      <c r="E76" s="1962" t="s">
        <v>2592</v>
      </c>
      <c r="F76" s="1962" t="s">
        <v>2828</v>
      </c>
      <c r="G76" s="1962" t="s">
        <v>18</v>
      </c>
      <c r="H76" s="1962" t="s">
        <v>18</v>
      </c>
      <c r="I76" s="1962" t="s">
        <v>1079</v>
      </c>
    </row>
    <row r="77" spans="1:9" ht="11.25" customHeight="1">
      <c r="A77" s="1962" t="s">
        <v>2565</v>
      </c>
      <c r="B77" s="1962" t="s">
        <v>14</v>
      </c>
      <c r="C77" s="1962" t="s">
        <v>2829</v>
      </c>
      <c r="D77" s="1962" t="s">
        <v>2830</v>
      </c>
      <c r="E77" s="1962" t="s">
        <v>2818</v>
      </c>
      <c r="F77" s="1962" t="s">
        <v>2831</v>
      </c>
      <c r="G77" s="1962" t="s">
        <v>18</v>
      </c>
      <c r="H77" s="1962" t="s">
        <v>18</v>
      </c>
      <c r="I77" s="1962" t="s">
        <v>1079</v>
      </c>
    </row>
    <row r="78" spans="1:9" ht="11.25" customHeight="1">
      <c r="A78" s="1962" t="s">
        <v>2565</v>
      </c>
      <c r="B78" s="1962" t="s">
        <v>14</v>
      </c>
      <c r="C78" s="1962" t="s">
        <v>2832</v>
      </c>
      <c r="D78" s="1962" t="s">
        <v>2833</v>
      </c>
      <c r="E78" s="1962" t="s">
        <v>2834</v>
      </c>
      <c r="F78" s="1962" t="s">
        <v>2835</v>
      </c>
      <c r="G78" s="1962" t="s">
        <v>18</v>
      </c>
      <c r="H78" s="1962" t="s">
        <v>18</v>
      </c>
      <c r="I78" s="1962" t="s">
        <v>1079</v>
      </c>
    </row>
    <row r="79" spans="1:9" ht="11.25" customHeight="1">
      <c r="A79" s="1962" t="s">
        <v>2565</v>
      </c>
      <c r="B79" s="1962" t="s">
        <v>14</v>
      </c>
      <c r="C79" s="1962" t="s">
        <v>2836</v>
      </c>
      <c r="D79" s="1962" t="s">
        <v>2837</v>
      </c>
      <c r="E79" s="1962" t="s">
        <v>2838</v>
      </c>
      <c r="F79" s="1962" t="s">
        <v>2839</v>
      </c>
      <c r="G79" s="1962" t="s">
        <v>2840</v>
      </c>
      <c r="H79" s="1962" t="s">
        <v>18</v>
      </c>
      <c r="I79" s="1962" t="s">
        <v>1079</v>
      </c>
    </row>
    <row r="80" spans="1:9" ht="11.25" customHeight="1">
      <c r="A80" s="1962" t="s">
        <v>2565</v>
      </c>
      <c r="B80" s="1962" t="s">
        <v>14</v>
      </c>
      <c r="C80" s="1962" t="s">
        <v>18</v>
      </c>
      <c r="D80" s="1962" t="s">
        <v>2566</v>
      </c>
      <c r="E80" s="1962" t="s">
        <v>2567</v>
      </c>
      <c r="F80" s="1962" t="s">
        <v>2568</v>
      </c>
      <c r="G80" s="1962" t="s">
        <v>18</v>
      </c>
      <c r="H80" s="1962" t="s">
        <v>18</v>
      </c>
      <c r="I80" s="1962" t="s">
        <v>1163</v>
      </c>
    </row>
    <row r="81" spans="1:9" ht="11.25" customHeight="1">
      <c r="A81" s="1962" t="s">
        <v>2565</v>
      </c>
      <c r="B81" s="1962" t="s">
        <v>14</v>
      </c>
      <c r="C81" s="1962" t="s">
        <v>2577</v>
      </c>
      <c r="D81" s="1962" t="s">
        <v>2578</v>
      </c>
      <c r="E81" s="1962" t="s">
        <v>2579</v>
      </c>
      <c r="F81" s="1962" t="s">
        <v>2580</v>
      </c>
      <c r="G81" s="1962" t="s">
        <v>18</v>
      </c>
      <c r="H81" s="1962" t="s">
        <v>18</v>
      </c>
      <c r="I81" s="1962" t="s">
        <v>1163</v>
      </c>
    </row>
    <row r="82" spans="1:9" ht="11.25" customHeight="1">
      <c r="A82" s="1962" t="s">
        <v>2565</v>
      </c>
      <c r="B82" s="1962" t="s">
        <v>14</v>
      </c>
      <c r="C82" s="1962" t="s">
        <v>2581</v>
      </c>
      <c r="D82" s="1962" t="s">
        <v>43</v>
      </c>
      <c r="E82" s="1962" t="s">
        <v>46</v>
      </c>
      <c r="F82" s="1962" t="s">
        <v>48</v>
      </c>
      <c r="G82" s="1962" t="s">
        <v>18</v>
      </c>
      <c r="H82" s="1962" t="s">
        <v>18</v>
      </c>
      <c r="I82" s="1962" t="s">
        <v>1163</v>
      </c>
    </row>
    <row r="83" spans="1:9" ht="11.25" customHeight="1">
      <c r="A83" s="1962" t="s">
        <v>2565</v>
      </c>
      <c r="B83" s="1962" t="s">
        <v>14</v>
      </c>
      <c r="C83" s="1962" t="s">
        <v>2590</v>
      </c>
      <c r="D83" s="1962" t="s">
        <v>2591</v>
      </c>
      <c r="E83" s="1962" t="s">
        <v>2592</v>
      </c>
      <c r="F83" s="1962" t="s">
        <v>2593</v>
      </c>
      <c r="G83" s="1962" t="s">
        <v>18</v>
      </c>
      <c r="H83" s="1962" t="s">
        <v>18</v>
      </c>
      <c r="I83" s="1962" t="s">
        <v>1163</v>
      </c>
    </row>
    <row r="84" spans="1:9" ht="11.25" customHeight="1">
      <c r="A84" s="1962" t="s">
        <v>2565</v>
      </c>
      <c r="B84" s="1962" t="s">
        <v>14</v>
      </c>
      <c r="C84" s="1962" t="s">
        <v>18</v>
      </c>
      <c r="D84" s="1962" t="s">
        <v>2602</v>
      </c>
      <c r="E84" s="1962" t="s">
        <v>2603</v>
      </c>
      <c r="F84" s="1962" t="s">
        <v>2589</v>
      </c>
      <c r="G84" s="1962" t="s">
        <v>18</v>
      </c>
      <c r="H84" s="1962" t="s">
        <v>18</v>
      </c>
      <c r="I84" s="1962" t="s">
        <v>1163</v>
      </c>
    </row>
    <row r="85" spans="1:9" ht="11.25" customHeight="1">
      <c r="A85" s="1962" t="s">
        <v>2565</v>
      </c>
      <c r="B85" s="1962" t="s">
        <v>14</v>
      </c>
      <c r="C85" s="1962" t="s">
        <v>2612</v>
      </c>
      <c r="D85" s="1962" t="s">
        <v>2613</v>
      </c>
      <c r="E85" s="1962" t="s">
        <v>2614</v>
      </c>
      <c r="F85" s="1962" t="s">
        <v>2615</v>
      </c>
      <c r="G85" s="1962" t="s">
        <v>18</v>
      </c>
      <c r="H85" s="1962" t="s">
        <v>18</v>
      </c>
      <c r="I85" s="1962" t="s">
        <v>1163</v>
      </c>
    </row>
    <row r="86" spans="1:9" ht="11.25" customHeight="1">
      <c r="A86" s="1962" t="s">
        <v>2565</v>
      </c>
      <c r="B86" s="1962" t="s">
        <v>14</v>
      </c>
      <c r="C86" s="1962" t="s">
        <v>2640</v>
      </c>
      <c r="D86" s="1962" t="s">
        <v>2641</v>
      </c>
      <c r="E86" s="1962" t="s">
        <v>2642</v>
      </c>
      <c r="F86" s="1962" t="s">
        <v>2643</v>
      </c>
      <c r="G86" s="1962" t="s">
        <v>18</v>
      </c>
      <c r="H86" s="1962" t="s">
        <v>18</v>
      </c>
      <c r="I86" s="1962" t="s">
        <v>1163</v>
      </c>
    </row>
    <row r="87" spans="1:9" ht="11.25" customHeight="1">
      <c r="A87" s="1962" t="s">
        <v>2565</v>
      </c>
      <c r="B87" s="1962" t="s">
        <v>14</v>
      </c>
      <c r="C87" s="1962" t="s">
        <v>2644</v>
      </c>
      <c r="D87" s="1962" t="s">
        <v>2645</v>
      </c>
      <c r="E87" s="1962" t="s">
        <v>2646</v>
      </c>
      <c r="F87" s="1962" t="s">
        <v>2647</v>
      </c>
      <c r="G87" s="1962" t="s">
        <v>18</v>
      </c>
      <c r="H87" s="1962" t="s">
        <v>18</v>
      </c>
      <c r="I87" s="1962" t="s">
        <v>1163</v>
      </c>
    </row>
    <row r="88" spans="1:9" ht="11.25" customHeight="1">
      <c r="A88" s="1962" t="s">
        <v>2565</v>
      </c>
      <c r="B88" s="1962" t="s">
        <v>14</v>
      </c>
      <c r="C88" s="1962" t="s">
        <v>2658</v>
      </c>
      <c r="D88" s="1962" t="s">
        <v>2659</v>
      </c>
      <c r="E88" s="1962" t="s">
        <v>2660</v>
      </c>
      <c r="F88" s="1962" t="s">
        <v>2661</v>
      </c>
      <c r="G88" s="1962" t="s">
        <v>18</v>
      </c>
      <c r="H88" s="1962" t="s">
        <v>18</v>
      </c>
      <c r="I88" s="1962" t="s">
        <v>1163</v>
      </c>
    </row>
    <row r="89" spans="1:9" ht="11.25" customHeight="1">
      <c r="A89" s="1962" t="s">
        <v>2565</v>
      </c>
      <c r="B89" s="1962" t="s">
        <v>14</v>
      </c>
      <c r="C89" s="1962" t="s">
        <v>2666</v>
      </c>
      <c r="D89" s="1962" t="s">
        <v>2667</v>
      </c>
      <c r="E89" s="1962" t="s">
        <v>2668</v>
      </c>
      <c r="F89" s="1962" t="s">
        <v>2669</v>
      </c>
      <c r="G89" s="1962" t="s">
        <v>18</v>
      </c>
      <c r="H89" s="1962" t="s">
        <v>18</v>
      </c>
      <c r="I89" s="1962" t="s">
        <v>1163</v>
      </c>
    </row>
    <row r="90" spans="1:9" ht="11.25" customHeight="1">
      <c r="A90" s="1962" t="s">
        <v>2565</v>
      </c>
      <c r="B90" s="1962" t="s">
        <v>14</v>
      </c>
      <c r="C90" s="1962" t="s">
        <v>2670</v>
      </c>
      <c r="D90" s="1962" t="s">
        <v>2671</v>
      </c>
      <c r="E90" s="1962" t="s">
        <v>2672</v>
      </c>
      <c r="F90" s="1962" t="s">
        <v>2673</v>
      </c>
      <c r="G90" s="1962" t="s">
        <v>18</v>
      </c>
      <c r="H90" s="1962" t="s">
        <v>18</v>
      </c>
      <c r="I90" s="1962" t="s">
        <v>1163</v>
      </c>
    </row>
    <row r="91" spans="1:9" ht="11.25" customHeight="1">
      <c r="A91" s="1962" t="s">
        <v>2565</v>
      </c>
      <c r="B91" s="1962" t="s">
        <v>14</v>
      </c>
      <c r="C91" s="1962" t="s">
        <v>2674</v>
      </c>
      <c r="D91" s="1962" t="s">
        <v>2675</v>
      </c>
      <c r="E91" s="1962" t="s">
        <v>2676</v>
      </c>
      <c r="F91" s="1962" t="s">
        <v>2647</v>
      </c>
      <c r="G91" s="1962" t="s">
        <v>18</v>
      </c>
      <c r="H91" s="1962" t="s">
        <v>18</v>
      </c>
      <c r="I91" s="1962" t="s">
        <v>1163</v>
      </c>
    </row>
    <row r="92" spans="1:9" ht="11.25" customHeight="1">
      <c r="A92" s="1962" t="s">
        <v>2565</v>
      </c>
      <c r="B92" s="1962" t="s">
        <v>14</v>
      </c>
      <c r="C92" s="1962" t="s">
        <v>2681</v>
      </c>
      <c r="D92" s="1962" t="s">
        <v>2682</v>
      </c>
      <c r="E92" s="1962" t="s">
        <v>2683</v>
      </c>
      <c r="F92" s="1962" t="s">
        <v>2684</v>
      </c>
      <c r="G92" s="1962" t="s">
        <v>18</v>
      </c>
      <c r="H92" s="1962" t="s">
        <v>18</v>
      </c>
      <c r="I92" s="1962" t="s">
        <v>1163</v>
      </c>
    </row>
    <row r="93" spans="1:9" ht="11.25" customHeight="1">
      <c r="A93" s="1962" t="s">
        <v>2565</v>
      </c>
      <c r="B93" s="1962" t="s">
        <v>14</v>
      </c>
      <c r="C93" s="1962" t="s">
        <v>2685</v>
      </c>
      <c r="D93" s="1962" t="s">
        <v>2686</v>
      </c>
      <c r="E93" s="1962" t="s">
        <v>2687</v>
      </c>
      <c r="F93" s="1962" t="s">
        <v>2647</v>
      </c>
      <c r="G93" s="1962" t="s">
        <v>18</v>
      </c>
      <c r="H93" s="1962" t="s">
        <v>18</v>
      </c>
      <c r="I93" s="1962" t="s">
        <v>1163</v>
      </c>
    </row>
    <row r="94" spans="1:9" ht="11.25" customHeight="1">
      <c r="A94" s="1962" t="s">
        <v>2565</v>
      </c>
      <c r="B94" s="1962" t="s">
        <v>14</v>
      </c>
      <c r="C94" s="1962" t="s">
        <v>2691</v>
      </c>
      <c r="D94" s="1962" t="s">
        <v>2692</v>
      </c>
      <c r="E94" s="1962" t="s">
        <v>2693</v>
      </c>
      <c r="F94" s="1962" t="s">
        <v>48</v>
      </c>
      <c r="G94" s="1962" t="s">
        <v>18</v>
      </c>
      <c r="H94" s="1962" t="s">
        <v>18</v>
      </c>
      <c r="I94" s="1962" t="s">
        <v>1163</v>
      </c>
    </row>
    <row r="95" spans="1:9" ht="11.25" customHeight="1">
      <c r="A95" s="1962" t="s">
        <v>2565</v>
      </c>
      <c r="B95" s="1962" t="s">
        <v>14</v>
      </c>
      <c r="C95" s="1962" t="s">
        <v>2698</v>
      </c>
      <c r="D95" s="1962" t="s">
        <v>2699</v>
      </c>
      <c r="E95" s="1962" t="s">
        <v>2700</v>
      </c>
      <c r="F95" s="1962" t="s">
        <v>2701</v>
      </c>
      <c r="G95" s="1962" t="s">
        <v>18</v>
      </c>
      <c r="H95" s="1962" t="s">
        <v>18</v>
      </c>
      <c r="I95" s="1962" t="s">
        <v>1163</v>
      </c>
    </row>
    <row r="96" spans="1:9" ht="11.25" customHeight="1">
      <c r="A96" s="1962" t="s">
        <v>2565</v>
      </c>
      <c r="B96" s="1962" t="s">
        <v>14</v>
      </c>
      <c r="C96" s="1962" t="s">
        <v>2710</v>
      </c>
      <c r="D96" s="1962" t="s">
        <v>2711</v>
      </c>
      <c r="E96" s="1962" t="s">
        <v>2712</v>
      </c>
      <c r="F96" s="1962" t="s">
        <v>2647</v>
      </c>
      <c r="G96" s="1962" t="s">
        <v>18</v>
      </c>
      <c r="H96" s="1962" t="s">
        <v>18</v>
      </c>
      <c r="I96" s="1962" t="s">
        <v>1163</v>
      </c>
    </row>
    <row r="97" spans="1:9" ht="11.25" customHeight="1">
      <c r="A97" s="1962" t="s">
        <v>2565</v>
      </c>
      <c r="B97" s="1962" t="s">
        <v>14</v>
      </c>
      <c r="C97" s="1962" t="s">
        <v>2713</v>
      </c>
      <c r="D97" s="1962" t="s">
        <v>2714</v>
      </c>
      <c r="E97" s="1962" t="s">
        <v>2715</v>
      </c>
      <c r="F97" s="1962" t="s">
        <v>2673</v>
      </c>
      <c r="G97" s="1962" t="s">
        <v>18</v>
      </c>
      <c r="H97" s="1962" t="s">
        <v>18</v>
      </c>
      <c r="I97" s="1962" t="s">
        <v>1163</v>
      </c>
    </row>
    <row r="98" spans="1:9" ht="11.25" customHeight="1">
      <c r="A98" s="1962" t="s">
        <v>2565</v>
      </c>
      <c r="B98" s="1962" t="s">
        <v>14</v>
      </c>
      <c r="C98" s="1962" t="s">
        <v>2716</v>
      </c>
      <c r="D98" s="1962" t="s">
        <v>2717</v>
      </c>
      <c r="E98" s="1962" t="s">
        <v>2718</v>
      </c>
      <c r="F98" s="1962" t="s">
        <v>2647</v>
      </c>
      <c r="G98" s="1962" t="s">
        <v>18</v>
      </c>
      <c r="H98" s="1962" t="s">
        <v>18</v>
      </c>
      <c r="I98" s="1962" t="s">
        <v>1163</v>
      </c>
    </row>
    <row r="99" spans="1:9" ht="11.25" customHeight="1">
      <c r="A99" s="1962" t="s">
        <v>2565</v>
      </c>
      <c r="B99" s="1962" t="s">
        <v>14</v>
      </c>
      <c r="C99" s="1962" t="s">
        <v>2729</v>
      </c>
      <c r="D99" s="1962" t="s">
        <v>2730</v>
      </c>
      <c r="E99" s="1962" t="s">
        <v>2731</v>
      </c>
      <c r="F99" s="1962" t="s">
        <v>2732</v>
      </c>
      <c r="G99" s="1962" t="s">
        <v>2733</v>
      </c>
      <c r="H99" s="1962" t="s">
        <v>18</v>
      </c>
      <c r="I99" s="1962" t="s">
        <v>1163</v>
      </c>
    </row>
    <row r="100" spans="1:9" ht="11.25" customHeight="1">
      <c r="A100" s="1962" t="s">
        <v>2565</v>
      </c>
      <c r="B100" s="1962" t="s">
        <v>14</v>
      </c>
      <c r="C100" s="1962" t="s">
        <v>2734</v>
      </c>
      <c r="D100" s="1962" t="s">
        <v>2735</v>
      </c>
      <c r="E100" s="1962" t="s">
        <v>2736</v>
      </c>
      <c r="F100" s="1962" t="s">
        <v>2737</v>
      </c>
      <c r="G100" s="1962" t="s">
        <v>18</v>
      </c>
      <c r="H100" s="1962" t="s">
        <v>18</v>
      </c>
      <c r="I100" s="1962" t="s">
        <v>1163</v>
      </c>
    </row>
    <row r="101" spans="1:9" ht="11.25" customHeight="1">
      <c r="A101" s="1962" t="s">
        <v>2565</v>
      </c>
      <c r="B101" s="1962" t="s">
        <v>14</v>
      </c>
      <c r="C101" s="1962" t="s">
        <v>2745</v>
      </c>
      <c r="D101" s="1962" t="s">
        <v>2746</v>
      </c>
      <c r="E101" s="1962" t="s">
        <v>2747</v>
      </c>
      <c r="F101" s="1962" t="s">
        <v>2589</v>
      </c>
      <c r="G101" s="1962" t="s">
        <v>18</v>
      </c>
      <c r="H101" s="1962" t="s">
        <v>18</v>
      </c>
      <c r="I101" s="1962" t="s">
        <v>1163</v>
      </c>
    </row>
    <row r="102" spans="1:9" ht="11.25" customHeight="1">
      <c r="A102" s="1962" t="s">
        <v>2565</v>
      </c>
      <c r="B102" s="1962" t="s">
        <v>14</v>
      </c>
      <c r="C102" s="1962" t="s">
        <v>2754</v>
      </c>
      <c r="D102" s="1962" t="s">
        <v>2755</v>
      </c>
      <c r="E102" s="1962" t="s">
        <v>2756</v>
      </c>
      <c r="F102" s="1962" t="s">
        <v>2757</v>
      </c>
      <c r="G102" s="1962" t="s">
        <v>18</v>
      </c>
      <c r="H102" s="1962" t="s">
        <v>18</v>
      </c>
      <c r="I102" s="1962" t="s">
        <v>1163</v>
      </c>
    </row>
    <row r="103" spans="1:9" ht="11.25" customHeight="1">
      <c r="A103" s="1962" t="s">
        <v>2565</v>
      </c>
      <c r="B103" s="1962" t="s">
        <v>14</v>
      </c>
      <c r="C103" s="1962" t="s">
        <v>2764</v>
      </c>
      <c r="D103" s="1962" t="s">
        <v>2765</v>
      </c>
      <c r="E103" s="1962" t="s">
        <v>2766</v>
      </c>
      <c r="F103" s="1962" t="s">
        <v>2767</v>
      </c>
      <c r="G103" s="1962" t="s">
        <v>18</v>
      </c>
      <c r="H103" s="1962" t="s">
        <v>18</v>
      </c>
      <c r="I103" s="1962" t="s">
        <v>1163</v>
      </c>
    </row>
    <row r="104" spans="1:9" ht="11.25" customHeight="1">
      <c r="A104" s="1962" t="s">
        <v>2565</v>
      </c>
      <c r="B104" s="1962" t="s">
        <v>14</v>
      </c>
      <c r="C104" s="1962" t="s">
        <v>2768</v>
      </c>
      <c r="D104" s="1962" t="s">
        <v>2769</v>
      </c>
      <c r="E104" s="1962" t="s">
        <v>2770</v>
      </c>
      <c r="F104" s="1962" t="s">
        <v>2589</v>
      </c>
      <c r="G104" s="1962" t="s">
        <v>18</v>
      </c>
      <c r="H104" s="1962" t="s">
        <v>18</v>
      </c>
      <c r="I104" s="1962" t="s">
        <v>1163</v>
      </c>
    </row>
    <row r="105" spans="1:9" ht="11.25" customHeight="1">
      <c r="A105" s="1962" t="s">
        <v>2565</v>
      </c>
      <c r="B105" s="1962" t="s">
        <v>14</v>
      </c>
      <c r="C105" s="1962" t="s">
        <v>2774</v>
      </c>
      <c r="D105" s="1962" t="s">
        <v>2775</v>
      </c>
      <c r="E105" s="1962" t="s">
        <v>2776</v>
      </c>
      <c r="F105" s="1962" t="s">
        <v>2757</v>
      </c>
      <c r="G105" s="1962" t="s">
        <v>2777</v>
      </c>
      <c r="H105" s="1962" t="s">
        <v>18</v>
      </c>
      <c r="I105" s="1962" t="s">
        <v>1163</v>
      </c>
    </row>
    <row r="106" spans="1:9" ht="11.25" customHeight="1">
      <c r="A106" s="1962" t="s">
        <v>2565</v>
      </c>
      <c r="B106" s="1962" t="s">
        <v>14</v>
      </c>
      <c r="C106" s="1962" t="s">
        <v>2778</v>
      </c>
      <c r="D106" s="1962" t="s">
        <v>2779</v>
      </c>
      <c r="E106" s="1962" t="s">
        <v>2780</v>
      </c>
      <c r="F106" s="1962" t="s">
        <v>2647</v>
      </c>
      <c r="G106" s="1962" t="s">
        <v>18</v>
      </c>
      <c r="H106" s="1962" t="s">
        <v>18</v>
      </c>
      <c r="I106" s="1962" t="s">
        <v>1163</v>
      </c>
    </row>
    <row r="107" spans="1:9" ht="11.25" customHeight="1">
      <c r="A107" s="1962" t="s">
        <v>2565</v>
      </c>
      <c r="B107" s="1962" t="s">
        <v>14</v>
      </c>
      <c r="C107" s="1962" t="s">
        <v>2781</v>
      </c>
      <c r="D107" s="1962" t="s">
        <v>2782</v>
      </c>
      <c r="E107" s="1962" t="s">
        <v>2783</v>
      </c>
      <c r="F107" s="1962" t="s">
        <v>2669</v>
      </c>
      <c r="G107" s="1962" t="s">
        <v>18</v>
      </c>
      <c r="H107" s="1962" t="s">
        <v>18</v>
      </c>
      <c r="I107" s="1962" t="s">
        <v>1163</v>
      </c>
    </row>
    <row r="108" spans="1:9" ht="11.25" customHeight="1">
      <c r="A108" s="1962" t="s">
        <v>2565</v>
      </c>
      <c r="B108" s="1962" t="s">
        <v>14</v>
      </c>
      <c r="C108" s="1962" t="s">
        <v>2784</v>
      </c>
      <c r="D108" s="1962" t="s">
        <v>2785</v>
      </c>
      <c r="E108" s="1962" t="s">
        <v>2786</v>
      </c>
      <c r="F108" s="1962" t="s">
        <v>2757</v>
      </c>
      <c r="G108" s="1962" t="s">
        <v>18</v>
      </c>
      <c r="H108" s="1962" t="s">
        <v>18</v>
      </c>
      <c r="I108" s="1962" t="s">
        <v>1163</v>
      </c>
    </row>
    <row r="109" spans="1:9" ht="11.25" customHeight="1">
      <c r="A109" s="1962" t="s">
        <v>2565</v>
      </c>
      <c r="B109" s="1962" t="s">
        <v>14</v>
      </c>
      <c r="C109" s="1962" t="s">
        <v>2787</v>
      </c>
      <c r="D109" s="1962" t="s">
        <v>2788</v>
      </c>
      <c r="E109" s="1962" t="s">
        <v>2789</v>
      </c>
      <c r="F109" s="1962" t="s">
        <v>2647</v>
      </c>
      <c r="G109" s="1962" t="s">
        <v>18</v>
      </c>
      <c r="H109" s="1962" t="s">
        <v>18</v>
      </c>
      <c r="I109" s="1962" t="s">
        <v>1163</v>
      </c>
    </row>
    <row r="110" spans="1:9" ht="11.25" customHeight="1">
      <c r="A110" s="1962" t="s">
        <v>2565</v>
      </c>
      <c r="B110" s="1962" t="s">
        <v>14</v>
      </c>
      <c r="C110" s="1962" t="s">
        <v>2790</v>
      </c>
      <c r="D110" s="1962" t="s">
        <v>2791</v>
      </c>
      <c r="E110" s="1962" t="s">
        <v>2792</v>
      </c>
      <c r="F110" s="1962" t="s">
        <v>2647</v>
      </c>
      <c r="G110" s="1962" t="s">
        <v>18</v>
      </c>
      <c r="H110" s="1962" t="s">
        <v>18</v>
      </c>
      <c r="I110" s="1962" t="s">
        <v>1163</v>
      </c>
    </row>
    <row r="111" spans="1:9" ht="11.25" customHeight="1">
      <c r="A111" s="1962" t="s">
        <v>2565</v>
      </c>
      <c r="B111" s="1962" t="s">
        <v>14</v>
      </c>
      <c r="C111" s="1962" t="s">
        <v>2793</v>
      </c>
      <c r="D111" s="1962" t="s">
        <v>2794</v>
      </c>
      <c r="E111" s="1962" t="s">
        <v>2795</v>
      </c>
      <c r="F111" s="1962" t="s">
        <v>2647</v>
      </c>
      <c r="G111" s="1962" t="s">
        <v>18</v>
      </c>
      <c r="H111" s="1962" t="s">
        <v>18</v>
      </c>
      <c r="I111" s="1962" t="s">
        <v>1163</v>
      </c>
    </row>
    <row r="112" spans="1:9" ht="11.25" customHeight="1">
      <c r="A112" s="1962" t="s">
        <v>2565</v>
      </c>
      <c r="B112" s="1962" t="s">
        <v>14</v>
      </c>
      <c r="C112" s="1962" t="s">
        <v>2796</v>
      </c>
      <c r="D112" s="1962" t="s">
        <v>2797</v>
      </c>
      <c r="E112" s="1962" t="s">
        <v>2798</v>
      </c>
      <c r="F112" s="1962" t="s">
        <v>2647</v>
      </c>
      <c r="G112" s="1962" t="s">
        <v>18</v>
      </c>
      <c r="H112" s="1962" t="s">
        <v>18</v>
      </c>
      <c r="I112" s="1962" t="s">
        <v>1163</v>
      </c>
    </row>
    <row r="113" spans="1:9" ht="11.25" customHeight="1">
      <c r="A113" s="1962" t="s">
        <v>2565</v>
      </c>
      <c r="B113" s="1962" t="s">
        <v>14</v>
      </c>
      <c r="C113" s="1962" t="s">
        <v>2806</v>
      </c>
      <c r="D113" s="1962" t="s">
        <v>2807</v>
      </c>
      <c r="E113" s="1962" t="s">
        <v>2808</v>
      </c>
      <c r="F113" s="1962" t="s">
        <v>2809</v>
      </c>
      <c r="G113" s="1962" t="s">
        <v>18</v>
      </c>
      <c r="H113" s="1962" t="s">
        <v>18</v>
      </c>
      <c r="I113" s="1962" t="s">
        <v>1163</v>
      </c>
    </row>
    <row r="114" spans="1:9" ht="11.25" customHeight="1">
      <c r="A114" s="1962" t="s">
        <v>2565</v>
      </c>
      <c r="B114" s="1962" t="s">
        <v>14</v>
      </c>
      <c r="C114" s="1962" t="s">
        <v>2816</v>
      </c>
      <c r="D114" s="1962" t="s">
        <v>2817</v>
      </c>
      <c r="E114" s="1962" t="s">
        <v>2818</v>
      </c>
      <c r="F114" s="1962" t="s">
        <v>2819</v>
      </c>
      <c r="G114" s="1962" t="s">
        <v>18</v>
      </c>
      <c r="H114" s="1962" t="s">
        <v>18</v>
      </c>
      <c r="I114" s="1962" t="s">
        <v>1163</v>
      </c>
    </row>
    <row r="115" spans="1:9" ht="11.25" customHeight="1">
      <c r="A115" s="1962" t="s">
        <v>2565</v>
      </c>
      <c r="B115" s="1962" t="s">
        <v>14</v>
      </c>
      <c r="C115" s="1962" t="s">
        <v>2823</v>
      </c>
      <c r="D115" s="1962" t="s">
        <v>2824</v>
      </c>
      <c r="E115" s="1962" t="s">
        <v>2808</v>
      </c>
      <c r="F115" s="1962" t="s">
        <v>2825</v>
      </c>
      <c r="G115" s="1962" t="s">
        <v>18</v>
      </c>
      <c r="H115" s="1962" t="s">
        <v>18</v>
      </c>
      <c r="I115" s="1962" t="s">
        <v>1163</v>
      </c>
    </row>
    <row r="116" spans="1:9" ht="11.25" customHeight="1">
      <c r="A116" s="1962" t="s">
        <v>2565</v>
      </c>
      <c r="B116" s="1962" t="s">
        <v>14</v>
      </c>
      <c r="C116" s="1962" t="s">
        <v>2826</v>
      </c>
      <c r="D116" s="1962" t="s">
        <v>2827</v>
      </c>
      <c r="E116" s="1962" t="s">
        <v>2592</v>
      </c>
      <c r="F116" s="1962" t="s">
        <v>2828</v>
      </c>
      <c r="G116" s="1962" t="s">
        <v>18</v>
      </c>
      <c r="H116" s="1962" t="s">
        <v>18</v>
      </c>
      <c r="I116" s="1962" t="s">
        <v>1163</v>
      </c>
    </row>
    <row r="117" spans="1:9" ht="11.25" customHeight="1">
      <c r="A117" s="1962" t="s">
        <v>2565</v>
      </c>
      <c r="B117" s="1962" t="s">
        <v>14</v>
      </c>
      <c r="C117" s="1962" t="s">
        <v>2829</v>
      </c>
      <c r="D117" s="1962" t="s">
        <v>2830</v>
      </c>
      <c r="E117" s="1962" t="s">
        <v>2818</v>
      </c>
      <c r="F117" s="1962" t="s">
        <v>2831</v>
      </c>
      <c r="G117" s="1962" t="s">
        <v>18</v>
      </c>
      <c r="H117" s="1962" t="s">
        <v>18</v>
      </c>
      <c r="I117" s="1962" t="s">
        <v>1163</v>
      </c>
    </row>
    <row r="118" spans="1:9" ht="11.25" customHeight="1">
      <c r="A118" s="1962" t="s">
        <v>2565</v>
      </c>
      <c r="B118" s="1962" t="s">
        <v>14</v>
      </c>
      <c r="C118" s="1962" t="s">
        <v>2836</v>
      </c>
      <c r="D118" s="1962" t="s">
        <v>2837</v>
      </c>
      <c r="E118" s="1962" t="s">
        <v>2838</v>
      </c>
      <c r="F118" s="1962" t="s">
        <v>2839</v>
      </c>
      <c r="G118" s="1962" t="s">
        <v>2840</v>
      </c>
      <c r="H118" s="1962" t="s">
        <v>18</v>
      </c>
      <c r="I118" s="1962" t="s">
        <v>1163</v>
      </c>
    </row>
    <row r="119" spans="1:9" ht="11.25" customHeight="1">
      <c r="A119" s="1962" t="s">
        <v>2565</v>
      </c>
      <c r="B119" s="1962" t="s">
        <v>14</v>
      </c>
      <c r="C119" s="1962" t="s">
        <v>18</v>
      </c>
      <c r="D119" s="1962" t="s">
        <v>2566</v>
      </c>
      <c r="E119" s="1962" t="s">
        <v>2567</v>
      </c>
      <c r="F119" s="1962" t="s">
        <v>2568</v>
      </c>
      <c r="G119" s="1962" t="s">
        <v>18</v>
      </c>
      <c r="H119" s="1962" t="s">
        <v>18</v>
      </c>
      <c r="I119" s="1962" t="s">
        <v>1125</v>
      </c>
    </row>
    <row r="120" spans="1:9" ht="11.25" customHeight="1">
      <c r="A120" s="1962" t="s">
        <v>2565</v>
      </c>
      <c r="B120" s="1962" t="s">
        <v>14</v>
      </c>
      <c r="C120" s="1962" t="s">
        <v>2841</v>
      </c>
      <c r="D120" s="1962" t="s">
        <v>2842</v>
      </c>
      <c r="E120" s="1962" t="s">
        <v>2843</v>
      </c>
      <c r="F120" s="1962" t="s">
        <v>2844</v>
      </c>
      <c r="G120" s="1962" t="s">
        <v>18</v>
      </c>
      <c r="H120" s="1962" t="s">
        <v>18</v>
      </c>
      <c r="I120" s="1962" t="s">
        <v>1125</v>
      </c>
    </row>
    <row r="121" spans="1:9" ht="11.25" customHeight="1">
      <c r="A121" s="1962" t="s">
        <v>2565</v>
      </c>
      <c r="B121" s="1962" t="s">
        <v>14</v>
      </c>
      <c r="C121" s="1962" t="s">
        <v>2569</v>
      </c>
      <c r="D121" s="1962" t="s">
        <v>2570</v>
      </c>
      <c r="E121" s="1962" t="s">
        <v>2571</v>
      </c>
      <c r="F121" s="1962" t="s">
        <v>2572</v>
      </c>
      <c r="G121" s="1962" t="s">
        <v>18</v>
      </c>
      <c r="H121" s="1962" t="s">
        <v>18</v>
      </c>
      <c r="I121" s="1962" t="s">
        <v>1125</v>
      </c>
    </row>
    <row r="122" spans="1:9" ht="11.25" customHeight="1">
      <c r="A122" s="1962" t="s">
        <v>2565</v>
      </c>
      <c r="B122" s="1962" t="s">
        <v>14</v>
      </c>
      <c r="C122" s="1962" t="s">
        <v>2577</v>
      </c>
      <c r="D122" s="1962" t="s">
        <v>2578</v>
      </c>
      <c r="E122" s="1962" t="s">
        <v>2579</v>
      </c>
      <c r="F122" s="1962" t="s">
        <v>2580</v>
      </c>
      <c r="G122" s="1962" t="s">
        <v>18</v>
      </c>
      <c r="H122" s="1962" t="s">
        <v>18</v>
      </c>
      <c r="I122" s="1962" t="s">
        <v>1125</v>
      </c>
    </row>
    <row r="123" spans="1:9" ht="11.25" customHeight="1">
      <c r="A123" s="1962" t="s">
        <v>2565</v>
      </c>
      <c r="B123" s="1962" t="s">
        <v>14</v>
      </c>
      <c r="C123" s="1962" t="s">
        <v>2845</v>
      </c>
      <c r="D123" s="1962" t="s">
        <v>2846</v>
      </c>
      <c r="E123" s="1962" t="s">
        <v>2847</v>
      </c>
      <c r="F123" s="1962" t="s">
        <v>2589</v>
      </c>
      <c r="G123" s="1962" t="s">
        <v>18</v>
      </c>
      <c r="H123" s="1962" t="s">
        <v>18</v>
      </c>
      <c r="I123" s="1962" t="s">
        <v>1125</v>
      </c>
    </row>
    <row r="124" spans="1:9" ht="11.25" customHeight="1">
      <c r="A124" s="1962" t="s">
        <v>2565</v>
      </c>
      <c r="B124" s="1962" t="s">
        <v>14</v>
      </c>
      <c r="C124" s="1962" t="s">
        <v>2848</v>
      </c>
      <c r="D124" s="1962" t="s">
        <v>2849</v>
      </c>
      <c r="E124" s="1962" t="s">
        <v>2850</v>
      </c>
      <c r="F124" s="1962" t="s">
        <v>2701</v>
      </c>
      <c r="G124" s="1962" t="s">
        <v>18</v>
      </c>
      <c r="H124" s="1962" t="s">
        <v>18</v>
      </c>
      <c r="I124" s="1962" t="s">
        <v>1125</v>
      </c>
    </row>
    <row r="125" spans="1:9" ht="11.25" customHeight="1">
      <c r="A125" s="1962" t="s">
        <v>2565</v>
      </c>
      <c r="B125" s="1962" t="s">
        <v>14</v>
      </c>
      <c r="C125" s="1962" t="s">
        <v>2851</v>
      </c>
      <c r="D125" s="1962" t="s">
        <v>2852</v>
      </c>
      <c r="E125" s="1962" t="s">
        <v>2696</v>
      </c>
      <c r="F125" s="1962" t="s">
        <v>2757</v>
      </c>
      <c r="G125" s="1962" t="s">
        <v>18</v>
      </c>
      <c r="H125" s="1962" t="s">
        <v>18</v>
      </c>
      <c r="I125" s="1962" t="s">
        <v>1125</v>
      </c>
    </row>
    <row r="126" spans="1:9" ht="11.25" customHeight="1">
      <c r="A126" s="1962" t="s">
        <v>2565</v>
      </c>
      <c r="B126" s="1962" t="s">
        <v>14</v>
      </c>
      <c r="C126" s="1962" t="s">
        <v>2853</v>
      </c>
      <c r="D126" s="1962" t="s">
        <v>2854</v>
      </c>
      <c r="E126" s="1962" t="s">
        <v>2855</v>
      </c>
      <c r="F126" s="1962" t="s">
        <v>2741</v>
      </c>
      <c r="G126" s="1962" t="s">
        <v>18</v>
      </c>
      <c r="H126" s="1962" t="s">
        <v>18</v>
      </c>
      <c r="I126" s="1962" t="s">
        <v>1125</v>
      </c>
    </row>
    <row r="127" spans="1:9" ht="11.25" customHeight="1">
      <c r="A127" s="1962" t="s">
        <v>2565</v>
      </c>
      <c r="B127" s="1962" t="s">
        <v>14</v>
      </c>
      <c r="C127" s="1962" t="s">
        <v>2586</v>
      </c>
      <c r="D127" s="1962" t="s">
        <v>2587</v>
      </c>
      <c r="E127" s="1962" t="s">
        <v>2588</v>
      </c>
      <c r="F127" s="1962" t="s">
        <v>2589</v>
      </c>
      <c r="G127" s="1962" t="s">
        <v>18</v>
      </c>
      <c r="H127" s="1962" t="s">
        <v>18</v>
      </c>
      <c r="I127" s="1962" t="s">
        <v>1125</v>
      </c>
    </row>
    <row r="128" spans="1:9" ht="11.25" customHeight="1">
      <c r="A128" s="1962" t="s">
        <v>2565</v>
      </c>
      <c r="B128" s="1962" t="s">
        <v>14</v>
      </c>
      <c r="C128" s="1962" t="s">
        <v>2594</v>
      </c>
      <c r="D128" s="1962" t="s">
        <v>2595</v>
      </c>
      <c r="E128" s="1962" t="s">
        <v>2596</v>
      </c>
      <c r="F128" s="1962" t="s">
        <v>2597</v>
      </c>
      <c r="G128" s="1962" t="s">
        <v>18</v>
      </c>
      <c r="H128" s="1962" t="s">
        <v>18</v>
      </c>
      <c r="I128" s="1962" t="s">
        <v>1125</v>
      </c>
    </row>
    <row r="129" spans="1:9" ht="11.25" customHeight="1">
      <c r="A129" s="1962" t="s">
        <v>2565</v>
      </c>
      <c r="B129" s="1962" t="s">
        <v>14</v>
      </c>
      <c r="C129" s="1962" t="s">
        <v>18</v>
      </c>
      <c r="D129" s="1962" t="s">
        <v>2602</v>
      </c>
      <c r="E129" s="1962" t="s">
        <v>2603</v>
      </c>
      <c r="F129" s="1962" t="s">
        <v>2589</v>
      </c>
      <c r="G129" s="1962" t="s">
        <v>18</v>
      </c>
      <c r="H129" s="1962" t="s">
        <v>18</v>
      </c>
      <c r="I129" s="1962" t="s">
        <v>1125</v>
      </c>
    </row>
    <row r="130" spans="1:9" ht="11.25" customHeight="1">
      <c r="A130" s="1962" t="s">
        <v>2565</v>
      </c>
      <c r="B130" s="1962" t="s">
        <v>14</v>
      </c>
      <c r="C130" s="1962" t="s">
        <v>2856</v>
      </c>
      <c r="D130" s="1962" t="s">
        <v>2857</v>
      </c>
      <c r="E130" s="1962" t="s">
        <v>2858</v>
      </c>
      <c r="F130" s="1962" t="s">
        <v>840</v>
      </c>
      <c r="G130" s="1962" t="s">
        <v>18</v>
      </c>
      <c r="H130" s="1962" t="s">
        <v>18</v>
      </c>
      <c r="I130" s="1962" t="s">
        <v>1125</v>
      </c>
    </row>
    <row r="131" spans="1:9" ht="11.25" customHeight="1">
      <c r="A131" s="1962" t="s">
        <v>2565</v>
      </c>
      <c r="B131" s="1962" t="s">
        <v>14</v>
      </c>
      <c r="C131" s="1962" t="s">
        <v>2859</v>
      </c>
      <c r="D131" s="1962" t="s">
        <v>2860</v>
      </c>
      <c r="E131" s="1962" t="s">
        <v>2861</v>
      </c>
      <c r="F131" s="1962" t="s">
        <v>2862</v>
      </c>
      <c r="G131" s="1962" t="s">
        <v>18</v>
      </c>
      <c r="H131" s="1962" t="s">
        <v>18</v>
      </c>
      <c r="I131" s="1962" t="s">
        <v>1125</v>
      </c>
    </row>
    <row r="132" spans="1:9" ht="11.25" customHeight="1">
      <c r="A132" s="1962" t="s">
        <v>2565</v>
      </c>
      <c r="B132" s="1962" t="s">
        <v>14</v>
      </c>
      <c r="C132" s="1962" t="s">
        <v>2863</v>
      </c>
      <c r="D132" s="1962" t="s">
        <v>2864</v>
      </c>
      <c r="E132" s="1962" t="s">
        <v>2865</v>
      </c>
      <c r="F132" s="1962" t="s">
        <v>2767</v>
      </c>
      <c r="G132" s="1962" t="s">
        <v>18</v>
      </c>
      <c r="H132" s="1962" t="s">
        <v>18</v>
      </c>
      <c r="I132" s="1962" t="s">
        <v>1125</v>
      </c>
    </row>
    <row r="133" spans="1:9" ht="11.25" customHeight="1">
      <c r="A133" s="1962" t="s">
        <v>2565</v>
      </c>
      <c r="B133" s="1962" t="s">
        <v>14</v>
      </c>
      <c r="C133" s="1962" t="s">
        <v>2866</v>
      </c>
      <c r="D133" s="1962" t="s">
        <v>2867</v>
      </c>
      <c r="E133" s="1962" t="s">
        <v>2868</v>
      </c>
      <c r="F133" s="1962" t="s">
        <v>2737</v>
      </c>
      <c r="G133" s="1962" t="s">
        <v>18</v>
      </c>
      <c r="H133" s="1962" t="s">
        <v>18</v>
      </c>
      <c r="I133" s="1962" t="s">
        <v>1125</v>
      </c>
    </row>
    <row r="134" spans="1:9" ht="11.25" customHeight="1">
      <c r="A134" s="1962" t="s">
        <v>2565</v>
      </c>
      <c r="B134" s="1962" t="s">
        <v>14</v>
      </c>
      <c r="C134" s="1962" t="s">
        <v>2869</v>
      </c>
      <c r="D134" s="1962" t="s">
        <v>2870</v>
      </c>
      <c r="E134" s="1962" t="s">
        <v>2871</v>
      </c>
      <c r="F134" s="1962" t="s">
        <v>2611</v>
      </c>
      <c r="G134" s="1962" t="s">
        <v>18</v>
      </c>
      <c r="H134" s="1962" t="s">
        <v>18</v>
      </c>
      <c r="I134" s="1962" t="s">
        <v>1125</v>
      </c>
    </row>
    <row r="135" spans="1:9" ht="11.25" customHeight="1">
      <c r="A135" s="1962" t="s">
        <v>2565</v>
      </c>
      <c r="B135" s="1962" t="s">
        <v>14</v>
      </c>
      <c r="C135" s="1962" t="s">
        <v>2872</v>
      </c>
      <c r="D135" s="1962" t="s">
        <v>2873</v>
      </c>
      <c r="E135" s="1962" t="s">
        <v>2874</v>
      </c>
      <c r="F135" s="1962" t="s">
        <v>2623</v>
      </c>
      <c r="G135" s="1962" t="s">
        <v>18</v>
      </c>
      <c r="H135" s="1962" t="s">
        <v>18</v>
      </c>
      <c r="I135" s="1962" t="s">
        <v>1125</v>
      </c>
    </row>
    <row r="136" spans="1:9" ht="11.25" customHeight="1">
      <c r="A136" s="1962" t="s">
        <v>2565</v>
      </c>
      <c r="B136" s="1962" t="s">
        <v>14</v>
      </c>
      <c r="C136" s="1962" t="s">
        <v>2875</v>
      </c>
      <c r="D136" s="1962" t="s">
        <v>2876</v>
      </c>
      <c r="E136" s="1962" t="s">
        <v>2877</v>
      </c>
      <c r="F136" s="1962" t="s">
        <v>2767</v>
      </c>
      <c r="G136" s="1962" t="s">
        <v>18</v>
      </c>
      <c r="H136" s="1962" t="s">
        <v>18</v>
      </c>
      <c r="I136" s="1962" t="s">
        <v>1125</v>
      </c>
    </row>
    <row r="137" spans="1:9" ht="11.25" customHeight="1">
      <c r="A137" s="1962" t="s">
        <v>2565</v>
      </c>
      <c r="B137" s="1962" t="s">
        <v>14</v>
      </c>
      <c r="C137" s="1962" t="s">
        <v>2878</v>
      </c>
      <c r="D137" s="1962" t="s">
        <v>2879</v>
      </c>
      <c r="E137" s="1962" t="s">
        <v>2880</v>
      </c>
      <c r="F137" s="1962" t="s">
        <v>2619</v>
      </c>
      <c r="G137" s="1962" t="s">
        <v>18</v>
      </c>
      <c r="H137" s="1962" t="s">
        <v>18</v>
      </c>
      <c r="I137" s="1962" t="s">
        <v>1125</v>
      </c>
    </row>
    <row r="138" spans="1:9" ht="11.25" customHeight="1">
      <c r="A138" s="1962" t="s">
        <v>2565</v>
      </c>
      <c r="B138" s="1962" t="s">
        <v>14</v>
      </c>
      <c r="C138" s="1962" t="s">
        <v>2881</v>
      </c>
      <c r="D138" s="1962" t="s">
        <v>2882</v>
      </c>
      <c r="E138" s="1962" t="s">
        <v>2883</v>
      </c>
      <c r="F138" s="1962" t="s">
        <v>2589</v>
      </c>
      <c r="G138" s="1962" t="s">
        <v>18</v>
      </c>
      <c r="H138" s="1962" t="s">
        <v>18</v>
      </c>
      <c r="I138" s="1962" t="s">
        <v>1125</v>
      </c>
    </row>
    <row r="139" spans="1:9" ht="11.25" customHeight="1">
      <c r="A139" s="1962" t="s">
        <v>2565</v>
      </c>
      <c r="B139" s="1962" t="s">
        <v>14</v>
      </c>
      <c r="C139" s="1962" t="s">
        <v>2608</v>
      </c>
      <c r="D139" s="1962" t="s">
        <v>2609</v>
      </c>
      <c r="E139" s="1962" t="s">
        <v>2610</v>
      </c>
      <c r="F139" s="1962" t="s">
        <v>2611</v>
      </c>
      <c r="G139" s="1962" t="s">
        <v>18</v>
      </c>
      <c r="H139" s="1962" t="s">
        <v>18</v>
      </c>
      <c r="I139" s="1962" t="s">
        <v>1125</v>
      </c>
    </row>
    <row r="140" spans="1:9" ht="11.25" customHeight="1">
      <c r="A140" s="1962" t="s">
        <v>2565</v>
      </c>
      <c r="B140" s="1962" t="s">
        <v>14</v>
      </c>
      <c r="C140" s="1962" t="s">
        <v>2612</v>
      </c>
      <c r="D140" s="1962" t="s">
        <v>2613</v>
      </c>
      <c r="E140" s="1962" t="s">
        <v>2614</v>
      </c>
      <c r="F140" s="1962" t="s">
        <v>2615</v>
      </c>
      <c r="G140" s="1962" t="s">
        <v>18</v>
      </c>
      <c r="H140" s="1962" t="s">
        <v>18</v>
      </c>
      <c r="I140" s="1962" t="s">
        <v>1125</v>
      </c>
    </row>
    <row r="141" spans="1:9" ht="11.25" customHeight="1">
      <c r="A141" s="1962" t="s">
        <v>2565</v>
      </c>
      <c r="B141" s="1962" t="s">
        <v>14</v>
      </c>
      <c r="C141" s="1962" t="s">
        <v>2884</v>
      </c>
      <c r="D141" s="1962" t="s">
        <v>2885</v>
      </c>
      <c r="E141" s="1962" t="s">
        <v>2886</v>
      </c>
      <c r="F141" s="1962" t="s">
        <v>2627</v>
      </c>
      <c r="G141" s="1962" t="s">
        <v>18</v>
      </c>
      <c r="H141" s="1962" t="s">
        <v>18</v>
      </c>
      <c r="I141" s="1962" t="s">
        <v>1125</v>
      </c>
    </row>
    <row r="142" spans="1:9" ht="11.25" customHeight="1">
      <c r="A142" s="1962" t="s">
        <v>2565</v>
      </c>
      <c r="B142" s="1962" t="s">
        <v>14</v>
      </c>
      <c r="C142" s="1962" t="s">
        <v>2887</v>
      </c>
      <c r="D142" s="1962" t="s">
        <v>2888</v>
      </c>
      <c r="E142" s="1962" t="s">
        <v>2889</v>
      </c>
      <c r="F142" s="1962" t="s">
        <v>2673</v>
      </c>
      <c r="G142" s="1962" t="s">
        <v>18</v>
      </c>
      <c r="H142" s="1962" t="s">
        <v>18</v>
      </c>
      <c r="I142" s="1962" t="s">
        <v>1125</v>
      </c>
    </row>
    <row r="143" spans="1:9" ht="11.25" customHeight="1">
      <c r="A143" s="1962" t="s">
        <v>2565</v>
      </c>
      <c r="B143" s="1962" t="s">
        <v>14</v>
      </c>
      <c r="C143" s="1962" t="s">
        <v>2890</v>
      </c>
      <c r="D143" s="1962" t="s">
        <v>2891</v>
      </c>
      <c r="E143" s="1962" t="s">
        <v>2892</v>
      </c>
      <c r="F143" s="1962" t="s">
        <v>2643</v>
      </c>
      <c r="G143" s="1962" t="s">
        <v>18</v>
      </c>
      <c r="H143" s="1962" t="s">
        <v>18</v>
      </c>
      <c r="I143" s="1962" t="s">
        <v>1125</v>
      </c>
    </row>
    <row r="144" spans="1:9" ht="11.25" customHeight="1">
      <c r="A144" s="1962" t="s">
        <v>2565</v>
      </c>
      <c r="B144" s="1962" t="s">
        <v>14</v>
      </c>
      <c r="C144" s="1962" t="s">
        <v>2893</v>
      </c>
      <c r="D144" s="1962" t="s">
        <v>2894</v>
      </c>
      <c r="E144" s="1962" t="s">
        <v>2895</v>
      </c>
      <c r="F144" s="1962" t="s">
        <v>2651</v>
      </c>
      <c r="G144" s="1962" t="s">
        <v>18</v>
      </c>
      <c r="H144" s="1962" t="s">
        <v>18</v>
      </c>
      <c r="I144" s="1962" t="s">
        <v>1125</v>
      </c>
    </row>
    <row r="145" spans="1:9" ht="11.25" customHeight="1">
      <c r="A145" s="1962" t="s">
        <v>2565</v>
      </c>
      <c r="B145" s="1962" t="s">
        <v>14</v>
      </c>
      <c r="C145" s="1962" t="s">
        <v>2896</v>
      </c>
      <c r="D145" s="1962" t="s">
        <v>2897</v>
      </c>
      <c r="E145" s="1962" t="s">
        <v>2898</v>
      </c>
      <c r="F145" s="1962" t="s">
        <v>2661</v>
      </c>
      <c r="G145" s="1962" t="s">
        <v>18</v>
      </c>
      <c r="H145" s="1962" t="s">
        <v>18</v>
      </c>
      <c r="I145" s="1962" t="s">
        <v>1125</v>
      </c>
    </row>
    <row r="146" spans="1:9" ht="11.25" customHeight="1">
      <c r="A146" s="1962" t="s">
        <v>2565</v>
      </c>
      <c r="B146" s="1962" t="s">
        <v>14</v>
      </c>
      <c r="C146" s="1962" t="s">
        <v>2620</v>
      </c>
      <c r="D146" s="1962" t="s">
        <v>2621</v>
      </c>
      <c r="E146" s="1962" t="s">
        <v>2622</v>
      </c>
      <c r="F146" s="1962" t="s">
        <v>2623</v>
      </c>
      <c r="G146" s="1962" t="s">
        <v>18</v>
      </c>
      <c r="H146" s="1962" t="s">
        <v>18</v>
      </c>
      <c r="I146" s="1962" t="s">
        <v>1125</v>
      </c>
    </row>
    <row r="147" spans="1:9" ht="11.25" customHeight="1">
      <c r="A147" s="1962" t="s">
        <v>2565</v>
      </c>
      <c r="B147" s="1962" t="s">
        <v>14</v>
      </c>
      <c r="C147" s="1962" t="s">
        <v>2899</v>
      </c>
      <c r="D147" s="1962" t="s">
        <v>2900</v>
      </c>
      <c r="E147" s="1962" t="s">
        <v>2901</v>
      </c>
      <c r="F147" s="1962" t="s">
        <v>2669</v>
      </c>
      <c r="G147" s="1962" t="s">
        <v>18</v>
      </c>
      <c r="H147" s="1962" t="s">
        <v>18</v>
      </c>
      <c r="I147" s="1962" t="s">
        <v>1125</v>
      </c>
    </row>
    <row r="148" spans="1:9" ht="11.25" customHeight="1">
      <c r="A148" s="1962" t="s">
        <v>2565</v>
      </c>
      <c r="B148" s="1962" t="s">
        <v>14</v>
      </c>
      <c r="C148" s="1962" t="s">
        <v>2624</v>
      </c>
      <c r="D148" s="1962" t="s">
        <v>2625</v>
      </c>
      <c r="E148" s="1962" t="s">
        <v>2626</v>
      </c>
      <c r="F148" s="1962" t="s">
        <v>2627</v>
      </c>
      <c r="G148" s="1962" t="s">
        <v>18</v>
      </c>
      <c r="H148" s="1962" t="s">
        <v>18</v>
      </c>
      <c r="I148" s="1962" t="s">
        <v>1125</v>
      </c>
    </row>
    <row r="149" spans="1:9" ht="11.25" customHeight="1">
      <c r="A149" s="1962" t="s">
        <v>2565</v>
      </c>
      <c r="B149" s="1962" t="s">
        <v>14</v>
      </c>
      <c r="C149" s="1962" t="s">
        <v>2902</v>
      </c>
      <c r="D149" s="1962" t="s">
        <v>2903</v>
      </c>
      <c r="E149" s="1962" t="s">
        <v>2904</v>
      </c>
      <c r="F149" s="1962" t="s">
        <v>2905</v>
      </c>
      <c r="G149" s="1962" t="s">
        <v>18</v>
      </c>
      <c r="H149" s="1962" t="s">
        <v>18</v>
      </c>
      <c r="I149" s="1962" t="s">
        <v>1125</v>
      </c>
    </row>
    <row r="150" spans="1:9" ht="11.25" customHeight="1">
      <c r="A150" s="1962" t="s">
        <v>2565</v>
      </c>
      <c r="B150" s="1962" t="s">
        <v>14</v>
      </c>
      <c r="C150" s="1962" t="s">
        <v>2631</v>
      </c>
      <c r="D150" s="1962" t="s">
        <v>2632</v>
      </c>
      <c r="E150" s="1962" t="s">
        <v>2633</v>
      </c>
      <c r="F150" s="1962" t="s">
        <v>2634</v>
      </c>
      <c r="G150" s="1962" t="s">
        <v>18</v>
      </c>
      <c r="H150" s="1962" t="s">
        <v>18</v>
      </c>
      <c r="I150" s="1962" t="s">
        <v>1125</v>
      </c>
    </row>
    <row r="151" spans="1:9" ht="11.25" customHeight="1">
      <c r="A151" s="1962" t="s">
        <v>2565</v>
      </c>
      <c r="B151" s="1962" t="s">
        <v>14</v>
      </c>
      <c r="C151" s="1962" t="s">
        <v>2635</v>
      </c>
      <c r="D151" s="1962" t="s">
        <v>2636</v>
      </c>
      <c r="E151" s="1962" t="s">
        <v>2637</v>
      </c>
      <c r="F151" s="1962" t="s">
        <v>2638</v>
      </c>
      <c r="G151" s="1962" t="s">
        <v>2639</v>
      </c>
      <c r="H151" s="1962" t="s">
        <v>18</v>
      </c>
      <c r="I151" s="1962" t="s">
        <v>1125</v>
      </c>
    </row>
    <row r="152" spans="1:9" ht="11.25" customHeight="1">
      <c r="A152" s="1962" t="s">
        <v>2565</v>
      </c>
      <c r="B152" s="1962" t="s">
        <v>14</v>
      </c>
      <c r="C152" s="1962" t="s">
        <v>2906</v>
      </c>
      <c r="D152" s="1962" t="s">
        <v>2636</v>
      </c>
      <c r="E152" s="1962" t="s">
        <v>2637</v>
      </c>
      <c r="F152" s="1962" t="s">
        <v>2907</v>
      </c>
      <c r="G152" s="1962" t="s">
        <v>18</v>
      </c>
      <c r="H152" s="1962" t="s">
        <v>18</v>
      </c>
      <c r="I152" s="1962" t="s">
        <v>1125</v>
      </c>
    </row>
    <row r="153" spans="1:9" ht="11.25" customHeight="1">
      <c r="A153" s="1962" t="s">
        <v>2565</v>
      </c>
      <c r="B153" s="1962" t="s">
        <v>14</v>
      </c>
      <c r="C153" s="1962" t="s">
        <v>2908</v>
      </c>
      <c r="D153" s="1962" t="s">
        <v>2909</v>
      </c>
      <c r="E153" s="1962" t="s">
        <v>2910</v>
      </c>
      <c r="F153" s="1962" t="s">
        <v>2651</v>
      </c>
      <c r="G153" s="1962" t="s">
        <v>18</v>
      </c>
      <c r="H153" s="1962" t="s">
        <v>18</v>
      </c>
      <c r="I153" s="1962" t="s">
        <v>1125</v>
      </c>
    </row>
    <row r="154" spans="1:9" ht="11.25" customHeight="1">
      <c r="A154" s="1962" t="s">
        <v>2565</v>
      </c>
      <c r="B154" s="1962" t="s">
        <v>14</v>
      </c>
      <c r="C154" s="1962" t="s">
        <v>2644</v>
      </c>
      <c r="D154" s="1962" t="s">
        <v>2645</v>
      </c>
      <c r="E154" s="1962" t="s">
        <v>2646</v>
      </c>
      <c r="F154" s="1962" t="s">
        <v>2647</v>
      </c>
      <c r="G154" s="1962" t="s">
        <v>18</v>
      </c>
      <c r="H154" s="1962" t="s">
        <v>18</v>
      </c>
      <c r="I154" s="1962" t="s">
        <v>1125</v>
      </c>
    </row>
    <row r="155" spans="1:9" ht="11.25" customHeight="1">
      <c r="A155" s="1962" t="s">
        <v>2565</v>
      </c>
      <c r="B155" s="1962" t="s">
        <v>14</v>
      </c>
      <c r="C155" s="1962" t="s">
        <v>2911</v>
      </c>
      <c r="D155" s="1962" t="s">
        <v>2912</v>
      </c>
      <c r="E155" s="1962" t="s">
        <v>2913</v>
      </c>
      <c r="F155" s="1962" t="s">
        <v>2914</v>
      </c>
      <c r="G155" s="1962" t="s">
        <v>18</v>
      </c>
      <c r="H155" s="1962" t="s">
        <v>18</v>
      </c>
      <c r="I155" s="1962" t="s">
        <v>1125</v>
      </c>
    </row>
    <row r="156" spans="1:9" ht="11.25" customHeight="1">
      <c r="A156" s="1962" t="s">
        <v>2565</v>
      </c>
      <c r="B156" s="1962" t="s">
        <v>14</v>
      </c>
      <c r="C156" s="1962" t="s">
        <v>2648</v>
      </c>
      <c r="D156" s="1962" t="s">
        <v>2649</v>
      </c>
      <c r="E156" s="1962" t="s">
        <v>2650</v>
      </c>
      <c r="F156" s="1962" t="s">
        <v>2651</v>
      </c>
      <c r="G156" s="1962" t="s">
        <v>18</v>
      </c>
      <c r="H156" s="1962" t="s">
        <v>18</v>
      </c>
      <c r="I156" s="1962" t="s">
        <v>1125</v>
      </c>
    </row>
    <row r="157" spans="1:9" ht="11.25" customHeight="1">
      <c r="A157" s="1962" t="s">
        <v>2565</v>
      </c>
      <c r="B157" s="1962" t="s">
        <v>14</v>
      </c>
      <c r="C157" s="1962" t="s">
        <v>2915</v>
      </c>
      <c r="D157" s="1962" t="s">
        <v>2916</v>
      </c>
      <c r="E157" s="1962" t="s">
        <v>2917</v>
      </c>
      <c r="F157" s="1962" t="s">
        <v>2647</v>
      </c>
      <c r="G157" s="1962" t="s">
        <v>18</v>
      </c>
      <c r="H157" s="1962" t="s">
        <v>18</v>
      </c>
      <c r="I157" s="1962" t="s">
        <v>1125</v>
      </c>
    </row>
    <row r="158" spans="1:9" ht="11.25" customHeight="1">
      <c r="A158" s="1962" t="s">
        <v>2565</v>
      </c>
      <c r="B158" s="1962" t="s">
        <v>14</v>
      </c>
      <c r="C158" s="1962" t="s">
        <v>2652</v>
      </c>
      <c r="D158" s="1962" t="s">
        <v>2653</v>
      </c>
      <c r="E158" s="1962" t="s">
        <v>2654</v>
      </c>
      <c r="F158" s="1962" t="s">
        <v>2638</v>
      </c>
      <c r="G158" s="1962" t="s">
        <v>18</v>
      </c>
      <c r="H158" s="1962" t="s">
        <v>18</v>
      </c>
      <c r="I158" s="1962" t="s">
        <v>1125</v>
      </c>
    </row>
    <row r="159" spans="1:9" ht="11.25" customHeight="1">
      <c r="A159" s="1962" t="s">
        <v>2565</v>
      </c>
      <c r="B159" s="1962" t="s">
        <v>14</v>
      </c>
      <c r="C159" s="1962" t="s">
        <v>2658</v>
      </c>
      <c r="D159" s="1962" t="s">
        <v>2659</v>
      </c>
      <c r="E159" s="1962" t="s">
        <v>2660</v>
      </c>
      <c r="F159" s="1962" t="s">
        <v>2661</v>
      </c>
      <c r="G159" s="1962" t="s">
        <v>18</v>
      </c>
      <c r="H159" s="1962" t="s">
        <v>18</v>
      </c>
      <c r="I159" s="1962" t="s">
        <v>1125</v>
      </c>
    </row>
    <row r="160" spans="1:9" ht="11.25" customHeight="1">
      <c r="A160" s="1962" t="s">
        <v>2565</v>
      </c>
      <c r="B160" s="1962" t="s">
        <v>14</v>
      </c>
      <c r="C160" s="1962" t="s">
        <v>2918</v>
      </c>
      <c r="D160" s="1962" t="s">
        <v>2919</v>
      </c>
      <c r="E160" s="1962" t="s">
        <v>2920</v>
      </c>
      <c r="F160" s="1962" t="s">
        <v>2665</v>
      </c>
      <c r="G160" s="1962" t="s">
        <v>18</v>
      </c>
      <c r="H160" s="1962" t="s">
        <v>18</v>
      </c>
      <c r="I160" s="1962" t="s">
        <v>1125</v>
      </c>
    </row>
    <row r="161" spans="1:9" ht="11.25" customHeight="1">
      <c r="A161" s="1962" t="s">
        <v>2565</v>
      </c>
      <c r="B161" s="1962" t="s">
        <v>14</v>
      </c>
      <c r="C161" s="1962" t="s">
        <v>2921</v>
      </c>
      <c r="D161" s="1962" t="s">
        <v>2922</v>
      </c>
      <c r="E161" s="1962" t="s">
        <v>2923</v>
      </c>
      <c r="F161" s="1962" t="s">
        <v>2924</v>
      </c>
      <c r="G161" s="1962" t="s">
        <v>18</v>
      </c>
      <c r="H161" s="1962" t="s">
        <v>18</v>
      </c>
      <c r="I161" s="1962" t="s">
        <v>1125</v>
      </c>
    </row>
    <row r="162" spans="1:9" ht="11.25" customHeight="1">
      <c r="A162" s="1962" t="s">
        <v>2565</v>
      </c>
      <c r="B162" s="1962" t="s">
        <v>14</v>
      </c>
      <c r="C162" s="1962" t="s">
        <v>2677</v>
      </c>
      <c r="D162" s="1962" t="s">
        <v>2678</v>
      </c>
      <c r="E162" s="1962" t="s">
        <v>2679</v>
      </c>
      <c r="F162" s="1962" t="s">
        <v>2680</v>
      </c>
      <c r="G162" s="1962" t="s">
        <v>18</v>
      </c>
      <c r="H162" s="1962" t="s">
        <v>18</v>
      </c>
      <c r="I162" s="1962" t="s">
        <v>1125</v>
      </c>
    </row>
    <row r="163" spans="1:9" ht="11.25" customHeight="1">
      <c r="A163" s="1962" t="s">
        <v>2565</v>
      </c>
      <c r="B163" s="1962" t="s">
        <v>14</v>
      </c>
      <c r="C163" s="1962" t="s">
        <v>2925</v>
      </c>
      <c r="D163" s="1962" t="s">
        <v>2926</v>
      </c>
      <c r="E163" s="1962" t="s">
        <v>2927</v>
      </c>
      <c r="F163" s="1962" t="s">
        <v>2928</v>
      </c>
      <c r="G163" s="1962" t="s">
        <v>18</v>
      </c>
      <c r="H163" s="1962" t="s">
        <v>18</v>
      </c>
      <c r="I163" s="1962" t="s">
        <v>1125</v>
      </c>
    </row>
    <row r="164" spans="1:9" ht="11.25" customHeight="1">
      <c r="A164" s="1962" t="s">
        <v>2565</v>
      </c>
      <c r="B164" s="1962" t="s">
        <v>14</v>
      </c>
      <c r="C164" s="1962" t="s">
        <v>2681</v>
      </c>
      <c r="D164" s="1962" t="s">
        <v>2682</v>
      </c>
      <c r="E164" s="1962" t="s">
        <v>2683</v>
      </c>
      <c r="F164" s="1962" t="s">
        <v>2684</v>
      </c>
      <c r="G164" s="1962" t="s">
        <v>18</v>
      </c>
      <c r="H164" s="1962" t="s">
        <v>18</v>
      </c>
      <c r="I164" s="1962" t="s">
        <v>1125</v>
      </c>
    </row>
    <row r="165" spans="1:9" ht="11.25" customHeight="1">
      <c r="A165" s="1962" t="s">
        <v>2565</v>
      </c>
      <c r="B165" s="1962" t="s">
        <v>14</v>
      </c>
      <c r="C165" s="1962" t="s">
        <v>2685</v>
      </c>
      <c r="D165" s="1962" t="s">
        <v>2686</v>
      </c>
      <c r="E165" s="1962" t="s">
        <v>2687</v>
      </c>
      <c r="F165" s="1962" t="s">
        <v>2647</v>
      </c>
      <c r="G165" s="1962" t="s">
        <v>18</v>
      </c>
      <c r="H165" s="1962" t="s">
        <v>18</v>
      </c>
      <c r="I165" s="1962" t="s">
        <v>1125</v>
      </c>
    </row>
    <row r="166" spans="1:9" ht="11.25" customHeight="1">
      <c r="A166" s="1962" t="s">
        <v>2565</v>
      </c>
      <c r="B166" s="1962" t="s">
        <v>14</v>
      </c>
      <c r="C166" s="1962" t="s">
        <v>2929</v>
      </c>
      <c r="D166" s="1962" t="s">
        <v>2930</v>
      </c>
      <c r="E166" s="1962" t="s">
        <v>2931</v>
      </c>
      <c r="F166" s="1962" t="s">
        <v>2643</v>
      </c>
      <c r="G166" s="1962" t="s">
        <v>18</v>
      </c>
      <c r="H166" s="1962" t="s">
        <v>18</v>
      </c>
      <c r="I166" s="1962" t="s">
        <v>1125</v>
      </c>
    </row>
    <row r="167" spans="1:9" ht="11.25" customHeight="1">
      <c r="A167" s="1962" t="s">
        <v>2565</v>
      </c>
      <c r="B167" s="1962" t="s">
        <v>14</v>
      </c>
      <c r="C167" s="1962" t="s">
        <v>2702</v>
      </c>
      <c r="D167" s="1962" t="s">
        <v>2703</v>
      </c>
      <c r="E167" s="1962" t="s">
        <v>2704</v>
      </c>
      <c r="F167" s="1962" t="s">
        <v>2705</v>
      </c>
      <c r="G167" s="1962" t="s">
        <v>18</v>
      </c>
      <c r="H167" s="1962" t="s">
        <v>18</v>
      </c>
      <c r="I167" s="1962" t="s">
        <v>1125</v>
      </c>
    </row>
    <row r="168" spans="1:9" ht="11.25" customHeight="1">
      <c r="A168" s="1962" t="s">
        <v>2565</v>
      </c>
      <c r="B168" s="1962" t="s">
        <v>14</v>
      </c>
      <c r="C168" s="1962" t="s">
        <v>2706</v>
      </c>
      <c r="D168" s="1962" t="s">
        <v>2707</v>
      </c>
      <c r="E168" s="1962" t="s">
        <v>2708</v>
      </c>
      <c r="F168" s="1962" t="s">
        <v>2709</v>
      </c>
      <c r="G168" s="1962" t="s">
        <v>18</v>
      </c>
      <c r="H168" s="1962" t="s">
        <v>18</v>
      </c>
      <c r="I168" s="1962" t="s">
        <v>1125</v>
      </c>
    </row>
    <row r="169" spans="1:9" ht="11.25" customHeight="1">
      <c r="A169" s="1962" t="s">
        <v>2565</v>
      </c>
      <c r="B169" s="1962" t="s">
        <v>14</v>
      </c>
      <c r="C169" s="1962" t="s">
        <v>2932</v>
      </c>
      <c r="D169" s="1962" t="s">
        <v>2933</v>
      </c>
      <c r="E169" s="1962" t="s">
        <v>2934</v>
      </c>
      <c r="F169" s="1962" t="s">
        <v>2701</v>
      </c>
      <c r="G169" s="1962" t="s">
        <v>18</v>
      </c>
      <c r="H169" s="1962" t="s">
        <v>18</v>
      </c>
      <c r="I169" s="1962" t="s">
        <v>1125</v>
      </c>
    </row>
    <row r="170" spans="1:9" ht="11.25" customHeight="1">
      <c r="A170" s="1962" t="s">
        <v>2565</v>
      </c>
      <c r="B170" s="1962" t="s">
        <v>14</v>
      </c>
      <c r="C170" s="1962" t="s">
        <v>2713</v>
      </c>
      <c r="D170" s="1962" t="s">
        <v>2714</v>
      </c>
      <c r="E170" s="1962" t="s">
        <v>2715</v>
      </c>
      <c r="F170" s="1962" t="s">
        <v>2673</v>
      </c>
      <c r="G170" s="1962" t="s">
        <v>18</v>
      </c>
      <c r="H170" s="1962" t="s">
        <v>18</v>
      </c>
      <c r="I170" s="1962" t="s">
        <v>1125</v>
      </c>
    </row>
    <row r="171" spans="1:9" ht="11.25" customHeight="1">
      <c r="A171" s="1962" t="s">
        <v>2565</v>
      </c>
      <c r="B171" s="1962" t="s">
        <v>14</v>
      </c>
      <c r="C171" s="1962" t="s">
        <v>2935</v>
      </c>
      <c r="D171" s="1962" t="s">
        <v>2936</v>
      </c>
      <c r="E171" s="1962" t="s">
        <v>2937</v>
      </c>
      <c r="F171" s="1962" t="s">
        <v>2767</v>
      </c>
      <c r="G171" s="1962" t="s">
        <v>18</v>
      </c>
      <c r="H171" s="1962" t="s">
        <v>18</v>
      </c>
      <c r="I171" s="1962" t="s">
        <v>1125</v>
      </c>
    </row>
    <row r="172" spans="1:9" ht="11.25" customHeight="1">
      <c r="A172" s="1962" t="s">
        <v>2565</v>
      </c>
      <c r="B172" s="1962" t="s">
        <v>14</v>
      </c>
      <c r="C172" s="1962" t="s">
        <v>2716</v>
      </c>
      <c r="D172" s="1962" t="s">
        <v>2717</v>
      </c>
      <c r="E172" s="1962" t="s">
        <v>2718</v>
      </c>
      <c r="F172" s="1962" t="s">
        <v>2647</v>
      </c>
      <c r="G172" s="1962" t="s">
        <v>18</v>
      </c>
      <c r="H172" s="1962" t="s">
        <v>18</v>
      </c>
      <c r="I172" s="1962" t="s">
        <v>1125</v>
      </c>
    </row>
    <row r="173" spans="1:9" ht="11.25" customHeight="1">
      <c r="A173" s="1962" t="s">
        <v>2565</v>
      </c>
      <c r="B173" s="1962" t="s">
        <v>14</v>
      </c>
      <c r="C173" s="1962" t="s">
        <v>2938</v>
      </c>
      <c r="D173" s="1962" t="s">
        <v>2939</v>
      </c>
      <c r="E173" s="1962" t="s">
        <v>2940</v>
      </c>
      <c r="F173" s="1962" t="s">
        <v>2634</v>
      </c>
      <c r="G173" s="1962" t="s">
        <v>18</v>
      </c>
      <c r="H173" s="1962" t="s">
        <v>18</v>
      </c>
      <c r="I173" s="1962" t="s">
        <v>1125</v>
      </c>
    </row>
    <row r="174" spans="1:9" ht="11.25" customHeight="1">
      <c r="A174" s="1962" t="s">
        <v>2565</v>
      </c>
      <c r="B174" s="1962" t="s">
        <v>14</v>
      </c>
      <c r="C174" s="1962" t="s">
        <v>2941</v>
      </c>
      <c r="D174" s="1962" t="s">
        <v>2942</v>
      </c>
      <c r="E174" s="1962" t="s">
        <v>2943</v>
      </c>
      <c r="F174" s="1962" t="s">
        <v>2767</v>
      </c>
      <c r="G174" s="1962" t="s">
        <v>18</v>
      </c>
      <c r="H174" s="1962" t="s">
        <v>18</v>
      </c>
      <c r="I174" s="1962" t="s">
        <v>1125</v>
      </c>
    </row>
    <row r="175" spans="1:9" ht="11.25" customHeight="1">
      <c r="A175" s="1962" t="s">
        <v>2565</v>
      </c>
      <c r="B175" s="1962" t="s">
        <v>14</v>
      </c>
      <c r="C175" s="1962" t="s">
        <v>2944</v>
      </c>
      <c r="D175" s="1962" t="s">
        <v>2945</v>
      </c>
      <c r="E175" s="1962" t="s">
        <v>2946</v>
      </c>
      <c r="F175" s="1962" t="s">
        <v>2737</v>
      </c>
      <c r="G175" s="1962" t="s">
        <v>18</v>
      </c>
      <c r="H175" s="1962" t="s">
        <v>18</v>
      </c>
      <c r="I175" s="1962" t="s">
        <v>1125</v>
      </c>
    </row>
    <row r="176" spans="1:9" ht="11.25" customHeight="1">
      <c r="A176" s="1962" t="s">
        <v>2565</v>
      </c>
      <c r="B176" s="1962" t="s">
        <v>14</v>
      </c>
      <c r="C176" s="1962" t="s">
        <v>2719</v>
      </c>
      <c r="D176" s="1962" t="s">
        <v>2720</v>
      </c>
      <c r="E176" s="1962" t="s">
        <v>2721</v>
      </c>
      <c r="F176" s="1962" t="s">
        <v>48</v>
      </c>
      <c r="G176" s="1962" t="s">
        <v>18</v>
      </c>
      <c r="H176" s="1962" t="s">
        <v>18</v>
      </c>
      <c r="I176" s="1962" t="s">
        <v>1125</v>
      </c>
    </row>
    <row r="177" spans="1:9" ht="11.25" customHeight="1">
      <c r="A177" s="1962" t="s">
        <v>2565</v>
      </c>
      <c r="B177" s="1962" t="s">
        <v>14</v>
      </c>
      <c r="C177" s="1962" t="s">
        <v>2947</v>
      </c>
      <c r="D177" s="1962" t="s">
        <v>2948</v>
      </c>
      <c r="E177" s="1962" t="s">
        <v>2949</v>
      </c>
      <c r="F177" s="1962" t="s">
        <v>2741</v>
      </c>
      <c r="G177" s="1962" t="s">
        <v>18</v>
      </c>
      <c r="H177" s="1962" t="s">
        <v>18</v>
      </c>
      <c r="I177" s="1962" t="s">
        <v>1125</v>
      </c>
    </row>
    <row r="178" spans="1:9" ht="11.25" customHeight="1">
      <c r="A178" s="1962" t="s">
        <v>2565</v>
      </c>
      <c r="B178" s="1962" t="s">
        <v>14</v>
      </c>
      <c r="C178" s="1962" t="s">
        <v>2950</v>
      </c>
      <c r="D178" s="1962" t="s">
        <v>2951</v>
      </c>
      <c r="E178" s="1962" t="s">
        <v>2952</v>
      </c>
      <c r="F178" s="1962" t="s">
        <v>2665</v>
      </c>
      <c r="G178" s="1962" t="s">
        <v>18</v>
      </c>
      <c r="H178" s="1962" t="s">
        <v>18</v>
      </c>
      <c r="I178" s="1962" t="s">
        <v>1125</v>
      </c>
    </row>
    <row r="179" spans="1:9" ht="11.25" customHeight="1">
      <c r="A179" s="1962" t="s">
        <v>2565</v>
      </c>
      <c r="B179" s="1962" t="s">
        <v>14</v>
      </c>
      <c r="C179" s="1962" t="s">
        <v>2953</v>
      </c>
      <c r="D179" s="1962" t="s">
        <v>2954</v>
      </c>
      <c r="E179" s="1962" t="s">
        <v>2955</v>
      </c>
      <c r="F179" s="1962" t="s">
        <v>2665</v>
      </c>
      <c r="G179" s="1962" t="s">
        <v>18</v>
      </c>
      <c r="H179" s="1962" t="s">
        <v>18</v>
      </c>
      <c r="I179" s="1962" t="s">
        <v>1125</v>
      </c>
    </row>
    <row r="180" spans="1:9" ht="11.25" customHeight="1">
      <c r="A180" s="1962" t="s">
        <v>2565</v>
      </c>
      <c r="B180" s="1962" t="s">
        <v>14</v>
      </c>
      <c r="C180" s="1962" t="s">
        <v>2956</v>
      </c>
      <c r="D180" s="1962" t="s">
        <v>2957</v>
      </c>
      <c r="E180" s="1962" t="s">
        <v>2958</v>
      </c>
      <c r="F180" s="1962" t="s">
        <v>2959</v>
      </c>
      <c r="G180" s="1962" t="s">
        <v>18</v>
      </c>
      <c r="H180" s="1962" t="s">
        <v>18</v>
      </c>
      <c r="I180" s="1962" t="s">
        <v>1125</v>
      </c>
    </row>
    <row r="181" spans="1:9" ht="11.25" customHeight="1">
      <c r="A181" s="1962" t="s">
        <v>2565</v>
      </c>
      <c r="B181" s="1962" t="s">
        <v>14</v>
      </c>
      <c r="C181" s="1962" t="s">
        <v>2960</v>
      </c>
      <c r="D181" s="1962" t="s">
        <v>2961</v>
      </c>
      <c r="E181" s="1962" t="s">
        <v>2962</v>
      </c>
      <c r="F181" s="1962" t="s">
        <v>2647</v>
      </c>
      <c r="G181" s="1962" t="s">
        <v>18</v>
      </c>
      <c r="H181" s="1962" t="s">
        <v>18</v>
      </c>
      <c r="I181" s="1962" t="s">
        <v>1125</v>
      </c>
    </row>
    <row r="182" spans="1:9" ht="11.25" customHeight="1">
      <c r="A182" s="1962" t="s">
        <v>2565</v>
      </c>
      <c r="B182" s="1962" t="s">
        <v>14</v>
      </c>
      <c r="C182" s="1962" t="s">
        <v>2725</v>
      </c>
      <c r="D182" s="1962" t="s">
        <v>2726</v>
      </c>
      <c r="E182" s="1962" t="s">
        <v>2727</v>
      </c>
      <c r="F182" s="1962" t="s">
        <v>2728</v>
      </c>
      <c r="G182" s="1962" t="s">
        <v>18</v>
      </c>
      <c r="H182" s="1962" t="s">
        <v>18</v>
      </c>
      <c r="I182" s="1962" t="s">
        <v>1125</v>
      </c>
    </row>
    <row r="183" spans="1:9" ht="11.25" customHeight="1">
      <c r="A183" s="1962" t="s">
        <v>2565</v>
      </c>
      <c r="B183" s="1962" t="s">
        <v>14</v>
      </c>
      <c r="C183" s="1962" t="s">
        <v>2963</v>
      </c>
      <c r="D183" s="1962" t="s">
        <v>2964</v>
      </c>
      <c r="E183" s="1962" t="s">
        <v>2965</v>
      </c>
      <c r="F183" s="1962" t="s">
        <v>2589</v>
      </c>
      <c r="G183" s="1962" t="s">
        <v>18</v>
      </c>
      <c r="H183" s="1962" t="s">
        <v>18</v>
      </c>
      <c r="I183" s="1962" t="s">
        <v>1125</v>
      </c>
    </row>
    <row r="184" spans="1:9" ht="11.25" customHeight="1">
      <c r="A184" s="1962" t="s">
        <v>2565</v>
      </c>
      <c r="B184" s="1962" t="s">
        <v>14</v>
      </c>
      <c r="C184" s="1962" t="s">
        <v>2966</v>
      </c>
      <c r="D184" s="1962" t="s">
        <v>2967</v>
      </c>
      <c r="E184" s="1962" t="s">
        <v>2968</v>
      </c>
      <c r="F184" s="1962" t="s">
        <v>2647</v>
      </c>
      <c r="G184" s="1962" t="s">
        <v>18</v>
      </c>
      <c r="H184" s="1962" t="s">
        <v>18</v>
      </c>
      <c r="I184" s="1962" t="s">
        <v>1125</v>
      </c>
    </row>
    <row r="185" spans="1:9" ht="11.25" customHeight="1">
      <c r="A185" s="1962" t="s">
        <v>2565</v>
      </c>
      <c r="B185" s="1962" t="s">
        <v>14</v>
      </c>
      <c r="C185" s="1962" t="s">
        <v>2729</v>
      </c>
      <c r="D185" s="1962" t="s">
        <v>2730</v>
      </c>
      <c r="E185" s="1962" t="s">
        <v>2731</v>
      </c>
      <c r="F185" s="1962" t="s">
        <v>2732</v>
      </c>
      <c r="G185" s="1962" t="s">
        <v>2733</v>
      </c>
      <c r="H185" s="1962" t="s">
        <v>18</v>
      </c>
      <c r="I185" s="1962" t="s">
        <v>1125</v>
      </c>
    </row>
    <row r="186" spans="1:9" ht="11.25" customHeight="1">
      <c r="A186" s="1962" t="s">
        <v>2565</v>
      </c>
      <c r="B186" s="1962" t="s">
        <v>14</v>
      </c>
      <c r="C186" s="1962" t="s">
        <v>2738</v>
      </c>
      <c r="D186" s="1962" t="s">
        <v>2739</v>
      </c>
      <c r="E186" s="1962" t="s">
        <v>2740</v>
      </c>
      <c r="F186" s="1962" t="s">
        <v>2741</v>
      </c>
      <c r="G186" s="1962" t="s">
        <v>18</v>
      </c>
      <c r="H186" s="1962" t="s">
        <v>18</v>
      </c>
      <c r="I186" s="1962" t="s">
        <v>1125</v>
      </c>
    </row>
    <row r="187" spans="1:9" ht="11.25" customHeight="1">
      <c r="A187" s="1962" t="s">
        <v>2565</v>
      </c>
      <c r="B187" s="1962" t="s">
        <v>14</v>
      </c>
      <c r="C187" s="1962" t="s">
        <v>2742</v>
      </c>
      <c r="D187" s="1962" t="s">
        <v>2743</v>
      </c>
      <c r="E187" s="1962" t="s">
        <v>2744</v>
      </c>
      <c r="F187" s="1962" t="s">
        <v>2647</v>
      </c>
      <c r="G187" s="1962" t="s">
        <v>18</v>
      </c>
      <c r="H187" s="1962" t="s">
        <v>18</v>
      </c>
      <c r="I187" s="1962" t="s">
        <v>1125</v>
      </c>
    </row>
    <row r="188" spans="1:9" ht="11.25" customHeight="1">
      <c r="A188" s="1962" t="s">
        <v>2565</v>
      </c>
      <c r="B188" s="1962" t="s">
        <v>14</v>
      </c>
      <c r="C188" s="1962" t="s">
        <v>2969</v>
      </c>
      <c r="D188" s="1962" t="s">
        <v>2970</v>
      </c>
      <c r="E188" s="1962" t="s">
        <v>2971</v>
      </c>
      <c r="F188" s="1962" t="s">
        <v>2665</v>
      </c>
      <c r="G188" s="1962" t="s">
        <v>18</v>
      </c>
      <c r="H188" s="1962" t="s">
        <v>18</v>
      </c>
      <c r="I188" s="1962" t="s">
        <v>1125</v>
      </c>
    </row>
    <row r="189" spans="1:9" ht="11.25" customHeight="1">
      <c r="A189" s="1962" t="s">
        <v>2565</v>
      </c>
      <c r="B189" s="1962" t="s">
        <v>14</v>
      </c>
      <c r="C189" s="1962" t="s">
        <v>2751</v>
      </c>
      <c r="D189" s="1962" t="s">
        <v>2752</v>
      </c>
      <c r="E189" s="1962" t="s">
        <v>2753</v>
      </c>
      <c r="F189" s="1962" t="s">
        <v>2589</v>
      </c>
      <c r="G189" s="1962" t="s">
        <v>18</v>
      </c>
      <c r="H189" s="1962" t="s">
        <v>18</v>
      </c>
      <c r="I189" s="1962" t="s">
        <v>1125</v>
      </c>
    </row>
    <row r="190" spans="1:9" ht="11.25" customHeight="1">
      <c r="A190" s="1962" t="s">
        <v>2565</v>
      </c>
      <c r="B190" s="1962" t="s">
        <v>14</v>
      </c>
      <c r="C190" s="1962" t="s">
        <v>2771</v>
      </c>
      <c r="D190" s="1962" t="s">
        <v>2772</v>
      </c>
      <c r="E190" s="1962" t="s">
        <v>2773</v>
      </c>
      <c r="F190" s="1962" t="s">
        <v>2732</v>
      </c>
      <c r="G190" s="1962" t="s">
        <v>18</v>
      </c>
      <c r="H190" s="1962" t="s">
        <v>18</v>
      </c>
      <c r="I190" s="1962" t="s">
        <v>1125</v>
      </c>
    </row>
    <row r="191" spans="1:9" ht="11.25" customHeight="1">
      <c r="A191" s="1962" t="s">
        <v>2565</v>
      </c>
      <c r="B191" s="1962" t="s">
        <v>14</v>
      </c>
      <c r="C191" s="1962" t="s">
        <v>2778</v>
      </c>
      <c r="D191" s="1962" t="s">
        <v>2779</v>
      </c>
      <c r="E191" s="1962" t="s">
        <v>2780</v>
      </c>
      <c r="F191" s="1962" t="s">
        <v>2647</v>
      </c>
      <c r="G191" s="1962" t="s">
        <v>18</v>
      </c>
      <c r="H191" s="1962" t="s">
        <v>18</v>
      </c>
      <c r="I191" s="1962" t="s">
        <v>1125</v>
      </c>
    </row>
    <row r="192" spans="1:9" ht="11.25" customHeight="1">
      <c r="A192" s="1962" t="s">
        <v>2565</v>
      </c>
      <c r="B192" s="1962" t="s">
        <v>14</v>
      </c>
      <c r="C192" s="1962" t="s">
        <v>2787</v>
      </c>
      <c r="D192" s="1962" t="s">
        <v>2788</v>
      </c>
      <c r="E192" s="1962" t="s">
        <v>2789</v>
      </c>
      <c r="F192" s="1962" t="s">
        <v>2647</v>
      </c>
      <c r="G192" s="1962" t="s">
        <v>18</v>
      </c>
      <c r="H192" s="1962" t="s">
        <v>18</v>
      </c>
      <c r="I192" s="1962" t="s">
        <v>1125</v>
      </c>
    </row>
    <row r="193" spans="1:9" ht="11.25" customHeight="1">
      <c r="A193" s="1962" t="s">
        <v>2565</v>
      </c>
      <c r="B193" s="1962" t="s">
        <v>14</v>
      </c>
      <c r="C193" s="1962" t="s">
        <v>2972</v>
      </c>
      <c r="D193" s="1962" t="s">
        <v>2973</v>
      </c>
      <c r="E193" s="1962" t="s">
        <v>2974</v>
      </c>
      <c r="F193" s="1962" t="s">
        <v>2728</v>
      </c>
      <c r="G193" s="1962" t="s">
        <v>18</v>
      </c>
      <c r="H193" s="1962" t="s">
        <v>18</v>
      </c>
      <c r="I193" s="1962" t="s">
        <v>1125</v>
      </c>
    </row>
    <row r="194" spans="1:9" ht="11.25" customHeight="1">
      <c r="A194" s="1962" t="s">
        <v>2565</v>
      </c>
      <c r="B194" s="1962" t="s">
        <v>14</v>
      </c>
      <c r="C194" s="1962" t="s">
        <v>2810</v>
      </c>
      <c r="D194" s="1962" t="s">
        <v>2811</v>
      </c>
      <c r="E194" s="1962" t="s">
        <v>2812</v>
      </c>
      <c r="F194" s="1962" t="s">
        <v>2589</v>
      </c>
      <c r="G194" s="1962" t="s">
        <v>18</v>
      </c>
      <c r="H194" s="1962" t="s">
        <v>18</v>
      </c>
      <c r="I194" s="1962" t="s">
        <v>1125</v>
      </c>
    </row>
    <row r="195" spans="1:9" ht="11.25" customHeight="1">
      <c r="A195" s="1962" t="s">
        <v>2565</v>
      </c>
      <c r="B195" s="1962" t="s">
        <v>14</v>
      </c>
      <c r="C195" s="1962" t="s">
        <v>2975</v>
      </c>
      <c r="D195" s="1962" t="s">
        <v>2976</v>
      </c>
      <c r="E195" s="1962" t="s">
        <v>2977</v>
      </c>
      <c r="F195" s="1962" t="s">
        <v>2959</v>
      </c>
      <c r="G195" s="1962" t="s">
        <v>18</v>
      </c>
      <c r="H195" s="1962" t="s">
        <v>18</v>
      </c>
      <c r="I195" s="1962" t="s">
        <v>1125</v>
      </c>
    </row>
    <row r="196" spans="1:9" ht="11.25" customHeight="1">
      <c r="A196" s="1962" t="s">
        <v>2565</v>
      </c>
      <c r="B196" s="1962" t="s">
        <v>14</v>
      </c>
      <c r="C196" s="1962" t="s">
        <v>2816</v>
      </c>
      <c r="D196" s="1962" t="s">
        <v>2817</v>
      </c>
      <c r="E196" s="1962" t="s">
        <v>2818</v>
      </c>
      <c r="F196" s="1962" t="s">
        <v>2819</v>
      </c>
      <c r="G196" s="1962" t="s">
        <v>18</v>
      </c>
      <c r="H196" s="1962" t="s">
        <v>18</v>
      </c>
      <c r="I196" s="1962" t="s">
        <v>1125</v>
      </c>
    </row>
    <row r="197" spans="1:9" ht="11.25" customHeight="1">
      <c r="A197" s="1962" t="s">
        <v>2565</v>
      </c>
      <c r="B197" s="1962" t="s">
        <v>14</v>
      </c>
      <c r="C197" s="1962" t="s">
        <v>18</v>
      </c>
      <c r="D197" s="1962" t="s">
        <v>2566</v>
      </c>
      <c r="E197" s="1962" t="s">
        <v>2567</v>
      </c>
      <c r="F197" s="1962" t="s">
        <v>2568</v>
      </c>
      <c r="G197" s="1962" t="s">
        <v>18</v>
      </c>
      <c r="H197" s="1962" t="s">
        <v>18</v>
      </c>
      <c r="I197" s="1962" t="s">
        <v>1177</v>
      </c>
    </row>
    <row r="198" spans="1:9" ht="11.25" customHeight="1">
      <c r="A198" s="1962" t="s">
        <v>2565</v>
      </c>
      <c r="B198" s="1962" t="s">
        <v>14</v>
      </c>
      <c r="C198" s="1962" t="s">
        <v>2841</v>
      </c>
      <c r="D198" s="1962" t="s">
        <v>2842</v>
      </c>
      <c r="E198" s="1962" t="s">
        <v>2843</v>
      </c>
      <c r="F198" s="1962" t="s">
        <v>2844</v>
      </c>
      <c r="G198" s="1962" t="s">
        <v>18</v>
      </c>
      <c r="H198" s="1962" t="s">
        <v>18</v>
      </c>
      <c r="I198" s="1962" t="s">
        <v>1177</v>
      </c>
    </row>
    <row r="199" spans="1:9" ht="11.25" customHeight="1">
      <c r="A199" s="1962" t="s">
        <v>2565</v>
      </c>
      <c r="B199" s="1962" t="s">
        <v>14</v>
      </c>
      <c r="C199" s="1962" t="s">
        <v>2569</v>
      </c>
      <c r="D199" s="1962" t="s">
        <v>2570</v>
      </c>
      <c r="E199" s="1962" t="s">
        <v>2571</v>
      </c>
      <c r="F199" s="1962" t="s">
        <v>2572</v>
      </c>
      <c r="G199" s="1962" t="s">
        <v>18</v>
      </c>
      <c r="H199" s="1962" t="s">
        <v>18</v>
      </c>
      <c r="I199" s="1962" t="s">
        <v>1177</v>
      </c>
    </row>
    <row r="200" spans="1:9" ht="11.25" customHeight="1">
      <c r="A200" s="1962" t="s">
        <v>2565</v>
      </c>
      <c r="B200" s="1962" t="s">
        <v>14</v>
      </c>
      <c r="C200" s="1962" t="s">
        <v>2577</v>
      </c>
      <c r="D200" s="1962" t="s">
        <v>2578</v>
      </c>
      <c r="E200" s="1962" t="s">
        <v>2579</v>
      </c>
      <c r="F200" s="1962" t="s">
        <v>2580</v>
      </c>
      <c r="G200" s="1962" t="s">
        <v>18</v>
      </c>
      <c r="H200" s="1962" t="s">
        <v>18</v>
      </c>
      <c r="I200" s="1962" t="s">
        <v>1177</v>
      </c>
    </row>
    <row r="201" spans="1:9" ht="11.25" customHeight="1">
      <c r="A201" s="1962" t="s">
        <v>2565</v>
      </c>
      <c r="B201" s="1962" t="s">
        <v>14</v>
      </c>
      <c r="C201" s="1962" t="s">
        <v>2845</v>
      </c>
      <c r="D201" s="1962" t="s">
        <v>2846</v>
      </c>
      <c r="E201" s="1962" t="s">
        <v>2847</v>
      </c>
      <c r="F201" s="1962" t="s">
        <v>2589</v>
      </c>
      <c r="G201" s="1962" t="s">
        <v>18</v>
      </c>
      <c r="H201" s="1962" t="s">
        <v>18</v>
      </c>
      <c r="I201" s="1962" t="s">
        <v>1177</v>
      </c>
    </row>
    <row r="202" spans="1:9" ht="11.25" customHeight="1">
      <c r="A202" s="1962" t="s">
        <v>2565</v>
      </c>
      <c r="B202" s="1962" t="s">
        <v>14</v>
      </c>
      <c r="C202" s="1962" t="s">
        <v>2586</v>
      </c>
      <c r="D202" s="1962" t="s">
        <v>2587</v>
      </c>
      <c r="E202" s="1962" t="s">
        <v>2588</v>
      </c>
      <c r="F202" s="1962" t="s">
        <v>2589</v>
      </c>
      <c r="G202" s="1962" t="s">
        <v>18</v>
      </c>
      <c r="H202" s="1962" t="s">
        <v>18</v>
      </c>
      <c r="I202" s="1962" t="s">
        <v>1177</v>
      </c>
    </row>
    <row r="203" spans="1:9" ht="11.25" customHeight="1">
      <c r="A203" s="1962" t="s">
        <v>2565</v>
      </c>
      <c r="B203" s="1962" t="s">
        <v>14</v>
      </c>
      <c r="C203" s="1962" t="s">
        <v>2594</v>
      </c>
      <c r="D203" s="1962" t="s">
        <v>2595</v>
      </c>
      <c r="E203" s="1962" t="s">
        <v>2596</v>
      </c>
      <c r="F203" s="1962" t="s">
        <v>2597</v>
      </c>
      <c r="G203" s="1962" t="s">
        <v>18</v>
      </c>
      <c r="H203" s="1962" t="s">
        <v>18</v>
      </c>
      <c r="I203" s="1962" t="s">
        <v>1177</v>
      </c>
    </row>
    <row r="204" spans="1:9" ht="11.25" customHeight="1">
      <c r="A204" s="1962" t="s">
        <v>2565</v>
      </c>
      <c r="B204" s="1962" t="s">
        <v>14</v>
      </c>
      <c r="C204" s="1962" t="s">
        <v>18</v>
      </c>
      <c r="D204" s="1962" t="s">
        <v>2602</v>
      </c>
      <c r="E204" s="1962" t="s">
        <v>2603</v>
      </c>
      <c r="F204" s="1962" t="s">
        <v>2589</v>
      </c>
      <c r="G204" s="1962" t="s">
        <v>18</v>
      </c>
      <c r="H204" s="1962" t="s">
        <v>18</v>
      </c>
      <c r="I204" s="1962" t="s">
        <v>1177</v>
      </c>
    </row>
    <row r="205" spans="1:9" ht="11.25" customHeight="1">
      <c r="A205" s="1962" t="s">
        <v>2565</v>
      </c>
      <c r="B205" s="1962" t="s">
        <v>14</v>
      </c>
      <c r="C205" s="1962" t="s">
        <v>2856</v>
      </c>
      <c r="D205" s="1962" t="s">
        <v>2857</v>
      </c>
      <c r="E205" s="1962" t="s">
        <v>2858</v>
      </c>
      <c r="F205" s="1962" t="s">
        <v>840</v>
      </c>
      <c r="G205" s="1962" t="s">
        <v>18</v>
      </c>
      <c r="H205" s="1962" t="s">
        <v>18</v>
      </c>
      <c r="I205" s="1962" t="s">
        <v>1177</v>
      </c>
    </row>
    <row r="206" spans="1:9" ht="11.25" customHeight="1">
      <c r="A206" s="1962" t="s">
        <v>2565</v>
      </c>
      <c r="B206" s="1962" t="s">
        <v>14</v>
      </c>
      <c r="C206" s="1962" t="s">
        <v>2859</v>
      </c>
      <c r="D206" s="1962" t="s">
        <v>2860</v>
      </c>
      <c r="E206" s="1962" t="s">
        <v>2861</v>
      </c>
      <c r="F206" s="1962" t="s">
        <v>2862</v>
      </c>
      <c r="G206" s="1962" t="s">
        <v>18</v>
      </c>
      <c r="H206" s="1962" t="s">
        <v>18</v>
      </c>
      <c r="I206" s="1962" t="s">
        <v>1177</v>
      </c>
    </row>
    <row r="207" spans="1:9" ht="11.25" customHeight="1">
      <c r="A207" s="1962" t="s">
        <v>2565</v>
      </c>
      <c r="B207" s="1962" t="s">
        <v>14</v>
      </c>
      <c r="C207" s="1962" t="s">
        <v>2863</v>
      </c>
      <c r="D207" s="1962" t="s">
        <v>2864</v>
      </c>
      <c r="E207" s="1962" t="s">
        <v>2865</v>
      </c>
      <c r="F207" s="1962" t="s">
        <v>2767</v>
      </c>
      <c r="G207" s="1962" t="s">
        <v>18</v>
      </c>
      <c r="H207" s="1962" t="s">
        <v>18</v>
      </c>
      <c r="I207" s="1962" t="s">
        <v>1177</v>
      </c>
    </row>
    <row r="208" spans="1:9" ht="11.25" customHeight="1">
      <c r="A208" s="1962" t="s">
        <v>2565</v>
      </c>
      <c r="B208" s="1962" t="s">
        <v>14</v>
      </c>
      <c r="C208" s="1962" t="s">
        <v>2866</v>
      </c>
      <c r="D208" s="1962" t="s">
        <v>2867</v>
      </c>
      <c r="E208" s="1962" t="s">
        <v>2868</v>
      </c>
      <c r="F208" s="1962" t="s">
        <v>2737</v>
      </c>
      <c r="G208" s="1962" t="s">
        <v>18</v>
      </c>
      <c r="H208" s="1962" t="s">
        <v>18</v>
      </c>
      <c r="I208" s="1962" t="s">
        <v>1177</v>
      </c>
    </row>
    <row r="209" spans="1:9" ht="11.25" customHeight="1">
      <c r="A209" s="1962" t="s">
        <v>2565</v>
      </c>
      <c r="B209" s="1962" t="s">
        <v>14</v>
      </c>
      <c r="C209" s="1962" t="s">
        <v>2869</v>
      </c>
      <c r="D209" s="1962" t="s">
        <v>2870</v>
      </c>
      <c r="E209" s="1962" t="s">
        <v>2871</v>
      </c>
      <c r="F209" s="1962" t="s">
        <v>2611</v>
      </c>
      <c r="G209" s="1962" t="s">
        <v>18</v>
      </c>
      <c r="H209" s="1962" t="s">
        <v>18</v>
      </c>
      <c r="I209" s="1962" t="s">
        <v>1177</v>
      </c>
    </row>
    <row r="210" spans="1:9" ht="11.25" customHeight="1">
      <c r="A210" s="1962" t="s">
        <v>2565</v>
      </c>
      <c r="B210" s="1962" t="s">
        <v>14</v>
      </c>
      <c r="C210" s="1962" t="s">
        <v>2872</v>
      </c>
      <c r="D210" s="1962" t="s">
        <v>2873</v>
      </c>
      <c r="E210" s="1962" t="s">
        <v>2874</v>
      </c>
      <c r="F210" s="1962" t="s">
        <v>2623</v>
      </c>
      <c r="G210" s="1962" t="s">
        <v>18</v>
      </c>
      <c r="H210" s="1962" t="s">
        <v>18</v>
      </c>
      <c r="I210" s="1962" t="s">
        <v>1177</v>
      </c>
    </row>
    <row r="211" spans="1:9" ht="11.25" customHeight="1">
      <c r="A211" s="1962" t="s">
        <v>2565</v>
      </c>
      <c r="B211" s="1962" t="s">
        <v>14</v>
      </c>
      <c r="C211" s="1962" t="s">
        <v>2875</v>
      </c>
      <c r="D211" s="1962" t="s">
        <v>2876</v>
      </c>
      <c r="E211" s="1962" t="s">
        <v>2877</v>
      </c>
      <c r="F211" s="1962" t="s">
        <v>2767</v>
      </c>
      <c r="G211" s="1962" t="s">
        <v>18</v>
      </c>
      <c r="H211" s="1962" t="s">
        <v>18</v>
      </c>
      <c r="I211" s="1962" t="s">
        <v>1177</v>
      </c>
    </row>
    <row r="212" spans="1:9" ht="11.25" customHeight="1">
      <c r="A212" s="1962" t="s">
        <v>2565</v>
      </c>
      <c r="B212" s="1962" t="s">
        <v>14</v>
      </c>
      <c r="C212" s="1962" t="s">
        <v>2878</v>
      </c>
      <c r="D212" s="1962" t="s">
        <v>2879</v>
      </c>
      <c r="E212" s="1962" t="s">
        <v>2880</v>
      </c>
      <c r="F212" s="1962" t="s">
        <v>2619</v>
      </c>
      <c r="G212" s="1962" t="s">
        <v>18</v>
      </c>
      <c r="H212" s="1962" t="s">
        <v>18</v>
      </c>
      <c r="I212" s="1962" t="s">
        <v>1177</v>
      </c>
    </row>
    <row r="213" spans="1:9" ht="11.25" customHeight="1">
      <c r="A213" s="1962" t="s">
        <v>2565</v>
      </c>
      <c r="B213" s="1962" t="s">
        <v>14</v>
      </c>
      <c r="C213" s="1962" t="s">
        <v>2881</v>
      </c>
      <c r="D213" s="1962" t="s">
        <v>2882</v>
      </c>
      <c r="E213" s="1962" t="s">
        <v>2883</v>
      </c>
      <c r="F213" s="1962" t="s">
        <v>2589</v>
      </c>
      <c r="G213" s="1962" t="s">
        <v>18</v>
      </c>
      <c r="H213" s="1962" t="s">
        <v>18</v>
      </c>
      <c r="I213" s="1962" t="s">
        <v>1177</v>
      </c>
    </row>
    <row r="214" spans="1:9" ht="11.25" customHeight="1">
      <c r="A214" s="1962" t="s">
        <v>2565</v>
      </c>
      <c r="B214" s="1962" t="s">
        <v>14</v>
      </c>
      <c r="C214" s="1962" t="s">
        <v>2608</v>
      </c>
      <c r="D214" s="1962" t="s">
        <v>2609</v>
      </c>
      <c r="E214" s="1962" t="s">
        <v>2610</v>
      </c>
      <c r="F214" s="1962" t="s">
        <v>2611</v>
      </c>
      <c r="G214" s="1962" t="s">
        <v>18</v>
      </c>
      <c r="H214" s="1962" t="s">
        <v>18</v>
      </c>
      <c r="I214" s="1962" t="s">
        <v>1177</v>
      </c>
    </row>
    <row r="215" spans="1:9" ht="11.25" customHeight="1">
      <c r="A215" s="1962" t="s">
        <v>2565</v>
      </c>
      <c r="B215" s="1962" t="s">
        <v>14</v>
      </c>
      <c r="C215" s="1962" t="s">
        <v>2612</v>
      </c>
      <c r="D215" s="1962" t="s">
        <v>2613</v>
      </c>
      <c r="E215" s="1962" t="s">
        <v>2614</v>
      </c>
      <c r="F215" s="1962" t="s">
        <v>2615</v>
      </c>
      <c r="G215" s="1962" t="s">
        <v>18</v>
      </c>
      <c r="H215" s="1962" t="s">
        <v>18</v>
      </c>
      <c r="I215" s="1962" t="s">
        <v>1177</v>
      </c>
    </row>
    <row r="216" spans="1:9" ht="11.25" customHeight="1">
      <c r="A216" s="1962" t="s">
        <v>2565</v>
      </c>
      <c r="B216" s="1962" t="s">
        <v>14</v>
      </c>
      <c r="C216" s="1962" t="s">
        <v>2887</v>
      </c>
      <c r="D216" s="1962" t="s">
        <v>2888</v>
      </c>
      <c r="E216" s="1962" t="s">
        <v>2889</v>
      </c>
      <c r="F216" s="1962" t="s">
        <v>2673</v>
      </c>
      <c r="G216" s="1962" t="s">
        <v>18</v>
      </c>
      <c r="H216" s="1962" t="s">
        <v>18</v>
      </c>
      <c r="I216" s="1962" t="s">
        <v>1177</v>
      </c>
    </row>
    <row r="217" spans="1:9" ht="11.25" customHeight="1">
      <c r="A217" s="1962" t="s">
        <v>2565</v>
      </c>
      <c r="B217" s="1962" t="s">
        <v>14</v>
      </c>
      <c r="C217" s="1962" t="s">
        <v>2890</v>
      </c>
      <c r="D217" s="1962" t="s">
        <v>2891</v>
      </c>
      <c r="E217" s="1962" t="s">
        <v>2892</v>
      </c>
      <c r="F217" s="1962" t="s">
        <v>2643</v>
      </c>
      <c r="G217" s="1962" t="s">
        <v>18</v>
      </c>
      <c r="H217" s="1962" t="s">
        <v>18</v>
      </c>
      <c r="I217" s="1962" t="s">
        <v>1177</v>
      </c>
    </row>
    <row r="218" spans="1:9" ht="11.25" customHeight="1">
      <c r="A218" s="1962" t="s">
        <v>2565</v>
      </c>
      <c r="B218" s="1962" t="s">
        <v>14</v>
      </c>
      <c r="C218" s="1962" t="s">
        <v>2893</v>
      </c>
      <c r="D218" s="1962" t="s">
        <v>2894</v>
      </c>
      <c r="E218" s="1962" t="s">
        <v>2895</v>
      </c>
      <c r="F218" s="1962" t="s">
        <v>2651</v>
      </c>
      <c r="G218" s="1962" t="s">
        <v>18</v>
      </c>
      <c r="H218" s="1962" t="s">
        <v>18</v>
      </c>
      <c r="I218" s="1962" t="s">
        <v>1177</v>
      </c>
    </row>
    <row r="219" spans="1:9" ht="11.25" customHeight="1">
      <c r="A219" s="1962" t="s">
        <v>2565</v>
      </c>
      <c r="B219" s="1962" t="s">
        <v>14</v>
      </c>
      <c r="C219" s="1962" t="s">
        <v>2620</v>
      </c>
      <c r="D219" s="1962" t="s">
        <v>2621</v>
      </c>
      <c r="E219" s="1962" t="s">
        <v>2622</v>
      </c>
      <c r="F219" s="1962" t="s">
        <v>2623</v>
      </c>
      <c r="G219" s="1962" t="s">
        <v>18</v>
      </c>
      <c r="H219" s="1962" t="s">
        <v>18</v>
      </c>
      <c r="I219" s="1962" t="s">
        <v>1177</v>
      </c>
    </row>
    <row r="220" spans="1:9" ht="11.25" customHeight="1">
      <c r="A220" s="1962" t="s">
        <v>2565</v>
      </c>
      <c r="B220" s="1962" t="s">
        <v>14</v>
      </c>
      <c r="C220" s="1962" t="s">
        <v>2899</v>
      </c>
      <c r="D220" s="1962" t="s">
        <v>2900</v>
      </c>
      <c r="E220" s="1962" t="s">
        <v>2901</v>
      </c>
      <c r="F220" s="1962" t="s">
        <v>2669</v>
      </c>
      <c r="G220" s="1962" t="s">
        <v>18</v>
      </c>
      <c r="H220" s="1962" t="s">
        <v>18</v>
      </c>
      <c r="I220" s="1962" t="s">
        <v>1177</v>
      </c>
    </row>
    <row r="221" spans="1:9" ht="11.25" customHeight="1">
      <c r="A221" s="1962" t="s">
        <v>2565</v>
      </c>
      <c r="B221" s="1962" t="s">
        <v>14</v>
      </c>
      <c r="C221" s="1962" t="s">
        <v>2624</v>
      </c>
      <c r="D221" s="1962" t="s">
        <v>2625</v>
      </c>
      <c r="E221" s="1962" t="s">
        <v>2626</v>
      </c>
      <c r="F221" s="1962" t="s">
        <v>2627</v>
      </c>
      <c r="G221" s="1962" t="s">
        <v>18</v>
      </c>
      <c r="H221" s="1962" t="s">
        <v>18</v>
      </c>
      <c r="I221" s="1962" t="s">
        <v>1177</v>
      </c>
    </row>
    <row r="222" spans="1:9" ht="11.25" customHeight="1">
      <c r="A222" s="1962" t="s">
        <v>2565</v>
      </c>
      <c r="B222" s="1962" t="s">
        <v>14</v>
      </c>
      <c r="C222" s="1962" t="s">
        <v>2902</v>
      </c>
      <c r="D222" s="1962" t="s">
        <v>2903</v>
      </c>
      <c r="E222" s="1962" t="s">
        <v>2904</v>
      </c>
      <c r="F222" s="1962" t="s">
        <v>2905</v>
      </c>
      <c r="G222" s="1962" t="s">
        <v>18</v>
      </c>
      <c r="H222" s="1962" t="s">
        <v>18</v>
      </c>
      <c r="I222" s="1962" t="s">
        <v>1177</v>
      </c>
    </row>
    <row r="223" spans="1:9" ht="11.25" customHeight="1">
      <c r="A223" s="1962" t="s">
        <v>2565</v>
      </c>
      <c r="B223" s="1962" t="s">
        <v>14</v>
      </c>
      <c r="C223" s="1962" t="s">
        <v>2631</v>
      </c>
      <c r="D223" s="1962" t="s">
        <v>2632</v>
      </c>
      <c r="E223" s="1962" t="s">
        <v>2633</v>
      </c>
      <c r="F223" s="1962" t="s">
        <v>2634</v>
      </c>
      <c r="G223" s="1962" t="s">
        <v>18</v>
      </c>
      <c r="H223" s="1962" t="s">
        <v>18</v>
      </c>
      <c r="I223" s="1962" t="s">
        <v>1177</v>
      </c>
    </row>
    <row r="224" spans="1:9" ht="11.25" customHeight="1">
      <c r="A224" s="1962" t="s">
        <v>2565</v>
      </c>
      <c r="B224" s="1962" t="s">
        <v>14</v>
      </c>
      <c r="C224" s="1962" t="s">
        <v>2635</v>
      </c>
      <c r="D224" s="1962" t="s">
        <v>2636</v>
      </c>
      <c r="E224" s="1962" t="s">
        <v>2637</v>
      </c>
      <c r="F224" s="1962" t="s">
        <v>2638</v>
      </c>
      <c r="G224" s="1962" t="s">
        <v>2639</v>
      </c>
      <c r="H224" s="1962" t="s">
        <v>18</v>
      </c>
      <c r="I224" s="1962" t="s">
        <v>1177</v>
      </c>
    </row>
    <row r="225" spans="1:9" ht="11.25" customHeight="1">
      <c r="A225" s="1962" t="s">
        <v>2565</v>
      </c>
      <c r="B225" s="1962" t="s">
        <v>14</v>
      </c>
      <c r="C225" s="1962" t="s">
        <v>2906</v>
      </c>
      <c r="D225" s="1962" t="s">
        <v>2636</v>
      </c>
      <c r="E225" s="1962" t="s">
        <v>2637</v>
      </c>
      <c r="F225" s="1962" t="s">
        <v>2907</v>
      </c>
      <c r="G225" s="1962" t="s">
        <v>18</v>
      </c>
      <c r="H225" s="1962" t="s">
        <v>18</v>
      </c>
      <c r="I225" s="1962" t="s">
        <v>1177</v>
      </c>
    </row>
    <row r="226" spans="1:9" ht="11.25" customHeight="1">
      <c r="A226" s="1962" t="s">
        <v>2565</v>
      </c>
      <c r="B226" s="1962" t="s">
        <v>14</v>
      </c>
      <c r="C226" s="1962" t="s">
        <v>2644</v>
      </c>
      <c r="D226" s="1962" t="s">
        <v>2645</v>
      </c>
      <c r="E226" s="1962" t="s">
        <v>2646</v>
      </c>
      <c r="F226" s="1962" t="s">
        <v>2647</v>
      </c>
      <c r="G226" s="1962" t="s">
        <v>18</v>
      </c>
      <c r="H226" s="1962" t="s">
        <v>18</v>
      </c>
      <c r="I226" s="1962" t="s">
        <v>1177</v>
      </c>
    </row>
    <row r="227" spans="1:9" ht="11.25" customHeight="1">
      <c r="A227" s="1962" t="s">
        <v>2565</v>
      </c>
      <c r="B227" s="1962" t="s">
        <v>14</v>
      </c>
      <c r="C227" s="1962" t="s">
        <v>2911</v>
      </c>
      <c r="D227" s="1962" t="s">
        <v>2912</v>
      </c>
      <c r="E227" s="1962" t="s">
        <v>2913</v>
      </c>
      <c r="F227" s="1962" t="s">
        <v>2914</v>
      </c>
      <c r="G227" s="1962" t="s">
        <v>18</v>
      </c>
      <c r="H227" s="1962" t="s">
        <v>18</v>
      </c>
      <c r="I227" s="1962" t="s">
        <v>1177</v>
      </c>
    </row>
    <row r="228" spans="1:9" ht="11.25" customHeight="1">
      <c r="A228" s="1962" t="s">
        <v>2565</v>
      </c>
      <c r="B228" s="1962" t="s">
        <v>14</v>
      </c>
      <c r="C228" s="1962" t="s">
        <v>2648</v>
      </c>
      <c r="D228" s="1962" t="s">
        <v>2649</v>
      </c>
      <c r="E228" s="1962" t="s">
        <v>2650</v>
      </c>
      <c r="F228" s="1962" t="s">
        <v>2651</v>
      </c>
      <c r="G228" s="1962" t="s">
        <v>18</v>
      </c>
      <c r="H228" s="1962" t="s">
        <v>18</v>
      </c>
      <c r="I228" s="1962" t="s">
        <v>1177</v>
      </c>
    </row>
    <row r="229" spans="1:9" ht="11.25" customHeight="1">
      <c r="A229" s="1962" t="s">
        <v>2565</v>
      </c>
      <c r="B229" s="1962" t="s">
        <v>14</v>
      </c>
      <c r="C229" s="1962" t="s">
        <v>2915</v>
      </c>
      <c r="D229" s="1962" t="s">
        <v>2916</v>
      </c>
      <c r="E229" s="1962" t="s">
        <v>2917</v>
      </c>
      <c r="F229" s="1962" t="s">
        <v>2647</v>
      </c>
      <c r="G229" s="1962" t="s">
        <v>18</v>
      </c>
      <c r="H229" s="1962" t="s">
        <v>18</v>
      </c>
      <c r="I229" s="1962" t="s">
        <v>1177</v>
      </c>
    </row>
    <row r="230" spans="1:9" ht="11.25" customHeight="1">
      <c r="A230" s="1962" t="s">
        <v>2565</v>
      </c>
      <c r="B230" s="1962" t="s">
        <v>14</v>
      </c>
      <c r="C230" s="1962" t="s">
        <v>2652</v>
      </c>
      <c r="D230" s="1962" t="s">
        <v>2653</v>
      </c>
      <c r="E230" s="1962" t="s">
        <v>2654</v>
      </c>
      <c r="F230" s="1962" t="s">
        <v>2638</v>
      </c>
      <c r="G230" s="1962" t="s">
        <v>18</v>
      </c>
      <c r="H230" s="1962" t="s">
        <v>18</v>
      </c>
      <c r="I230" s="1962" t="s">
        <v>1177</v>
      </c>
    </row>
    <row r="231" spans="1:9" ht="11.25" customHeight="1">
      <c r="A231" s="1962" t="s">
        <v>2565</v>
      </c>
      <c r="B231" s="1962" t="s">
        <v>14</v>
      </c>
      <c r="C231" s="1962" t="s">
        <v>2658</v>
      </c>
      <c r="D231" s="1962" t="s">
        <v>2659</v>
      </c>
      <c r="E231" s="1962" t="s">
        <v>2660</v>
      </c>
      <c r="F231" s="1962" t="s">
        <v>2661</v>
      </c>
      <c r="G231" s="1962" t="s">
        <v>18</v>
      </c>
      <c r="H231" s="1962" t="s">
        <v>18</v>
      </c>
      <c r="I231" s="1962" t="s">
        <v>1177</v>
      </c>
    </row>
    <row r="232" spans="1:9" ht="11.25" customHeight="1">
      <c r="A232" s="1962" t="s">
        <v>2565</v>
      </c>
      <c r="B232" s="1962" t="s">
        <v>14</v>
      </c>
      <c r="C232" s="1962" t="s">
        <v>2918</v>
      </c>
      <c r="D232" s="1962" t="s">
        <v>2919</v>
      </c>
      <c r="E232" s="1962" t="s">
        <v>2920</v>
      </c>
      <c r="F232" s="1962" t="s">
        <v>2665</v>
      </c>
      <c r="G232" s="1962" t="s">
        <v>18</v>
      </c>
      <c r="H232" s="1962" t="s">
        <v>18</v>
      </c>
      <c r="I232" s="1962" t="s">
        <v>1177</v>
      </c>
    </row>
    <row r="233" spans="1:9" ht="11.25" customHeight="1">
      <c r="A233" s="1962" t="s">
        <v>2565</v>
      </c>
      <c r="B233" s="1962" t="s">
        <v>14</v>
      </c>
      <c r="C233" s="1962" t="s">
        <v>2921</v>
      </c>
      <c r="D233" s="1962" t="s">
        <v>2922</v>
      </c>
      <c r="E233" s="1962" t="s">
        <v>2923</v>
      </c>
      <c r="F233" s="1962" t="s">
        <v>2924</v>
      </c>
      <c r="G233" s="1962" t="s">
        <v>18</v>
      </c>
      <c r="H233" s="1962" t="s">
        <v>18</v>
      </c>
      <c r="I233" s="1962" t="s">
        <v>1177</v>
      </c>
    </row>
    <row r="234" spans="1:9" ht="11.25" customHeight="1">
      <c r="A234" s="1962" t="s">
        <v>2565</v>
      </c>
      <c r="B234" s="1962" t="s">
        <v>14</v>
      </c>
      <c r="C234" s="1962" t="s">
        <v>2677</v>
      </c>
      <c r="D234" s="1962" t="s">
        <v>2678</v>
      </c>
      <c r="E234" s="1962" t="s">
        <v>2679</v>
      </c>
      <c r="F234" s="1962" t="s">
        <v>2680</v>
      </c>
      <c r="G234" s="1962" t="s">
        <v>18</v>
      </c>
      <c r="H234" s="1962" t="s">
        <v>18</v>
      </c>
      <c r="I234" s="1962" t="s">
        <v>1177</v>
      </c>
    </row>
    <row r="235" spans="1:9" ht="11.25" customHeight="1">
      <c r="A235" s="1962" t="s">
        <v>2565</v>
      </c>
      <c r="B235" s="1962" t="s">
        <v>14</v>
      </c>
      <c r="C235" s="1962" t="s">
        <v>2925</v>
      </c>
      <c r="D235" s="1962" t="s">
        <v>2926</v>
      </c>
      <c r="E235" s="1962" t="s">
        <v>2927</v>
      </c>
      <c r="F235" s="1962" t="s">
        <v>2928</v>
      </c>
      <c r="G235" s="1962" t="s">
        <v>18</v>
      </c>
      <c r="H235" s="1962" t="s">
        <v>18</v>
      </c>
      <c r="I235" s="1962" t="s">
        <v>1177</v>
      </c>
    </row>
    <row r="236" spans="1:9" ht="11.25" customHeight="1">
      <c r="A236" s="1962" t="s">
        <v>2565</v>
      </c>
      <c r="B236" s="1962" t="s">
        <v>14</v>
      </c>
      <c r="C236" s="1962" t="s">
        <v>2681</v>
      </c>
      <c r="D236" s="1962" t="s">
        <v>2682</v>
      </c>
      <c r="E236" s="1962" t="s">
        <v>2683</v>
      </c>
      <c r="F236" s="1962" t="s">
        <v>2684</v>
      </c>
      <c r="G236" s="1962" t="s">
        <v>18</v>
      </c>
      <c r="H236" s="1962" t="s">
        <v>18</v>
      </c>
      <c r="I236" s="1962" t="s">
        <v>1177</v>
      </c>
    </row>
    <row r="237" spans="1:9" ht="11.25" customHeight="1">
      <c r="A237" s="1962" t="s">
        <v>2565</v>
      </c>
      <c r="B237" s="1962" t="s">
        <v>14</v>
      </c>
      <c r="C237" s="1962" t="s">
        <v>2685</v>
      </c>
      <c r="D237" s="1962" t="s">
        <v>2686</v>
      </c>
      <c r="E237" s="1962" t="s">
        <v>2687</v>
      </c>
      <c r="F237" s="1962" t="s">
        <v>2647</v>
      </c>
      <c r="G237" s="1962" t="s">
        <v>18</v>
      </c>
      <c r="H237" s="1962" t="s">
        <v>18</v>
      </c>
      <c r="I237" s="1962" t="s">
        <v>1177</v>
      </c>
    </row>
    <row r="238" spans="1:9" ht="11.25" customHeight="1">
      <c r="A238" s="1962" t="s">
        <v>2565</v>
      </c>
      <c r="B238" s="1962" t="s">
        <v>14</v>
      </c>
      <c r="C238" s="1962" t="s">
        <v>2702</v>
      </c>
      <c r="D238" s="1962" t="s">
        <v>2703</v>
      </c>
      <c r="E238" s="1962" t="s">
        <v>2704</v>
      </c>
      <c r="F238" s="1962" t="s">
        <v>2705</v>
      </c>
      <c r="G238" s="1962" t="s">
        <v>18</v>
      </c>
      <c r="H238" s="1962" t="s">
        <v>18</v>
      </c>
      <c r="I238" s="1962" t="s">
        <v>1177</v>
      </c>
    </row>
    <row r="239" spans="1:9" ht="11.25" customHeight="1">
      <c r="A239" s="1962" t="s">
        <v>2565</v>
      </c>
      <c r="B239" s="1962" t="s">
        <v>14</v>
      </c>
      <c r="C239" s="1962" t="s">
        <v>2706</v>
      </c>
      <c r="D239" s="1962" t="s">
        <v>2707</v>
      </c>
      <c r="E239" s="1962" t="s">
        <v>2708</v>
      </c>
      <c r="F239" s="1962" t="s">
        <v>2709</v>
      </c>
      <c r="G239" s="1962" t="s">
        <v>18</v>
      </c>
      <c r="H239" s="1962" t="s">
        <v>18</v>
      </c>
      <c r="I239" s="1962" t="s">
        <v>1177</v>
      </c>
    </row>
    <row r="240" spans="1:9" ht="11.25" customHeight="1">
      <c r="A240" s="1962" t="s">
        <v>2565</v>
      </c>
      <c r="B240" s="1962" t="s">
        <v>14</v>
      </c>
      <c r="C240" s="1962" t="s">
        <v>2713</v>
      </c>
      <c r="D240" s="1962" t="s">
        <v>2714</v>
      </c>
      <c r="E240" s="1962" t="s">
        <v>2715</v>
      </c>
      <c r="F240" s="1962" t="s">
        <v>2673</v>
      </c>
      <c r="G240" s="1962" t="s">
        <v>18</v>
      </c>
      <c r="H240" s="1962" t="s">
        <v>18</v>
      </c>
      <c r="I240" s="1962" t="s">
        <v>1177</v>
      </c>
    </row>
    <row r="241" spans="1:9" ht="11.25" customHeight="1">
      <c r="A241" s="1962" t="s">
        <v>2565</v>
      </c>
      <c r="B241" s="1962" t="s">
        <v>14</v>
      </c>
      <c r="C241" s="1962" t="s">
        <v>2716</v>
      </c>
      <c r="D241" s="1962" t="s">
        <v>2717</v>
      </c>
      <c r="E241" s="1962" t="s">
        <v>2718</v>
      </c>
      <c r="F241" s="1962" t="s">
        <v>2647</v>
      </c>
      <c r="G241" s="1962" t="s">
        <v>18</v>
      </c>
      <c r="H241" s="1962" t="s">
        <v>18</v>
      </c>
      <c r="I241" s="1962" t="s">
        <v>1177</v>
      </c>
    </row>
    <row r="242" spans="1:9" ht="11.25" customHeight="1">
      <c r="A242" s="1962" t="s">
        <v>2565</v>
      </c>
      <c r="B242" s="1962" t="s">
        <v>14</v>
      </c>
      <c r="C242" s="1962" t="s">
        <v>2941</v>
      </c>
      <c r="D242" s="1962" t="s">
        <v>2942</v>
      </c>
      <c r="E242" s="1962" t="s">
        <v>2943</v>
      </c>
      <c r="F242" s="1962" t="s">
        <v>2767</v>
      </c>
      <c r="G242" s="1962" t="s">
        <v>18</v>
      </c>
      <c r="H242" s="1962" t="s">
        <v>18</v>
      </c>
      <c r="I242" s="1962" t="s">
        <v>1177</v>
      </c>
    </row>
    <row r="243" spans="1:9" ht="11.25" customHeight="1">
      <c r="A243" s="1962" t="s">
        <v>2565</v>
      </c>
      <c r="B243" s="1962" t="s">
        <v>14</v>
      </c>
      <c r="C243" s="1962" t="s">
        <v>2944</v>
      </c>
      <c r="D243" s="1962" t="s">
        <v>2945</v>
      </c>
      <c r="E243" s="1962" t="s">
        <v>2946</v>
      </c>
      <c r="F243" s="1962" t="s">
        <v>2737</v>
      </c>
      <c r="G243" s="1962" t="s">
        <v>18</v>
      </c>
      <c r="H243" s="1962" t="s">
        <v>18</v>
      </c>
      <c r="I243" s="1962" t="s">
        <v>1177</v>
      </c>
    </row>
    <row r="244" spans="1:9" ht="11.25" customHeight="1">
      <c r="A244" s="1962" t="s">
        <v>2565</v>
      </c>
      <c r="B244" s="1962" t="s">
        <v>14</v>
      </c>
      <c r="C244" s="1962" t="s">
        <v>2719</v>
      </c>
      <c r="D244" s="1962" t="s">
        <v>2720</v>
      </c>
      <c r="E244" s="1962" t="s">
        <v>2721</v>
      </c>
      <c r="F244" s="1962" t="s">
        <v>48</v>
      </c>
      <c r="G244" s="1962" t="s">
        <v>18</v>
      </c>
      <c r="H244" s="1962" t="s">
        <v>18</v>
      </c>
      <c r="I244" s="1962" t="s">
        <v>1177</v>
      </c>
    </row>
    <row r="245" spans="1:9" ht="11.25" customHeight="1">
      <c r="A245" s="1962" t="s">
        <v>2565</v>
      </c>
      <c r="B245" s="1962" t="s">
        <v>14</v>
      </c>
      <c r="C245" s="1962" t="s">
        <v>2947</v>
      </c>
      <c r="D245" s="1962" t="s">
        <v>2948</v>
      </c>
      <c r="E245" s="1962" t="s">
        <v>2949</v>
      </c>
      <c r="F245" s="1962" t="s">
        <v>2741</v>
      </c>
      <c r="G245" s="1962" t="s">
        <v>18</v>
      </c>
      <c r="H245" s="1962" t="s">
        <v>18</v>
      </c>
      <c r="I245" s="1962" t="s">
        <v>1177</v>
      </c>
    </row>
    <row r="246" spans="1:9" ht="11.25" customHeight="1">
      <c r="A246" s="1962" t="s">
        <v>2565</v>
      </c>
      <c r="B246" s="1962" t="s">
        <v>14</v>
      </c>
      <c r="C246" s="1962" t="s">
        <v>2950</v>
      </c>
      <c r="D246" s="1962" t="s">
        <v>2951</v>
      </c>
      <c r="E246" s="1962" t="s">
        <v>2952</v>
      </c>
      <c r="F246" s="1962" t="s">
        <v>2665</v>
      </c>
      <c r="G246" s="1962" t="s">
        <v>18</v>
      </c>
      <c r="H246" s="1962" t="s">
        <v>18</v>
      </c>
      <c r="I246" s="1962" t="s">
        <v>1177</v>
      </c>
    </row>
    <row r="247" spans="1:9" ht="11.25" customHeight="1">
      <c r="A247" s="1962" t="s">
        <v>2565</v>
      </c>
      <c r="B247" s="1962" t="s">
        <v>14</v>
      </c>
      <c r="C247" s="1962" t="s">
        <v>2953</v>
      </c>
      <c r="D247" s="1962" t="s">
        <v>2954</v>
      </c>
      <c r="E247" s="1962" t="s">
        <v>2955</v>
      </c>
      <c r="F247" s="1962" t="s">
        <v>2665</v>
      </c>
      <c r="G247" s="1962" t="s">
        <v>18</v>
      </c>
      <c r="H247" s="1962" t="s">
        <v>18</v>
      </c>
      <c r="I247" s="1962" t="s">
        <v>1177</v>
      </c>
    </row>
    <row r="248" spans="1:9" ht="11.25" customHeight="1">
      <c r="A248" s="1962" t="s">
        <v>2565</v>
      </c>
      <c r="B248" s="1962" t="s">
        <v>14</v>
      </c>
      <c r="C248" s="1962" t="s">
        <v>2956</v>
      </c>
      <c r="D248" s="1962" t="s">
        <v>2957</v>
      </c>
      <c r="E248" s="1962" t="s">
        <v>2958</v>
      </c>
      <c r="F248" s="1962" t="s">
        <v>2959</v>
      </c>
      <c r="G248" s="1962" t="s">
        <v>18</v>
      </c>
      <c r="H248" s="1962" t="s">
        <v>18</v>
      </c>
      <c r="I248" s="1962" t="s">
        <v>1177</v>
      </c>
    </row>
    <row r="249" spans="1:9" ht="11.25" customHeight="1">
      <c r="A249" s="1962" t="s">
        <v>2565</v>
      </c>
      <c r="B249" s="1962" t="s">
        <v>14</v>
      </c>
      <c r="C249" s="1962" t="s">
        <v>2960</v>
      </c>
      <c r="D249" s="1962" t="s">
        <v>2961</v>
      </c>
      <c r="E249" s="1962" t="s">
        <v>2962</v>
      </c>
      <c r="F249" s="1962" t="s">
        <v>2647</v>
      </c>
      <c r="G249" s="1962" t="s">
        <v>18</v>
      </c>
      <c r="H249" s="1962" t="s">
        <v>18</v>
      </c>
      <c r="I249" s="1962" t="s">
        <v>1177</v>
      </c>
    </row>
    <row r="250" spans="1:9" ht="11.25" customHeight="1">
      <c r="A250" s="1962" t="s">
        <v>2565</v>
      </c>
      <c r="B250" s="1962" t="s">
        <v>14</v>
      </c>
      <c r="C250" s="1962" t="s">
        <v>2725</v>
      </c>
      <c r="D250" s="1962" t="s">
        <v>2726</v>
      </c>
      <c r="E250" s="1962" t="s">
        <v>2727</v>
      </c>
      <c r="F250" s="1962" t="s">
        <v>2728</v>
      </c>
      <c r="G250" s="1962" t="s">
        <v>18</v>
      </c>
      <c r="H250" s="1962" t="s">
        <v>18</v>
      </c>
      <c r="I250" s="1962" t="s">
        <v>1177</v>
      </c>
    </row>
    <row r="251" spans="1:9" ht="11.25" customHeight="1">
      <c r="A251" s="1962" t="s">
        <v>2565</v>
      </c>
      <c r="B251" s="1962" t="s">
        <v>14</v>
      </c>
      <c r="C251" s="1962" t="s">
        <v>2978</v>
      </c>
      <c r="D251" s="1962" t="s">
        <v>2979</v>
      </c>
      <c r="E251" s="1962" t="s">
        <v>2980</v>
      </c>
      <c r="F251" s="1962" t="s">
        <v>2680</v>
      </c>
      <c r="G251" s="1962" t="s">
        <v>18</v>
      </c>
      <c r="H251" s="1962" t="s">
        <v>18</v>
      </c>
      <c r="I251" s="1962" t="s">
        <v>1177</v>
      </c>
    </row>
    <row r="252" spans="1:9" ht="11.25" customHeight="1">
      <c r="A252" s="1962" t="s">
        <v>2565</v>
      </c>
      <c r="B252" s="1962" t="s">
        <v>14</v>
      </c>
      <c r="C252" s="1962" t="s">
        <v>2966</v>
      </c>
      <c r="D252" s="1962" t="s">
        <v>2967</v>
      </c>
      <c r="E252" s="1962" t="s">
        <v>2968</v>
      </c>
      <c r="F252" s="1962" t="s">
        <v>2647</v>
      </c>
      <c r="G252" s="1962" t="s">
        <v>18</v>
      </c>
      <c r="H252" s="1962" t="s">
        <v>18</v>
      </c>
      <c r="I252" s="1962" t="s">
        <v>1177</v>
      </c>
    </row>
    <row r="253" spans="1:9" ht="11.25" customHeight="1">
      <c r="A253" s="1962" t="s">
        <v>2565</v>
      </c>
      <c r="B253" s="1962" t="s">
        <v>14</v>
      </c>
      <c r="C253" s="1962" t="s">
        <v>2729</v>
      </c>
      <c r="D253" s="1962" t="s">
        <v>2730</v>
      </c>
      <c r="E253" s="1962" t="s">
        <v>2731</v>
      </c>
      <c r="F253" s="1962" t="s">
        <v>2732</v>
      </c>
      <c r="G253" s="1962" t="s">
        <v>2733</v>
      </c>
      <c r="H253" s="1962" t="s">
        <v>18</v>
      </c>
      <c r="I253" s="1962" t="s">
        <v>1177</v>
      </c>
    </row>
    <row r="254" spans="1:9" ht="11.25" customHeight="1">
      <c r="A254" s="1962" t="s">
        <v>2565</v>
      </c>
      <c r="B254" s="1962" t="s">
        <v>14</v>
      </c>
      <c r="C254" s="1962" t="s">
        <v>2981</v>
      </c>
      <c r="D254" s="1962" t="s">
        <v>2982</v>
      </c>
      <c r="E254" s="1962" t="s">
        <v>2983</v>
      </c>
      <c r="F254" s="1962" t="s">
        <v>2844</v>
      </c>
      <c r="G254" s="1962" t="s">
        <v>18</v>
      </c>
      <c r="H254" s="1962" t="s">
        <v>18</v>
      </c>
      <c r="I254" s="1962" t="s">
        <v>1177</v>
      </c>
    </row>
    <row r="255" spans="1:9" ht="11.25" customHeight="1">
      <c r="A255" s="1962" t="s">
        <v>2565</v>
      </c>
      <c r="B255" s="1962" t="s">
        <v>14</v>
      </c>
      <c r="C255" s="1962" t="s">
        <v>2742</v>
      </c>
      <c r="D255" s="1962" t="s">
        <v>2743</v>
      </c>
      <c r="E255" s="1962" t="s">
        <v>2744</v>
      </c>
      <c r="F255" s="1962" t="s">
        <v>2647</v>
      </c>
      <c r="G255" s="1962" t="s">
        <v>18</v>
      </c>
      <c r="H255" s="1962" t="s">
        <v>18</v>
      </c>
      <c r="I255" s="1962" t="s">
        <v>1177</v>
      </c>
    </row>
    <row r="256" spans="1:9" ht="11.25" customHeight="1">
      <c r="A256" s="1962" t="s">
        <v>2565</v>
      </c>
      <c r="B256" s="1962" t="s">
        <v>14</v>
      </c>
      <c r="C256" s="1962" t="s">
        <v>2969</v>
      </c>
      <c r="D256" s="1962" t="s">
        <v>2970</v>
      </c>
      <c r="E256" s="1962" t="s">
        <v>2971</v>
      </c>
      <c r="F256" s="1962" t="s">
        <v>2665</v>
      </c>
      <c r="G256" s="1962" t="s">
        <v>18</v>
      </c>
      <c r="H256" s="1962" t="s">
        <v>18</v>
      </c>
      <c r="I256" s="1962" t="s">
        <v>1177</v>
      </c>
    </row>
    <row r="257" spans="1:9" ht="11.25" customHeight="1">
      <c r="A257" s="1962" t="s">
        <v>2565</v>
      </c>
      <c r="B257" s="1962" t="s">
        <v>14</v>
      </c>
      <c r="C257" s="1962" t="s">
        <v>2751</v>
      </c>
      <c r="D257" s="1962" t="s">
        <v>2752</v>
      </c>
      <c r="E257" s="1962" t="s">
        <v>2753</v>
      </c>
      <c r="F257" s="1962" t="s">
        <v>2589</v>
      </c>
      <c r="G257" s="1962" t="s">
        <v>18</v>
      </c>
      <c r="H257" s="1962" t="s">
        <v>18</v>
      </c>
      <c r="I257" s="1962" t="s">
        <v>1177</v>
      </c>
    </row>
    <row r="258" spans="1:9" ht="11.25" customHeight="1">
      <c r="A258" s="1962" t="s">
        <v>2565</v>
      </c>
      <c r="B258" s="1962" t="s">
        <v>14</v>
      </c>
      <c r="C258" s="1962" t="s">
        <v>2771</v>
      </c>
      <c r="D258" s="1962" t="s">
        <v>2772</v>
      </c>
      <c r="E258" s="1962" t="s">
        <v>2773</v>
      </c>
      <c r="F258" s="1962" t="s">
        <v>2732</v>
      </c>
      <c r="G258" s="1962" t="s">
        <v>18</v>
      </c>
      <c r="H258" s="1962" t="s">
        <v>18</v>
      </c>
      <c r="I258" s="1962" t="s">
        <v>1177</v>
      </c>
    </row>
    <row r="259" spans="1:9" ht="11.25" customHeight="1">
      <c r="A259" s="1962" t="s">
        <v>2565</v>
      </c>
      <c r="B259" s="1962" t="s">
        <v>14</v>
      </c>
      <c r="C259" s="1962" t="s">
        <v>2778</v>
      </c>
      <c r="D259" s="1962" t="s">
        <v>2779</v>
      </c>
      <c r="E259" s="1962" t="s">
        <v>2780</v>
      </c>
      <c r="F259" s="1962" t="s">
        <v>2647</v>
      </c>
      <c r="G259" s="1962" t="s">
        <v>18</v>
      </c>
      <c r="H259" s="1962" t="s">
        <v>18</v>
      </c>
      <c r="I259" s="1962" t="s">
        <v>1177</v>
      </c>
    </row>
    <row r="260" spans="1:9" ht="11.25" customHeight="1">
      <c r="A260" s="1962" t="s">
        <v>2565</v>
      </c>
      <c r="B260" s="1962" t="s">
        <v>14</v>
      </c>
      <c r="C260" s="1962" t="s">
        <v>2787</v>
      </c>
      <c r="D260" s="1962" t="s">
        <v>2788</v>
      </c>
      <c r="E260" s="1962" t="s">
        <v>2789</v>
      </c>
      <c r="F260" s="1962" t="s">
        <v>2647</v>
      </c>
      <c r="G260" s="1962" t="s">
        <v>18</v>
      </c>
      <c r="H260" s="1962" t="s">
        <v>18</v>
      </c>
      <c r="I260" s="1962" t="s">
        <v>1177</v>
      </c>
    </row>
    <row r="261" spans="1:9" ht="11.25" customHeight="1">
      <c r="A261" s="1962" t="s">
        <v>2565</v>
      </c>
      <c r="B261" s="1962" t="s">
        <v>14</v>
      </c>
      <c r="C261" s="1962" t="s">
        <v>2810</v>
      </c>
      <c r="D261" s="1962" t="s">
        <v>2811</v>
      </c>
      <c r="E261" s="1962" t="s">
        <v>2812</v>
      </c>
      <c r="F261" s="1962" t="s">
        <v>2589</v>
      </c>
      <c r="G261" s="1962" t="s">
        <v>18</v>
      </c>
      <c r="H261" s="1962" t="s">
        <v>18</v>
      </c>
      <c r="I261" s="1962" t="s">
        <v>1177</v>
      </c>
    </row>
    <row r="262" spans="1:9" ht="11.25" customHeight="1">
      <c r="A262" s="1962" t="s">
        <v>2565</v>
      </c>
      <c r="B262" s="1962" t="s">
        <v>14</v>
      </c>
      <c r="C262" s="1962" t="s">
        <v>2975</v>
      </c>
      <c r="D262" s="1962" t="s">
        <v>2976</v>
      </c>
      <c r="E262" s="1962" t="s">
        <v>2977</v>
      </c>
      <c r="F262" s="1962" t="s">
        <v>2959</v>
      </c>
      <c r="G262" s="1962" t="s">
        <v>18</v>
      </c>
      <c r="H262" s="1962" t="s">
        <v>18</v>
      </c>
      <c r="I262" s="1962" t="s">
        <v>1177</v>
      </c>
    </row>
    <row r="263" spans="1:9" ht="11.25" customHeight="1">
      <c r="A263" s="1962" t="s">
        <v>2565</v>
      </c>
      <c r="B263" s="1962" t="s">
        <v>14</v>
      </c>
      <c r="C263" s="1962" t="s">
        <v>2816</v>
      </c>
      <c r="D263" s="1962" t="s">
        <v>2817</v>
      </c>
      <c r="E263" s="1962" t="s">
        <v>2818</v>
      </c>
      <c r="F263" s="1962" t="s">
        <v>2819</v>
      </c>
      <c r="G263" s="1962" t="s">
        <v>18</v>
      </c>
      <c r="H263" s="1962" t="s">
        <v>18</v>
      </c>
      <c r="I263" s="1962" t="s">
        <v>1177</v>
      </c>
    </row>
    <row r="264" spans="1:9" ht="11.25" customHeight="1">
      <c r="A264" s="1962" t="s">
        <v>2565</v>
      </c>
      <c r="B264" s="1962" t="s">
        <v>14</v>
      </c>
      <c r="C264" s="1962" t="s">
        <v>18</v>
      </c>
      <c r="D264" s="1962" t="s">
        <v>2566</v>
      </c>
      <c r="E264" s="1962" t="s">
        <v>2567</v>
      </c>
      <c r="F264" s="1962" t="s">
        <v>2568</v>
      </c>
      <c r="G264" s="1962" t="s">
        <v>18</v>
      </c>
      <c r="H264" s="1962" t="s">
        <v>18</v>
      </c>
      <c r="I264" s="1962" t="s">
        <v>1954</v>
      </c>
    </row>
    <row r="265" spans="1:9" ht="11.25" customHeight="1">
      <c r="A265" s="1962" t="s">
        <v>2565</v>
      </c>
      <c r="B265" s="1962" t="s">
        <v>14</v>
      </c>
      <c r="C265" s="1962" t="s">
        <v>2984</v>
      </c>
      <c r="D265" s="1962" t="s">
        <v>2985</v>
      </c>
      <c r="E265" s="1962" t="s">
        <v>2986</v>
      </c>
      <c r="F265" s="1962" t="s">
        <v>2757</v>
      </c>
      <c r="G265" s="1962" t="s">
        <v>18</v>
      </c>
      <c r="H265" s="1962" t="s">
        <v>18</v>
      </c>
      <c r="I265" s="1962" t="s">
        <v>1954</v>
      </c>
    </row>
    <row r="266" spans="1:9" ht="11.25" customHeight="1">
      <c r="A266" s="1962" t="s">
        <v>2565</v>
      </c>
      <c r="B266" s="1962" t="s">
        <v>14</v>
      </c>
      <c r="C266" s="1962" t="s">
        <v>18</v>
      </c>
      <c r="D266" s="1962" t="s">
        <v>2602</v>
      </c>
      <c r="E266" s="1962" t="s">
        <v>2603</v>
      </c>
      <c r="F266" s="1962" t="s">
        <v>2589</v>
      </c>
      <c r="G266" s="1962" t="s">
        <v>18</v>
      </c>
      <c r="H266" s="1962" t="s">
        <v>18</v>
      </c>
      <c r="I266" s="1962" t="s">
        <v>1954</v>
      </c>
    </row>
    <row r="267" spans="1:9" ht="11.25" customHeight="1">
      <c r="A267" s="1962" t="s">
        <v>2565</v>
      </c>
      <c r="B267" s="1962" t="s">
        <v>14</v>
      </c>
      <c r="C267" s="1962" t="s">
        <v>2987</v>
      </c>
      <c r="D267" s="1962" t="s">
        <v>2988</v>
      </c>
      <c r="E267" s="1962" t="s">
        <v>2989</v>
      </c>
      <c r="F267" s="1962" t="s">
        <v>48</v>
      </c>
      <c r="G267" s="1962" t="s">
        <v>18</v>
      </c>
      <c r="H267" s="1962" t="s">
        <v>18</v>
      </c>
      <c r="I267" s="1962" t="s">
        <v>1954</v>
      </c>
    </row>
    <row r="268" spans="1:9" ht="11.25" customHeight="1">
      <c r="A268" s="1962" t="s">
        <v>2565</v>
      </c>
      <c r="B268" s="1962" t="s">
        <v>14</v>
      </c>
      <c r="C268" s="1962" t="s">
        <v>2990</v>
      </c>
      <c r="D268" s="1962" t="s">
        <v>2991</v>
      </c>
      <c r="E268" s="1962" t="s">
        <v>2992</v>
      </c>
      <c r="F268" s="1962" t="s">
        <v>840</v>
      </c>
      <c r="G268" s="1962" t="s">
        <v>18</v>
      </c>
      <c r="H268" s="1962" t="s">
        <v>18</v>
      </c>
      <c r="I268" s="1962" t="s">
        <v>1954</v>
      </c>
    </row>
    <row r="269" spans="1:9" ht="11.25" customHeight="1">
      <c r="A269" s="1962" t="s">
        <v>2565</v>
      </c>
      <c r="B269" s="1962" t="s">
        <v>14</v>
      </c>
      <c r="C269" s="1962" t="s">
        <v>2899</v>
      </c>
      <c r="D269" s="1962" t="s">
        <v>2900</v>
      </c>
      <c r="E269" s="1962" t="s">
        <v>2901</v>
      </c>
      <c r="F269" s="1962" t="s">
        <v>2669</v>
      </c>
      <c r="G269" s="1962" t="s">
        <v>18</v>
      </c>
      <c r="H269" s="1962" t="s">
        <v>18</v>
      </c>
      <c r="I269" s="1962" t="s">
        <v>1954</v>
      </c>
    </row>
    <row r="270" spans="1:9" ht="11.25" customHeight="1">
      <c r="A270" s="1962" t="s">
        <v>2565</v>
      </c>
      <c r="B270" s="1962" t="s">
        <v>14</v>
      </c>
      <c r="C270" s="1962" t="s">
        <v>2993</v>
      </c>
      <c r="D270" s="1962" t="s">
        <v>2994</v>
      </c>
      <c r="E270" s="1962" t="s">
        <v>2995</v>
      </c>
      <c r="F270" s="1962" t="s">
        <v>2673</v>
      </c>
      <c r="G270" s="1962" t="s">
        <v>18</v>
      </c>
      <c r="H270" s="1962" t="s">
        <v>18</v>
      </c>
      <c r="I270" s="1962" t="s">
        <v>1954</v>
      </c>
    </row>
    <row r="271" spans="1:9" ht="11.25" customHeight="1">
      <c r="A271" s="1962" t="s">
        <v>2565</v>
      </c>
      <c r="B271" s="1962" t="s">
        <v>14</v>
      </c>
      <c r="C271" s="1962" t="s">
        <v>2996</v>
      </c>
      <c r="D271" s="1962" t="s">
        <v>2997</v>
      </c>
      <c r="E271" s="1962" t="s">
        <v>2998</v>
      </c>
      <c r="F271" s="1962" t="s">
        <v>2661</v>
      </c>
      <c r="G271" s="1962" t="s">
        <v>18</v>
      </c>
      <c r="H271" s="1962" t="s">
        <v>18</v>
      </c>
      <c r="I271" s="1962" t="s">
        <v>1954</v>
      </c>
    </row>
    <row r="272" spans="1:9" ht="11.25" customHeight="1">
      <c r="A272" s="1962" t="s">
        <v>2565</v>
      </c>
      <c r="B272" s="1962" t="s">
        <v>14</v>
      </c>
      <c r="C272" s="1962" t="s">
        <v>2999</v>
      </c>
      <c r="D272" s="1962" t="s">
        <v>3000</v>
      </c>
      <c r="E272" s="1962" t="s">
        <v>3001</v>
      </c>
      <c r="F272" s="1962" t="s">
        <v>2701</v>
      </c>
      <c r="G272" s="1962" t="s">
        <v>18</v>
      </c>
      <c r="H272" s="1962" t="s">
        <v>18</v>
      </c>
      <c r="I272" s="1962" t="s">
        <v>1954</v>
      </c>
    </row>
    <row r="273" spans="1:9" ht="11.25" customHeight="1">
      <c r="A273" s="1962" t="s">
        <v>2565</v>
      </c>
      <c r="B273" s="1962" t="s">
        <v>14</v>
      </c>
      <c r="C273" s="1962" t="s">
        <v>3002</v>
      </c>
      <c r="D273" s="1962" t="s">
        <v>3003</v>
      </c>
      <c r="E273" s="1962" t="s">
        <v>3004</v>
      </c>
      <c r="F273" s="1962" t="s">
        <v>2647</v>
      </c>
      <c r="G273" s="1962" t="s">
        <v>18</v>
      </c>
      <c r="H273" s="1962" t="s">
        <v>18</v>
      </c>
      <c r="I273" s="1962" t="s">
        <v>1954</v>
      </c>
    </row>
    <row r="274" spans="1:9" ht="11.25" customHeight="1">
      <c r="A274" s="1962" t="s">
        <v>2565</v>
      </c>
      <c r="B274" s="1962" t="s">
        <v>14</v>
      </c>
      <c r="C274" s="1962" t="s">
        <v>3005</v>
      </c>
      <c r="D274" s="1962" t="s">
        <v>3006</v>
      </c>
      <c r="E274" s="1962" t="s">
        <v>3007</v>
      </c>
      <c r="F274" s="1962" t="s">
        <v>2959</v>
      </c>
      <c r="G274" s="1962" t="s">
        <v>18</v>
      </c>
      <c r="H274" s="1962" t="s">
        <v>18</v>
      </c>
      <c r="I274" s="1962" t="s">
        <v>1954</v>
      </c>
    </row>
    <row r="275" spans="1:9" ht="11.25" customHeight="1">
      <c r="A275" s="1962" t="s">
        <v>2565</v>
      </c>
      <c r="B275" s="1962" t="s">
        <v>14</v>
      </c>
      <c r="C275" s="1962" t="s">
        <v>3008</v>
      </c>
      <c r="D275" s="1962" t="s">
        <v>3009</v>
      </c>
      <c r="E275" s="1962" t="s">
        <v>3010</v>
      </c>
      <c r="F275" s="1962" t="s">
        <v>2647</v>
      </c>
      <c r="G275" s="1962" t="s">
        <v>18</v>
      </c>
      <c r="H275" s="1962" t="s">
        <v>18</v>
      </c>
      <c r="I275" s="1962" t="s">
        <v>1954</v>
      </c>
    </row>
    <row r="276" spans="1:9" ht="11.25" customHeight="1">
      <c r="A276" s="1962" t="s">
        <v>2565</v>
      </c>
      <c r="B276" s="1962" t="s">
        <v>14</v>
      </c>
      <c r="C276" s="1962" t="s">
        <v>3011</v>
      </c>
      <c r="D276" s="1962" t="s">
        <v>3012</v>
      </c>
      <c r="E276" s="1962" t="s">
        <v>3013</v>
      </c>
      <c r="F276" s="1962" t="s">
        <v>2757</v>
      </c>
      <c r="G276" s="1962" t="s">
        <v>18</v>
      </c>
      <c r="H276" s="1962" t="s">
        <v>18</v>
      </c>
      <c r="I276" s="1962" t="s">
        <v>1954</v>
      </c>
    </row>
    <row r="277" spans="1:9" ht="11.25" customHeight="1">
      <c r="A277" s="1962" t="s">
        <v>2565</v>
      </c>
      <c r="B277" s="1962" t="s">
        <v>14</v>
      </c>
      <c r="C277" s="1962" t="s">
        <v>3014</v>
      </c>
      <c r="D277" s="1962" t="s">
        <v>3015</v>
      </c>
      <c r="E277" s="1962" t="s">
        <v>3016</v>
      </c>
      <c r="F277" s="1962" t="s">
        <v>3017</v>
      </c>
      <c r="G277" s="1962" t="s">
        <v>18</v>
      </c>
      <c r="H277" s="1962" t="s">
        <v>18</v>
      </c>
      <c r="I277" s="1962" t="s">
        <v>1954</v>
      </c>
    </row>
    <row r="278" spans="1:9" ht="11.25" customHeight="1">
      <c r="A278" s="1962" t="s">
        <v>2565</v>
      </c>
      <c r="B278" s="1962" t="s">
        <v>14</v>
      </c>
      <c r="C278" s="1962" t="s">
        <v>3018</v>
      </c>
      <c r="D278" s="1962" t="s">
        <v>3019</v>
      </c>
      <c r="E278" s="1962" t="s">
        <v>3020</v>
      </c>
      <c r="F278" s="1962" t="s">
        <v>2589</v>
      </c>
      <c r="G278" s="1962" t="s">
        <v>18</v>
      </c>
      <c r="H278" s="1962" t="s">
        <v>18</v>
      </c>
      <c r="I278" s="1962" t="s">
        <v>1954</v>
      </c>
    </row>
    <row r="279" spans="1:9" ht="11.25" customHeight="1">
      <c r="A279" s="1962" t="s">
        <v>2565</v>
      </c>
      <c r="B279" s="1962" t="s">
        <v>14</v>
      </c>
      <c r="C279" s="1962" t="s">
        <v>3021</v>
      </c>
      <c r="D279" s="1962" t="s">
        <v>3022</v>
      </c>
      <c r="E279" s="1962" t="s">
        <v>3023</v>
      </c>
      <c r="F279" s="1962" t="s">
        <v>2643</v>
      </c>
      <c r="G279" s="1962" t="s">
        <v>18</v>
      </c>
      <c r="H279" s="1962" t="s">
        <v>18</v>
      </c>
      <c r="I279" s="1962" t="s">
        <v>1954</v>
      </c>
    </row>
    <row r="280" spans="1:9" ht="11.25" customHeight="1">
      <c r="A280" s="1962" t="s">
        <v>2565</v>
      </c>
      <c r="B280" s="1962" t="s">
        <v>14</v>
      </c>
      <c r="C280" s="1962" t="s">
        <v>3024</v>
      </c>
      <c r="D280" s="1962" t="s">
        <v>3025</v>
      </c>
      <c r="E280" s="1962" t="s">
        <v>3026</v>
      </c>
      <c r="F280" s="1962" t="s">
        <v>2589</v>
      </c>
      <c r="G280" s="1962" t="s">
        <v>18</v>
      </c>
      <c r="H280" s="1962" t="s">
        <v>18</v>
      </c>
      <c r="I280" s="1962" t="s">
        <v>1954</v>
      </c>
    </row>
    <row r="281" spans="1:9" ht="11.25" customHeight="1">
      <c r="A281" s="1962" t="s">
        <v>2565</v>
      </c>
      <c r="B281" s="1962" t="s">
        <v>14</v>
      </c>
      <c r="C281" s="1962" t="s">
        <v>3027</v>
      </c>
      <c r="D281" s="1962" t="s">
        <v>3028</v>
      </c>
      <c r="E281" s="1962" t="s">
        <v>3029</v>
      </c>
      <c r="F281" s="1962" t="s">
        <v>2589</v>
      </c>
      <c r="G281" s="1962" t="s">
        <v>18</v>
      </c>
      <c r="H281" s="1962" t="s">
        <v>18</v>
      </c>
      <c r="I281" s="1962" t="s">
        <v>1954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C3EF1-A34F-7F92-8044-A9A722D42CA5}">
  <sheetPr>
    <tabColor rgb="FFFFCC99"/>
  </sheetPr>
  <dimension ref="A1:G269"/>
  <sheetViews>
    <sheetView showGridLines="0" workbookViewId="0"/>
  </sheetViews>
  <sheetFormatPr defaultRowHeight="11.25" customHeight="1"/>
  <cols>
    <col min="1" max="1" width="9.140625" style="1962"/>
  </cols>
  <sheetData>
    <row r="1" spans="1:7" ht="11.25" customHeight="1">
      <c r="A1" t="s">
        <v>3030</v>
      </c>
      <c r="B1" s="1" t="s">
        <v>3031</v>
      </c>
      <c r="C1" s="1" t="s">
        <v>3032</v>
      </c>
      <c r="D1" s="1" t="s">
        <v>3033</v>
      </c>
      <c r="E1" t="s">
        <v>3034</v>
      </c>
      <c r="F1" t="s">
        <v>3035</v>
      </c>
      <c r="G1" t="s">
        <v>3036</v>
      </c>
    </row>
    <row r="2" spans="1:7" ht="11.25" customHeight="1">
      <c r="A2" t="s">
        <v>14</v>
      </c>
      <c r="B2" t="s">
        <v>3037</v>
      </c>
      <c r="C2" t="s">
        <v>3038</v>
      </c>
      <c r="D2" t="s">
        <v>3039</v>
      </c>
      <c r="E2" t="s">
        <v>3040</v>
      </c>
      <c r="F2" t="s">
        <v>3041</v>
      </c>
      <c r="G2" t="s">
        <v>106</v>
      </c>
    </row>
    <row r="3" spans="1:7" ht="11.25" customHeight="1">
      <c r="A3" t="s">
        <v>14</v>
      </c>
      <c r="B3" t="s">
        <v>3037</v>
      </c>
      <c r="C3" t="s">
        <v>3038</v>
      </c>
      <c r="D3" t="s">
        <v>3042</v>
      </c>
      <c r="E3" t="s">
        <v>3043</v>
      </c>
      <c r="F3" t="s">
        <v>3044</v>
      </c>
      <c r="G3" t="s">
        <v>107</v>
      </c>
    </row>
    <row r="4" spans="1:7" ht="11.25" customHeight="1">
      <c r="A4" t="s">
        <v>14</v>
      </c>
      <c r="B4" t="s">
        <v>3037</v>
      </c>
      <c r="C4" t="s">
        <v>3038</v>
      </c>
      <c r="D4" t="s">
        <v>3037</v>
      </c>
      <c r="E4" t="s">
        <v>3038</v>
      </c>
      <c r="F4" t="s">
        <v>3045</v>
      </c>
      <c r="G4" t="s">
        <v>87</v>
      </c>
    </row>
    <row r="5" spans="1:7" ht="11.25" customHeight="1">
      <c r="A5" t="s">
        <v>14</v>
      </c>
      <c r="B5" t="s">
        <v>3037</v>
      </c>
      <c r="C5" t="s">
        <v>3038</v>
      </c>
      <c r="D5" t="s">
        <v>3046</v>
      </c>
      <c r="E5" t="s">
        <v>3047</v>
      </c>
      <c r="F5" t="s">
        <v>3041</v>
      </c>
      <c r="G5" t="s">
        <v>88</v>
      </c>
    </row>
    <row r="6" spans="1:7" ht="11.25" customHeight="1">
      <c r="A6" t="s">
        <v>14</v>
      </c>
      <c r="B6" t="s">
        <v>3037</v>
      </c>
      <c r="C6" t="s">
        <v>3038</v>
      </c>
      <c r="D6" t="s">
        <v>3048</v>
      </c>
      <c r="E6" t="s">
        <v>3049</v>
      </c>
      <c r="F6" t="s">
        <v>3041</v>
      </c>
      <c r="G6" t="s">
        <v>108</v>
      </c>
    </row>
    <row r="7" spans="1:7" ht="11.25" customHeight="1">
      <c r="A7" t="s">
        <v>14</v>
      </c>
      <c r="B7" t="s">
        <v>3037</v>
      </c>
      <c r="C7" t="s">
        <v>3038</v>
      </c>
      <c r="D7" t="s">
        <v>3050</v>
      </c>
      <c r="E7" t="s">
        <v>3051</v>
      </c>
      <c r="F7" t="s">
        <v>3041</v>
      </c>
      <c r="G7" t="s">
        <v>89</v>
      </c>
    </row>
    <row r="8" spans="1:7" ht="11.25" customHeight="1">
      <c r="A8" t="s">
        <v>14</v>
      </c>
      <c r="B8" t="s">
        <v>3037</v>
      </c>
      <c r="C8" t="s">
        <v>3038</v>
      </c>
      <c r="D8" t="s">
        <v>3052</v>
      </c>
      <c r="E8" t="s">
        <v>3053</v>
      </c>
      <c r="F8" t="s">
        <v>3041</v>
      </c>
      <c r="G8" t="s">
        <v>90</v>
      </c>
    </row>
    <row r="9" spans="1:7" ht="11.25" customHeight="1">
      <c r="A9" t="s">
        <v>14</v>
      </c>
      <c r="B9" t="s">
        <v>3037</v>
      </c>
      <c r="C9" t="s">
        <v>3038</v>
      </c>
      <c r="D9" t="s">
        <v>3054</v>
      </c>
      <c r="E9" t="s">
        <v>3055</v>
      </c>
      <c r="F9" t="s">
        <v>3041</v>
      </c>
      <c r="G9" t="s">
        <v>109</v>
      </c>
    </row>
    <row r="10" spans="1:7" ht="11.25" customHeight="1">
      <c r="A10" t="s">
        <v>14</v>
      </c>
      <c r="B10" t="s">
        <v>3037</v>
      </c>
      <c r="C10" t="s">
        <v>3038</v>
      </c>
      <c r="D10" t="s">
        <v>3056</v>
      </c>
      <c r="E10" t="s">
        <v>3057</v>
      </c>
      <c r="F10" t="s">
        <v>3041</v>
      </c>
      <c r="G10" t="s">
        <v>133</v>
      </c>
    </row>
    <row r="11" spans="1:7" ht="11.25" customHeight="1">
      <c r="A11" t="s">
        <v>14</v>
      </c>
      <c r="B11" t="s">
        <v>3037</v>
      </c>
      <c r="C11" t="s">
        <v>3038</v>
      </c>
      <c r="D11" t="s">
        <v>3058</v>
      </c>
      <c r="E11" t="s">
        <v>3059</v>
      </c>
      <c r="F11" t="s">
        <v>3041</v>
      </c>
      <c r="G11" t="s">
        <v>136</v>
      </c>
    </row>
    <row r="12" spans="1:7" ht="11.25" customHeight="1">
      <c r="A12" t="s">
        <v>14</v>
      </c>
      <c r="B12" t="s">
        <v>3037</v>
      </c>
      <c r="C12" t="s">
        <v>3038</v>
      </c>
      <c r="D12" t="s">
        <v>3060</v>
      </c>
      <c r="E12" t="s">
        <v>3061</v>
      </c>
      <c r="F12" t="s">
        <v>3041</v>
      </c>
      <c r="G12" t="s">
        <v>139</v>
      </c>
    </row>
    <row r="13" spans="1:7" ht="11.25" customHeight="1">
      <c r="A13" t="s">
        <v>14</v>
      </c>
      <c r="B13" t="s">
        <v>3037</v>
      </c>
      <c r="C13" t="s">
        <v>3038</v>
      </c>
      <c r="D13" t="s">
        <v>3062</v>
      </c>
      <c r="E13" t="s">
        <v>3063</v>
      </c>
      <c r="F13" t="s">
        <v>3041</v>
      </c>
      <c r="G13" t="s">
        <v>142</v>
      </c>
    </row>
    <row r="14" spans="1:7" ht="11.25" customHeight="1">
      <c r="A14" t="s">
        <v>14</v>
      </c>
      <c r="B14" t="s">
        <v>3037</v>
      </c>
      <c r="C14" t="s">
        <v>3038</v>
      </c>
      <c r="D14" t="s">
        <v>3064</v>
      </c>
      <c r="E14" t="s">
        <v>3065</v>
      </c>
      <c r="F14" t="s">
        <v>3041</v>
      </c>
      <c r="G14" t="s">
        <v>145</v>
      </c>
    </row>
    <row r="15" spans="1:7" ht="11.25" customHeight="1">
      <c r="A15" t="s">
        <v>14</v>
      </c>
      <c r="B15" t="s">
        <v>3037</v>
      </c>
      <c r="C15" t="s">
        <v>3038</v>
      </c>
      <c r="D15" t="s">
        <v>3066</v>
      </c>
      <c r="E15" t="s">
        <v>3067</v>
      </c>
      <c r="F15" t="s">
        <v>3041</v>
      </c>
      <c r="G15" t="s">
        <v>148</v>
      </c>
    </row>
    <row r="16" spans="1:7" ht="11.25" customHeight="1">
      <c r="A16" t="s">
        <v>14</v>
      </c>
      <c r="B16" t="s">
        <v>3037</v>
      </c>
      <c r="C16" t="s">
        <v>3038</v>
      </c>
      <c r="D16" t="s">
        <v>3068</v>
      </c>
      <c r="E16" t="s">
        <v>3069</v>
      </c>
      <c r="F16" t="s">
        <v>3041</v>
      </c>
      <c r="G16" t="s">
        <v>151</v>
      </c>
    </row>
    <row r="17" spans="1:7" ht="11.25" customHeight="1">
      <c r="A17" t="s">
        <v>14</v>
      </c>
      <c r="B17" t="s">
        <v>3070</v>
      </c>
      <c r="C17" t="s">
        <v>3071</v>
      </c>
      <c r="D17" t="s">
        <v>3072</v>
      </c>
      <c r="E17" t="s">
        <v>3073</v>
      </c>
      <c r="F17" t="s">
        <v>3041</v>
      </c>
      <c r="G17" t="s">
        <v>154</v>
      </c>
    </row>
    <row r="18" spans="1:7" ht="11.25" customHeight="1">
      <c r="A18" t="s">
        <v>14</v>
      </c>
      <c r="B18" t="s">
        <v>3070</v>
      </c>
      <c r="C18" t="s">
        <v>3071</v>
      </c>
      <c r="D18" t="s">
        <v>3070</v>
      </c>
      <c r="E18" t="s">
        <v>3071</v>
      </c>
      <c r="F18" t="s">
        <v>3045</v>
      </c>
      <c r="G18" t="s">
        <v>157</v>
      </c>
    </row>
    <row r="19" spans="1:7" ht="11.25" customHeight="1">
      <c r="A19" t="s">
        <v>14</v>
      </c>
      <c r="B19" t="s">
        <v>3070</v>
      </c>
      <c r="C19" t="s">
        <v>3071</v>
      </c>
      <c r="D19" t="s">
        <v>3074</v>
      </c>
      <c r="E19" t="s">
        <v>3075</v>
      </c>
      <c r="F19" t="s">
        <v>3076</v>
      </c>
      <c r="G19" t="s">
        <v>160</v>
      </c>
    </row>
    <row r="20" spans="1:7" ht="11.25" customHeight="1">
      <c r="A20" t="s">
        <v>14</v>
      </c>
      <c r="B20" t="s">
        <v>3070</v>
      </c>
      <c r="C20" t="s">
        <v>3071</v>
      </c>
      <c r="D20" t="s">
        <v>3077</v>
      </c>
      <c r="E20" t="s">
        <v>3078</v>
      </c>
      <c r="F20" t="s">
        <v>3041</v>
      </c>
      <c r="G20" t="s">
        <v>163</v>
      </c>
    </row>
    <row r="21" spans="1:7" ht="11.25" customHeight="1">
      <c r="A21" t="s">
        <v>14</v>
      </c>
      <c r="B21" t="s">
        <v>3070</v>
      </c>
      <c r="C21" t="s">
        <v>3071</v>
      </c>
      <c r="D21" t="s">
        <v>3079</v>
      </c>
      <c r="E21" t="s">
        <v>3080</v>
      </c>
      <c r="F21" t="s">
        <v>3041</v>
      </c>
      <c r="G21" t="s">
        <v>166</v>
      </c>
    </row>
    <row r="22" spans="1:7" ht="11.25" customHeight="1">
      <c r="A22" t="s">
        <v>14</v>
      </c>
      <c r="B22" t="s">
        <v>3070</v>
      </c>
      <c r="C22" t="s">
        <v>3071</v>
      </c>
      <c r="D22" t="s">
        <v>3081</v>
      </c>
      <c r="E22" t="s">
        <v>3082</v>
      </c>
      <c r="F22" t="s">
        <v>3041</v>
      </c>
      <c r="G22" t="s">
        <v>169</v>
      </c>
    </row>
    <row r="23" spans="1:7" ht="11.25" customHeight="1">
      <c r="A23" t="s">
        <v>14</v>
      </c>
      <c r="B23" t="s">
        <v>3070</v>
      </c>
      <c r="C23" t="s">
        <v>3071</v>
      </c>
      <c r="D23" t="s">
        <v>3083</v>
      </c>
      <c r="E23" t="s">
        <v>3084</v>
      </c>
      <c r="F23" t="s">
        <v>3041</v>
      </c>
      <c r="G23" t="s">
        <v>172</v>
      </c>
    </row>
    <row r="24" spans="1:7" ht="11.25" customHeight="1">
      <c r="A24" t="s">
        <v>14</v>
      </c>
      <c r="B24" t="s">
        <v>3070</v>
      </c>
      <c r="C24" t="s">
        <v>3071</v>
      </c>
      <c r="D24" t="s">
        <v>3085</v>
      </c>
      <c r="E24" t="s">
        <v>3086</v>
      </c>
      <c r="F24" t="s">
        <v>3041</v>
      </c>
      <c r="G24" t="s">
        <v>175</v>
      </c>
    </row>
    <row r="25" spans="1:7" ht="11.25" customHeight="1">
      <c r="A25" t="s">
        <v>14</v>
      </c>
      <c r="B25" t="s">
        <v>3070</v>
      </c>
      <c r="C25" t="s">
        <v>3071</v>
      </c>
      <c r="D25" t="s">
        <v>3087</v>
      </c>
      <c r="E25" t="s">
        <v>3088</v>
      </c>
      <c r="F25" t="s">
        <v>3041</v>
      </c>
      <c r="G25" t="s">
        <v>178</v>
      </c>
    </row>
    <row r="26" spans="1:7" ht="11.25" customHeight="1">
      <c r="A26" t="s">
        <v>14</v>
      </c>
      <c r="B26" t="s">
        <v>3070</v>
      </c>
      <c r="C26" t="s">
        <v>3071</v>
      </c>
      <c r="D26" t="s">
        <v>3089</v>
      </c>
      <c r="E26" t="s">
        <v>3090</v>
      </c>
      <c r="F26" t="s">
        <v>3041</v>
      </c>
      <c r="G26" t="s">
        <v>181</v>
      </c>
    </row>
    <row r="27" spans="1:7" ht="11.25" customHeight="1">
      <c r="A27" t="s">
        <v>14</v>
      </c>
      <c r="B27" t="s">
        <v>3070</v>
      </c>
      <c r="C27" t="s">
        <v>3071</v>
      </c>
      <c r="D27" t="s">
        <v>3091</v>
      </c>
      <c r="E27" t="s">
        <v>3092</v>
      </c>
      <c r="F27" t="s">
        <v>3041</v>
      </c>
      <c r="G27" t="s">
        <v>184</v>
      </c>
    </row>
    <row r="28" spans="1:7" ht="11.25" customHeight="1">
      <c r="A28" t="s">
        <v>14</v>
      </c>
      <c r="B28" t="s">
        <v>3070</v>
      </c>
      <c r="C28" t="s">
        <v>3071</v>
      </c>
      <c r="D28" t="s">
        <v>3093</v>
      </c>
      <c r="E28" t="s">
        <v>3094</v>
      </c>
      <c r="F28" t="s">
        <v>3041</v>
      </c>
      <c r="G28" t="s">
        <v>187</v>
      </c>
    </row>
    <row r="29" spans="1:7" ht="11.25" customHeight="1">
      <c r="A29" t="s">
        <v>14</v>
      </c>
      <c r="B29" t="s">
        <v>3095</v>
      </c>
      <c r="C29" t="s">
        <v>3096</v>
      </c>
      <c r="D29" t="s">
        <v>3097</v>
      </c>
      <c r="E29" t="s">
        <v>3098</v>
      </c>
      <c r="F29" t="s">
        <v>3041</v>
      </c>
      <c r="G29" t="s">
        <v>190</v>
      </c>
    </row>
    <row r="30" spans="1:7" ht="11.25" customHeight="1">
      <c r="A30" t="s">
        <v>14</v>
      </c>
      <c r="B30" t="s">
        <v>3095</v>
      </c>
      <c r="C30" t="s">
        <v>3096</v>
      </c>
      <c r="D30" t="s">
        <v>3099</v>
      </c>
      <c r="E30" t="s">
        <v>3100</v>
      </c>
      <c r="F30" t="s">
        <v>3076</v>
      </c>
      <c r="G30" t="s">
        <v>193</v>
      </c>
    </row>
    <row r="31" spans="1:7" ht="11.25" customHeight="1">
      <c r="A31" t="s">
        <v>14</v>
      </c>
      <c r="B31" t="s">
        <v>3095</v>
      </c>
      <c r="C31" t="s">
        <v>3096</v>
      </c>
      <c r="D31" t="s">
        <v>3095</v>
      </c>
      <c r="E31" t="s">
        <v>3096</v>
      </c>
      <c r="F31" t="s">
        <v>3045</v>
      </c>
      <c r="G31" t="s">
        <v>196</v>
      </c>
    </row>
    <row r="32" spans="1:7" ht="11.25" customHeight="1">
      <c r="A32" t="s">
        <v>14</v>
      </c>
      <c r="B32" t="s">
        <v>3095</v>
      </c>
      <c r="C32" t="s">
        <v>3096</v>
      </c>
      <c r="D32" t="s">
        <v>3101</v>
      </c>
      <c r="E32" t="s">
        <v>3102</v>
      </c>
      <c r="F32" t="s">
        <v>3041</v>
      </c>
      <c r="G32" t="s">
        <v>199</v>
      </c>
    </row>
    <row r="33" spans="1:7" ht="11.25" customHeight="1">
      <c r="A33" t="s">
        <v>14</v>
      </c>
      <c r="B33" t="s">
        <v>3095</v>
      </c>
      <c r="C33" t="s">
        <v>3096</v>
      </c>
      <c r="D33" t="s">
        <v>3103</v>
      </c>
      <c r="E33" t="s">
        <v>3104</v>
      </c>
      <c r="F33" t="s">
        <v>3041</v>
      </c>
      <c r="G33" t="s">
        <v>202</v>
      </c>
    </row>
    <row r="34" spans="1:7" ht="11.25" customHeight="1">
      <c r="A34" t="s">
        <v>14</v>
      </c>
      <c r="B34" t="s">
        <v>3095</v>
      </c>
      <c r="C34" t="s">
        <v>3096</v>
      </c>
      <c r="D34" t="s">
        <v>3105</v>
      </c>
      <c r="E34" t="s">
        <v>3106</v>
      </c>
      <c r="F34" t="s">
        <v>3041</v>
      </c>
      <c r="G34" t="s">
        <v>205</v>
      </c>
    </row>
    <row r="35" spans="1:7" ht="11.25" customHeight="1">
      <c r="A35" t="s">
        <v>14</v>
      </c>
      <c r="B35" t="s">
        <v>3095</v>
      </c>
      <c r="C35" t="s">
        <v>3096</v>
      </c>
      <c r="D35" t="s">
        <v>3107</v>
      </c>
      <c r="E35" t="s">
        <v>3108</v>
      </c>
      <c r="F35" t="s">
        <v>3041</v>
      </c>
      <c r="G35" t="s">
        <v>208</v>
      </c>
    </row>
    <row r="36" spans="1:7" ht="11.25" customHeight="1">
      <c r="A36" t="s">
        <v>14</v>
      </c>
      <c r="B36" t="s">
        <v>3095</v>
      </c>
      <c r="C36" t="s">
        <v>3096</v>
      </c>
      <c r="D36" t="s">
        <v>3109</v>
      </c>
      <c r="E36" t="s">
        <v>3110</v>
      </c>
      <c r="F36" t="s">
        <v>3041</v>
      </c>
      <c r="G36" t="s">
        <v>211</v>
      </c>
    </row>
    <row r="37" spans="1:7" ht="11.25" customHeight="1">
      <c r="A37" t="s">
        <v>14</v>
      </c>
      <c r="B37" t="s">
        <v>3095</v>
      </c>
      <c r="C37" t="s">
        <v>3096</v>
      </c>
      <c r="D37" t="s">
        <v>3111</v>
      </c>
      <c r="E37" t="s">
        <v>3112</v>
      </c>
      <c r="F37" t="s">
        <v>3041</v>
      </c>
      <c r="G37" t="s">
        <v>214</v>
      </c>
    </row>
    <row r="38" spans="1:7" ht="11.25" customHeight="1">
      <c r="A38" t="s">
        <v>14</v>
      </c>
      <c r="B38" t="s">
        <v>3113</v>
      </c>
      <c r="C38" t="s">
        <v>3114</v>
      </c>
      <c r="D38" t="s">
        <v>3113</v>
      </c>
      <c r="E38" t="s">
        <v>3114</v>
      </c>
      <c r="F38" t="s">
        <v>3115</v>
      </c>
      <c r="G38" t="s">
        <v>217</v>
      </c>
    </row>
    <row r="39" spans="1:7" ht="11.25" customHeight="1">
      <c r="A39" t="s">
        <v>14</v>
      </c>
      <c r="B39" t="s">
        <v>3116</v>
      </c>
      <c r="C39" t="s">
        <v>3117</v>
      </c>
      <c r="D39" t="s">
        <v>3116</v>
      </c>
      <c r="E39" t="s">
        <v>3117</v>
      </c>
      <c r="F39" t="s">
        <v>3115</v>
      </c>
      <c r="G39" t="s">
        <v>220</v>
      </c>
    </row>
    <row r="40" spans="1:7" ht="11.25" customHeight="1">
      <c r="A40" t="s">
        <v>14</v>
      </c>
      <c r="B40" t="s">
        <v>97</v>
      </c>
      <c r="C40" t="s">
        <v>98</v>
      </c>
      <c r="D40" t="s">
        <v>97</v>
      </c>
      <c r="E40" t="s">
        <v>98</v>
      </c>
      <c r="F40" t="s">
        <v>3115</v>
      </c>
      <c r="G40" t="s">
        <v>96</v>
      </c>
    </row>
    <row r="41" spans="1:7" ht="11.25" customHeight="1">
      <c r="A41" t="s">
        <v>14</v>
      </c>
      <c r="B41" t="s">
        <v>3118</v>
      </c>
      <c r="C41" t="s">
        <v>3119</v>
      </c>
      <c r="D41" t="s">
        <v>3120</v>
      </c>
      <c r="E41" t="s">
        <v>3121</v>
      </c>
      <c r="F41" t="s">
        <v>3041</v>
      </c>
      <c r="G41" t="s">
        <v>225</v>
      </c>
    </row>
    <row r="42" spans="1:7" ht="11.25" customHeight="1">
      <c r="A42" t="s">
        <v>14</v>
      </c>
      <c r="B42" t="s">
        <v>3118</v>
      </c>
      <c r="C42" t="s">
        <v>3119</v>
      </c>
      <c r="D42" t="s">
        <v>3122</v>
      </c>
      <c r="E42" t="s">
        <v>3123</v>
      </c>
      <c r="F42" t="s">
        <v>3041</v>
      </c>
      <c r="G42" t="s">
        <v>228</v>
      </c>
    </row>
    <row r="43" spans="1:7" ht="11.25" customHeight="1">
      <c r="A43" t="s">
        <v>14</v>
      </c>
      <c r="B43" t="s">
        <v>3118</v>
      </c>
      <c r="C43" t="s">
        <v>3119</v>
      </c>
      <c r="D43" t="s">
        <v>3124</v>
      </c>
      <c r="E43" t="s">
        <v>3125</v>
      </c>
      <c r="F43" t="s">
        <v>3041</v>
      </c>
      <c r="G43" t="s">
        <v>231</v>
      </c>
    </row>
    <row r="44" spans="1:7" ht="11.25" customHeight="1">
      <c r="A44" t="s">
        <v>14</v>
      </c>
      <c r="B44" t="s">
        <v>3118</v>
      </c>
      <c r="C44" t="s">
        <v>3119</v>
      </c>
      <c r="D44" t="s">
        <v>3126</v>
      </c>
      <c r="E44" t="s">
        <v>3127</v>
      </c>
      <c r="F44" t="s">
        <v>3041</v>
      </c>
      <c r="G44" t="s">
        <v>234</v>
      </c>
    </row>
    <row r="45" spans="1:7" ht="11.25" customHeight="1">
      <c r="A45" t="s">
        <v>14</v>
      </c>
      <c r="B45" t="s">
        <v>3118</v>
      </c>
      <c r="C45" t="s">
        <v>3119</v>
      </c>
      <c r="D45" t="s">
        <v>3128</v>
      </c>
      <c r="E45" t="s">
        <v>3129</v>
      </c>
      <c r="F45" t="s">
        <v>3044</v>
      </c>
      <c r="G45" t="s">
        <v>237</v>
      </c>
    </row>
    <row r="46" spans="1:7" ht="11.25" customHeight="1">
      <c r="A46" t="s">
        <v>14</v>
      </c>
      <c r="B46" t="s">
        <v>3118</v>
      </c>
      <c r="C46" t="s">
        <v>3119</v>
      </c>
      <c r="D46" t="s">
        <v>3118</v>
      </c>
      <c r="E46" t="s">
        <v>3119</v>
      </c>
      <c r="F46" t="s">
        <v>3045</v>
      </c>
      <c r="G46" t="s">
        <v>240</v>
      </c>
    </row>
    <row r="47" spans="1:7" ht="11.25" customHeight="1">
      <c r="A47" t="s">
        <v>14</v>
      </c>
      <c r="B47" t="s">
        <v>3118</v>
      </c>
      <c r="C47" t="s">
        <v>3119</v>
      </c>
      <c r="D47" t="s">
        <v>3130</v>
      </c>
      <c r="E47" t="s">
        <v>3131</v>
      </c>
      <c r="F47" t="s">
        <v>3041</v>
      </c>
      <c r="G47" t="s">
        <v>243</v>
      </c>
    </row>
    <row r="48" spans="1:7" ht="11.25" customHeight="1">
      <c r="A48" t="s">
        <v>14</v>
      </c>
      <c r="B48" t="s">
        <v>3118</v>
      </c>
      <c r="C48" t="s">
        <v>3119</v>
      </c>
      <c r="D48" t="s">
        <v>3132</v>
      </c>
      <c r="E48" t="s">
        <v>3133</v>
      </c>
      <c r="F48" t="s">
        <v>3041</v>
      </c>
      <c r="G48" t="s">
        <v>246</v>
      </c>
    </row>
    <row r="49" spans="1:7" ht="11.25" customHeight="1">
      <c r="A49" t="s">
        <v>14</v>
      </c>
      <c r="B49" t="s">
        <v>3118</v>
      </c>
      <c r="C49" t="s">
        <v>3119</v>
      </c>
      <c r="D49" t="s">
        <v>3134</v>
      </c>
      <c r="E49" t="s">
        <v>3135</v>
      </c>
      <c r="F49" t="s">
        <v>3041</v>
      </c>
      <c r="G49" t="s">
        <v>249</v>
      </c>
    </row>
    <row r="50" spans="1:7" ht="11.25" customHeight="1">
      <c r="A50" t="s">
        <v>14</v>
      </c>
      <c r="B50" t="s">
        <v>3118</v>
      </c>
      <c r="C50" t="s">
        <v>3119</v>
      </c>
      <c r="D50" t="s">
        <v>3136</v>
      </c>
      <c r="E50" t="s">
        <v>3137</v>
      </c>
      <c r="F50" t="s">
        <v>3041</v>
      </c>
      <c r="G50" t="s">
        <v>252</v>
      </c>
    </row>
    <row r="51" spans="1:7" ht="11.25" customHeight="1">
      <c r="A51" t="s">
        <v>14</v>
      </c>
      <c r="B51" t="s">
        <v>3118</v>
      </c>
      <c r="C51" t="s">
        <v>3119</v>
      </c>
      <c r="D51" t="s">
        <v>3138</v>
      </c>
      <c r="E51" t="s">
        <v>3139</v>
      </c>
      <c r="F51" t="s">
        <v>3041</v>
      </c>
      <c r="G51" t="s">
        <v>255</v>
      </c>
    </row>
    <row r="52" spans="1:7" ht="11.25" customHeight="1">
      <c r="A52" t="s">
        <v>14</v>
      </c>
      <c r="B52" t="s">
        <v>3118</v>
      </c>
      <c r="C52" t="s">
        <v>3119</v>
      </c>
      <c r="D52" t="s">
        <v>3140</v>
      </c>
      <c r="E52" t="s">
        <v>3141</v>
      </c>
      <c r="F52" t="s">
        <v>3041</v>
      </c>
      <c r="G52" t="s">
        <v>258</v>
      </c>
    </row>
    <row r="53" spans="1:7" ht="11.25" customHeight="1">
      <c r="A53" t="s">
        <v>14</v>
      </c>
      <c r="B53" t="s">
        <v>3118</v>
      </c>
      <c r="C53" t="s">
        <v>3119</v>
      </c>
      <c r="D53" t="s">
        <v>3142</v>
      </c>
      <c r="E53" t="s">
        <v>3143</v>
      </c>
      <c r="F53" t="s">
        <v>3041</v>
      </c>
      <c r="G53" t="s">
        <v>261</v>
      </c>
    </row>
    <row r="54" spans="1:7" ht="11.25" customHeight="1">
      <c r="A54" t="s">
        <v>14</v>
      </c>
      <c r="B54" t="s">
        <v>3118</v>
      </c>
      <c r="C54" t="s">
        <v>3119</v>
      </c>
      <c r="D54" t="s">
        <v>3144</v>
      </c>
      <c r="E54" t="s">
        <v>3145</v>
      </c>
      <c r="F54" t="s">
        <v>3041</v>
      </c>
      <c r="G54" t="s">
        <v>264</v>
      </c>
    </row>
    <row r="55" spans="1:7" ht="11.25" customHeight="1">
      <c r="A55" t="s">
        <v>14</v>
      </c>
      <c r="B55" t="s">
        <v>3146</v>
      </c>
      <c r="C55" t="s">
        <v>3147</v>
      </c>
      <c r="D55" t="s">
        <v>3148</v>
      </c>
      <c r="E55" t="s">
        <v>3149</v>
      </c>
      <c r="F55" t="s">
        <v>3041</v>
      </c>
      <c r="G55" t="s">
        <v>267</v>
      </c>
    </row>
    <row r="56" spans="1:7" ht="11.25" customHeight="1">
      <c r="A56" t="s">
        <v>14</v>
      </c>
      <c r="B56" t="s">
        <v>3146</v>
      </c>
      <c r="C56" t="s">
        <v>3147</v>
      </c>
      <c r="D56" t="s">
        <v>3150</v>
      </c>
      <c r="E56" t="s">
        <v>3151</v>
      </c>
      <c r="F56" t="s">
        <v>3076</v>
      </c>
      <c r="G56" t="s">
        <v>270</v>
      </c>
    </row>
    <row r="57" spans="1:7" ht="11.25" customHeight="1">
      <c r="A57" t="s">
        <v>14</v>
      </c>
      <c r="B57" t="s">
        <v>3146</v>
      </c>
      <c r="C57" t="s">
        <v>3147</v>
      </c>
      <c r="D57" t="s">
        <v>3146</v>
      </c>
      <c r="E57" t="s">
        <v>3147</v>
      </c>
      <c r="F57" t="s">
        <v>3045</v>
      </c>
      <c r="G57" t="s">
        <v>273</v>
      </c>
    </row>
    <row r="58" spans="1:7" ht="11.25" customHeight="1">
      <c r="A58" t="s">
        <v>14</v>
      </c>
      <c r="B58" t="s">
        <v>3146</v>
      </c>
      <c r="C58" t="s">
        <v>3147</v>
      </c>
      <c r="D58" t="s">
        <v>3152</v>
      </c>
      <c r="E58" t="s">
        <v>3153</v>
      </c>
      <c r="F58" t="s">
        <v>3041</v>
      </c>
      <c r="G58" t="s">
        <v>276</v>
      </c>
    </row>
    <row r="59" spans="1:7" ht="11.25" customHeight="1">
      <c r="A59" t="s">
        <v>14</v>
      </c>
      <c r="B59" t="s">
        <v>3146</v>
      </c>
      <c r="C59" t="s">
        <v>3147</v>
      </c>
      <c r="D59" t="s">
        <v>3154</v>
      </c>
      <c r="E59" t="s">
        <v>3155</v>
      </c>
      <c r="F59" t="s">
        <v>3041</v>
      </c>
      <c r="G59" t="s">
        <v>279</v>
      </c>
    </row>
    <row r="60" spans="1:7" ht="11.25" customHeight="1">
      <c r="A60" t="s">
        <v>14</v>
      </c>
      <c r="B60" t="s">
        <v>3146</v>
      </c>
      <c r="C60" t="s">
        <v>3147</v>
      </c>
      <c r="D60" t="s">
        <v>3156</v>
      </c>
      <c r="E60" t="s">
        <v>3157</v>
      </c>
      <c r="F60" t="s">
        <v>3041</v>
      </c>
      <c r="G60" t="s">
        <v>282</v>
      </c>
    </row>
    <row r="61" spans="1:7" ht="11.25" customHeight="1">
      <c r="A61" t="s">
        <v>14</v>
      </c>
      <c r="B61" t="s">
        <v>3146</v>
      </c>
      <c r="C61" t="s">
        <v>3147</v>
      </c>
      <c r="D61" t="s">
        <v>3158</v>
      </c>
      <c r="E61" t="s">
        <v>3159</v>
      </c>
      <c r="F61" t="s">
        <v>3041</v>
      </c>
      <c r="G61" t="s">
        <v>285</v>
      </c>
    </row>
    <row r="62" spans="1:7" ht="11.25" customHeight="1">
      <c r="A62" t="s">
        <v>14</v>
      </c>
      <c r="B62" t="s">
        <v>3146</v>
      </c>
      <c r="C62" t="s">
        <v>3147</v>
      </c>
      <c r="D62" t="s">
        <v>3160</v>
      </c>
      <c r="E62" t="s">
        <v>3161</v>
      </c>
      <c r="F62" t="s">
        <v>3041</v>
      </c>
      <c r="G62" t="s">
        <v>288</v>
      </c>
    </row>
    <row r="63" spans="1:7" ht="11.25" customHeight="1">
      <c r="A63" t="s">
        <v>14</v>
      </c>
      <c r="B63" t="s">
        <v>3146</v>
      </c>
      <c r="C63" t="s">
        <v>3147</v>
      </c>
      <c r="D63" t="s">
        <v>3162</v>
      </c>
      <c r="E63" t="s">
        <v>3163</v>
      </c>
      <c r="F63" t="s">
        <v>3041</v>
      </c>
      <c r="G63" t="s">
        <v>291</v>
      </c>
    </row>
    <row r="64" spans="1:7" ht="11.25" customHeight="1">
      <c r="A64" t="s">
        <v>14</v>
      </c>
      <c r="B64" t="s">
        <v>3164</v>
      </c>
      <c r="C64" t="s">
        <v>3165</v>
      </c>
      <c r="D64" t="s">
        <v>3166</v>
      </c>
      <c r="E64" t="s">
        <v>3167</v>
      </c>
      <c r="F64" t="s">
        <v>3041</v>
      </c>
      <c r="G64" t="s">
        <v>294</v>
      </c>
    </row>
    <row r="65" spans="1:7" ht="11.25" customHeight="1">
      <c r="A65" t="s">
        <v>14</v>
      </c>
      <c r="B65" t="s">
        <v>3164</v>
      </c>
      <c r="C65" t="s">
        <v>3165</v>
      </c>
      <c r="D65" t="s">
        <v>3168</v>
      </c>
      <c r="E65" t="s">
        <v>3169</v>
      </c>
      <c r="F65" t="s">
        <v>3041</v>
      </c>
      <c r="G65" t="s">
        <v>297</v>
      </c>
    </row>
    <row r="66" spans="1:7" ht="11.25" customHeight="1">
      <c r="A66" t="s">
        <v>14</v>
      </c>
      <c r="B66" t="s">
        <v>3164</v>
      </c>
      <c r="C66" t="s">
        <v>3165</v>
      </c>
      <c r="D66" t="s">
        <v>3170</v>
      </c>
      <c r="E66" t="s">
        <v>3171</v>
      </c>
      <c r="F66" t="s">
        <v>3041</v>
      </c>
      <c r="G66" t="s">
        <v>300</v>
      </c>
    </row>
    <row r="67" spans="1:7" ht="11.25" customHeight="1">
      <c r="A67" t="s">
        <v>14</v>
      </c>
      <c r="B67" t="s">
        <v>3164</v>
      </c>
      <c r="C67" t="s">
        <v>3165</v>
      </c>
      <c r="D67" t="s">
        <v>3164</v>
      </c>
      <c r="E67" t="s">
        <v>3165</v>
      </c>
      <c r="F67" t="s">
        <v>3045</v>
      </c>
      <c r="G67" t="s">
        <v>303</v>
      </c>
    </row>
    <row r="68" spans="1:7" ht="11.25" customHeight="1">
      <c r="A68" t="s">
        <v>14</v>
      </c>
      <c r="B68" t="s">
        <v>3164</v>
      </c>
      <c r="C68" t="s">
        <v>3165</v>
      </c>
      <c r="D68" t="s">
        <v>3172</v>
      </c>
      <c r="E68" t="s">
        <v>3173</v>
      </c>
      <c r="F68" t="s">
        <v>3076</v>
      </c>
      <c r="G68" t="s">
        <v>306</v>
      </c>
    </row>
    <row r="69" spans="1:7" ht="11.25" customHeight="1">
      <c r="A69" t="s">
        <v>14</v>
      </c>
      <c r="B69" t="s">
        <v>3164</v>
      </c>
      <c r="C69" t="s">
        <v>3165</v>
      </c>
      <c r="D69" t="s">
        <v>3174</v>
      </c>
      <c r="E69" t="s">
        <v>3175</v>
      </c>
      <c r="F69" t="s">
        <v>3041</v>
      </c>
      <c r="G69" t="s">
        <v>309</v>
      </c>
    </row>
    <row r="70" spans="1:7" ht="11.25" customHeight="1">
      <c r="A70" t="s">
        <v>14</v>
      </c>
      <c r="B70" t="s">
        <v>3164</v>
      </c>
      <c r="C70" t="s">
        <v>3165</v>
      </c>
      <c r="D70" t="s">
        <v>3176</v>
      </c>
      <c r="E70" t="s">
        <v>3177</v>
      </c>
      <c r="F70" t="s">
        <v>3041</v>
      </c>
      <c r="G70" t="s">
        <v>312</v>
      </c>
    </row>
    <row r="71" spans="1:7" ht="11.25" customHeight="1">
      <c r="A71" t="s">
        <v>14</v>
      </c>
      <c r="B71" t="s">
        <v>3164</v>
      </c>
      <c r="C71" t="s">
        <v>3165</v>
      </c>
      <c r="D71" t="s">
        <v>3178</v>
      </c>
      <c r="E71" t="s">
        <v>3179</v>
      </c>
      <c r="F71" t="s">
        <v>3041</v>
      </c>
      <c r="G71" t="s">
        <v>315</v>
      </c>
    </row>
    <row r="72" spans="1:7" ht="11.25" customHeight="1">
      <c r="A72" t="s">
        <v>14</v>
      </c>
      <c r="B72" t="s">
        <v>3164</v>
      </c>
      <c r="C72" t="s">
        <v>3165</v>
      </c>
      <c r="D72" t="s">
        <v>3180</v>
      </c>
      <c r="E72" t="s">
        <v>3181</v>
      </c>
      <c r="F72" t="s">
        <v>3041</v>
      </c>
      <c r="G72" t="s">
        <v>318</v>
      </c>
    </row>
    <row r="73" spans="1:7" ht="11.25" customHeight="1">
      <c r="A73" t="s">
        <v>14</v>
      </c>
      <c r="B73" t="s">
        <v>3164</v>
      </c>
      <c r="C73" t="s">
        <v>3165</v>
      </c>
      <c r="D73" t="s">
        <v>3182</v>
      </c>
      <c r="E73" t="s">
        <v>3183</v>
      </c>
      <c r="F73" t="s">
        <v>3041</v>
      </c>
      <c r="G73" t="s">
        <v>321</v>
      </c>
    </row>
    <row r="74" spans="1:7" ht="11.25" customHeight="1">
      <c r="A74" t="s">
        <v>14</v>
      </c>
      <c r="B74" t="s">
        <v>3164</v>
      </c>
      <c r="C74" t="s">
        <v>3165</v>
      </c>
      <c r="D74" t="s">
        <v>3184</v>
      </c>
      <c r="E74" t="s">
        <v>3185</v>
      </c>
      <c r="F74" t="s">
        <v>3041</v>
      </c>
      <c r="G74" t="s">
        <v>324</v>
      </c>
    </row>
    <row r="75" spans="1:7" ht="11.25" customHeight="1">
      <c r="A75" t="s">
        <v>14</v>
      </c>
      <c r="B75" t="s">
        <v>3164</v>
      </c>
      <c r="C75" t="s">
        <v>3165</v>
      </c>
      <c r="D75" t="s">
        <v>3186</v>
      </c>
      <c r="E75" t="s">
        <v>3187</v>
      </c>
      <c r="F75" t="s">
        <v>3041</v>
      </c>
      <c r="G75" t="s">
        <v>327</v>
      </c>
    </row>
    <row r="76" spans="1:7" ht="11.25" customHeight="1">
      <c r="A76" t="s">
        <v>14</v>
      </c>
      <c r="B76" t="s">
        <v>3188</v>
      </c>
      <c r="C76" t="s">
        <v>3189</v>
      </c>
      <c r="D76" t="s">
        <v>3190</v>
      </c>
      <c r="E76" t="s">
        <v>3191</v>
      </c>
      <c r="F76" t="s">
        <v>3041</v>
      </c>
      <c r="G76" t="s">
        <v>330</v>
      </c>
    </row>
    <row r="77" spans="1:7" ht="11.25" customHeight="1">
      <c r="A77" t="s">
        <v>14</v>
      </c>
      <c r="B77" t="s">
        <v>3188</v>
      </c>
      <c r="C77" t="s">
        <v>3189</v>
      </c>
      <c r="D77" t="s">
        <v>3192</v>
      </c>
      <c r="E77" t="s">
        <v>3193</v>
      </c>
      <c r="F77" t="s">
        <v>3041</v>
      </c>
      <c r="G77" t="s">
        <v>333</v>
      </c>
    </row>
    <row r="78" spans="1:7" ht="11.25" customHeight="1">
      <c r="A78" t="s">
        <v>14</v>
      </c>
      <c r="B78" t="s">
        <v>3188</v>
      </c>
      <c r="C78" t="s">
        <v>3189</v>
      </c>
      <c r="D78" t="s">
        <v>3188</v>
      </c>
      <c r="E78" t="s">
        <v>3189</v>
      </c>
      <c r="F78" t="s">
        <v>3045</v>
      </c>
      <c r="G78" t="s">
        <v>336</v>
      </c>
    </row>
    <row r="79" spans="1:7" ht="11.25" customHeight="1">
      <c r="A79" t="s">
        <v>14</v>
      </c>
      <c r="B79" t="s">
        <v>3188</v>
      </c>
      <c r="C79" t="s">
        <v>3189</v>
      </c>
      <c r="D79" t="s">
        <v>3194</v>
      </c>
      <c r="E79" t="s">
        <v>3195</v>
      </c>
      <c r="F79" t="s">
        <v>3041</v>
      </c>
      <c r="G79" t="s">
        <v>339</v>
      </c>
    </row>
    <row r="80" spans="1:7" ht="11.25" customHeight="1">
      <c r="A80" t="s">
        <v>14</v>
      </c>
      <c r="B80" t="s">
        <v>3188</v>
      </c>
      <c r="C80" t="s">
        <v>3189</v>
      </c>
      <c r="D80" t="s">
        <v>3196</v>
      </c>
      <c r="E80" t="s">
        <v>3197</v>
      </c>
      <c r="F80" t="s">
        <v>3041</v>
      </c>
      <c r="G80" t="s">
        <v>342</v>
      </c>
    </row>
    <row r="81" spans="1:7" ht="11.25" customHeight="1">
      <c r="A81" t="s">
        <v>14</v>
      </c>
      <c r="B81" t="s">
        <v>3188</v>
      </c>
      <c r="C81" t="s">
        <v>3189</v>
      </c>
      <c r="D81" t="s">
        <v>3198</v>
      </c>
      <c r="E81" t="s">
        <v>3199</v>
      </c>
      <c r="F81" t="s">
        <v>3041</v>
      </c>
      <c r="G81" t="s">
        <v>345</v>
      </c>
    </row>
    <row r="82" spans="1:7" ht="11.25" customHeight="1">
      <c r="A82" t="s">
        <v>14</v>
      </c>
      <c r="B82" t="s">
        <v>3188</v>
      </c>
      <c r="C82" t="s">
        <v>3189</v>
      </c>
      <c r="D82" t="s">
        <v>3200</v>
      </c>
      <c r="E82" t="s">
        <v>3201</v>
      </c>
      <c r="F82" t="s">
        <v>3041</v>
      </c>
      <c r="G82" t="s">
        <v>348</v>
      </c>
    </row>
    <row r="83" spans="1:7" ht="11.25" customHeight="1">
      <c r="A83" t="s">
        <v>14</v>
      </c>
      <c r="B83" t="s">
        <v>3188</v>
      </c>
      <c r="C83" t="s">
        <v>3189</v>
      </c>
      <c r="D83" t="s">
        <v>3202</v>
      </c>
      <c r="E83" t="s">
        <v>3203</v>
      </c>
      <c r="F83" t="s">
        <v>3041</v>
      </c>
      <c r="G83" t="s">
        <v>351</v>
      </c>
    </row>
    <row r="84" spans="1:7" ht="11.25" customHeight="1">
      <c r="A84" t="s">
        <v>14</v>
      </c>
      <c r="B84" t="s">
        <v>3204</v>
      </c>
      <c r="C84" t="s">
        <v>3205</v>
      </c>
      <c r="D84" t="s">
        <v>3206</v>
      </c>
      <c r="E84" t="s">
        <v>3207</v>
      </c>
      <c r="F84" t="s">
        <v>3041</v>
      </c>
      <c r="G84" t="s">
        <v>354</v>
      </c>
    </row>
    <row r="85" spans="1:7" ht="11.25" customHeight="1">
      <c r="A85" t="s">
        <v>14</v>
      </c>
      <c r="B85" t="s">
        <v>3204</v>
      </c>
      <c r="C85" t="s">
        <v>3205</v>
      </c>
      <c r="D85" t="s">
        <v>3208</v>
      </c>
      <c r="E85" t="s">
        <v>3209</v>
      </c>
      <c r="F85" t="s">
        <v>3041</v>
      </c>
      <c r="G85" t="s">
        <v>357</v>
      </c>
    </row>
    <row r="86" spans="1:7" ht="11.25" customHeight="1">
      <c r="A86" t="s">
        <v>14</v>
      </c>
      <c r="B86" t="s">
        <v>3204</v>
      </c>
      <c r="C86" t="s">
        <v>3205</v>
      </c>
      <c r="D86" t="s">
        <v>3194</v>
      </c>
      <c r="E86" t="s">
        <v>3210</v>
      </c>
      <c r="F86" t="s">
        <v>3041</v>
      </c>
      <c r="G86" t="s">
        <v>360</v>
      </c>
    </row>
    <row r="87" spans="1:7" ht="11.25" customHeight="1">
      <c r="A87" t="s">
        <v>14</v>
      </c>
      <c r="B87" t="s">
        <v>3204</v>
      </c>
      <c r="C87" t="s">
        <v>3205</v>
      </c>
      <c r="D87" t="s">
        <v>3211</v>
      </c>
      <c r="E87" t="s">
        <v>3212</v>
      </c>
      <c r="F87" t="s">
        <v>3041</v>
      </c>
      <c r="G87" t="s">
        <v>363</v>
      </c>
    </row>
    <row r="88" spans="1:7" ht="11.25" customHeight="1">
      <c r="A88" t="s">
        <v>14</v>
      </c>
      <c r="B88" t="s">
        <v>3204</v>
      </c>
      <c r="C88" t="s">
        <v>3205</v>
      </c>
      <c r="D88" t="s">
        <v>3213</v>
      </c>
      <c r="E88" t="s">
        <v>3214</v>
      </c>
      <c r="F88" t="s">
        <v>3076</v>
      </c>
      <c r="G88" t="s">
        <v>366</v>
      </c>
    </row>
    <row r="89" spans="1:7" ht="11.25" customHeight="1">
      <c r="A89" t="s">
        <v>14</v>
      </c>
      <c r="B89" t="s">
        <v>3204</v>
      </c>
      <c r="C89" t="s">
        <v>3205</v>
      </c>
      <c r="D89" t="s">
        <v>3204</v>
      </c>
      <c r="E89" t="s">
        <v>3205</v>
      </c>
      <c r="F89" t="s">
        <v>3045</v>
      </c>
      <c r="G89" t="s">
        <v>369</v>
      </c>
    </row>
    <row r="90" spans="1:7" ht="11.25" customHeight="1">
      <c r="A90" t="s">
        <v>14</v>
      </c>
      <c r="B90" t="s">
        <v>3204</v>
      </c>
      <c r="C90" t="s">
        <v>3205</v>
      </c>
      <c r="D90" t="s">
        <v>3215</v>
      </c>
      <c r="E90" t="s">
        <v>3216</v>
      </c>
      <c r="F90" t="s">
        <v>3041</v>
      </c>
      <c r="G90" t="s">
        <v>372</v>
      </c>
    </row>
    <row r="91" spans="1:7" ht="11.25" customHeight="1">
      <c r="A91" t="s">
        <v>14</v>
      </c>
      <c r="B91" t="s">
        <v>3204</v>
      </c>
      <c r="C91" t="s">
        <v>3205</v>
      </c>
      <c r="D91" t="s">
        <v>3217</v>
      </c>
      <c r="E91" t="s">
        <v>3218</v>
      </c>
      <c r="F91" t="s">
        <v>3041</v>
      </c>
      <c r="G91" t="s">
        <v>375</v>
      </c>
    </row>
    <row r="92" spans="1:7" ht="11.25" customHeight="1">
      <c r="A92" t="s">
        <v>14</v>
      </c>
      <c r="B92" t="s">
        <v>3204</v>
      </c>
      <c r="C92" t="s">
        <v>3205</v>
      </c>
      <c r="D92" t="s">
        <v>3219</v>
      </c>
      <c r="E92" t="s">
        <v>3220</v>
      </c>
      <c r="F92" t="s">
        <v>3041</v>
      </c>
      <c r="G92" t="s">
        <v>378</v>
      </c>
    </row>
    <row r="93" spans="1:7" ht="11.25" customHeight="1">
      <c r="A93" t="s">
        <v>14</v>
      </c>
      <c r="B93" t="s">
        <v>3204</v>
      </c>
      <c r="C93" t="s">
        <v>3205</v>
      </c>
      <c r="D93" t="s">
        <v>3221</v>
      </c>
      <c r="E93" t="s">
        <v>3222</v>
      </c>
      <c r="F93" t="s">
        <v>3041</v>
      </c>
      <c r="G93" t="s">
        <v>381</v>
      </c>
    </row>
    <row r="94" spans="1:7" ht="11.25" customHeight="1">
      <c r="A94" t="s">
        <v>14</v>
      </c>
      <c r="B94" t="s">
        <v>3204</v>
      </c>
      <c r="C94" t="s">
        <v>3205</v>
      </c>
      <c r="D94" t="s">
        <v>3223</v>
      </c>
      <c r="E94" t="s">
        <v>3224</v>
      </c>
      <c r="F94" t="s">
        <v>3041</v>
      </c>
      <c r="G94" t="s">
        <v>384</v>
      </c>
    </row>
    <row r="95" spans="1:7" ht="11.25" customHeight="1">
      <c r="A95" t="s">
        <v>14</v>
      </c>
      <c r="B95" t="s">
        <v>3225</v>
      </c>
      <c r="C95" t="s">
        <v>3226</v>
      </c>
      <c r="D95" t="s">
        <v>3227</v>
      </c>
      <c r="E95" t="s">
        <v>3228</v>
      </c>
      <c r="F95" t="s">
        <v>3041</v>
      </c>
      <c r="G95" t="s">
        <v>3229</v>
      </c>
    </row>
    <row r="96" spans="1:7" ht="11.25" customHeight="1">
      <c r="A96" t="s">
        <v>14</v>
      </c>
      <c r="B96" t="s">
        <v>3225</v>
      </c>
      <c r="C96" t="s">
        <v>3226</v>
      </c>
      <c r="D96" t="s">
        <v>3225</v>
      </c>
      <c r="E96" t="s">
        <v>3226</v>
      </c>
      <c r="F96" t="s">
        <v>3045</v>
      </c>
      <c r="G96" t="s">
        <v>3230</v>
      </c>
    </row>
    <row r="97" spans="1:7" ht="11.25" customHeight="1">
      <c r="A97" t="s">
        <v>14</v>
      </c>
      <c r="B97" t="s">
        <v>3225</v>
      </c>
      <c r="C97" t="s">
        <v>3226</v>
      </c>
      <c r="D97" t="s">
        <v>3231</v>
      </c>
      <c r="E97" t="s">
        <v>3232</v>
      </c>
      <c r="F97" t="s">
        <v>3041</v>
      </c>
      <c r="G97" t="s">
        <v>3233</v>
      </c>
    </row>
    <row r="98" spans="1:7" ht="11.25" customHeight="1">
      <c r="A98" t="s">
        <v>14</v>
      </c>
      <c r="B98" t="s">
        <v>3225</v>
      </c>
      <c r="C98" t="s">
        <v>3226</v>
      </c>
      <c r="D98" t="s">
        <v>3234</v>
      </c>
      <c r="E98" t="s">
        <v>3235</v>
      </c>
      <c r="F98" t="s">
        <v>3041</v>
      </c>
      <c r="G98" t="s">
        <v>3236</v>
      </c>
    </row>
    <row r="99" spans="1:7" ht="11.25" customHeight="1">
      <c r="A99" t="s">
        <v>14</v>
      </c>
      <c r="B99" t="s">
        <v>3225</v>
      </c>
      <c r="C99" t="s">
        <v>3226</v>
      </c>
      <c r="D99" t="s">
        <v>3237</v>
      </c>
      <c r="E99" t="s">
        <v>3238</v>
      </c>
      <c r="F99" t="s">
        <v>3041</v>
      </c>
      <c r="G99" t="s">
        <v>3239</v>
      </c>
    </row>
    <row r="100" spans="1:7" ht="11.25" customHeight="1">
      <c r="A100" t="s">
        <v>14</v>
      </c>
      <c r="B100" t="s">
        <v>3225</v>
      </c>
      <c r="C100" t="s">
        <v>3226</v>
      </c>
      <c r="D100" t="s">
        <v>3240</v>
      </c>
      <c r="E100" t="s">
        <v>3241</v>
      </c>
      <c r="F100" t="s">
        <v>3041</v>
      </c>
      <c r="G100" t="s">
        <v>3242</v>
      </c>
    </row>
    <row r="101" spans="1:7" ht="11.25" customHeight="1">
      <c r="A101" t="s">
        <v>14</v>
      </c>
      <c r="B101" t="s">
        <v>3225</v>
      </c>
      <c r="C101" t="s">
        <v>3226</v>
      </c>
      <c r="D101" t="s">
        <v>3243</v>
      </c>
      <c r="E101" t="s">
        <v>3244</v>
      </c>
      <c r="F101" t="s">
        <v>3041</v>
      </c>
      <c r="G101" t="s">
        <v>3245</v>
      </c>
    </row>
    <row r="102" spans="1:7" ht="11.25" customHeight="1">
      <c r="A102" t="s">
        <v>14</v>
      </c>
      <c r="B102" t="s">
        <v>3225</v>
      </c>
      <c r="C102" t="s">
        <v>3226</v>
      </c>
      <c r="D102" t="s">
        <v>3246</v>
      </c>
      <c r="E102" t="s">
        <v>3247</v>
      </c>
      <c r="F102" t="s">
        <v>3041</v>
      </c>
      <c r="G102" t="s">
        <v>3248</v>
      </c>
    </row>
    <row r="103" spans="1:7" ht="11.25" customHeight="1">
      <c r="A103" t="s">
        <v>14</v>
      </c>
      <c r="B103" t="s">
        <v>3249</v>
      </c>
      <c r="C103" t="s">
        <v>3250</v>
      </c>
      <c r="D103" t="s">
        <v>3249</v>
      </c>
      <c r="E103" t="s">
        <v>3250</v>
      </c>
      <c r="F103" t="s">
        <v>3045</v>
      </c>
      <c r="G103" t="s">
        <v>3251</v>
      </c>
    </row>
    <row r="104" spans="1:7" ht="11.25" customHeight="1">
      <c r="A104" t="s">
        <v>14</v>
      </c>
      <c r="B104" t="s">
        <v>3249</v>
      </c>
      <c r="C104" t="s">
        <v>3250</v>
      </c>
      <c r="D104" t="s">
        <v>3252</v>
      </c>
      <c r="E104" t="s">
        <v>3253</v>
      </c>
      <c r="F104" t="s">
        <v>3041</v>
      </c>
      <c r="G104" t="s">
        <v>3254</v>
      </c>
    </row>
    <row r="105" spans="1:7" ht="11.25" customHeight="1">
      <c r="A105" t="s">
        <v>14</v>
      </c>
      <c r="B105" t="s">
        <v>3249</v>
      </c>
      <c r="C105" t="s">
        <v>3250</v>
      </c>
      <c r="D105" t="s">
        <v>3255</v>
      </c>
      <c r="E105" t="s">
        <v>3256</v>
      </c>
      <c r="F105" t="s">
        <v>3041</v>
      </c>
      <c r="G105" t="s">
        <v>3257</v>
      </c>
    </row>
    <row r="106" spans="1:7" ht="11.25" customHeight="1">
      <c r="A106" t="s">
        <v>14</v>
      </c>
      <c r="B106" t="s">
        <v>3249</v>
      </c>
      <c r="C106" t="s">
        <v>3250</v>
      </c>
      <c r="D106" t="s">
        <v>3258</v>
      </c>
      <c r="E106" t="s">
        <v>3259</v>
      </c>
      <c r="F106" t="s">
        <v>3041</v>
      </c>
      <c r="G106" t="s">
        <v>3260</v>
      </c>
    </row>
    <row r="107" spans="1:7" ht="11.25" customHeight="1">
      <c r="A107" t="s">
        <v>14</v>
      </c>
      <c r="B107" t="s">
        <v>3249</v>
      </c>
      <c r="C107" t="s">
        <v>3250</v>
      </c>
      <c r="D107" t="s">
        <v>3261</v>
      </c>
      <c r="E107" t="s">
        <v>3262</v>
      </c>
      <c r="F107" t="s">
        <v>3041</v>
      </c>
      <c r="G107" t="s">
        <v>3263</v>
      </c>
    </row>
    <row r="108" spans="1:7" ht="11.25" customHeight="1">
      <c r="A108" t="s">
        <v>14</v>
      </c>
      <c r="B108" t="s">
        <v>3249</v>
      </c>
      <c r="C108" t="s">
        <v>3250</v>
      </c>
      <c r="D108" t="s">
        <v>3162</v>
      </c>
      <c r="E108" t="s">
        <v>3264</v>
      </c>
      <c r="F108" t="s">
        <v>3041</v>
      </c>
      <c r="G108" t="s">
        <v>3265</v>
      </c>
    </row>
    <row r="109" spans="1:7" ht="11.25" customHeight="1">
      <c r="A109" t="s">
        <v>14</v>
      </c>
      <c r="B109" t="s">
        <v>3266</v>
      </c>
      <c r="C109" t="s">
        <v>3267</v>
      </c>
      <c r="D109" t="s">
        <v>3268</v>
      </c>
      <c r="E109" t="s">
        <v>3269</v>
      </c>
      <c r="F109" t="s">
        <v>3041</v>
      </c>
      <c r="G109" t="s">
        <v>3270</v>
      </c>
    </row>
    <row r="110" spans="1:7" ht="11.25" customHeight="1">
      <c r="A110" t="s">
        <v>14</v>
      </c>
      <c r="B110" t="s">
        <v>3266</v>
      </c>
      <c r="C110" t="s">
        <v>3267</v>
      </c>
      <c r="D110" t="s">
        <v>3271</v>
      </c>
      <c r="E110" t="s">
        <v>3272</v>
      </c>
      <c r="F110" t="s">
        <v>3041</v>
      </c>
      <c r="G110" t="s">
        <v>3273</v>
      </c>
    </row>
    <row r="111" spans="1:7" ht="11.25" customHeight="1">
      <c r="A111" t="s">
        <v>14</v>
      </c>
      <c r="B111" t="s">
        <v>3266</v>
      </c>
      <c r="C111" t="s">
        <v>3267</v>
      </c>
      <c r="D111" t="s">
        <v>3274</v>
      </c>
      <c r="E111" t="s">
        <v>3275</v>
      </c>
      <c r="F111" t="s">
        <v>3041</v>
      </c>
      <c r="G111" t="s">
        <v>3276</v>
      </c>
    </row>
    <row r="112" spans="1:7" ht="11.25" customHeight="1">
      <c r="A112" t="s">
        <v>14</v>
      </c>
      <c r="B112" t="s">
        <v>3266</v>
      </c>
      <c r="C112" t="s">
        <v>3267</v>
      </c>
      <c r="D112" t="s">
        <v>3277</v>
      </c>
      <c r="E112" t="s">
        <v>3278</v>
      </c>
      <c r="F112" t="s">
        <v>3076</v>
      </c>
      <c r="G112" t="s">
        <v>881</v>
      </c>
    </row>
    <row r="113" spans="1:7" ht="11.25" customHeight="1">
      <c r="A113" t="s">
        <v>14</v>
      </c>
      <c r="B113" t="s">
        <v>3266</v>
      </c>
      <c r="C113" t="s">
        <v>3267</v>
      </c>
      <c r="D113" t="s">
        <v>3279</v>
      </c>
      <c r="E113" t="s">
        <v>3280</v>
      </c>
      <c r="F113" t="s">
        <v>3041</v>
      </c>
      <c r="G113" t="s">
        <v>3281</v>
      </c>
    </row>
    <row r="114" spans="1:7" ht="11.25" customHeight="1">
      <c r="A114" t="s">
        <v>14</v>
      </c>
      <c r="B114" t="s">
        <v>3266</v>
      </c>
      <c r="C114" t="s">
        <v>3267</v>
      </c>
      <c r="D114" t="s">
        <v>3282</v>
      </c>
      <c r="E114" t="s">
        <v>3283</v>
      </c>
      <c r="F114" t="s">
        <v>3041</v>
      </c>
      <c r="G114" t="s">
        <v>3284</v>
      </c>
    </row>
    <row r="115" spans="1:7" ht="11.25" customHeight="1">
      <c r="A115" t="s">
        <v>14</v>
      </c>
      <c r="B115" t="s">
        <v>3266</v>
      </c>
      <c r="C115" t="s">
        <v>3267</v>
      </c>
      <c r="D115" t="s">
        <v>3285</v>
      </c>
      <c r="E115" t="s">
        <v>3286</v>
      </c>
      <c r="F115" t="s">
        <v>3041</v>
      </c>
      <c r="G115" t="s">
        <v>3287</v>
      </c>
    </row>
    <row r="116" spans="1:7" ht="11.25" customHeight="1">
      <c r="A116" t="s">
        <v>14</v>
      </c>
      <c r="B116" t="s">
        <v>3266</v>
      </c>
      <c r="C116" t="s">
        <v>3267</v>
      </c>
      <c r="D116" t="s">
        <v>3198</v>
      </c>
      <c r="E116" t="s">
        <v>3288</v>
      </c>
      <c r="F116" t="s">
        <v>3041</v>
      </c>
      <c r="G116" t="s">
        <v>3289</v>
      </c>
    </row>
    <row r="117" spans="1:7" ht="11.25" customHeight="1">
      <c r="A117" t="s">
        <v>14</v>
      </c>
      <c r="B117" t="s">
        <v>3266</v>
      </c>
      <c r="C117" t="s">
        <v>3267</v>
      </c>
      <c r="D117" t="s">
        <v>3290</v>
      </c>
      <c r="E117" t="s">
        <v>3291</v>
      </c>
      <c r="F117" t="s">
        <v>3041</v>
      </c>
      <c r="G117" t="s">
        <v>3292</v>
      </c>
    </row>
    <row r="118" spans="1:7" ht="11.25" customHeight="1">
      <c r="A118" t="s">
        <v>14</v>
      </c>
      <c r="B118" t="s">
        <v>3266</v>
      </c>
      <c r="C118" t="s">
        <v>3267</v>
      </c>
      <c r="D118" t="s">
        <v>3266</v>
      </c>
      <c r="E118" t="s">
        <v>3267</v>
      </c>
      <c r="F118" t="s">
        <v>3045</v>
      </c>
      <c r="G118" t="s">
        <v>3293</v>
      </c>
    </row>
    <row r="119" spans="1:7" ht="11.25" customHeight="1">
      <c r="A119" t="s">
        <v>14</v>
      </c>
      <c r="B119" t="s">
        <v>3266</v>
      </c>
      <c r="C119" t="s">
        <v>3267</v>
      </c>
      <c r="D119" t="s">
        <v>3294</v>
      </c>
      <c r="E119" t="s">
        <v>3295</v>
      </c>
      <c r="F119" t="s">
        <v>3041</v>
      </c>
      <c r="G119" t="s">
        <v>3296</v>
      </c>
    </row>
    <row r="120" spans="1:7" ht="11.25" customHeight="1">
      <c r="A120" t="s">
        <v>14</v>
      </c>
      <c r="B120" t="s">
        <v>3266</v>
      </c>
      <c r="C120" t="s">
        <v>3267</v>
      </c>
      <c r="D120" t="s">
        <v>3297</v>
      </c>
      <c r="E120" t="s">
        <v>3298</v>
      </c>
      <c r="F120" t="s">
        <v>3041</v>
      </c>
      <c r="G120" t="s">
        <v>3299</v>
      </c>
    </row>
    <row r="121" spans="1:7" ht="11.25" customHeight="1">
      <c r="A121" t="s">
        <v>14</v>
      </c>
      <c r="B121" t="s">
        <v>3266</v>
      </c>
      <c r="C121" t="s">
        <v>3267</v>
      </c>
      <c r="D121" t="s">
        <v>3300</v>
      </c>
      <c r="E121" t="s">
        <v>3301</v>
      </c>
      <c r="F121" t="s">
        <v>3041</v>
      </c>
      <c r="G121" t="s">
        <v>3302</v>
      </c>
    </row>
    <row r="122" spans="1:7" ht="11.25" customHeight="1">
      <c r="A122" t="s">
        <v>14</v>
      </c>
      <c r="B122" t="s">
        <v>3266</v>
      </c>
      <c r="C122" t="s">
        <v>3267</v>
      </c>
      <c r="D122" t="s">
        <v>3303</v>
      </c>
      <c r="E122" t="s">
        <v>3304</v>
      </c>
      <c r="F122" t="s">
        <v>3041</v>
      </c>
      <c r="G122" t="s">
        <v>3305</v>
      </c>
    </row>
    <row r="123" spans="1:7" ht="11.25" customHeight="1">
      <c r="A123" t="s">
        <v>14</v>
      </c>
      <c r="B123" t="s">
        <v>3306</v>
      </c>
      <c r="C123" t="s">
        <v>3307</v>
      </c>
      <c r="D123" t="s">
        <v>3308</v>
      </c>
      <c r="E123" t="s">
        <v>3309</v>
      </c>
      <c r="F123" t="s">
        <v>3041</v>
      </c>
      <c r="G123" t="s">
        <v>3310</v>
      </c>
    </row>
    <row r="124" spans="1:7" ht="11.25" customHeight="1">
      <c r="A124" t="s">
        <v>14</v>
      </c>
      <c r="B124" t="s">
        <v>3306</v>
      </c>
      <c r="C124" t="s">
        <v>3307</v>
      </c>
      <c r="D124" t="s">
        <v>3311</v>
      </c>
      <c r="E124" t="s">
        <v>3312</v>
      </c>
      <c r="F124" t="s">
        <v>3041</v>
      </c>
      <c r="G124" t="s">
        <v>3313</v>
      </c>
    </row>
    <row r="125" spans="1:7" ht="11.25" customHeight="1">
      <c r="A125" t="s">
        <v>14</v>
      </c>
      <c r="B125" t="s">
        <v>3306</v>
      </c>
      <c r="C125" t="s">
        <v>3307</v>
      </c>
      <c r="D125" t="s">
        <v>3314</v>
      </c>
      <c r="E125" t="s">
        <v>3315</v>
      </c>
      <c r="F125" t="s">
        <v>3041</v>
      </c>
      <c r="G125" t="s">
        <v>3316</v>
      </c>
    </row>
    <row r="126" spans="1:7" ht="11.25" customHeight="1">
      <c r="A126" t="s">
        <v>14</v>
      </c>
      <c r="B126" t="s">
        <v>3306</v>
      </c>
      <c r="C126" t="s">
        <v>3307</v>
      </c>
      <c r="D126" t="s">
        <v>3317</v>
      </c>
      <c r="E126" t="s">
        <v>3318</v>
      </c>
      <c r="F126" t="s">
        <v>3041</v>
      </c>
      <c r="G126" t="s">
        <v>3319</v>
      </c>
    </row>
    <row r="127" spans="1:7" ht="11.25" customHeight="1">
      <c r="A127" t="s">
        <v>14</v>
      </c>
      <c r="B127" t="s">
        <v>3306</v>
      </c>
      <c r="C127" t="s">
        <v>3307</v>
      </c>
      <c r="D127" t="s">
        <v>3320</v>
      </c>
      <c r="E127" t="s">
        <v>3321</v>
      </c>
      <c r="F127" t="s">
        <v>3041</v>
      </c>
      <c r="G127" t="s">
        <v>3322</v>
      </c>
    </row>
    <row r="128" spans="1:7" ht="11.25" customHeight="1">
      <c r="A128" t="s">
        <v>14</v>
      </c>
      <c r="B128" t="s">
        <v>3306</v>
      </c>
      <c r="C128" t="s">
        <v>3307</v>
      </c>
      <c r="D128" t="s">
        <v>3323</v>
      </c>
      <c r="E128" t="s">
        <v>3324</v>
      </c>
      <c r="F128" t="s">
        <v>3041</v>
      </c>
      <c r="G128" t="s">
        <v>3325</v>
      </c>
    </row>
    <row r="129" spans="1:7" ht="11.25" customHeight="1">
      <c r="A129" t="s">
        <v>14</v>
      </c>
      <c r="B129" t="s">
        <v>3306</v>
      </c>
      <c r="C129" t="s">
        <v>3307</v>
      </c>
      <c r="D129" t="s">
        <v>3326</v>
      </c>
      <c r="E129" t="s">
        <v>3327</v>
      </c>
      <c r="F129" t="s">
        <v>3041</v>
      </c>
      <c r="G129" t="s">
        <v>3328</v>
      </c>
    </row>
    <row r="130" spans="1:7" ht="11.25" customHeight="1">
      <c r="A130" t="s">
        <v>14</v>
      </c>
      <c r="B130" t="s">
        <v>3306</v>
      </c>
      <c r="C130" t="s">
        <v>3307</v>
      </c>
      <c r="D130" t="s">
        <v>3329</v>
      </c>
      <c r="E130" t="s">
        <v>3330</v>
      </c>
      <c r="F130" t="s">
        <v>3041</v>
      </c>
      <c r="G130" t="s">
        <v>3331</v>
      </c>
    </row>
    <row r="131" spans="1:7" ht="11.25" customHeight="1">
      <c r="A131" t="s">
        <v>14</v>
      </c>
      <c r="B131" t="s">
        <v>3306</v>
      </c>
      <c r="C131" t="s">
        <v>3307</v>
      </c>
      <c r="D131" t="s">
        <v>3217</v>
      </c>
      <c r="E131" t="s">
        <v>3332</v>
      </c>
      <c r="F131" t="s">
        <v>3041</v>
      </c>
      <c r="G131" t="s">
        <v>3333</v>
      </c>
    </row>
    <row r="132" spans="1:7" ht="11.25" customHeight="1">
      <c r="A132" t="s">
        <v>14</v>
      </c>
      <c r="B132" t="s">
        <v>3306</v>
      </c>
      <c r="C132" t="s">
        <v>3307</v>
      </c>
      <c r="D132" t="s">
        <v>3306</v>
      </c>
      <c r="E132" t="s">
        <v>3307</v>
      </c>
      <c r="F132" t="s">
        <v>3045</v>
      </c>
      <c r="G132" t="s">
        <v>3334</v>
      </c>
    </row>
    <row r="133" spans="1:7" ht="11.25" customHeight="1">
      <c r="A133" t="s">
        <v>14</v>
      </c>
      <c r="B133" t="s">
        <v>3306</v>
      </c>
      <c r="C133" t="s">
        <v>3307</v>
      </c>
      <c r="D133" t="s">
        <v>3335</v>
      </c>
      <c r="E133" t="s">
        <v>3336</v>
      </c>
      <c r="F133" t="s">
        <v>3041</v>
      </c>
      <c r="G133" t="s">
        <v>3337</v>
      </c>
    </row>
    <row r="134" spans="1:7" ht="11.25" customHeight="1">
      <c r="A134" t="s">
        <v>14</v>
      </c>
      <c r="B134" t="s">
        <v>3306</v>
      </c>
      <c r="C134" t="s">
        <v>3307</v>
      </c>
      <c r="D134" t="s">
        <v>3338</v>
      </c>
      <c r="E134" t="s">
        <v>3339</v>
      </c>
      <c r="F134" t="s">
        <v>3041</v>
      </c>
      <c r="G134" t="s">
        <v>3340</v>
      </c>
    </row>
    <row r="135" spans="1:7" ht="11.25" customHeight="1">
      <c r="A135" t="s">
        <v>14</v>
      </c>
      <c r="B135" t="s">
        <v>3306</v>
      </c>
      <c r="C135" t="s">
        <v>3307</v>
      </c>
      <c r="D135" t="s">
        <v>3341</v>
      </c>
      <c r="E135" t="s">
        <v>3342</v>
      </c>
      <c r="F135" t="s">
        <v>3041</v>
      </c>
      <c r="G135" t="s">
        <v>3343</v>
      </c>
    </row>
    <row r="136" spans="1:7" ht="11.25" customHeight="1">
      <c r="A136" t="s">
        <v>14</v>
      </c>
      <c r="B136" t="s">
        <v>3306</v>
      </c>
      <c r="C136" t="s">
        <v>3307</v>
      </c>
      <c r="D136" t="s">
        <v>3344</v>
      </c>
      <c r="E136" t="s">
        <v>3345</v>
      </c>
      <c r="F136" t="s">
        <v>3041</v>
      </c>
      <c r="G136" t="s">
        <v>3346</v>
      </c>
    </row>
    <row r="137" spans="1:7" ht="11.25" customHeight="1">
      <c r="A137" t="s">
        <v>14</v>
      </c>
      <c r="B137" t="s">
        <v>3306</v>
      </c>
      <c r="C137" t="s">
        <v>3307</v>
      </c>
      <c r="D137" t="s">
        <v>3347</v>
      </c>
      <c r="E137" t="s">
        <v>3348</v>
      </c>
      <c r="F137" t="s">
        <v>3041</v>
      </c>
      <c r="G137" t="s">
        <v>3349</v>
      </c>
    </row>
    <row r="138" spans="1:7" ht="11.25" customHeight="1">
      <c r="A138" t="s">
        <v>14</v>
      </c>
      <c r="B138" t="s">
        <v>3306</v>
      </c>
      <c r="C138" t="s">
        <v>3307</v>
      </c>
      <c r="D138" t="s">
        <v>3350</v>
      </c>
      <c r="E138" t="s">
        <v>3351</v>
      </c>
      <c r="F138" t="s">
        <v>3041</v>
      </c>
      <c r="G138" t="s">
        <v>3352</v>
      </c>
    </row>
    <row r="139" spans="1:7" ht="11.25" customHeight="1">
      <c r="A139" t="s">
        <v>14</v>
      </c>
      <c r="B139" t="s">
        <v>3306</v>
      </c>
      <c r="C139" t="s">
        <v>3307</v>
      </c>
      <c r="D139" t="s">
        <v>3353</v>
      </c>
      <c r="E139" t="s">
        <v>3354</v>
      </c>
      <c r="F139" t="s">
        <v>3041</v>
      </c>
      <c r="G139" t="s">
        <v>3355</v>
      </c>
    </row>
    <row r="140" spans="1:7" ht="11.25" customHeight="1">
      <c r="A140" t="s">
        <v>14</v>
      </c>
      <c r="B140" t="s">
        <v>3356</v>
      </c>
      <c r="C140" t="s">
        <v>3357</v>
      </c>
      <c r="D140" t="s">
        <v>3358</v>
      </c>
      <c r="E140" t="s">
        <v>3359</v>
      </c>
      <c r="F140" t="s">
        <v>3041</v>
      </c>
      <c r="G140" t="s">
        <v>3360</v>
      </c>
    </row>
    <row r="141" spans="1:7" ht="11.25" customHeight="1">
      <c r="A141" t="s">
        <v>14</v>
      </c>
      <c r="B141" t="s">
        <v>3356</v>
      </c>
      <c r="C141" t="s">
        <v>3357</v>
      </c>
      <c r="D141" t="s">
        <v>3361</v>
      </c>
      <c r="E141" t="s">
        <v>3362</v>
      </c>
      <c r="F141" t="s">
        <v>3041</v>
      </c>
      <c r="G141" t="s">
        <v>3363</v>
      </c>
    </row>
    <row r="142" spans="1:7" ht="11.25" customHeight="1">
      <c r="A142" t="s">
        <v>14</v>
      </c>
      <c r="B142" t="s">
        <v>3356</v>
      </c>
      <c r="C142" t="s">
        <v>3357</v>
      </c>
      <c r="D142" t="s">
        <v>3364</v>
      </c>
      <c r="E142" t="s">
        <v>3365</v>
      </c>
      <c r="F142" t="s">
        <v>3041</v>
      </c>
      <c r="G142" t="s">
        <v>3366</v>
      </c>
    </row>
    <row r="143" spans="1:7" ht="11.25" customHeight="1">
      <c r="A143" t="s">
        <v>14</v>
      </c>
      <c r="B143" t="s">
        <v>3356</v>
      </c>
      <c r="C143" t="s">
        <v>3357</v>
      </c>
      <c r="D143" t="s">
        <v>3367</v>
      </c>
      <c r="E143" t="s">
        <v>3368</v>
      </c>
      <c r="F143" t="s">
        <v>3041</v>
      </c>
      <c r="G143" t="s">
        <v>3369</v>
      </c>
    </row>
    <row r="144" spans="1:7" ht="11.25" customHeight="1">
      <c r="A144" t="s">
        <v>14</v>
      </c>
      <c r="B144" t="s">
        <v>3356</v>
      </c>
      <c r="C144" t="s">
        <v>3357</v>
      </c>
      <c r="D144" t="s">
        <v>3370</v>
      </c>
      <c r="E144" t="s">
        <v>3371</v>
      </c>
      <c r="F144" t="s">
        <v>3044</v>
      </c>
      <c r="G144" t="s">
        <v>3372</v>
      </c>
    </row>
    <row r="145" spans="1:7" ht="11.25" customHeight="1">
      <c r="A145" t="s">
        <v>14</v>
      </c>
      <c r="B145" t="s">
        <v>3356</v>
      </c>
      <c r="C145" t="s">
        <v>3357</v>
      </c>
      <c r="D145" t="s">
        <v>3356</v>
      </c>
      <c r="E145" t="s">
        <v>3357</v>
      </c>
      <c r="F145" t="s">
        <v>3045</v>
      </c>
      <c r="G145" t="s">
        <v>3373</v>
      </c>
    </row>
    <row r="146" spans="1:7" ht="11.25" customHeight="1">
      <c r="A146" t="s">
        <v>14</v>
      </c>
      <c r="B146" t="s">
        <v>3356</v>
      </c>
      <c r="C146" t="s">
        <v>3357</v>
      </c>
      <c r="D146" t="s">
        <v>3184</v>
      </c>
      <c r="E146" t="s">
        <v>3374</v>
      </c>
      <c r="F146" t="s">
        <v>3041</v>
      </c>
      <c r="G146" t="s">
        <v>3375</v>
      </c>
    </row>
    <row r="147" spans="1:7" ht="11.25" customHeight="1">
      <c r="A147" t="s">
        <v>14</v>
      </c>
      <c r="B147" t="s">
        <v>3356</v>
      </c>
      <c r="C147" t="s">
        <v>3357</v>
      </c>
      <c r="D147" t="s">
        <v>3376</v>
      </c>
      <c r="E147" t="s">
        <v>3377</v>
      </c>
      <c r="F147" t="s">
        <v>3041</v>
      </c>
      <c r="G147" t="s">
        <v>3378</v>
      </c>
    </row>
    <row r="148" spans="1:7" ht="11.25" customHeight="1">
      <c r="A148" t="s">
        <v>14</v>
      </c>
      <c r="B148" t="s">
        <v>3356</v>
      </c>
      <c r="C148" t="s">
        <v>3357</v>
      </c>
      <c r="D148" t="s">
        <v>3379</v>
      </c>
      <c r="E148" t="s">
        <v>3380</v>
      </c>
      <c r="F148" t="s">
        <v>3041</v>
      </c>
      <c r="G148" t="s">
        <v>3381</v>
      </c>
    </row>
    <row r="149" spans="1:7" ht="11.25" customHeight="1">
      <c r="A149" t="s">
        <v>14</v>
      </c>
      <c r="B149" t="s">
        <v>3382</v>
      </c>
      <c r="C149" t="s">
        <v>3383</v>
      </c>
      <c r="D149" t="s">
        <v>3384</v>
      </c>
      <c r="E149" t="s">
        <v>3385</v>
      </c>
      <c r="F149" t="s">
        <v>3041</v>
      </c>
      <c r="G149" t="s">
        <v>3386</v>
      </c>
    </row>
    <row r="150" spans="1:7" ht="11.25" customHeight="1">
      <c r="A150" t="s">
        <v>14</v>
      </c>
      <c r="B150" t="s">
        <v>3382</v>
      </c>
      <c r="C150" t="s">
        <v>3383</v>
      </c>
      <c r="D150" t="s">
        <v>3387</v>
      </c>
      <c r="E150" t="s">
        <v>3388</v>
      </c>
      <c r="F150" t="s">
        <v>3041</v>
      </c>
      <c r="G150" t="s">
        <v>3389</v>
      </c>
    </row>
    <row r="151" spans="1:7" ht="11.25" customHeight="1">
      <c r="A151" t="s">
        <v>14</v>
      </c>
      <c r="B151" t="s">
        <v>3382</v>
      </c>
      <c r="C151" t="s">
        <v>3383</v>
      </c>
      <c r="D151" t="s">
        <v>3390</v>
      </c>
      <c r="E151" t="s">
        <v>3391</v>
      </c>
      <c r="F151" t="s">
        <v>3041</v>
      </c>
      <c r="G151" t="s">
        <v>3392</v>
      </c>
    </row>
    <row r="152" spans="1:7" ht="11.25" customHeight="1">
      <c r="A152" t="s">
        <v>14</v>
      </c>
      <c r="B152" t="s">
        <v>3382</v>
      </c>
      <c r="C152" t="s">
        <v>3383</v>
      </c>
      <c r="D152" t="s">
        <v>3393</v>
      </c>
      <c r="E152" t="s">
        <v>3394</v>
      </c>
      <c r="F152" t="s">
        <v>3041</v>
      </c>
      <c r="G152" t="s">
        <v>3395</v>
      </c>
    </row>
    <row r="153" spans="1:7" ht="11.25" customHeight="1">
      <c r="A153" t="s">
        <v>14</v>
      </c>
      <c r="B153" t="s">
        <v>3382</v>
      </c>
      <c r="C153" t="s">
        <v>3383</v>
      </c>
      <c r="D153" t="s">
        <v>3396</v>
      </c>
      <c r="E153" t="s">
        <v>3397</v>
      </c>
      <c r="F153" t="s">
        <v>3041</v>
      </c>
      <c r="G153" t="s">
        <v>3398</v>
      </c>
    </row>
    <row r="154" spans="1:7" ht="11.25" customHeight="1">
      <c r="A154" t="s">
        <v>14</v>
      </c>
      <c r="B154" t="s">
        <v>3382</v>
      </c>
      <c r="C154" t="s">
        <v>3383</v>
      </c>
      <c r="D154" t="s">
        <v>3399</v>
      </c>
      <c r="E154" t="s">
        <v>3400</v>
      </c>
      <c r="F154" t="s">
        <v>3041</v>
      </c>
      <c r="G154" t="s">
        <v>3401</v>
      </c>
    </row>
    <row r="155" spans="1:7" ht="11.25" customHeight="1">
      <c r="A155" t="s">
        <v>14</v>
      </c>
      <c r="B155" t="s">
        <v>3382</v>
      </c>
      <c r="C155" t="s">
        <v>3383</v>
      </c>
      <c r="D155" t="s">
        <v>3382</v>
      </c>
      <c r="E155" t="s">
        <v>3383</v>
      </c>
      <c r="F155" t="s">
        <v>3045</v>
      </c>
      <c r="G155" t="s">
        <v>3402</v>
      </c>
    </row>
    <row r="156" spans="1:7" ht="11.25" customHeight="1">
      <c r="A156" t="s">
        <v>14</v>
      </c>
      <c r="B156" t="s">
        <v>3382</v>
      </c>
      <c r="C156" t="s">
        <v>3383</v>
      </c>
      <c r="D156" t="s">
        <v>3403</v>
      </c>
      <c r="E156" t="s">
        <v>3404</v>
      </c>
      <c r="F156" t="s">
        <v>3041</v>
      </c>
      <c r="G156" t="s">
        <v>3405</v>
      </c>
    </row>
    <row r="157" spans="1:7" ht="11.25" customHeight="1">
      <c r="A157" t="s">
        <v>14</v>
      </c>
      <c r="B157" t="s">
        <v>3382</v>
      </c>
      <c r="C157" t="s">
        <v>3383</v>
      </c>
      <c r="D157" t="s">
        <v>3406</v>
      </c>
      <c r="E157" t="s">
        <v>3407</v>
      </c>
      <c r="F157" t="s">
        <v>3041</v>
      </c>
      <c r="G157" t="s">
        <v>3408</v>
      </c>
    </row>
    <row r="158" spans="1:7" ht="11.25" customHeight="1">
      <c r="A158" t="s">
        <v>14</v>
      </c>
      <c r="B158" t="s">
        <v>3382</v>
      </c>
      <c r="C158" t="s">
        <v>3383</v>
      </c>
      <c r="D158" t="s">
        <v>3409</v>
      </c>
      <c r="E158" t="s">
        <v>3410</v>
      </c>
      <c r="F158" t="s">
        <v>3041</v>
      </c>
      <c r="G158" t="s">
        <v>3411</v>
      </c>
    </row>
    <row r="159" spans="1:7" ht="11.25" customHeight="1">
      <c r="A159" t="s">
        <v>14</v>
      </c>
      <c r="B159" t="s">
        <v>3382</v>
      </c>
      <c r="C159" t="s">
        <v>3383</v>
      </c>
      <c r="D159" t="s">
        <v>3412</v>
      </c>
      <c r="E159" t="s">
        <v>3413</v>
      </c>
      <c r="F159" t="s">
        <v>3041</v>
      </c>
      <c r="G159" t="s">
        <v>3414</v>
      </c>
    </row>
    <row r="160" spans="1:7" ht="11.25" customHeight="1">
      <c r="A160" t="s">
        <v>14</v>
      </c>
      <c r="B160" t="s">
        <v>3382</v>
      </c>
      <c r="C160" t="s">
        <v>3383</v>
      </c>
      <c r="D160" t="s">
        <v>3415</v>
      </c>
      <c r="E160" t="s">
        <v>3416</v>
      </c>
      <c r="F160" t="s">
        <v>3041</v>
      </c>
      <c r="G160" t="s">
        <v>3417</v>
      </c>
    </row>
    <row r="161" spans="1:7" ht="11.25" customHeight="1">
      <c r="A161" t="s">
        <v>14</v>
      </c>
      <c r="B161" t="s">
        <v>3382</v>
      </c>
      <c r="C161" t="s">
        <v>3383</v>
      </c>
      <c r="D161" t="s">
        <v>3418</v>
      </c>
      <c r="E161" t="s">
        <v>3419</v>
      </c>
      <c r="F161" t="s">
        <v>3041</v>
      </c>
      <c r="G161" t="s">
        <v>3420</v>
      </c>
    </row>
    <row r="162" spans="1:7" ht="11.25" customHeight="1">
      <c r="A162" t="s">
        <v>14</v>
      </c>
      <c r="B162" t="s">
        <v>3382</v>
      </c>
      <c r="C162" t="s">
        <v>3383</v>
      </c>
      <c r="D162" t="s">
        <v>3421</v>
      </c>
      <c r="E162" t="s">
        <v>3422</v>
      </c>
      <c r="F162" t="s">
        <v>3041</v>
      </c>
      <c r="G162" t="s">
        <v>3423</v>
      </c>
    </row>
    <row r="163" spans="1:7" ht="11.25" customHeight="1">
      <c r="A163" t="s">
        <v>14</v>
      </c>
      <c r="B163" t="s">
        <v>3382</v>
      </c>
      <c r="C163" t="s">
        <v>3383</v>
      </c>
      <c r="D163" t="s">
        <v>3424</v>
      </c>
      <c r="E163" t="s">
        <v>3425</v>
      </c>
      <c r="F163" t="s">
        <v>3041</v>
      </c>
      <c r="G163" t="s">
        <v>3426</v>
      </c>
    </row>
    <row r="164" spans="1:7" ht="11.25" customHeight="1">
      <c r="A164" t="s">
        <v>14</v>
      </c>
      <c r="B164" t="s">
        <v>3427</v>
      </c>
      <c r="C164" t="s">
        <v>3428</v>
      </c>
      <c r="D164" t="s">
        <v>3429</v>
      </c>
      <c r="E164" t="s">
        <v>3430</v>
      </c>
      <c r="F164" t="s">
        <v>3041</v>
      </c>
      <c r="G164" t="s">
        <v>3431</v>
      </c>
    </row>
    <row r="165" spans="1:7" ht="11.25" customHeight="1">
      <c r="A165" t="s">
        <v>14</v>
      </c>
      <c r="B165" t="s">
        <v>3427</v>
      </c>
      <c r="C165" t="s">
        <v>3428</v>
      </c>
      <c r="D165" t="s">
        <v>3432</v>
      </c>
      <c r="E165" t="s">
        <v>3433</v>
      </c>
      <c r="F165" t="s">
        <v>3041</v>
      </c>
      <c r="G165" t="s">
        <v>3434</v>
      </c>
    </row>
    <row r="166" spans="1:7" ht="11.25" customHeight="1">
      <c r="A166" t="s">
        <v>14</v>
      </c>
      <c r="B166" t="s">
        <v>3427</v>
      </c>
      <c r="C166" t="s">
        <v>3428</v>
      </c>
      <c r="D166" t="s">
        <v>3427</v>
      </c>
      <c r="E166" t="s">
        <v>3428</v>
      </c>
      <c r="F166" t="s">
        <v>3045</v>
      </c>
      <c r="G166" t="s">
        <v>3435</v>
      </c>
    </row>
    <row r="167" spans="1:7" ht="11.25" customHeight="1">
      <c r="A167" t="s">
        <v>14</v>
      </c>
      <c r="B167" t="s">
        <v>3427</v>
      </c>
      <c r="C167" t="s">
        <v>3428</v>
      </c>
      <c r="D167" t="s">
        <v>3436</v>
      </c>
      <c r="E167" t="s">
        <v>3437</v>
      </c>
      <c r="F167" t="s">
        <v>3041</v>
      </c>
      <c r="G167" t="s">
        <v>3438</v>
      </c>
    </row>
    <row r="168" spans="1:7" ht="11.25" customHeight="1">
      <c r="A168" t="s">
        <v>14</v>
      </c>
      <c r="B168" t="s">
        <v>3427</v>
      </c>
      <c r="C168" t="s">
        <v>3428</v>
      </c>
      <c r="D168" t="s">
        <v>3439</v>
      </c>
      <c r="E168" t="s">
        <v>3440</v>
      </c>
      <c r="F168" t="s">
        <v>3041</v>
      </c>
      <c r="G168" t="s">
        <v>3441</v>
      </c>
    </row>
    <row r="169" spans="1:7" ht="11.25" customHeight="1">
      <c r="A169" t="s">
        <v>14</v>
      </c>
      <c r="B169" t="s">
        <v>3427</v>
      </c>
      <c r="C169" t="s">
        <v>3428</v>
      </c>
      <c r="D169" t="s">
        <v>3442</v>
      </c>
      <c r="E169" t="s">
        <v>3443</v>
      </c>
      <c r="F169" t="s">
        <v>3041</v>
      </c>
      <c r="G169" t="s">
        <v>3444</v>
      </c>
    </row>
    <row r="170" spans="1:7" ht="11.25" customHeight="1">
      <c r="A170" t="s">
        <v>14</v>
      </c>
      <c r="B170" t="s">
        <v>3427</v>
      </c>
      <c r="C170" t="s">
        <v>3428</v>
      </c>
      <c r="D170" t="s">
        <v>3445</v>
      </c>
      <c r="E170" t="s">
        <v>3446</v>
      </c>
      <c r="F170" t="s">
        <v>3041</v>
      </c>
      <c r="G170" t="s">
        <v>3447</v>
      </c>
    </row>
    <row r="171" spans="1:7" ht="11.25" customHeight="1">
      <c r="A171" t="s">
        <v>14</v>
      </c>
      <c r="B171" t="s">
        <v>3427</v>
      </c>
      <c r="C171" t="s">
        <v>3428</v>
      </c>
      <c r="D171" t="s">
        <v>3448</v>
      </c>
      <c r="E171" t="s">
        <v>3449</v>
      </c>
      <c r="F171" t="s">
        <v>3041</v>
      </c>
      <c r="G171" t="s">
        <v>3450</v>
      </c>
    </row>
    <row r="172" spans="1:7" ht="11.25" customHeight="1">
      <c r="A172" t="s">
        <v>14</v>
      </c>
      <c r="B172" t="s">
        <v>3427</v>
      </c>
      <c r="C172" t="s">
        <v>3428</v>
      </c>
      <c r="D172" t="s">
        <v>3451</v>
      </c>
      <c r="E172" t="s">
        <v>3452</v>
      </c>
      <c r="F172" t="s">
        <v>3076</v>
      </c>
      <c r="G172" t="s">
        <v>3453</v>
      </c>
    </row>
    <row r="173" spans="1:7" ht="11.25" customHeight="1">
      <c r="A173" t="s">
        <v>14</v>
      </c>
      <c r="B173" t="s">
        <v>3454</v>
      </c>
      <c r="C173" t="s">
        <v>3455</v>
      </c>
      <c r="D173" t="s">
        <v>3456</v>
      </c>
      <c r="E173" t="s">
        <v>3457</v>
      </c>
      <c r="F173" t="s">
        <v>3041</v>
      </c>
      <c r="G173" t="s">
        <v>3458</v>
      </c>
    </row>
    <row r="174" spans="1:7" ht="11.25" customHeight="1">
      <c r="A174" t="s">
        <v>14</v>
      </c>
      <c r="B174" t="s">
        <v>3454</v>
      </c>
      <c r="C174" t="s">
        <v>3455</v>
      </c>
      <c r="D174" t="s">
        <v>3459</v>
      </c>
      <c r="E174" t="s">
        <v>3460</v>
      </c>
      <c r="F174" t="s">
        <v>3041</v>
      </c>
      <c r="G174" t="s">
        <v>3461</v>
      </c>
    </row>
    <row r="175" spans="1:7" ht="11.25" customHeight="1">
      <c r="A175" t="s">
        <v>14</v>
      </c>
      <c r="B175" t="s">
        <v>3454</v>
      </c>
      <c r="C175" t="s">
        <v>3455</v>
      </c>
      <c r="D175" t="s">
        <v>3462</v>
      </c>
      <c r="E175" t="s">
        <v>3463</v>
      </c>
      <c r="F175" t="s">
        <v>3041</v>
      </c>
      <c r="G175" t="s">
        <v>3464</v>
      </c>
    </row>
    <row r="176" spans="1:7" ht="11.25" customHeight="1">
      <c r="A176" t="s">
        <v>14</v>
      </c>
      <c r="B176" t="s">
        <v>3454</v>
      </c>
      <c r="C176" t="s">
        <v>3455</v>
      </c>
      <c r="D176" t="s">
        <v>3465</v>
      </c>
      <c r="E176" t="s">
        <v>3466</v>
      </c>
      <c r="F176" t="s">
        <v>3041</v>
      </c>
      <c r="G176" t="s">
        <v>3467</v>
      </c>
    </row>
    <row r="177" spans="1:7" ht="11.25" customHeight="1">
      <c r="A177" t="s">
        <v>14</v>
      </c>
      <c r="B177" t="s">
        <v>3454</v>
      </c>
      <c r="C177" t="s">
        <v>3455</v>
      </c>
      <c r="D177" t="s">
        <v>3468</v>
      </c>
      <c r="E177" t="s">
        <v>3469</v>
      </c>
      <c r="F177" t="s">
        <v>3044</v>
      </c>
      <c r="G177" t="s">
        <v>3470</v>
      </c>
    </row>
    <row r="178" spans="1:7" ht="11.25" customHeight="1">
      <c r="A178" t="s">
        <v>14</v>
      </c>
      <c r="B178" t="s">
        <v>3454</v>
      </c>
      <c r="C178" t="s">
        <v>3455</v>
      </c>
      <c r="D178" t="s">
        <v>3454</v>
      </c>
      <c r="E178" t="s">
        <v>3455</v>
      </c>
      <c r="F178" t="s">
        <v>3045</v>
      </c>
      <c r="G178" t="s">
        <v>3471</v>
      </c>
    </row>
    <row r="179" spans="1:7" ht="11.25" customHeight="1">
      <c r="A179" t="s">
        <v>14</v>
      </c>
      <c r="B179" t="s">
        <v>3454</v>
      </c>
      <c r="C179" t="s">
        <v>3455</v>
      </c>
      <c r="D179" t="s">
        <v>3472</v>
      </c>
      <c r="E179" t="s">
        <v>3473</v>
      </c>
      <c r="F179" t="s">
        <v>3041</v>
      </c>
      <c r="G179" t="s">
        <v>3474</v>
      </c>
    </row>
    <row r="180" spans="1:7" ht="11.25" customHeight="1">
      <c r="A180" t="s">
        <v>14</v>
      </c>
      <c r="B180" t="s">
        <v>3454</v>
      </c>
      <c r="C180" t="s">
        <v>3455</v>
      </c>
      <c r="D180" t="s">
        <v>3475</v>
      </c>
      <c r="E180" t="s">
        <v>3476</v>
      </c>
      <c r="F180" t="s">
        <v>3041</v>
      </c>
      <c r="G180" t="s">
        <v>3477</v>
      </c>
    </row>
    <row r="181" spans="1:7" ht="11.25" customHeight="1">
      <c r="A181" t="s">
        <v>14</v>
      </c>
      <c r="B181" t="s">
        <v>3454</v>
      </c>
      <c r="C181" t="s">
        <v>3455</v>
      </c>
      <c r="D181" t="s">
        <v>3478</v>
      </c>
      <c r="E181" t="s">
        <v>3479</v>
      </c>
      <c r="F181" t="s">
        <v>3041</v>
      </c>
      <c r="G181" t="s">
        <v>3480</v>
      </c>
    </row>
    <row r="182" spans="1:7" ht="11.25" customHeight="1">
      <c r="A182" t="s">
        <v>14</v>
      </c>
      <c r="B182" t="s">
        <v>3481</v>
      </c>
      <c r="C182" t="s">
        <v>3482</v>
      </c>
      <c r="D182" t="s">
        <v>3481</v>
      </c>
      <c r="E182" t="s">
        <v>3482</v>
      </c>
      <c r="F182" t="s">
        <v>3483</v>
      </c>
      <c r="G182" t="s">
        <v>3484</v>
      </c>
    </row>
    <row r="183" spans="1:7" ht="11.25" customHeight="1">
      <c r="A183" t="s">
        <v>14</v>
      </c>
      <c r="B183" t="s">
        <v>3485</v>
      </c>
      <c r="C183" t="s">
        <v>3486</v>
      </c>
      <c r="D183" t="s">
        <v>3487</v>
      </c>
      <c r="E183" t="s">
        <v>3488</v>
      </c>
      <c r="F183" t="s">
        <v>3041</v>
      </c>
      <c r="G183" t="s">
        <v>3489</v>
      </c>
    </row>
    <row r="184" spans="1:7" ht="11.25" customHeight="1">
      <c r="A184" t="s">
        <v>14</v>
      </c>
      <c r="B184" t="s">
        <v>3485</v>
      </c>
      <c r="C184" t="s">
        <v>3486</v>
      </c>
      <c r="D184" t="s">
        <v>3490</v>
      </c>
      <c r="E184" t="s">
        <v>3491</v>
      </c>
      <c r="F184" t="s">
        <v>3041</v>
      </c>
      <c r="G184" t="s">
        <v>3492</v>
      </c>
    </row>
    <row r="185" spans="1:7" ht="11.25" customHeight="1">
      <c r="A185" t="s">
        <v>14</v>
      </c>
      <c r="B185" t="s">
        <v>3485</v>
      </c>
      <c r="C185" t="s">
        <v>3486</v>
      </c>
      <c r="D185" t="s">
        <v>3493</v>
      </c>
      <c r="E185" t="s">
        <v>3494</v>
      </c>
      <c r="F185" t="s">
        <v>3041</v>
      </c>
      <c r="G185" t="s">
        <v>3495</v>
      </c>
    </row>
    <row r="186" spans="1:7" ht="11.25" customHeight="1">
      <c r="A186" t="s">
        <v>14</v>
      </c>
      <c r="B186" t="s">
        <v>3485</v>
      </c>
      <c r="C186" t="s">
        <v>3486</v>
      </c>
      <c r="D186" t="s">
        <v>3496</v>
      </c>
      <c r="E186" t="s">
        <v>3497</v>
      </c>
      <c r="F186" t="s">
        <v>3076</v>
      </c>
      <c r="G186" t="s">
        <v>3498</v>
      </c>
    </row>
    <row r="187" spans="1:7" ht="11.25" customHeight="1">
      <c r="A187" t="s">
        <v>14</v>
      </c>
      <c r="B187" t="s">
        <v>3485</v>
      </c>
      <c r="C187" t="s">
        <v>3486</v>
      </c>
      <c r="D187" t="s">
        <v>3499</v>
      </c>
      <c r="E187" t="s">
        <v>3500</v>
      </c>
      <c r="F187" t="s">
        <v>3041</v>
      </c>
      <c r="G187" t="s">
        <v>3501</v>
      </c>
    </row>
    <row r="188" spans="1:7" ht="11.25" customHeight="1">
      <c r="A188" t="s">
        <v>14</v>
      </c>
      <c r="B188" t="s">
        <v>3485</v>
      </c>
      <c r="C188" t="s">
        <v>3486</v>
      </c>
      <c r="D188" t="s">
        <v>3502</v>
      </c>
      <c r="E188" t="s">
        <v>3503</v>
      </c>
      <c r="F188" t="s">
        <v>3041</v>
      </c>
      <c r="G188" t="s">
        <v>3504</v>
      </c>
    </row>
    <row r="189" spans="1:7" ht="11.25" customHeight="1">
      <c r="A189" t="s">
        <v>14</v>
      </c>
      <c r="B189" t="s">
        <v>3485</v>
      </c>
      <c r="C189" t="s">
        <v>3486</v>
      </c>
      <c r="D189" t="s">
        <v>3505</v>
      </c>
      <c r="E189" t="s">
        <v>3506</v>
      </c>
      <c r="F189" t="s">
        <v>3041</v>
      </c>
      <c r="G189" t="s">
        <v>3507</v>
      </c>
    </row>
    <row r="190" spans="1:7" ht="11.25" customHeight="1">
      <c r="A190" t="s">
        <v>14</v>
      </c>
      <c r="B190" t="s">
        <v>3485</v>
      </c>
      <c r="C190" t="s">
        <v>3486</v>
      </c>
      <c r="D190" t="s">
        <v>3508</v>
      </c>
      <c r="E190" t="s">
        <v>3509</v>
      </c>
      <c r="F190" t="s">
        <v>3041</v>
      </c>
      <c r="G190" t="s">
        <v>3510</v>
      </c>
    </row>
    <row r="191" spans="1:7" ht="11.25" customHeight="1">
      <c r="A191" t="s">
        <v>14</v>
      </c>
      <c r="B191" t="s">
        <v>3485</v>
      </c>
      <c r="C191" t="s">
        <v>3486</v>
      </c>
      <c r="D191" t="s">
        <v>3511</v>
      </c>
      <c r="E191" t="s">
        <v>3512</v>
      </c>
      <c r="F191" t="s">
        <v>3041</v>
      </c>
      <c r="G191" t="s">
        <v>3513</v>
      </c>
    </row>
    <row r="192" spans="1:7" ht="11.25" customHeight="1">
      <c r="A192" t="s">
        <v>14</v>
      </c>
      <c r="B192" t="s">
        <v>3485</v>
      </c>
      <c r="C192" t="s">
        <v>3486</v>
      </c>
      <c r="D192" t="s">
        <v>3514</v>
      </c>
      <c r="E192" t="s">
        <v>3515</v>
      </c>
      <c r="F192" t="s">
        <v>3041</v>
      </c>
      <c r="G192" t="s">
        <v>3516</v>
      </c>
    </row>
    <row r="193" spans="1:7" ht="11.25" customHeight="1">
      <c r="A193" t="s">
        <v>14</v>
      </c>
      <c r="B193" t="s">
        <v>3485</v>
      </c>
      <c r="C193" t="s">
        <v>3486</v>
      </c>
      <c r="D193" t="s">
        <v>3485</v>
      </c>
      <c r="E193" t="s">
        <v>3486</v>
      </c>
      <c r="F193" t="s">
        <v>3045</v>
      </c>
      <c r="G193" t="s">
        <v>3517</v>
      </c>
    </row>
    <row r="194" spans="1:7" ht="11.25" customHeight="1">
      <c r="A194" t="s">
        <v>14</v>
      </c>
      <c r="B194" t="s">
        <v>3485</v>
      </c>
      <c r="C194" t="s">
        <v>3486</v>
      </c>
      <c r="D194" t="s">
        <v>3518</v>
      </c>
      <c r="E194" t="s">
        <v>3519</v>
      </c>
      <c r="F194" t="s">
        <v>3041</v>
      </c>
      <c r="G194" t="s">
        <v>3520</v>
      </c>
    </row>
    <row r="195" spans="1:7" ht="11.25" customHeight="1">
      <c r="A195" t="s">
        <v>14</v>
      </c>
      <c r="B195" t="s">
        <v>3485</v>
      </c>
      <c r="C195" t="s">
        <v>3486</v>
      </c>
      <c r="D195" t="s">
        <v>3521</v>
      </c>
      <c r="E195" t="s">
        <v>3522</v>
      </c>
      <c r="F195" t="s">
        <v>3041</v>
      </c>
      <c r="G195" t="s">
        <v>3523</v>
      </c>
    </row>
    <row r="196" spans="1:7" ht="11.25" customHeight="1">
      <c r="A196" t="s">
        <v>14</v>
      </c>
      <c r="B196" t="s">
        <v>3485</v>
      </c>
      <c r="C196" t="s">
        <v>3486</v>
      </c>
      <c r="D196" t="s">
        <v>3524</v>
      </c>
      <c r="E196" t="s">
        <v>3525</v>
      </c>
      <c r="F196" t="s">
        <v>3041</v>
      </c>
      <c r="G196" t="s">
        <v>3526</v>
      </c>
    </row>
    <row r="197" spans="1:7" ht="11.25" customHeight="1">
      <c r="A197" t="s">
        <v>14</v>
      </c>
      <c r="B197" t="s">
        <v>3485</v>
      </c>
      <c r="C197" t="s">
        <v>3486</v>
      </c>
      <c r="D197" t="s">
        <v>3527</v>
      </c>
      <c r="E197" t="s">
        <v>3528</v>
      </c>
      <c r="F197" t="s">
        <v>3041</v>
      </c>
      <c r="G197" t="s">
        <v>3529</v>
      </c>
    </row>
    <row r="198" spans="1:7" ht="11.25" customHeight="1">
      <c r="A198" t="s">
        <v>14</v>
      </c>
      <c r="B198" t="s">
        <v>3485</v>
      </c>
      <c r="C198" t="s">
        <v>3486</v>
      </c>
      <c r="D198" t="s">
        <v>3530</v>
      </c>
      <c r="E198" t="s">
        <v>3531</v>
      </c>
      <c r="F198" t="s">
        <v>3041</v>
      </c>
      <c r="G198" t="s">
        <v>3532</v>
      </c>
    </row>
    <row r="199" spans="1:7" ht="11.25" customHeight="1">
      <c r="A199" t="s">
        <v>14</v>
      </c>
      <c r="B199" t="s">
        <v>3485</v>
      </c>
      <c r="C199" t="s">
        <v>3486</v>
      </c>
      <c r="D199" t="s">
        <v>3533</v>
      </c>
      <c r="E199" t="s">
        <v>3534</v>
      </c>
      <c r="F199" t="s">
        <v>3041</v>
      </c>
      <c r="G199" t="s">
        <v>3535</v>
      </c>
    </row>
    <row r="200" spans="1:7" ht="11.25" customHeight="1">
      <c r="A200" t="s">
        <v>14</v>
      </c>
      <c r="B200" t="s">
        <v>3485</v>
      </c>
      <c r="C200" t="s">
        <v>3486</v>
      </c>
      <c r="D200" t="s">
        <v>3536</v>
      </c>
      <c r="E200" t="s">
        <v>3537</v>
      </c>
      <c r="F200" t="s">
        <v>3041</v>
      </c>
      <c r="G200" t="s">
        <v>3538</v>
      </c>
    </row>
    <row r="201" spans="1:7" ht="11.25" customHeight="1">
      <c r="A201" t="s">
        <v>14</v>
      </c>
      <c r="B201" t="s">
        <v>3539</v>
      </c>
      <c r="C201" t="s">
        <v>3540</v>
      </c>
      <c r="D201" t="s">
        <v>3122</v>
      </c>
      <c r="E201" t="s">
        <v>3541</v>
      </c>
      <c r="F201" t="s">
        <v>3041</v>
      </c>
      <c r="G201" t="s">
        <v>3542</v>
      </c>
    </row>
    <row r="202" spans="1:7" ht="11.25" customHeight="1">
      <c r="A202" t="s">
        <v>14</v>
      </c>
      <c r="B202" t="s">
        <v>3539</v>
      </c>
      <c r="C202" t="s">
        <v>3540</v>
      </c>
      <c r="D202" t="s">
        <v>3543</v>
      </c>
      <c r="E202" t="s">
        <v>3544</v>
      </c>
      <c r="F202" t="s">
        <v>3041</v>
      </c>
      <c r="G202" t="s">
        <v>3545</v>
      </c>
    </row>
    <row r="203" spans="1:7" ht="11.25" customHeight="1">
      <c r="A203" t="s">
        <v>14</v>
      </c>
      <c r="B203" t="s">
        <v>3539</v>
      </c>
      <c r="C203" t="s">
        <v>3540</v>
      </c>
      <c r="D203" t="s">
        <v>3546</v>
      </c>
      <c r="E203" t="s">
        <v>3547</v>
      </c>
      <c r="F203" t="s">
        <v>3041</v>
      </c>
      <c r="G203" t="s">
        <v>3548</v>
      </c>
    </row>
    <row r="204" spans="1:7" ht="11.25" customHeight="1">
      <c r="A204" t="s">
        <v>14</v>
      </c>
      <c r="B204" t="s">
        <v>3539</v>
      </c>
      <c r="C204" t="s">
        <v>3540</v>
      </c>
      <c r="D204" t="s">
        <v>3549</v>
      </c>
      <c r="E204" t="s">
        <v>3550</v>
      </c>
      <c r="F204" t="s">
        <v>3041</v>
      </c>
      <c r="G204" t="s">
        <v>3551</v>
      </c>
    </row>
    <row r="205" spans="1:7" ht="11.25" customHeight="1">
      <c r="A205" t="s">
        <v>14</v>
      </c>
      <c r="B205" t="s">
        <v>3539</v>
      </c>
      <c r="C205" t="s">
        <v>3540</v>
      </c>
      <c r="D205" t="s">
        <v>3552</v>
      </c>
      <c r="E205" t="s">
        <v>3553</v>
      </c>
      <c r="F205" t="s">
        <v>3041</v>
      </c>
      <c r="G205" t="s">
        <v>3554</v>
      </c>
    </row>
    <row r="206" spans="1:7" ht="11.25" customHeight="1">
      <c r="A206" t="s">
        <v>14</v>
      </c>
      <c r="B206" t="s">
        <v>3539</v>
      </c>
      <c r="C206" t="s">
        <v>3540</v>
      </c>
      <c r="D206" t="s">
        <v>3555</v>
      </c>
      <c r="E206" t="s">
        <v>3556</v>
      </c>
      <c r="F206" t="s">
        <v>3041</v>
      </c>
      <c r="G206" t="s">
        <v>3557</v>
      </c>
    </row>
    <row r="207" spans="1:7" ht="11.25" customHeight="1">
      <c r="A207" t="s">
        <v>14</v>
      </c>
      <c r="B207" t="s">
        <v>3539</v>
      </c>
      <c r="C207" t="s">
        <v>3540</v>
      </c>
      <c r="D207" t="s">
        <v>3558</v>
      </c>
      <c r="E207" t="s">
        <v>3559</v>
      </c>
      <c r="F207" t="s">
        <v>3041</v>
      </c>
      <c r="G207" t="s">
        <v>3560</v>
      </c>
    </row>
    <row r="208" spans="1:7" ht="11.25" customHeight="1">
      <c r="A208" t="s">
        <v>14</v>
      </c>
      <c r="B208" t="s">
        <v>3539</v>
      </c>
      <c r="C208" t="s">
        <v>3540</v>
      </c>
      <c r="D208" t="s">
        <v>3561</v>
      </c>
      <c r="E208" t="s">
        <v>3562</v>
      </c>
      <c r="F208" t="s">
        <v>3041</v>
      </c>
      <c r="G208" t="s">
        <v>3563</v>
      </c>
    </row>
    <row r="209" spans="1:7" ht="11.25" customHeight="1">
      <c r="A209" t="s">
        <v>14</v>
      </c>
      <c r="B209" t="s">
        <v>3539</v>
      </c>
      <c r="C209" t="s">
        <v>3540</v>
      </c>
      <c r="D209" t="s">
        <v>3564</v>
      </c>
      <c r="E209" t="s">
        <v>3565</v>
      </c>
      <c r="F209" t="s">
        <v>3041</v>
      </c>
      <c r="G209" t="s">
        <v>3566</v>
      </c>
    </row>
    <row r="210" spans="1:7" ht="11.25" customHeight="1">
      <c r="A210" t="s">
        <v>14</v>
      </c>
      <c r="B210" t="s">
        <v>3539</v>
      </c>
      <c r="C210" t="s">
        <v>3540</v>
      </c>
      <c r="D210" t="s">
        <v>3180</v>
      </c>
      <c r="E210" t="s">
        <v>3567</v>
      </c>
      <c r="F210" t="s">
        <v>3041</v>
      </c>
      <c r="G210" t="s">
        <v>3568</v>
      </c>
    </row>
    <row r="211" spans="1:7" ht="11.25" customHeight="1">
      <c r="A211" t="s">
        <v>14</v>
      </c>
      <c r="B211" t="s">
        <v>3539</v>
      </c>
      <c r="C211" t="s">
        <v>3540</v>
      </c>
      <c r="D211" t="s">
        <v>3539</v>
      </c>
      <c r="E211" t="s">
        <v>3540</v>
      </c>
      <c r="F211" t="s">
        <v>3045</v>
      </c>
      <c r="G211" t="s">
        <v>3569</v>
      </c>
    </row>
    <row r="212" spans="1:7" ht="11.25" customHeight="1">
      <c r="A212" t="s">
        <v>14</v>
      </c>
      <c r="B212" t="s">
        <v>3539</v>
      </c>
      <c r="C212" t="s">
        <v>3540</v>
      </c>
      <c r="D212" t="s">
        <v>3570</v>
      </c>
      <c r="E212" t="s">
        <v>3571</v>
      </c>
      <c r="F212" t="s">
        <v>3076</v>
      </c>
      <c r="G212" t="s">
        <v>3572</v>
      </c>
    </row>
    <row r="213" spans="1:7" ht="11.25" customHeight="1">
      <c r="A213" t="s">
        <v>14</v>
      </c>
      <c r="B213" t="s">
        <v>3539</v>
      </c>
      <c r="C213" t="s">
        <v>3540</v>
      </c>
      <c r="D213" t="s">
        <v>3573</v>
      </c>
      <c r="E213" t="s">
        <v>3574</v>
      </c>
      <c r="F213" t="s">
        <v>3041</v>
      </c>
      <c r="G213" t="s">
        <v>3575</v>
      </c>
    </row>
    <row r="214" spans="1:7" ht="11.25" customHeight="1">
      <c r="A214" t="s">
        <v>14</v>
      </c>
      <c r="B214" t="s">
        <v>3539</v>
      </c>
      <c r="C214" t="s">
        <v>3540</v>
      </c>
      <c r="D214" t="s">
        <v>3576</v>
      </c>
      <c r="E214" t="s">
        <v>3577</v>
      </c>
      <c r="F214" t="s">
        <v>3041</v>
      </c>
      <c r="G214" t="s">
        <v>3578</v>
      </c>
    </row>
    <row r="215" spans="1:7" ht="11.25" customHeight="1">
      <c r="A215" t="s">
        <v>14</v>
      </c>
      <c r="B215" t="s">
        <v>3539</v>
      </c>
      <c r="C215" t="s">
        <v>3540</v>
      </c>
      <c r="D215" t="s">
        <v>3579</v>
      </c>
      <c r="E215" t="s">
        <v>3580</v>
      </c>
      <c r="F215" t="s">
        <v>3041</v>
      </c>
      <c r="G215" t="s">
        <v>3581</v>
      </c>
    </row>
    <row r="216" spans="1:7" ht="11.25" customHeight="1">
      <c r="A216" t="s">
        <v>14</v>
      </c>
      <c r="B216" t="s">
        <v>3582</v>
      </c>
      <c r="C216" t="s">
        <v>3583</v>
      </c>
      <c r="D216" t="s">
        <v>3584</v>
      </c>
      <c r="E216" t="s">
        <v>3585</v>
      </c>
      <c r="F216" t="s">
        <v>3041</v>
      </c>
      <c r="G216" t="s">
        <v>3586</v>
      </c>
    </row>
    <row r="217" spans="1:7" ht="11.25" customHeight="1">
      <c r="A217" t="s">
        <v>14</v>
      </c>
      <c r="B217" t="s">
        <v>3582</v>
      </c>
      <c r="C217" t="s">
        <v>3583</v>
      </c>
      <c r="D217" t="s">
        <v>3587</v>
      </c>
      <c r="E217" t="s">
        <v>3588</v>
      </c>
      <c r="F217" t="s">
        <v>3076</v>
      </c>
      <c r="G217" t="s">
        <v>3589</v>
      </c>
    </row>
    <row r="218" spans="1:7" ht="11.25" customHeight="1">
      <c r="A218" t="s">
        <v>14</v>
      </c>
      <c r="B218" t="s">
        <v>3582</v>
      </c>
      <c r="C218" t="s">
        <v>3583</v>
      </c>
      <c r="D218" t="s">
        <v>3590</v>
      </c>
      <c r="E218" t="s">
        <v>3591</v>
      </c>
      <c r="F218" t="s">
        <v>3041</v>
      </c>
      <c r="G218" t="s">
        <v>3592</v>
      </c>
    </row>
    <row r="219" spans="1:7" ht="11.25" customHeight="1">
      <c r="A219" t="s">
        <v>14</v>
      </c>
      <c r="B219" t="s">
        <v>3582</v>
      </c>
      <c r="C219" t="s">
        <v>3583</v>
      </c>
      <c r="D219" t="s">
        <v>3593</v>
      </c>
      <c r="E219" t="s">
        <v>3594</v>
      </c>
      <c r="F219" t="s">
        <v>3041</v>
      </c>
      <c r="G219" t="s">
        <v>3595</v>
      </c>
    </row>
    <row r="220" spans="1:7" ht="11.25" customHeight="1">
      <c r="A220" t="s">
        <v>14</v>
      </c>
      <c r="B220" t="s">
        <v>3582</v>
      </c>
      <c r="C220" t="s">
        <v>3583</v>
      </c>
      <c r="D220" t="s">
        <v>3596</v>
      </c>
      <c r="E220" t="s">
        <v>3597</v>
      </c>
      <c r="F220" t="s">
        <v>3041</v>
      </c>
      <c r="G220" t="s">
        <v>3598</v>
      </c>
    </row>
    <row r="221" spans="1:7" ht="11.25" customHeight="1">
      <c r="A221" t="s">
        <v>14</v>
      </c>
      <c r="B221" t="s">
        <v>3582</v>
      </c>
      <c r="C221" t="s">
        <v>3583</v>
      </c>
      <c r="D221" t="s">
        <v>3341</v>
      </c>
      <c r="E221" t="s">
        <v>3599</v>
      </c>
      <c r="F221" t="s">
        <v>3041</v>
      </c>
      <c r="G221" t="s">
        <v>3600</v>
      </c>
    </row>
    <row r="222" spans="1:7" ht="11.25" customHeight="1">
      <c r="A222" t="s">
        <v>14</v>
      </c>
      <c r="B222" t="s">
        <v>3582</v>
      </c>
      <c r="C222" t="s">
        <v>3583</v>
      </c>
      <c r="D222" t="s">
        <v>3601</v>
      </c>
      <c r="E222" t="s">
        <v>3602</v>
      </c>
      <c r="F222" t="s">
        <v>3041</v>
      </c>
      <c r="G222" t="s">
        <v>3603</v>
      </c>
    </row>
    <row r="223" spans="1:7" ht="11.25" customHeight="1">
      <c r="A223" t="s">
        <v>14</v>
      </c>
      <c r="B223" t="s">
        <v>3582</v>
      </c>
      <c r="C223" t="s">
        <v>3583</v>
      </c>
      <c r="D223" t="s">
        <v>3582</v>
      </c>
      <c r="E223" t="s">
        <v>3583</v>
      </c>
      <c r="F223" t="s">
        <v>3045</v>
      </c>
      <c r="G223" t="s">
        <v>3604</v>
      </c>
    </row>
    <row r="224" spans="1:7" ht="11.25" customHeight="1">
      <c r="A224" t="s">
        <v>14</v>
      </c>
      <c r="B224" t="s">
        <v>3582</v>
      </c>
      <c r="C224" t="s">
        <v>3583</v>
      </c>
      <c r="D224" t="s">
        <v>3605</v>
      </c>
      <c r="E224" t="s">
        <v>3606</v>
      </c>
      <c r="F224" t="s">
        <v>3041</v>
      </c>
      <c r="G224" t="s">
        <v>3607</v>
      </c>
    </row>
    <row r="225" spans="1:7" ht="11.25" customHeight="1">
      <c r="A225" t="s">
        <v>14</v>
      </c>
      <c r="B225" t="s">
        <v>3608</v>
      </c>
      <c r="C225" t="s">
        <v>3609</v>
      </c>
      <c r="D225" t="s">
        <v>3610</v>
      </c>
      <c r="E225" t="s">
        <v>3611</v>
      </c>
      <c r="F225" t="s">
        <v>3041</v>
      </c>
      <c r="G225" t="s">
        <v>3612</v>
      </c>
    </row>
    <row r="226" spans="1:7" ht="11.25" customHeight="1">
      <c r="A226" t="s">
        <v>14</v>
      </c>
      <c r="B226" t="s">
        <v>3608</v>
      </c>
      <c r="C226" t="s">
        <v>3609</v>
      </c>
      <c r="D226" t="s">
        <v>3613</v>
      </c>
      <c r="E226" t="s">
        <v>3614</v>
      </c>
      <c r="F226" t="s">
        <v>3041</v>
      </c>
      <c r="G226" t="s">
        <v>3615</v>
      </c>
    </row>
    <row r="227" spans="1:7" ht="11.25" customHeight="1">
      <c r="A227" t="s">
        <v>14</v>
      </c>
      <c r="B227" t="s">
        <v>3608</v>
      </c>
      <c r="C227" t="s">
        <v>3609</v>
      </c>
      <c r="D227" t="s">
        <v>3616</v>
      </c>
      <c r="E227" t="s">
        <v>3617</v>
      </c>
      <c r="F227" t="s">
        <v>3041</v>
      </c>
      <c r="G227" t="s">
        <v>3618</v>
      </c>
    </row>
    <row r="228" spans="1:7" ht="11.25" customHeight="1">
      <c r="A228" t="s">
        <v>14</v>
      </c>
      <c r="B228" t="s">
        <v>3608</v>
      </c>
      <c r="C228" t="s">
        <v>3609</v>
      </c>
      <c r="D228" t="s">
        <v>3619</v>
      </c>
      <c r="E228" t="s">
        <v>3620</v>
      </c>
      <c r="F228" t="s">
        <v>3041</v>
      </c>
      <c r="G228" t="s">
        <v>3621</v>
      </c>
    </row>
    <row r="229" spans="1:7" ht="11.25" customHeight="1">
      <c r="A229" t="s">
        <v>14</v>
      </c>
      <c r="B229" t="s">
        <v>3608</v>
      </c>
      <c r="C229" t="s">
        <v>3609</v>
      </c>
      <c r="D229" t="s">
        <v>3622</v>
      </c>
      <c r="E229" t="s">
        <v>3623</v>
      </c>
      <c r="F229" t="s">
        <v>3041</v>
      </c>
      <c r="G229" t="s">
        <v>3624</v>
      </c>
    </row>
    <row r="230" spans="1:7" ht="11.25" customHeight="1">
      <c r="A230" t="s">
        <v>14</v>
      </c>
      <c r="B230" t="s">
        <v>3608</v>
      </c>
      <c r="C230" t="s">
        <v>3609</v>
      </c>
      <c r="D230" t="s">
        <v>3625</v>
      </c>
      <c r="E230" t="s">
        <v>3626</v>
      </c>
      <c r="F230" t="s">
        <v>3041</v>
      </c>
      <c r="G230" t="s">
        <v>3627</v>
      </c>
    </row>
    <row r="231" spans="1:7" ht="11.25" customHeight="1">
      <c r="A231" t="s">
        <v>14</v>
      </c>
      <c r="B231" t="s">
        <v>3608</v>
      </c>
      <c r="C231" t="s">
        <v>3609</v>
      </c>
      <c r="D231" t="s">
        <v>3608</v>
      </c>
      <c r="E231" t="s">
        <v>3609</v>
      </c>
      <c r="F231" t="s">
        <v>3045</v>
      </c>
      <c r="G231" t="s">
        <v>3628</v>
      </c>
    </row>
    <row r="232" spans="1:7" ht="11.25" customHeight="1">
      <c r="A232" t="s">
        <v>14</v>
      </c>
      <c r="B232" t="s">
        <v>3608</v>
      </c>
      <c r="C232" t="s">
        <v>3609</v>
      </c>
      <c r="D232" t="s">
        <v>3629</v>
      </c>
      <c r="E232" t="s">
        <v>3630</v>
      </c>
      <c r="F232" t="s">
        <v>3041</v>
      </c>
      <c r="G232" t="s">
        <v>3631</v>
      </c>
    </row>
    <row r="233" spans="1:7" ht="11.25" customHeight="1">
      <c r="A233" t="s">
        <v>14</v>
      </c>
      <c r="B233" t="s">
        <v>3632</v>
      </c>
      <c r="C233" t="s">
        <v>3633</v>
      </c>
      <c r="D233" t="s">
        <v>3634</v>
      </c>
      <c r="E233" t="s">
        <v>3635</v>
      </c>
      <c r="F233" t="s">
        <v>3041</v>
      </c>
      <c r="G233" t="s">
        <v>3636</v>
      </c>
    </row>
    <row r="234" spans="1:7" ht="11.25" customHeight="1">
      <c r="A234" t="s">
        <v>14</v>
      </c>
      <c r="B234" t="s">
        <v>3632</v>
      </c>
      <c r="C234" t="s">
        <v>3633</v>
      </c>
      <c r="D234" t="s">
        <v>3637</v>
      </c>
      <c r="E234" t="s">
        <v>3638</v>
      </c>
      <c r="F234" t="s">
        <v>3041</v>
      </c>
      <c r="G234" t="s">
        <v>3639</v>
      </c>
    </row>
    <row r="235" spans="1:7" ht="11.25" customHeight="1">
      <c r="A235" t="s">
        <v>14</v>
      </c>
      <c r="B235" t="s">
        <v>3632</v>
      </c>
      <c r="C235" t="s">
        <v>3633</v>
      </c>
      <c r="D235" t="s">
        <v>3640</v>
      </c>
      <c r="E235" t="s">
        <v>3641</v>
      </c>
      <c r="F235" t="s">
        <v>3041</v>
      </c>
      <c r="G235" t="s">
        <v>3642</v>
      </c>
    </row>
    <row r="236" spans="1:7" ht="11.25" customHeight="1">
      <c r="A236" t="s">
        <v>14</v>
      </c>
      <c r="B236" t="s">
        <v>3632</v>
      </c>
      <c r="C236" t="s">
        <v>3633</v>
      </c>
      <c r="D236" t="s">
        <v>3643</v>
      </c>
      <c r="E236" t="s">
        <v>3644</v>
      </c>
      <c r="F236" t="s">
        <v>3041</v>
      </c>
      <c r="G236" t="s">
        <v>3645</v>
      </c>
    </row>
    <row r="237" spans="1:7" ht="11.25" customHeight="1">
      <c r="A237" t="s">
        <v>14</v>
      </c>
      <c r="B237" t="s">
        <v>3632</v>
      </c>
      <c r="C237" t="s">
        <v>3633</v>
      </c>
      <c r="D237" t="s">
        <v>3646</v>
      </c>
      <c r="E237" t="s">
        <v>3647</v>
      </c>
      <c r="F237" t="s">
        <v>3041</v>
      </c>
      <c r="G237" t="s">
        <v>3648</v>
      </c>
    </row>
    <row r="238" spans="1:7" ht="11.25" customHeight="1">
      <c r="A238" t="s">
        <v>14</v>
      </c>
      <c r="B238" t="s">
        <v>3632</v>
      </c>
      <c r="C238" t="s">
        <v>3633</v>
      </c>
      <c r="D238" t="s">
        <v>3341</v>
      </c>
      <c r="E238" t="s">
        <v>3649</v>
      </c>
      <c r="F238" t="s">
        <v>3041</v>
      </c>
      <c r="G238" t="s">
        <v>3650</v>
      </c>
    </row>
    <row r="239" spans="1:7" ht="11.25" customHeight="1">
      <c r="A239" t="s">
        <v>14</v>
      </c>
      <c r="B239" t="s">
        <v>3632</v>
      </c>
      <c r="C239" t="s">
        <v>3633</v>
      </c>
      <c r="D239" t="s">
        <v>3651</v>
      </c>
      <c r="E239" t="s">
        <v>3652</v>
      </c>
      <c r="F239" t="s">
        <v>3041</v>
      </c>
      <c r="G239" t="s">
        <v>3653</v>
      </c>
    </row>
    <row r="240" spans="1:7" ht="11.25" customHeight="1">
      <c r="A240" t="s">
        <v>14</v>
      </c>
      <c r="B240" t="s">
        <v>3632</v>
      </c>
      <c r="C240" t="s">
        <v>3633</v>
      </c>
      <c r="D240" t="s">
        <v>3632</v>
      </c>
      <c r="E240" t="s">
        <v>3633</v>
      </c>
      <c r="F240" t="s">
        <v>3045</v>
      </c>
      <c r="G240" t="s">
        <v>3654</v>
      </c>
    </row>
    <row r="241" spans="1:7" ht="11.25" customHeight="1">
      <c r="A241" t="s">
        <v>14</v>
      </c>
      <c r="B241" t="s">
        <v>3632</v>
      </c>
      <c r="C241" t="s">
        <v>3633</v>
      </c>
      <c r="D241" t="s">
        <v>3655</v>
      </c>
      <c r="E241" t="s">
        <v>3656</v>
      </c>
      <c r="F241" t="s">
        <v>3041</v>
      </c>
      <c r="G241" t="s">
        <v>3657</v>
      </c>
    </row>
    <row r="242" spans="1:7" ht="11.25" customHeight="1">
      <c r="A242" t="s">
        <v>14</v>
      </c>
      <c r="B242" t="s">
        <v>3658</v>
      </c>
      <c r="C242" t="s">
        <v>3659</v>
      </c>
      <c r="D242" t="s">
        <v>3660</v>
      </c>
      <c r="E242" t="s">
        <v>3661</v>
      </c>
      <c r="F242" t="s">
        <v>3041</v>
      </c>
      <c r="G242" t="s">
        <v>3662</v>
      </c>
    </row>
    <row r="243" spans="1:7" ht="11.25" customHeight="1">
      <c r="A243" t="s">
        <v>14</v>
      </c>
      <c r="B243" t="s">
        <v>3658</v>
      </c>
      <c r="C243" t="s">
        <v>3659</v>
      </c>
      <c r="D243" t="s">
        <v>3663</v>
      </c>
      <c r="E243" t="s">
        <v>3664</v>
      </c>
      <c r="F243" t="s">
        <v>3041</v>
      </c>
      <c r="G243" t="s">
        <v>3665</v>
      </c>
    </row>
    <row r="244" spans="1:7" ht="11.25" customHeight="1">
      <c r="A244" t="s">
        <v>14</v>
      </c>
      <c r="B244" t="s">
        <v>3658</v>
      </c>
      <c r="C244" t="s">
        <v>3659</v>
      </c>
      <c r="D244" t="s">
        <v>3666</v>
      </c>
      <c r="E244" t="s">
        <v>3667</v>
      </c>
      <c r="F244" t="s">
        <v>3041</v>
      </c>
      <c r="G244" t="s">
        <v>3668</v>
      </c>
    </row>
    <row r="245" spans="1:7" ht="11.25" customHeight="1">
      <c r="A245" t="s">
        <v>14</v>
      </c>
      <c r="B245" t="s">
        <v>3658</v>
      </c>
      <c r="C245" t="s">
        <v>3659</v>
      </c>
      <c r="D245" t="s">
        <v>3669</v>
      </c>
      <c r="E245" t="s">
        <v>3670</v>
      </c>
      <c r="F245" t="s">
        <v>3041</v>
      </c>
      <c r="G245" t="s">
        <v>3671</v>
      </c>
    </row>
    <row r="246" spans="1:7" ht="11.25" customHeight="1">
      <c r="A246" t="s">
        <v>14</v>
      </c>
      <c r="B246" t="s">
        <v>3658</v>
      </c>
      <c r="C246" t="s">
        <v>3659</v>
      </c>
      <c r="D246" t="s">
        <v>3590</v>
      </c>
      <c r="E246" t="s">
        <v>3672</v>
      </c>
      <c r="F246" t="s">
        <v>3041</v>
      </c>
      <c r="G246" t="s">
        <v>3673</v>
      </c>
    </row>
    <row r="247" spans="1:7" ht="11.25" customHeight="1">
      <c r="A247" t="s">
        <v>14</v>
      </c>
      <c r="B247" t="s">
        <v>3658</v>
      </c>
      <c r="C247" t="s">
        <v>3659</v>
      </c>
      <c r="D247" t="s">
        <v>3674</v>
      </c>
      <c r="E247" t="s">
        <v>3675</v>
      </c>
      <c r="F247" t="s">
        <v>3041</v>
      </c>
      <c r="G247" t="s">
        <v>3676</v>
      </c>
    </row>
    <row r="248" spans="1:7" ht="11.25" customHeight="1">
      <c r="A248" t="s">
        <v>14</v>
      </c>
      <c r="B248" t="s">
        <v>3658</v>
      </c>
      <c r="C248" t="s">
        <v>3659</v>
      </c>
      <c r="D248" t="s">
        <v>3677</v>
      </c>
      <c r="E248" t="s">
        <v>3678</v>
      </c>
      <c r="F248" t="s">
        <v>3076</v>
      </c>
      <c r="G248" t="s">
        <v>3679</v>
      </c>
    </row>
    <row r="249" spans="1:7" ht="11.25" customHeight="1">
      <c r="A249" t="s">
        <v>14</v>
      </c>
      <c r="B249" t="s">
        <v>3658</v>
      </c>
      <c r="C249" t="s">
        <v>3659</v>
      </c>
      <c r="D249" t="s">
        <v>3680</v>
      </c>
      <c r="E249" t="s">
        <v>3681</v>
      </c>
      <c r="F249" t="s">
        <v>3041</v>
      </c>
      <c r="G249" t="s">
        <v>3682</v>
      </c>
    </row>
    <row r="250" spans="1:7" ht="11.25" customHeight="1">
      <c r="A250" t="s">
        <v>14</v>
      </c>
      <c r="B250" t="s">
        <v>3658</v>
      </c>
      <c r="C250" t="s">
        <v>3659</v>
      </c>
      <c r="D250" t="s">
        <v>3658</v>
      </c>
      <c r="E250" t="s">
        <v>3659</v>
      </c>
      <c r="F250" t="s">
        <v>3045</v>
      </c>
      <c r="G250" t="s">
        <v>3683</v>
      </c>
    </row>
    <row r="251" spans="1:7" ht="11.25" customHeight="1">
      <c r="A251" t="s">
        <v>14</v>
      </c>
      <c r="B251" t="s">
        <v>3684</v>
      </c>
      <c r="C251" t="s">
        <v>3685</v>
      </c>
      <c r="D251" t="s">
        <v>3686</v>
      </c>
      <c r="E251" t="s">
        <v>3687</v>
      </c>
      <c r="F251" t="s">
        <v>3041</v>
      </c>
      <c r="G251" t="s">
        <v>3688</v>
      </c>
    </row>
    <row r="252" spans="1:7" ht="11.25" customHeight="1">
      <c r="A252" t="s">
        <v>14</v>
      </c>
      <c r="B252" t="s">
        <v>3684</v>
      </c>
      <c r="C252" t="s">
        <v>3685</v>
      </c>
      <c r="D252" t="s">
        <v>3689</v>
      </c>
      <c r="E252" t="s">
        <v>3690</v>
      </c>
      <c r="F252" t="s">
        <v>3041</v>
      </c>
      <c r="G252" t="s">
        <v>3691</v>
      </c>
    </row>
    <row r="253" spans="1:7" ht="11.25" customHeight="1">
      <c r="A253" t="s">
        <v>14</v>
      </c>
      <c r="B253" t="s">
        <v>3684</v>
      </c>
      <c r="C253" t="s">
        <v>3685</v>
      </c>
      <c r="D253" t="s">
        <v>3692</v>
      </c>
      <c r="E253" t="s">
        <v>3693</v>
      </c>
      <c r="F253" t="s">
        <v>3041</v>
      </c>
      <c r="G253" t="s">
        <v>3694</v>
      </c>
    </row>
    <row r="254" spans="1:7" ht="11.25" customHeight="1">
      <c r="A254" t="s">
        <v>14</v>
      </c>
      <c r="B254" t="s">
        <v>3684</v>
      </c>
      <c r="C254" t="s">
        <v>3685</v>
      </c>
      <c r="D254" t="s">
        <v>3695</v>
      </c>
      <c r="E254" t="s">
        <v>3696</v>
      </c>
      <c r="F254" t="s">
        <v>3041</v>
      </c>
      <c r="G254" t="s">
        <v>3697</v>
      </c>
    </row>
    <row r="255" spans="1:7" ht="11.25" customHeight="1">
      <c r="A255" t="s">
        <v>14</v>
      </c>
      <c r="B255" t="s">
        <v>3684</v>
      </c>
      <c r="C255" t="s">
        <v>3685</v>
      </c>
      <c r="D255" t="s">
        <v>3698</v>
      </c>
      <c r="E255" t="s">
        <v>3699</v>
      </c>
      <c r="F255" t="s">
        <v>3041</v>
      </c>
      <c r="G255" t="s">
        <v>3700</v>
      </c>
    </row>
    <row r="256" spans="1:7" ht="11.25" customHeight="1">
      <c r="A256" t="s">
        <v>14</v>
      </c>
      <c r="B256" t="s">
        <v>3684</v>
      </c>
      <c r="C256" t="s">
        <v>3685</v>
      </c>
      <c r="D256" t="s">
        <v>3701</v>
      </c>
      <c r="E256" t="s">
        <v>3702</v>
      </c>
      <c r="F256" t="s">
        <v>3041</v>
      </c>
      <c r="G256" t="s">
        <v>3703</v>
      </c>
    </row>
    <row r="257" spans="1:7" ht="11.25" customHeight="1">
      <c r="A257" t="s">
        <v>14</v>
      </c>
      <c r="B257" t="s">
        <v>3684</v>
      </c>
      <c r="C257" t="s">
        <v>3685</v>
      </c>
      <c r="D257" t="s">
        <v>3704</v>
      </c>
      <c r="E257" t="s">
        <v>3705</v>
      </c>
      <c r="F257" t="s">
        <v>3041</v>
      </c>
      <c r="G257" t="s">
        <v>3706</v>
      </c>
    </row>
    <row r="258" spans="1:7" ht="11.25" customHeight="1">
      <c r="A258" t="s">
        <v>14</v>
      </c>
      <c r="B258" t="s">
        <v>3684</v>
      </c>
      <c r="C258" t="s">
        <v>3685</v>
      </c>
      <c r="D258" t="s">
        <v>3707</v>
      </c>
      <c r="E258" t="s">
        <v>3708</v>
      </c>
      <c r="F258" t="s">
        <v>3041</v>
      </c>
      <c r="G258" t="s">
        <v>3709</v>
      </c>
    </row>
    <row r="259" spans="1:7" ht="11.25" customHeight="1">
      <c r="A259" t="s">
        <v>14</v>
      </c>
      <c r="B259" t="s">
        <v>3684</v>
      </c>
      <c r="C259" t="s">
        <v>3685</v>
      </c>
      <c r="D259" t="s">
        <v>3710</v>
      </c>
      <c r="E259" t="s">
        <v>3711</v>
      </c>
      <c r="F259" t="s">
        <v>3076</v>
      </c>
      <c r="G259" t="s">
        <v>3712</v>
      </c>
    </row>
    <row r="260" spans="1:7" ht="11.25" customHeight="1">
      <c r="A260" t="s">
        <v>14</v>
      </c>
      <c r="B260" t="s">
        <v>3684</v>
      </c>
      <c r="C260" t="s">
        <v>3685</v>
      </c>
      <c r="D260" t="s">
        <v>3684</v>
      </c>
      <c r="E260" t="s">
        <v>3685</v>
      </c>
      <c r="F260" t="s">
        <v>3045</v>
      </c>
      <c r="G260" t="s">
        <v>3713</v>
      </c>
    </row>
    <row r="261" spans="1:7" ht="11.25" customHeight="1">
      <c r="A261" t="s">
        <v>14</v>
      </c>
      <c r="B261" t="s">
        <v>3714</v>
      </c>
      <c r="C261" t="s">
        <v>3715</v>
      </c>
      <c r="D261" t="s">
        <v>3050</v>
      </c>
      <c r="E261" t="s">
        <v>3716</v>
      </c>
      <c r="F261" t="s">
        <v>3041</v>
      </c>
      <c r="G261" t="s">
        <v>3717</v>
      </c>
    </row>
    <row r="262" spans="1:7" ht="11.25" customHeight="1">
      <c r="A262" t="s">
        <v>14</v>
      </c>
      <c r="B262" t="s">
        <v>3714</v>
      </c>
      <c r="C262" t="s">
        <v>3715</v>
      </c>
      <c r="D262" t="s">
        <v>3718</v>
      </c>
      <c r="E262" t="s">
        <v>3719</v>
      </c>
      <c r="F262" t="s">
        <v>3041</v>
      </c>
      <c r="G262" t="s">
        <v>3720</v>
      </c>
    </row>
    <row r="263" spans="1:7" ht="11.25" customHeight="1">
      <c r="A263" t="s">
        <v>14</v>
      </c>
      <c r="B263" t="s">
        <v>3714</v>
      </c>
      <c r="C263" t="s">
        <v>3715</v>
      </c>
      <c r="D263" t="s">
        <v>3721</v>
      </c>
      <c r="E263" t="s">
        <v>3722</v>
      </c>
      <c r="F263" t="s">
        <v>3041</v>
      </c>
      <c r="G263" t="s">
        <v>3723</v>
      </c>
    </row>
    <row r="264" spans="1:7" ht="11.25" customHeight="1">
      <c r="A264" t="s">
        <v>14</v>
      </c>
      <c r="B264" t="s">
        <v>3714</v>
      </c>
      <c r="C264" t="s">
        <v>3715</v>
      </c>
      <c r="D264" t="s">
        <v>3724</v>
      </c>
      <c r="E264" t="s">
        <v>3725</v>
      </c>
      <c r="F264" t="s">
        <v>3041</v>
      </c>
      <c r="G264" t="s">
        <v>3726</v>
      </c>
    </row>
    <row r="265" spans="1:7" ht="11.25" customHeight="1">
      <c r="A265" t="s">
        <v>14</v>
      </c>
      <c r="B265" t="s">
        <v>3714</v>
      </c>
      <c r="C265" t="s">
        <v>3715</v>
      </c>
      <c r="D265" t="s">
        <v>3727</v>
      </c>
      <c r="E265" t="s">
        <v>3728</v>
      </c>
      <c r="F265" t="s">
        <v>3041</v>
      </c>
      <c r="G265" t="s">
        <v>3729</v>
      </c>
    </row>
    <row r="266" spans="1:7" ht="11.25" customHeight="1">
      <c r="A266" t="s">
        <v>14</v>
      </c>
      <c r="B266" t="s">
        <v>3714</v>
      </c>
      <c r="C266" t="s">
        <v>3715</v>
      </c>
      <c r="D266" t="s">
        <v>3730</v>
      </c>
      <c r="E266" t="s">
        <v>3731</v>
      </c>
      <c r="F266" t="s">
        <v>3041</v>
      </c>
      <c r="G266" t="s">
        <v>3732</v>
      </c>
    </row>
    <row r="267" spans="1:7" ht="11.25" customHeight="1">
      <c r="A267" t="s">
        <v>14</v>
      </c>
      <c r="B267" t="s">
        <v>3714</v>
      </c>
      <c r="C267" t="s">
        <v>3715</v>
      </c>
      <c r="D267" t="s">
        <v>3733</v>
      </c>
      <c r="E267" t="s">
        <v>3734</v>
      </c>
      <c r="F267" t="s">
        <v>3041</v>
      </c>
      <c r="G267" t="s">
        <v>3735</v>
      </c>
    </row>
    <row r="268" spans="1:7" ht="11.25" customHeight="1">
      <c r="A268" t="s">
        <v>14</v>
      </c>
      <c r="B268" t="s">
        <v>3714</v>
      </c>
      <c r="C268" t="s">
        <v>3715</v>
      </c>
      <c r="D268" t="s">
        <v>3736</v>
      </c>
      <c r="E268" t="s">
        <v>3737</v>
      </c>
      <c r="F268" t="s">
        <v>3076</v>
      </c>
      <c r="G268" t="s">
        <v>3738</v>
      </c>
    </row>
    <row r="269" spans="1:7" ht="11.25" customHeight="1">
      <c r="A269" t="s">
        <v>14</v>
      </c>
      <c r="B269" t="s">
        <v>3714</v>
      </c>
      <c r="C269" t="s">
        <v>3715</v>
      </c>
      <c r="D269" t="s">
        <v>3714</v>
      </c>
      <c r="E269" t="s">
        <v>3715</v>
      </c>
      <c r="F269" t="s">
        <v>3045</v>
      </c>
      <c r="G269" t="s">
        <v>3739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E9377-A706-2255-2043-84121DD96B18}">
  <sheetPr>
    <tabColor rgb="FFFFCC99"/>
  </sheetPr>
  <dimension ref="A1:D8"/>
  <sheetViews>
    <sheetView showGridLines="0" workbookViewId="0"/>
  </sheetViews>
  <sheetFormatPr defaultColWidth="9.140625" defaultRowHeight="11.25" customHeight="1"/>
  <cols>
    <col min="1" max="4" width="9.140625" style="1961"/>
  </cols>
  <sheetData>
    <row r="1" spans="1:4" ht="11.25" customHeight="1">
      <c r="A1" s="716" t="s">
        <v>3740</v>
      </c>
      <c r="B1" s="716" t="s">
        <v>3741</v>
      </c>
      <c r="C1" s="716" t="s">
        <v>3742</v>
      </c>
      <c r="D1" s="716" t="s">
        <v>3743</v>
      </c>
    </row>
    <row r="2" spans="1:4" ht="11.25" customHeight="1">
      <c r="A2" s="1961" t="s">
        <v>106</v>
      </c>
      <c r="B2" s="1961" t="s">
        <v>3744</v>
      </c>
      <c r="C2" s="1961" t="s">
        <v>3745</v>
      </c>
      <c r="D2" s="1961" t="s">
        <v>3746</v>
      </c>
    </row>
    <row r="3" spans="1:4" ht="11.25" customHeight="1">
      <c r="A3" s="1961" t="s">
        <v>107</v>
      </c>
      <c r="B3" s="1961" t="s">
        <v>3747</v>
      </c>
      <c r="C3" s="1961" t="s">
        <v>3748</v>
      </c>
      <c r="D3" s="1961" t="s">
        <v>3749</v>
      </c>
    </row>
    <row r="4" spans="1:4" ht="11.25" customHeight="1">
      <c r="A4" s="1961" t="s">
        <v>87</v>
      </c>
      <c r="B4" s="1961" t="s">
        <v>3750</v>
      </c>
      <c r="C4" s="1961" t="s">
        <v>3745</v>
      </c>
      <c r="D4" s="1961" t="s">
        <v>3746</v>
      </c>
    </row>
    <row r="5" spans="1:4" ht="11.25" customHeight="1">
      <c r="A5" s="1961" t="s">
        <v>88</v>
      </c>
      <c r="B5" s="1961" t="s">
        <v>3751</v>
      </c>
      <c r="C5" s="1961" t="s">
        <v>3745</v>
      </c>
      <c r="D5" s="1961" t="s">
        <v>3752</v>
      </c>
    </row>
    <row r="6" spans="1:4" ht="11.25" customHeight="1">
      <c r="A6" s="1961" t="s">
        <v>108</v>
      </c>
      <c r="B6" s="1961" t="s">
        <v>3753</v>
      </c>
      <c r="C6" s="1961" t="s">
        <v>3748</v>
      </c>
      <c r="D6" s="1961" t="s">
        <v>3754</v>
      </c>
    </row>
    <row r="7" spans="1:4" ht="11.25" customHeight="1">
      <c r="A7" s="1961" t="s">
        <v>89</v>
      </c>
      <c r="B7" s="1961" t="s">
        <v>3755</v>
      </c>
      <c r="C7" s="1961" t="s">
        <v>3748</v>
      </c>
      <c r="D7" s="1961" t="s">
        <v>3756</v>
      </c>
    </row>
    <row r="8" spans="1:4" ht="11.25" customHeight="1">
      <c r="A8" s="1961" t="s">
        <v>90</v>
      </c>
      <c r="B8" s="1961" t="s">
        <v>3757</v>
      </c>
      <c r="C8" s="1961" t="s">
        <v>3758</v>
      </c>
      <c r="D8" s="1961" t="s">
        <v>3754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7FDB8-962A-0D5F-46EC-274CFBFB337A}">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5D5E1-461E-02AA-8AA9-A5A9E1D8555F}">
  <sheetPr>
    <tabColor rgb="FFFFCC99"/>
  </sheetPr>
  <dimension ref="A1:B2"/>
  <sheetViews>
    <sheetView showGridLines="0" workbookViewId="0"/>
  </sheetViews>
  <sheetFormatPr defaultColWidth="9.140625" defaultRowHeight="11.25" customHeight="1"/>
  <cols>
    <col min="1" max="2" width="9.140625" style="1958"/>
  </cols>
  <sheetData>
    <row r="1" spans="1:2" ht="11.25" customHeight="1">
      <c r="A1" s="100" t="s">
        <v>398</v>
      </c>
      <c r="B1" s="100" t="s">
        <v>3759</v>
      </c>
    </row>
    <row r="2" spans="1:2" ht="11.25" customHeight="1">
      <c r="A2" s="1958" t="s">
        <v>95</v>
      </c>
      <c r="B2" s="1958" t="s">
        <v>3760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D48A1-4E2F-E1BF-00D8-857B049F2BB2}">
  <sheetPr>
    <tabColor rgb="FFFFCC99"/>
  </sheetPr>
  <dimension ref="A1:B11"/>
  <sheetViews>
    <sheetView showGridLines="0" workbookViewId="0"/>
  </sheetViews>
  <sheetFormatPr defaultColWidth="9.140625" defaultRowHeight="11.25" customHeight="1"/>
  <cols>
    <col min="1" max="1" width="9.140625" style="1961"/>
    <col min="2" max="2" width="65.28515625" style="1961" customWidth="1"/>
  </cols>
  <sheetData>
    <row r="1" spans="1:2" ht="11.25" customHeight="1">
      <c r="A1" s="716" t="s">
        <v>3761</v>
      </c>
      <c r="B1" s="716" t="s">
        <v>3762</v>
      </c>
    </row>
    <row r="2" spans="1:2" ht="11.25" customHeight="1">
      <c r="A2" s="716">
        <v>4213775</v>
      </c>
      <c r="B2" s="716" t="s">
        <v>1581</v>
      </c>
    </row>
    <row r="3" spans="1:2" ht="11.25" customHeight="1">
      <c r="A3" s="716">
        <v>4213784</v>
      </c>
      <c r="B3" s="716" t="s">
        <v>1616</v>
      </c>
    </row>
    <row r="4" spans="1:2" ht="11.25" customHeight="1">
      <c r="A4" s="716">
        <v>4213781</v>
      </c>
      <c r="B4" s="716" t="s">
        <v>1609</v>
      </c>
    </row>
    <row r="5" spans="1:2" ht="11.25" customHeight="1">
      <c r="A5" s="716">
        <v>4213776</v>
      </c>
      <c r="B5" s="716" t="s">
        <v>428</v>
      </c>
    </row>
    <row r="6" spans="1:2" ht="11.25" customHeight="1">
      <c r="A6" s="716">
        <v>4213777</v>
      </c>
      <c r="B6" s="716" t="s">
        <v>434</v>
      </c>
    </row>
    <row r="7" spans="1:2" ht="11.25" customHeight="1">
      <c r="A7" s="716">
        <v>4213778</v>
      </c>
      <c r="B7" s="716" t="s">
        <v>440</v>
      </c>
    </row>
    <row r="8" spans="1:2" ht="11.25" customHeight="1">
      <c r="A8" s="716">
        <v>4213780</v>
      </c>
      <c r="B8" s="716" t="s">
        <v>446</v>
      </c>
    </row>
    <row r="9" spans="1:2" ht="11.25" customHeight="1">
      <c r="A9" s="716">
        <v>4213779</v>
      </c>
      <c r="B9" s="716" t="s">
        <v>1748</v>
      </c>
    </row>
    <row r="10" spans="1:2" ht="11.25" customHeight="1">
      <c r="A10" s="716">
        <v>4213783</v>
      </c>
      <c r="B10" s="716" t="s">
        <v>464</v>
      </c>
    </row>
    <row r="11" spans="1:2" ht="11.25" customHeight="1">
      <c r="A11" s="716">
        <v>4213782</v>
      </c>
      <c r="B11" s="716" t="s">
        <v>452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78D05-EE17-6473-692B-24F82302BBA9}">
  <sheetPr>
    <tabColor theme="3" tint="0.59999389629810485"/>
  </sheetPr>
  <dimension ref="A1:AS17"/>
  <sheetViews>
    <sheetView showGridLines="0" topLeftCell="C3" zoomScale="90" workbookViewId="0"/>
  </sheetViews>
  <sheetFormatPr defaultColWidth="10.5703125" defaultRowHeight="14.25" customHeight="1"/>
  <cols>
    <col min="1" max="1" width="9.140625" style="1926" hidden="1" customWidth="1"/>
    <col min="2" max="2" width="9.140625" style="1910" hidden="1" customWidth="1"/>
    <col min="3" max="3" width="3.7109375" style="1940" customWidth="1"/>
    <col min="4" max="4" width="5.5703125" style="1910" customWidth="1"/>
    <col min="5" max="5" width="48.42578125" style="1910" customWidth="1"/>
    <col min="6" max="6" width="38.140625" style="1910" customWidth="1"/>
    <col min="7" max="7" width="1.7109375" style="1910" hidden="1" customWidth="1"/>
    <col min="8" max="11" width="19.85546875" style="1910" customWidth="1"/>
    <col min="12" max="12" width="9.7109375" style="1910" customWidth="1"/>
    <col min="13" max="18" width="19.85546875" style="1910" customWidth="1"/>
    <col min="19" max="19" width="1.7109375" style="1910" hidden="1" customWidth="1"/>
    <col min="20" max="22" width="19.85546875" style="1910" hidden="1" customWidth="1"/>
    <col min="23" max="23" width="1.7109375" style="1910" hidden="1" customWidth="1"/>
    <col min="24" max="26" width="19.85546875" style="1910" hidden="1" customWidth="1"/>
    <col min="27" max="27" width="1.7109375" style="1910" hidden="1" customWidth="1"/>
    <col min="28" max="29" width="19.85546875" style="1910" hidden="1" customWidth="1"/>
    <col min="30" max="30" width="1.7109375" style="1910" hidden="1" customWidth="1"/>
    <col min="31" max="31" width="103.7109375" style="1910" customWidth="1"/>
    <col min="32" max="34" width="103.7109375" style="1910" hidden="1" customWidth="1"/>
    <col min="35" max="35" width="3.7109375" style="1932" customWidth="1"/>
    <col min="36" max="38" width="10.5703125" style="1866"/>
    <col min="39" max="39" width="13.7109375" style="1866" hidden="1" customWidth="1"/>
    <col min="40" max="40" width="15.42578125" style="1866" customWidth="1"/>
    <col min="41" max="41" width="16.28515625" style="1866" customWidth="1"/>
    <col min="42" max="45" width="10.5703125" style="1866"/>
  </cols>
  <sheetData>
    <row r="1" spans="1:45" ht="14.25" hidden="1" customHeight="1">
      <c r="E1" s="319"/>
      <c r="F1" s="319"/>
      <c r="G1" s="319"/>
      <c r="H1" s="3506" t="s">
        <v>614</v>
      </c>
      <c r="I1" s="3506"/>
      <c r="J1" s="3506"/>
      <c r="K1" s="3506"/>
      <c r="L1" s="3506"/>
      <c r="M1" s="3506"/>
      <c r="N1" s="3506"/>
      <c r="O1" s="3506"/>
      <c r="P1" s="3506"/>
      <c r="Q1" s="3506"/>
      <c r="R1" s="3506"/>
      <c r="T1" s="3506" t="s">
        <v>615</v>
      </c>
      <c r="U1" s="3506"/>
      <c r="V1" s="3506"/>
      <c r="X1" s="3506" t="s">
        <v>616</v>
      </c>
      <c r="Y1" s="3506"/>
      <c r="Z1" s="3506"/>
      <c r="AB1" s="3506" t="s">
        <v>617</v>
      </c>
      <c r="AC1" s="3506"/>
    </row>
    <row r="2" spans="1:45" ht="14.25" hidden="1" customHeight="1"/>
    <row r="3" spans="1:45" s="1831" customFormat="1" ht="6" customHeight="1">
      <c r="C3" s="591"/>
      <c r="D3" s="592"/>
      <c r="E3" s="592"/>
      <c r="F3" s="592"/>
      <c r="G3" s="592"/>
      <c r="H3" s="592" t="s">
        <v>618</v>
      </c>
      <c r="I3" s="592"/>
      <c r="J3" s="592"/>
      <c r="K3" s="592"/>
      <c r="L3" s="592"/>
      <c r="M3" s="592"/>
      <c r="N3" s="592"/>
      <c r="O3" s="592"/>
      <c r="P3" s="592"/>
      <c r="Q3" s="592"/>
      <c r="R3" s="592"/>
      <c r="S3" s="592"/>
      <c r="T3" s="592"/>
      <c r="U3" s="592"/>
      <c r="V3" s="592"/>
      <c r="W3" s="592"/>
      <c r="X3" s="592"/>
      <c r="Y3" s="592"/>
      <c r="Z3" s="592"/>
      <c r="AA3" s="592"/>
      <c r="AB3" s="592"/>
      <c r="AC3" s="592"/>
      <c r="AD3" s="592"/>
      <c r="AE3" s="592"/>
      <c r="AF3" s="592"/>
      <c r="AG3" s="592"/>
      <c r="AH3" s="592"/>
      <c r="AJ3" s="409"/>
      <c r="AK3" s="409"/>
      <c r="AL3" s="409"/>
      <c r="AM3" s="409"/>
      <c r="AN3" s="409"/>
      <c r="AO3" s="409"/>
      <c r="AP3" s="409"/>
      <c r="AQ3" s="409"/>
      <c r="AR3" s="409"/>
      <c r="AS3" s="409"/>
    </row>
    <row r="4" spans="1:45" ht="37.5" customHeight="1">
      <c r="C4" s="353"/>
      <c r="D4" s="344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3450"/>
      <c r="F4" s="3450"/>
      <c r="G4" s="3450"/>
      <c r="H4" s="3450"/>
      <c r="I4" s="3450"/>
      <c r="J4" s="3450"/>
      <c r="K4" s="3450"/>
      <c r="L4" s="3450"/>
      <c r="M4" s="3450"/>
      <c r="N4" s="3450"/>
      <c r="O4" s="3450"/>
      <c r="P4" s="3450"/>
      <c r="Q4" s="3450"/>
      <c r="R4" s="3451"/>
      <c r="S4" s="730"/>
      <c r="T4" s="590"/>
      <c r="U4" s="590"/>
      <c r="V4" s="590"/>
      <c r="W4" s="590"/>
      <c r="X4" s="590"/>
      <c r="Y4" s="590"/>
      <c r="Z4" s="590"/>
      <c r="AA4" s="590"/>
      <c r="AB4" s="590"/>
      <c r="AC4" s="590"/>
      <c r="AD4" s="590"/>
      <c r="AE4" s="389"/>
      <c r="AF4" s="389"/>
      <c r="AG4" s="389"/>
      <c r="AH4" s="389"/>
      <c r="AI4" s="386"/>
    </row>
    <row r="5" spans="1:45" s="1910" customFormat="1" ht="17.25" customHeight="1">
      <c r="A5" s="645"/>
      <c r="C5" s="703"/>
      <c r="D5" s="3503" t="str">
        <f>IF(org=0,"Не определено",org)</f>
        <v>АО "Орелгортеплоэнерго"</v>
      </c>
      <c r="E5" s="3504"/>
      <c r="F5" s="3504"/>
      <c r="G5" s="3504"/>
      <c r="H5" s="3504"/>
      <c r="I5" s="3504"/>
      <c r="J5" s="3504"/>
      <c r="K5" s="3504"/>
      <c r="L5" s="3504"/>
      <c r="M5" s="3504"/>
      <c r="N5" s="3504"/>
      <c r="O5" s="3504"/>
      <c r="P5" s="3504"/>
      <c r="Q5" s="3504"/>
      <c r="R5" s="3505"/>
      <c r="S5" s="730"/>
      <c r="T5" s="590"/>
      <c r="U5" s="590"/>
      <c r="V5" s="590"/>
      <c r="W5" s="590"/>
      <c r="X5" s="590"/>
      <c r="Y5" s="590"/>
      <c r="Z5" s="590"/>
      <c r="AA5" s="590"/>
      <c r="AB5" s="590"/>
      <c r="AC5" s="590"/>
      <c r="AD5" s="590"/>
      <c r="AE5" s="389"/>
      <c r="AF5" s="389"/>
      <c r="AG5" s="389"/>
      <c r="AH5" s="389"/>
      <c r="AI5" s="386"/>
      <c r="AJ5" s="409"/>
      <c r="AK5" s="409"/>
      <c r="AL5" s="409"/>
      <c r="AM5" s="409"/>
      <c r="AN5" s="409"/>
      <c r="AO5" s="409"/>
      <c r="AP5" s="409"/>
      <c r="AQ5" s="409"/>
      <c r="AR5" s="409"/>
      <c r="AS5" s="409"/>
    </row>
    <row r="6" spans="1:45" s="1832" customFormat="1" ht="11.25" customHeight="1">
      <c r="A6" s="377"/>
      <c r="C6" s="384"/>
      <c r="D6" s="383"/>
      <c r="E6" s="383"/>
      <c r="F6" s="383"/>
      <c r="G6" s="383"/>
      <c r="H6" s="383"/>
      <c r="I6" s="383"/>
      <c r="J6" s="383"/>
      <c r="K6" s="383"/>
      <c r="L6" s="383"/>
      <c r="M6" s="383"/>
      <c r="N6" s="383"/>
      <c r="O6" s="383"/>
      <c r="P6" s="383"/>
      <c r="Q6" s="383"/>
      <c r="R6" s="640"/>
      <c r="S6" s="640"/>
      <c r="T6" s="383"/>
      <c r="U6" s="383"/>
      <c r="V6" s="602"/>
      <c r="W6" s="602"/>
      <c r="X6" s="383"/>
      <c r="Y6" s="383"/>
      <c r="Z6" s="602"/>
      <c r="AA6" s="602"/>
      <c r="AB6" s="383"/>
      <c r="AC6" s="602"/>
      <c r="AD6" s="602"/>
      <c r="AE6" s="383"/>
      <c r="AF6" s="383"/>
      <c r="AG6" s="383"/>
      <c r="AH6" s="383"/>
      <c r="AJ6" s="387"/>
      <c r="AK6" s="387"/>
      <c r="AL6" s="387"/>
      <c r="AM6" s="387"/>
      <c r="AN6" s="387"/>
      <c r="AO6" s="387"/>
      <c r="AP6" s="387"/>
      <c r="AQ6" s="387"/>
      <c r="AR6" s="387"/>
      <c r="AS6" s="387"/>
    </row>
    <row r="7" spans="1:45" ht="14.25" customHeight="1">
      <c r="C7" s="353"/>
      <c r="D7" s="3494" t="s">
        <v>560</v>
      </c>
      <c r="E7" s="3507"/>
      <c r="F7" s="3507"/>
      <c r="G7" s="3507"/>
      <c r="H7" s="3507"/>
      <c r="I7" s="3507"/>
      <c r="J7" s="3507"/>
      <c r="K7" s="3507"/>
      <c r="L7" s="3507"/>
      <c r="M7" s="3507"/>
      <c r="N7" s="3507"/>
      <c r="O7" s="3507"/>
      <c r="P7" s="3507"/>
      <c r="Q7" s="3507"/>
      <c r="R7" s="3507"/>
      <c r="S7" s="3507"/>
      <c r="T7" s="3507"/>
      <c r="U7" s="3507"/>
      <c r="V7" s="3507"/>
      <c r="W7" s="3507"/>
      <c r="X7" s="3507"/>
      <c r="Y7" s="3507"/>
      <c r="Z7" s="3507"/>
      <c r="AA7" s="3507"/>
      <c r="AB7" s="3507"/>
      <c r="AC7" s="3507"/>
      <c r="AD7" s="3508"/>
      <c r="AE7" s="3456" t="s">
        <v>561</v>
      </c>
      <c r="AF7" s="3456" t="s">
        <v>561</v>
      </c>
      <c r="AG7" s="3456" t="s">
        <v>561</v>
      </c>
      <c r="AH7" s="3456" t="s">
        <v>561</v>
      </c>
    </row>
    <row r="8" spans="1:45" ht="25.5" customHeight="1">
      <c r="C8" s="353"/>
      <c r="D8" s="3401" t="s">
        <v>85</v>
      </c>
      <c r="E8" s="3456" t="str">
        <f>"Наименование "&amp;IF(TEMPLATE_SPHERE&lt;&gt;"HEAT","централизованной ","")&amp;"системы "&amp;TEMPLATE_SPHERE_RUS</f>
        <v>Наименование системы теплоснабжения</v>
      </c>
      <c r="F8" s="3456" t="str">
        <f>IF(TEMPLATE_SPHERE&lt;&gt;"HEAT","Регулируемый вид деятельности","Вид регулируемой деятельности")</f>
        <v>Вид регулируемой деятельности</v>
      </c>
      <c r="G8" s="709"/>
      <c r="H8" s="3495" t="s">
        <v>619</v>
      </c>
      <c r="I8" s="3499" t="s">
        <v>620</v>
      </c>
      <c r="J8" s="3456" t="s">
        <v>621</v>
      </c>
      <c r="K8" s="3456"/>
      <c r="L8" s="3456"/>
      <c r="M8" s="3494"/>
      <c r="N8" s="3456" t="s">
        <v>622</v>
      </c>
      <c r="O8" s="3456"/>
      <c r="P8" s="3456" t="s">
        <v>623</v>
      </c>
      <c r="Q8" s="3456"/>
      <c r="R8" s="3497" t="s">
        <v>624</v>
      </c>
      <c r="S8" s="705"/>
      <c r="T8" s="3495" t="s">
        <v>625</v>
      </c>
      <c r="U8" s="3495" t="s">
        <v>626</v>
      </c>
      <c r="V8" s="3495" t="s">
        <v>627</v>
      </c>
      <c r="W8" s="707"/>
      <c r="X8" s="3495" t="s">
        <v>628</v>
      </c>
      <c r="Y8" s="3495" t="s">
        <v>629</v>
      </c>
      <c r="Z8" s="3495" t="s">
        <v>630</v>
      </c>
      <c r="AA8" s="707"/>
      <c r="AB8" s="3495" t="s">
        <v>631</v>
      </c>
      <c r="AC8" s="3495" t="s">
        <v>624</v>
      </c>
      <c r="AD8" s="707"/>
      <c r="AE8" s="3456"/>
      <c r="AF8" s="3456"/>
      <c r="AG8" s="3456"/>
      <c r="AH8" s="3456"/>
    </row>
    <row r="9" spans="1:45" ht="43.5" customHeight="1">
      <c r="C9" s="353"/>
      <c r="D9" s="3401"/>
      <c r="E9" s="3456"/>
      <c r="F9" s="3456"/>
      <c r="G9" s="710"/>
      <c r="H9" s="3496"/>
      <c r="I9" s="3500"/>
      <c r="J9" s="330" t="s">
        <v>632</v>
      </c>
      <c r="K9" s="330" t="s">
        <v>633</v>
      </c>
      <c r="L9" s="330" t="s">
        <v>634</v>
      </c>
      <c r="M9" s="335" t="s">
        <v>635</v>
      </c>
      <c r="N9" s="330" t="s">
        <v>636</v>
      </c>
      <c r="O9" s="330" t="s">
        <v>635</v>
      </c>
      <c r="P9" s="330" t="s">
        <v>637</v>
      </c>
      <c r="Q9" s="330" t="s">
        <v>635</v>
      </c>
      <c r="R9" s="3498"/>
      <c r="S9" s="706"/>
      <c r="T9" s="3496"/>
      <c r="U9" s="3496"/>
      <c r="V9" s="3496"/>
      <c r="W9" s="708"/>
      <c r="X9" s="3496"/>
      <c r="Y9" s="3496"/>
      <c r="Z9" s="3496"/>
      <c r="AA9" s="708"/>
      <c r="AB9" s="3496"/>
      <c r="AC9" s="3496"/>
      <c r="AD9" s="708"/>
      <c r="AE9" s="3456"/>
      <c r="AF9" s="3456"/>
      <c r="AG9" s="3456"/>
      <c r="AH9" s="3456"/>
    </row>
    <row r="10" spans="1:45" ht="12" hidden="1" customHeight="1">
      <c r="C10" s="385"/>
      <c r="D10" s="352"/>
      <c r="E10" s="352"/>
      <c r="F10" s="352"/>
      <c r="G10" s="352"/>
      <c r="H10" s="352"/>
      <c r="I10" s="352"/>
      <c r="J10" s="352"/>
      <c r="K10" s="352"/>
      <c r="L10" s="352"/>
      <c r="M10" s="352"/>
      <c r="N10" s="352"/>
      <c r="O10" s="352"/>
      <c r="P10" s="352"/>
      <c r="Q10" s="352"/>
      <c r="R10" s="352"/>
      <c r="S10" s="352"/>
      <c r="T10" s="352"/>
      <c r="U10" s="352"/>
      <c r="V10" s="352"/>
      <c r="W10" s="352"/>
      <c r="X10" s="352"/>
      <c r="Y10" s="352"/>
      <c r="Z10" s="352"/>
      <c r="AA10" s="352"/>
      <c r="AB10" s="352"/>
      <c r="AC10" s="352"/>
      <c r="AD10" s="352"/>
      <c r="AE10" s="352"/>
      <c r="AF10" s="352"/>
      <c r="AG10" s="352"/>
      <c r="AH10" s="352"/>
      <c r="AI10" s="351"/>
      <c r="AP10" s="398"/>
      <c r="AQ10" s="398"/>
    </row>
    <row r="11" spans="1:45" s="1838" customFormat="1" ht="11.25" hidden="1" customHeight="1">
      <c r="C11" s="396"/>
      <c r="D11" s="397" t="s">
        <v>638</v>
      </c>
      <c r="E11" s="397"/>
      <c r="F11" s="397"/>
      <c r="G11" s="397"/>
      <c r="H11" s="395"/>
      <c r="I11" s="395"/>
      <c r="J11" s="395"/>
      <c r="K11" s="395"/>
      <c r="L11" s="395"/>
      <c r="M11" s="395"/>
      <c r="N11" s="395"/>
      <c r="O11" s="395"/>
      <c r="P11" s="395"/>
      <c r="Q11" s="395"/>
      <c r="R11" s="395"/>
      <c r="S11" s="395"/>
      <c r="T11" s="395"/>
      <c r="U11" s="395"/>
      <c r="V11" s="395"/>
      <c r="W11" s="395"/>
      <c r="X11" s="395"/>
      <c r="Y11" s="395"/>
      <c r="Z11" s="395"/>
      <c r="AA11" s="395"/>
      <c r="AB11" s="395"/>
      <c r="AC11" s="395"/>
      <c r="AD11" s="395"/>
      <c r="AE11" s="339"/>
      <c r="AF11" s="339"/>
      <c r="AG11" s="339"/>
      <c r="AH11" s="339"/>
      <c r="AJ11" s="387"/>
      <c r="AK11" s="387"/>
      <c r="AL11" s="387"/>
      <c r="AM11" s="387"/>
      <c r="AN11" s="387"/>
      <c r="AO11" s="387"/>
      <c r="AP11" s="387"/>
      <c r="AQ11" s="387"/>
      <c r="AR11" s="387"/>
      <c r="AS11" s="387"/>
    </row>
    <row r="12" spans="1:45" ht="14.25" customHeight="1">
      <c r="A12" s="351"/>
      <c r="C12" s="353"/>
      <c r="D12" s="338" t="s">
        <v>106</v>
      </c>
      <c r="E12" s="1620" t="s">
        <v>18</v>
      </c>
      <c r="F12" s="732"/>
      <c r="G12" s="733"/>
      <c r="H12" s="1621"/>
      <c r="I12" s="1621"/>
      <c r="J12" s="337"/>
      <c r="K12" s="1703"/>
      <c r="L12" s="336"/>
      <c r="M12" s="1703"/>
      <c r="N12" s="337"/>
      <c r="O12" s="1703"/>
      <c r="P12" s="337"/>
      <c r="Q12" s="1703"/>
      <c r="R12" s="337"/>
      <c r="S12" s="731"/>
      <c r="T12" s="1621"/>
      <c r="U12" s="337"/>
      <c r="V12" s="337"/>
      <c r="W12" s="708"/>
      <c r="X12" s="1621"/>
      <c r="Y12" s="337"/>
      <c r="Z12" s="337"/>
      <c r="AA12" s="708"/>
      <c r="AB12" s="1621"/>
      <c r="AC12" s="337"/>
      <c r="AD12" s="708"/>
      <c r="AE12" s="3501" t="s">
        <v>639</v>
      </c>
      <c r="AF12" s="3501" t="s">
        <v>640</v>
      </c>
      <c r="AG12" s="3501" t="s">
        <v>641</v>
      </c>
      <c r="AH12" s="3501" t="s">
        <v>642</v>
      </c>
      <c r="AI12" s="351"/>
      <c r="AM12" s="409"/>
      <c r="AP12" s="398" t="s">
        <v>643</v>
      </c>
      <c r="AQ12" s="398" t="s">
        <v>643</v>
      </c>
    </row>
    <row r="13" spans="1:45" ht="17.25" customHeight="1">
      <c r="A13" s="351"/>
      <c r="C13" s="353"/>
      <c r="D13" s="312"/>
      <c r="E13" s="746" t="str">
        <f>IF(TITLE_DIFFERENTIATION_TYPE="нет","","Добавить систему")</f>
        <v/>
      </c>
      <c r="F13" s="746" t="str">
        <f>IF(TITLE_DIFFERENTIATION_TYPE="нет","Добавить вид деятельности","")</f>
        <v>Добавить вид деятельности</v>
      </c>
      <c r="G13" s="224"/>
      <c r="H13" s="313"/>
      <c r="I13" s="313"/>
      <c r="J13" s="313"/>
      <c r="K13" s="313"/>
      <c r="L13" s="313"/>
      <c r="M13" s="313"/>
      <c r="N13" s="313"/>
      <c r="O13" s="313"/>
      <c r="P13" s="313"/>
      <c r="Q13" s="313"/>
      <c r="R13" s="313"/>
      <c r="S13" s="313"/>
      <c r="T13" s="313"/>
      <c r="U13" s="313"/>
      <c r="V13" s="313"/>
      <c r="W13" s="313"/>
      <c r="X13" s="313"/>
      <c r="Y13" s="313"/>
      <c r="Z13" s="313"/>
      <c r="AA13" s="313"/>
      <c r="AB13" s="313"/>
      <c r="AC13" s="313"/>
      <c r="AD13" s="734"/>
      <c r="AE13" s="3502"/>
      <c r="AF13" s="3502"/>
      <c r="AG13" s="3502"/>
      <c r="AH13" s="3502"/>
      <c r="AI13" s="351"/>
    </row>
    <row r="14" spans="1:45" ht="14.25" customHeight="1">
      <c r="AI14" s="351"/>
    </row>
    <row r="15" spans="1:45" ht="14.25" customHeight="1">
      <c r="E15" s="644"/>
      <c r="L15" s="644"/>
    </row>
    <row r="16" spans="1:45" ht="14.25" customHeight="1">
      <c r="L16" s="644"/>
    </row>
    <row r="17" spans="12:12" ht="14.25" customHeight="1">
      <c r="L17" s="644"/>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0A618-2FF2-3415-129E-831EFD00B271}">
  <sheetPr>
    <tabColor rgb="FFFFCC99"/>
  </sheetPr>
  <dimension ref="A1:B11"/>
  <sheetViews>
    <sheetView showGridLines="0" workbookViewId="0"/>
  </sheetViews>
  <sheetFormatPr defaultColWidth="9.140625" defaultRowHeight="11.25" customHeight="1"/>
  <cols>
    <col min="1" max="1" width="9.140625" style="1961"/>
    <col min="2" max="2" width="65.28515625" style="1961" customWidth="1"/>
  </cols>
  <sheetData>
    <row r="1" spans="1:2" ht="11.25" customHeight="1">
      <c r="A1" s="716" t="s">
        <v>3761</v>
      </c>
      <c r="B1" s="716" t="s">
        <v>3763</v>
      </c>
    </row>
    <row r="2" spans="1:2" ht="11.25" customHeight="1">
      <c r="A2" s="716" t="s">
        <v>116</v>
      </c>
      <c r="B2" s="716" t="s">
        <v>1855</v>
      </c>
    </row>
    <row r="3" spans="1:2" ht="11.25" customHeight="1">
      <c r="A3" s="716" t="s">
        <v>3764</v>
      </c>
      <c r="B3" s="716" t="s">
        <v>1864</v>
      </c>
    </row>
    <row r="4" spans="1:2" ht="11.25" customHeight="1">
      <c r="A4" s="716" t="s">
        <v>3765</v>
      </c>
      <c r="B4" s="716" t="s">
        <v>1872</v>
      </c>
    </row>
    <row r="5" spans="1:2" ht="11.25" customHeight="1">
      <c r="A5" s="716" t="s">
        <v>3766</v>
      </c>
      <c r="B5" s="716" t="s">
        <v>1881</v>
      </c>
    </row>
    <row r="6" spans="1:2" ht="11.25" customHeight="1">
      <c r="A6" s="716" t="s">
        <v>3767</v>
      </c>
      <c r="B6" s="716" t="s">
        <v>1886</v>
      </c>
    </row>
    <row r="7" spans="1:2" ht="11.25" customHeight="1">
      <c r="A7" s="716" t="s">
        <v>3768</v>
      </c>
      <c r="B7" s="716" t="s">
        <v>1893</v>
      </c>
    </row>
    <row r="8" spans="1:2" ht="11.25" customHeight="1">
      <c r="A8" s="716" t="s">
        <v>3769</v>
      </c>
      <c r="B8" s="716" t="s">
        <v>1899</v>
      </c>
    </row>
    <row r="9" spans="1:2" ht="11.25" customHeight="1">
      <c r="A9" s="716" t="s">
        <v>3770</v>
      </c>
      <c r="B9" s="716" t="s">
        <v>1904</v>
      </c>
    </row>
    <row r="10" spans="1:2" ht="11.25" customHeight="1">
      <c r="A10" s="716" t="s">
        <v>3771</v>
      </c>
      <c r="B10" s="716" t="s">
        <v>1907</v>
      </c>
    </row>
    <row r="11" spans="1:2" ht="11.25" customHeight="1">
      <c r="A11" s="716" t="s">
        <v>3772</v>
      </c>
      <c r="B11" s="716" t="s">
        <v>1913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5896C-841A-CFA6-3ADF-A423163218AD}">
  <sheetPr>
    <tabColor rgb="FFFFCC99"/>
  </sheetPr>
  <dimension ref="A1:G269"/>
  <sheetViews>
    <sheetView showGridLines="0" workbookViewId="0"/>
  </sheetViews>
  <sheetFormatPr defaultRowHeight="11.25" customHeight="1"/>
  <sheetData>
    <row r="1" spans="1:7" ht="11.25" customHeight="1">
      <c r="A1" t="s">
        <v>3030</v>
      </c>
      <c r="B1" t="s">
        <v>3031</v>
      </c>
      <c r="C1" t="s">
        <v>3032</v>
      </c>
      <c r="D1" t="s">
        <v>3033</v>
      </c>
      <c r="E1" t="s">
        <v>3034</v>
      </c>
      <c r="F1" t="s">
        <v>3035</v>
      </c>
      <c r="G1" t="s">
        <v>3036</v>
      </c>
    </row>
    <row r="2" spans="1:7" ht="11.25" customHeight="1">
      <c r="A2" t="s">
        <v>14</v>
      </c>
      <c r="B2" t="s">
        <v>3037</v>
      </c>
      <c r="C2" t="s">
        <v>3038</v>
      </c>
      <c r="D2" t="s">
        <v>3039</v>
      </c>
      <c r="E2" t="s">
        <v>3040</v>
      </c>
      <c r="F2" t="s">
        <v>3041</v>
      </c>
      <c r="G2" t="s">
        <v>106</v>
      </c>
    </row>
    <row r="3" spans="1:7" ht="11.25" customHeight="1">
      <c r="A3" t="s">
        <v>14</v>
      </c>
      <c r="B3" t="s">
        <v>3037</v>
      </c>
      <c r="C3" t="s">
        <v>3038</v>
      </c>
      <c r="D3" t="s">
        <v>3042</v>
      </c>
      <c r="E3" t="s">
        <v>3043</v>
      </c>
      <c r="F3" t="s">
        <v>3044</v>
      </c>
      <c r="G3" t="s">
        <v>107</v>
      </c>
    </row>
    <row r="4" spans="1:7" ht="11.25" customHeight="1">
      <c r="A4" t="s">
        <v>14</v>
      </c>
      <c r="B4" t="s">
        <v>3037</v>
      </c>
      <c r="C4" t="s">
        <v>3038</v>
      </c>
      <c r="D4" t="s">
        <v>3037</v>
      </c>
      <c r="E4" t="s">
        <v>3038</v>
      </c>
      <c r="F4" t="s">
        <v>3045</v>
      </c>
      <c r="G4" t="s">
        <v>87</v>
      </c>
    </row>
    <row r="5" spans="1:7" ht="11.25" customHeight="1">
      <c r="A5" t="s">
        <v>14</v>
      </c>
      <c r="B5" t="s">
        <v>3037</v>
      </c>
      <c r="C5" t="s">
        <v>3038</v>
      </c>
      <c r="D5" t="s">
        <v>3046</v>
      </c>
      <c r="E5" t="s">
        <v>3047</v>
      </c>
      <c r="F5" t="s">
        <v>3041</v>
      </c>
      <c r="G5" t="s">
        <v>88</v>
      </c>
    </row>
    <row r="6" spans="1:7" ht="11.25" customHeight="1">
      <c r="A6" t="s">
        <v>14</v>
      </c>
      <c r="B6" t="s">
        <v>3037</v>
      </c>
      <c r="C6" t="s">
        <v>3038</v>
      </c>
      <c r="D6" t="s">
        <v>3048</v>
      </c>
      <c r="E6" t="s">
        <v>3049</v>
      </c>
      <c r="F6" t="s">
        <v>3041</v>
      </c>
      <c r="G6" t="s">
        <v>108</v>
      </c>
    </row>
    <row r="7" spans="1:7" ht="11.25" customHeight="1">
      <c r="A7" t="s">
        <v>14</v>
      </c>
      <c r="B7" t="s">
        <v>3037</v>
      </c>
      <c r="C7" t="s">
        <v>3038</v>
      </c>
      <c r="D7" t="s">
        <v>3050</v>
      </c>
      <c r="E7" t="s">
        <v>3051</v>
      </c>
      <c r="F7" t="s">
        <v>3041</v>
      </c>
      <c r="G7" t="s">
        <v>89</v>
      </c>
    </row>
    <row r="8" spans="1:7" ht="11.25" customHeight="1">
      <c r="A8" t="s">
        <v>14</v>
      </c>
      <c r="B8" t="s">
        <v>3037</v>
      </c>
      <c r="C8" t="s">
        <v>3038</v>
      </c>
      <c r="D8" t="s">
        <v>3052</v>
      </c>
      <c r="E8" t="s">
        <v>3053</v>
      </c>
      <c r="F8" t="s">
        <v>3041</v>
      </c>
      <c r="G8" t="s">
        <v>90</v>
      </c>
    </row>
    <row r="9" spans="1:7" ht="11.25" customHeight="1">
      <c r="A9" t="s">
        <v>14</v>
      </c>
      <c r="B9" t="s">
        <v>3037</v>
      </c>
      <c r="C9" t="s">
        <v>3038</v>
      </c>
      <c r="D9" t="s">
        <v>3054</v>
      </c>
      <c r="E9" t="s">
        <v>3055</v>
      </c>
      <c r="F9" t="s">
        <v>3041</v>
      </c>
      <c r="G9" t="s">
        <v>109</v>
      </c>
    </row>
    <row r="10" spans="1:7" ht="11.25" customHeight="1">
      <c r="A10" t="s">
        <v>14</v>
      </c>
      <c r="B10" t="s">
        <v>3037</v>
      </c>
      <c r="C10" t="s">
        <v>3038</v>
      </c>
      <c r="D10" t="s">
        <v>3056</v>
      </c>
      <c r="E10" t="s">
        <v>3057</v>
      </c>
      <c r="F10" t="s">
        <v>3041</v>
      </c>
      <c r="G10" t="s">
        <v>133</v>
      </c>
    </row>
    <row r="11" spans="1:7" ht="11.25" customHeight="1">
      <c r="A11" t="s">
        <v>14</v>
      </c>
      <c r="B11" t="s">
        <v>3037</v>
      </c>
      <c r="C11" t="s">
        <v>3038</v>
      </c>
      <c r="D11" t="s">
        <v>3058</v>
      </c>
      <c r="E11" t="s">
        <v>3059</v>
      </c>
      <c r="F11" t="s">
        <v>3041</v>
      </c>
      <c r="G11" t="s">
        <v>136</v>
      </c>
    </row>
    <row r="12" spans="1:7" ht="11.25" customHeight="1">
      <c r="A12" t="s">
        <v>14</v>
      </c>
      <c r="B12" t="s">
        <v>3037</v>
      </c>
      <c r="C12" t="s">
        <v>3038</v>
      </c>
      <c r="D12" t="s">
        <v>3060</v>
      </c>
      <c r="E12" t="s">
        <v>3061</v>
      </c>
      <c r="F12" t="s">
        <v>3041</v>
      </c>
      <c r="G12" t="s">
        <v>139</v>
      </c>
    </row>
    <row r="13" spans="1:7" ht="11.25" customHeight="1">
      <c r="A13" t="s">
        <v>14</v>
      </c>
      <c r="B13" t="s">
        <v>3037</v>
      </c>
      <c r="C13" t="s">
        <v>3038</v>
      </c>
      <c r="D13" t="s">
        <v>3062</v>
      </c>
      <c r="E13" t="s">
        <v>3063</v>
      </c>
      <c r="F13" t="s">
        <v>3041</v>
      </c>
      <c r="G13" t="s">
        <v>142</v>
      </c>
    </row>
    <row r="14" spans="1:7" ht="11.25" customHeight="1">
      <c r="A14" t="s">
        <v>14</v>
      </c>
      <c r="B14" t="s">
        <v>3037</v>
      </c>
      <c r="C14" t="s">
        <v>3038</v>
      </c>
      <c r="D14" t="s">
        <v>3064</v>
      </c>
      <c r="E14" t="s">
        <v>3065</v>
      </c>
      <c r="F14" t="s">
        <v>3041</v>
      </c>
      <c r="G14" t="s">
        <v>145</v>
      </c>
    </row>
    <row r="15" spans="1:7" ht="11.25" customHeight="1">
      <c r="A15" t="s">
        <v>14</v>
      </c>
      <c r="B15" t="s">
        <v>3037</v>
      </c>
      <c r="C15" t="s">
        <v>3038</v>
      </c>
      <c r="D15" t="s">
        <v>3066</v>
      </c>
      <c r="E15" t="s">
        <v>3067</v>
      </c>
      <c r="F15" t="s">
        <v>3041</v>
      </c>
      <c r="G15" t="s">
        <v>148</v>
      </c>
    </row>
    <row r="16" spans="1:7" ht="11.25" customHeight="1">
      <c r="A16" t="s">
        <v>14</v>
      </c>
      <c r="B16" t="s">
        <v>3037</v>
      </c>
      <c r="C16" t="s">
        <v>3038</v>
      </c>
      <c r="D16" t="s">
        <v>3068</v>
      </c>
      <c r="E16" t="s">
        <v>3069</v>
      </c>
      <c r="F16" t="s">
        <v>3041</v>
      </c>
      <c r="G16" t="s">
        <v>151</v>
      </c>
    </row>
    <row r="17" spans="1:7" ht="11.25" customHeight="1">
      <c r="A17" t="s">
        <v>14</v>
      </c>
      <c r="B17" t="s">
        <v>3070</v>
      </c>
      <c r="C17" t="s">
        <v>3071</v>
      </c>
      <c r="D17" t="s">
        <v>3072</v>
      </c>
      <c r="E17" t="s">
        <v>3073</v>
      </c>
      <c r="F17" t="s">
        <v>3041</v>
      </c>
      <c r="G17" t="s">
        <v>154</v>
      </c>
    </row>
    <row r="18" spans="1:7" ht="11.25" customHeight="1">
      <c r="A18" t="s">
        <v>14</v>
      </c>
      <c r="B18" t="s">
        <v>3070</v>
      </c>
      <c r="C18" t="s">
        <v>3071</v>
      </c>
      <c r="D18" t="s">
        <v>3070</v>
      </c>
      <c r="E18" t="s">
        <v>3071</v>
      </c>
      <c r="F18" t="s">
        <v>3045</v>
      </c>
      <c r="G18" t="s">
        <v>157</v>
      </c>
    </row>
    <row r="19" spans="1:7" ht="11.25" customHeight="1">
      <c r="A19" t="s">
        <v>14</v>
      </c>
      <c r="B19" t="s">
        <v>3070</v>
      </c>
      <c r="C19" t="s">
        <v>3071</v>
      </c>
      <c r="D19" t="s">
        <v>3074</v>
      </c>
      <c r="E19" t="s">
        <v>3075</v>
      </c>
      <c r="F19" t="s">
        <v>3076</v>
      </c>
      <c r="G19" t="s">
        <v>160</v>
      </c>
    </row>
    <row r="20" spans="1:7" ht="11.25" customHeight="1">
      <c r="A20" t="s">
        <v>14</v>
      </c>
      <c r="B20" t="s">
        <v>3070</v>
      </c>
      <c r="C20" t="s">
        <v>3071</v>
      </c>
      <c r="D20" t="s">
        <v>3077</v>
      </c>
      <c r="E20" t="s">
        <v>3078</v>
      </c>
      <c r="F20" t="s">
        <v>3041</v>
      </c>
      <c r="G20" t="s">
        <v>163</v>
      </c>
    </row>
    <row r="21" spans="1:7" ht="11.25" customHeight="1">
      <c r="A21" t="s">
        <v>14</v>
      </c>
      <c r="B21" t="s">
        <v>3070</v>
      </c>
      <c r="C21" t="s">
        <v>3071</v>
      </c>
      <c r="D21" t="s">
        <v>3079</v>
      </c>
      <c r="E21" t="s">
        <v>3080</v>
      </c>
      <c r="F21" t="s">
        <v>3041</v>
      </c>
      <c r="G21" t="s">
        <v>166</v>
      </c>
    </row>
    <row r="22" spans="1:7" ht="11.25" customHeight="1">
      <c r="A22" t="s">
        <v>14</v>
      </c>
      <c r="B22" t="s">
        <v>3070</v>
      </c>
      <c r="C22" t="s">
        <v>3071</v>
      </c>
      <c r="D22" t="s">
        <v>3081</v>
      </c>
      <c r="E22" t="s">
        <v>3082</v>
      </c>
      <c r="F22" t="s">
        <v>3041</v>
      </c>
      <c r="G22" t="s">
        <v>169</v>
      </c>
    </row>
    <row r="23" spans="1:7" ht="11.25" customHeight="1">
      <c r="A23" t="s">
        <v>14</v>
      </c>
      <c r="B23" t="s">
        <v>3070</v>
      </c>
      <c r="C23" t="s">
        <v>3071</v>
      </c>
      <c r="D23" t="s">
        <v>3083</v>
      </c>
      <c r="E23" t="s">
        <v>3084</v>
      </c>
      <c r="F23" t="s">
        <v>3041</v>
      </c>
      <c r="G23" t="s">
        <v>172</v>
      </c>
    </row>
    <row r="24" spans="1:7" ht="11.25" customHeight="1">
      <c r="A24" t="s">
        <v>14</v>
      </c>
      <c r="B24" t="s">
        <v>3070</v>
      </c>
      <c r="C24" t="s">
        <v>3071</v>
      </c>
      <c r="D24" t="s">
        <v>3085</v>
      </c>
      <c r="E24" t="s">
        <v>3086</v>
      </c>
      <c r="F24" t="s">
        <v>3041</v>
      </c>
      <c r="G24" t="s">
        <v>175</v>
      </c>
    </row>
    <row r="25" spans="1:7" ht="11.25" customHeight="1">
      <c r="A25" t="s">
        <v>14</v>
      </c>
      <c r="B25" t="s">
        <v>3070</v>
      </c>
      <c r="C25" t="s">
        <v>3071</v>
      </c>
      <c r="D25" t="s">
        <v>3087</v>
      </c>
      <c r="E25" t="s">
        <v>3088</v>
      </c>
      <c r="F25" t="s">
        <v>3041</v>
      </c>
      <c r="G25" t="s">
        <v>178</v>
      </c>
    </row>
    <row r="26" spans="1:7" ht="11.25" customHeight="1">
      <c r="A26" t="s">
        <v>14</v>
      </c>
      <c r="B26" t="s">
        <v>3070</v>
      </c>
      <c r="C26" t="s">
        <v>3071</v>
      </c>
      <c r="D26" t="s">
        <v>3089</v>
      </c>
      <c r="E26" t="s">
        <v>3090</v>
      </c>
      <c r="F26" t="s">
        <v>3041</v>
      </c>
      <c r="G26" t="s">
        <v>181</v>
      </c>
    </row>
    <row r="27" spans="1:7" ht="11.25" customHeight="1">
      <c r="A27" t="s">
        <v>14</v>
      </c>
      <c r="B27" t="s">
        <v>3070</v>
      </c>
      <c r="C27" t="s">
        <v>3071</v>
      </c>
      <c r="D27" t="s">
        <v>3091</v>
      </c>
      <c r="E27" t="s">
        <v>3092</v>
      </c>
      <c r="F27" t="s">
        <v>3041</v>
      </c>
      <c r="G27" t="s">
        <v>184</v>
      </c>
    </row>
    <row r="28" spans="1:7" ht="11.25" customHeight="1">
      <c r="A28" t="s">
        <v>14</v>
      </c>
      <c r="B28" t="s">
        <v>3070</v>
      </c>
      <c r="C28" t="s">
        <v>3071</v>
      </c>
      <c r="D28" t="s">
        <v>3093</v>
      </c>
      <c r="E28" t="s">
        <v>3094</v>
      </c>
      <c r="F28" t="s">
        <v>3041</v>
      </c>
      <c r="G28" t="s">
        <v>187</v>
      </c>
    </row>
    <row r="29" spans="1:7" ht="11.25" customHeight="1">
      <c r="A29" t="s">
        <v>14</v>
      </c>
      <c r="B29" t="s">
        <v>3095</v>
      </c>
      <c r="C29" t="s">
        <v>3096</v>
      </c>
      <c r="D29" t="s">
        <v>3097</v>
      </c>
      <c r="E29" t="s">
        <v>3098</v>
      </c>
      <c r="F29" t="s">
        <v>3041</v>
      </c>
      <c r="G29" t="s">
        <v>190</v>
      </c>
    </row>
    <row r="30" spans="1:7" ht="11.25" customHeight="1">
      <c r="A30" t="s">
        <v>14</v>
      </c>
      <c r="B30" t="s">
        <v>3095</v>
      </c>
      <c r="C30" t="s">
        <v>3096</v>
      </c>
      <c r="D30" t="s">
        <v>3099</v>
      </c>
      <c r="E30" t="s">
        <v>3100</v>
      </c>
      <c r="F30" t="s">
        <v>3076</v>
      </c>
      <c r="G30" t="s">
        <v>193</v>
      </c>
    </row>
    <row r="31" spans="1:7" ht="11.25" customHeight="1">
      <c r="A31" t="s">
        <v>14</v>
      </c>
      <c r="B31" t="s">
        <v>3095</v>
      </c>
      <c r="C31" t="s">
        <v>3096</v>
      </c>
      <c r="D31" t="s">
        <v>3095</v>
      </c>
      <c r="E31" t="s">
        <v>3096</v>
      </c>
      <c r="F31" t="s">
        <v>3045</v>
      </c>
      <c r="G31" t="s">
        <v>196</v>
      </c>
    </row>
    <row r="32" spans="1:7" ht="11.25" customHeight="1">
      <c r="A32" t="s">
        <v>14</v>
      </c>
      <c r="B32" t="s">
        <v>3095</v>
      </c>
      <c r="C32" t="s">
        <v>3096</v>
      </c>
      <c r="D32" t="s">
        <v>3101</v>
      </c>
      <c r="E32" t="s">
        <v>3102</v>
      </c>
      <c r="F32" t="s">
        <v>3041</v>
      </c>
      <c r="G32" t="s">
        <v>199</v>
      </c>
    </row>
    <row r="33" spans="1:7" ht="11.25" customHeight="1">
      <c r="A33" t="s">
        <v>14</v>
      </c>
      <c r="B33" t="s">
        <v>3095</v>
      </c>
      <c r="C33" t="s">
        <v>3096</v>
      </c>
      <c r="D33" t="s">
        <v>3103</v>
      </c>
      <c r="E33" t="s">
        <v>3104</v>
      </c>
      <c r="F33" t="s">
        <v>3041</v>
      </c>
      <c r="G33" t="s">
        <v>202</v>
      </c>
    </row>
    <row r="34" spans="1:7" ht="11.25" customHeight="1">
      <c r="A34" t="s">
        <v>14</v>
      </c>
      <c r="B34" t="s">
        <v>3095</v>
      </c>
      <c r="C34" t="s">
        <v>3096</v>
      </c>
      <c r="D34" t="s">
        <v>3105</v>
      </c>
      <c r="E34" t="s">
        <v>3106</v>
      </c>
      <c r="F34" t="s">
        <v>3041</v>
      </c>
      <c r="G34" t="s">
        <v>205</v>
      </c>
    </row>
    <row r="35" spans="1:7" ht="11.25" customHeight="1">
      <c r="A35" t="s">
        <v>14</v>
      </c>
      <c r="B35" t="s">
        <v>3095</v>
      </c>
      <c r="C35" t="s">
        <v>3096</v>
      </c>
      <c r="D35" t="s">
        <v>3107</v>
      </c>
      <c r="E35" t="s">
        <v>3108</v>
      </c>
      <c r="F35" t="s">
        <v>3041</v>
      </c>
      <c r="G35" t="s">
        <v>208</v>
      </c>
    </row>
    <row r="36" spans="1:7" ht="11.25" customHeight="1">
      <c r="A36" t="s">
        <v>14</v>
      </c>
      <c r="B36" t="s">
        <v>3095</v>
      </c>
      <c r="C36" t="s">
        <v>3096</v>
      </c>
      <c r="D36" t="s">
        <v>3109</v>
      </c>
      <c r="E36" t="s">
        <v>3110</v>
      </c>
      <c r="F36" t="s">
        <v>3041</v>
      </c>
      <c r="G36" t="s">
        <v>211</v>
      </c>
    </row>
    <row r="37" spans="1:7" ht="11.25" customHeight="1">
      <c r="A37" t="s">
        <v>14</v>
      </c>
      <c r="B37" t="s">
        <v>3095</v>
      </c>
      <c r="C37" t="s">
        <v>3096</v>
      </c>
      <c r="D37" t="s">
        <v>3111</v>
      </c>
      <c r="E37" t="s">
        <v>3112</v>
      </c>
      <c r="F37" t="s">
        <v>3041</v>
      </c>
      <c r="G37" t="s">
        <v>214</v>
      </c>
    </row>
    <row r="38" spans="1:7" ht="11.25" customHeight="1">
      <c r="A38" t="s">
        <v>14</v>
      </c>
      <c r="B38" t="s">
        <v>3113</v>
      </c>
      <c r="C38" t="s">
        <v>3114</v>
      </c>
      <c r="D38" t="s">
        <v>3113</v>
      </c>
      <c r="E38" t="s">
        <v>3114</v>
      </c>
      <c r="F38" t="s">
        <v>3115</v>
      </c>
      <c r="G38" t="s">
        <v>217</v>
      </c>
    </row>
    <row r="39" spans="1:7" ht="11.25" customHeight="1">
      <c r="A39" t="s">
        <v>14</v>
      </c>
      <c r="B39" t="s">
        <v>3116</v>
      </c>
      <c r="C39" t="s">
        <v>3117</v>
      </c>
      <c r="D39" t="s">
        <v>3116</v>
      </c>
      <c r="E39" t="s">
        <v>3117</v>
      </c>
      <c r="F39" t="s">
        <v>3115</v>
      </c>
      <c r="G39" t="s">
        <v>220</v>
      </c>
    </row>
    <row r="40" spans="1:7" ht="11.25" customHeight="1">
      <c r="A40" t="s">
        <v>14</v>
      </c>
      <c r="B40" t="s">
        <v>97</v>
      </c>
      <c r="C40" t="s">
        <v>98</v>
      </c>
      <c r="D40" t="s">
        <v>97</v>
      </c>
      <c r="E40" t="s">
        <v>98</v>
      </c>
      <c r="F40" t="s">
        <v>3115</v>
      </c>
      <c r="G40" t="s">
        <v>96</v>
      </c>
    </row>
    <row r="41" spans="1:7" ht="11.25" customHeight="1">
      <c r="A41" t="s">
        <v>14</v>
      </c>
      <c r="B41" t="s">
        <v>3118</v>
      </c>
      <c r="C41" t="s">
        <v>3119</v>
      </c>
      <c r="D41" t="s">
        <v>3120</v>
      </c>
      <c r="E41" t="s">
        <v>3121</v>
      </c>
      <c r="F41" t="s">
        <v>3041</v>
      </c>
      <c r="G41" t="s">
        <v>225</v>
      </c>
    </row>
    <row r="42" spans="1:7" ht="11.25" customHeight="1">
      <c r="A42" t="s">
        <v>14</v>
      </c>
      <c r="B42" t="s">
        <v>3118</v>
      </c>
      <c r="C42" t="s">
        <v>3119</v>
      </c>
      <c r="D42" t="s">
        <v>3122</v>
      </c>
      <c r="E42" t="s">
        <v>3123</v>
      </c>
      <c r="F42" t="s">
        <v>3041</v>
      </c>
      <c r="G42" t="s">
        <v>228</v>
      </c>
    </row>
    <row r="43" spans="1:7" ht="11.25" customHeight="1">
      <c r="A43" t="s">
        <v>14</v>
      </c>
      <c r="B43" t="s">
        <v>3118</v>
      </c>
      <c r="C43" t="s">
        <v>3119</v>
      </c>
      <c r="D43" t="s">
        <v>3124</v>
      </c>
      <c r="E43" t="s">
        <v>3125</v>
      </c>
      <c r="F43" t="s">
        <v>3041</v>
      </c>
      <c r="G43" t="s">
        <v>231</v>
      </c>
    </row>
    <row r="44" spans="1:7" ht="11.25" customHeight="1">
      <c r="A44" t="s">
        <v>14</v>
      </c>
      <c r="B44" t="s">
        <v>3118</v>
      </c>
      <c r="C44" t="s">
        <v>3119</v>
      </c>
      <c r="D44" t="s">
        <v>3126</v>
      </c>
      <c r="E44" t="s">
        <v>3127</v>
      </c>
      <c r="F44" t="s">
        <v>3041</v>
      </c>
      <c r="G44" t="s">
        <v>234</v>
      </c>
    </row>
    <row r="45" spans="1:7" ht="11.25" customHeight="1">
      <c r="A45" t="s">
        <v>14</v>
      </c>
      <c r="B45" t="s">
        <v>3118</v>
      </c>
      <c r="C45" t="s">
        <v>3119</v>
      </c>
      <c r="D45" t="s">
        <v>3128</v>
      </c>
      <c r="E45" t="s">
        <v>3129</v>
      </c>
      <c r="F45" t="s">
        <v>3044</v>
      </c>
      <c r="G45" t="s">
        <v>237</v>
      </c>
    </row>
    <row r="46" spans="1:7" ht="11.25" customHeight="1">
      <c r="A46" t="s">
        <v>14</v>
      </c>
      <c r="B46" t="s">
        <v>3118</v>
      </c>
      <c r="C46" t="s">
        <v>3119</v>
      </c>
      <c r="D46" t="s">
        <v>3118</v>
      </c>
      <c r="E46" t="s">
        <v>3119</v>
      </c>
      <c r="F46" t="s">
        <v>3045</v>
      </c>
      <c r="G46" t="s">
        <v>240</v>
      </c>
    </row>
    <row r="47" spans="1:7" ht="11.25" customHeight="1">
      <c r="A47" t="s">
        <v>14</v>
      </c>
      <c r="B47" t="s">
        <v>3118</v>
      </c>
      <c r="C47" t="s">
        <v>3119</v>
      </c>
      <c r="D47" t="s">
        <v>3130</v>
      </c>
      <c r="E47" t="s">
        <v>3131</v>
      </c>
      <c r="F47" t="s">
        <v>3041</v>
      </c>
      <c r="G47" t="s">
        <v>243</v>
      </c>
    </row>
    <row r="48" spans="1:7" ht="11.25" customHeight="1">
      <c r="A48" t="s">
        <v>14</v>
      </c>
      <c r="B48" t="s">
        <v>3118</v>
      </c>
      <c r="C48" t="s">
        <v>3119</v>
      </c>
      <c r="D48" t="s">
        <v>3132</v>
      </c>
      <c r="E48" t="s">
        <v>3133</v>
      </c>
      <c r="F48" t="s">
        <v>3041</v>
      </c>
      <c r="G48" t="s">
        <v>246</v>
      </c>
    </row>
    <row r="49" spans="1:7" ht="11.25" customHeight="1">
      <c r="A49" t="s">
        <v>14</v>
      </c>
      <c r="B49" t="s">
        <v>3118</v>
      </c>
      <c r="C49" t="s">
        <v>3119</v>
      </c>
      <c r="D49" t="s">
        <v>3134</v>
      </c>
      <c r="E49" t="s">
        <v>3135</v>
      </c>
      <c r="F49" t="s">
        <v>3041</v>
      </c>
      <c r="G49" t="s">
        <v>249</v>
      </c>
    </row>
    <row r="50" spans="1:7" ht="11.25" customHeight="1">
      <c r="A50" t="s">
        <v>14</v>
      </c>
      <c r="B50" t="s">
        <v>3118</v>
      </c>
      <c r="C50" t="s">
        <v>3119</v>
      </c>
      <c r="D50" t="s">
        <v>3136</v>
      </c>
      <c r="E50" t="s">
        <v>3137</v>
      </c>
      <c r="F50" t="s">
        <v>3041</v>
      </c>
      <c r="G50" t="s">
        <v>252</v>
      </c>
    </row>
    <row r="51" spans="1:7" ht="11.25" customHeight="1">
      <c r="A51" t="s">
        <v>14</v>
      </c>
      <c r="B51" t="s">
        <v>3118</v>
      </c>
      <c r="C51" t="s">
        <v>3119</v>
      </c>
      <c r="D51" t="s">
        <v>3138</v>
      </c>
      <c r="E51" t="s">
        <v>3139</v>
      </c>
      <c r="F51" t="s">
        <v>3041</v>
      </c>
      <c r="G51" t="s">
        <v>255</v>
      </c>
    </row>
    <row r="52" spans="1:7" ht="11.25" customHeight="1">
      <c r="A52" t="s">
        <v>14</v>
      </c>
      <c r="B52" t="s">
        <v>3118</v>
      </c>
      <c r="C52" t="s">
        <v>3119</v>
      </c>
      <c r="D52" t="s">
        <v>3140</v>
      </c>
      <c r="E52" t="s">
        <v>3141</v>
      </c>
      <c r="F52" t="s">
        <v>3041</v>
      </c>
      <c r="G52" t="s">
        <v>258</v>
      </c>
    </row>
    <row r="53" spans="1:7" ht="11.25" customHeight="1">
      <c r="A53" t="s">
        <v>14</v>
      </c>
      <c r="B53" t="s">
        <v>3118</v>
      </c>
      <c r="C53" t="s">
        <v>3119</v>
      </c>
      <c r="D53" t="s">
        <v>3142</v>
      </c>
      <c r="E53" t="s">
        <v>3143</v>
      </c>
      <c r="F53" t="s">
        <v>3041</v>
      </c>
      <c r="G53" t="s">
        <v>261</v>
      </c>
    </row>
    <row r="54" spans="1:7" ht="11.25" customHeight="1">
      <c r="A54" t="s">
        <v>14</v>
      </c>
      <c r="B54" t="s">
        <v>3118</v>
      </c>
      <c r="C54" t="s">
        <v>3119</v>
      </c>
      <c r="D54" t="s">
        <v>3144</v>
      </c>
      <c r="E54" t="s">
        <v>3145</v>
      </c>
      <c r="F54" t="s">
        <v>3041</v>
      </c>
      <c r="G54" t="s">
        <v>264</v>
      </c>
    </row>
    <row r="55" spans="1:7" ht="11.25" customHeight="1">
      <c r="A55" t="s">
        <v>14</v>
      </c>
      <c r="B55" t="s">
        <v>3146</v>
      </c>
      <c r="C55" t="s">
        <v>3147</v>
      </c>
      <c r="D55" t="s">
        <v>3148</v>
      </c>
      <c r="E55" t="s">
        <v>3149</v>
      </c>
      <c r="F55" t="s">
        <v>3041</v>
      </c>
      <c r="G55" t="s">
        <v>267</v>
      </c>
    </row>
    <row r="56" spans="1:7" ht="11.25" customHeight="1">
      <c r="A56" t="s">
        <v>14</v>
      </c>
      <c r="B56" t="s">
        <v>3146</v>
      </c>
      <c r="C56" t="s">
        <v>3147</v>
      </c>
      <c r="D56" t="s">
        <v>3150</v>
      </c>
      <c r="E56" t="s">
        <v>3151</v>
      </c>
      <c r="F56" t="s">
        <v>3076</v>
      </c>
      <c r="G56" t="s">
        <v>270</v>
      </c>
    </row>
    <row r="57" spans="1:7" ht="11.25" customHeight="1">
      <c r="A57" t="s">
        <v>14</v>
      </c>
      <c r="B57" t="s">
        <v>3146</v>
      </c>
      <c r="C57" t="s">
        <v>3147</v>
      </c>
      <c r="D57" t="s">
        <v>3146</v>
      </c>
      <c r="E57" t="s">
        <v>3147</v>
      </c>
      <c r="F57" t="s">
        <v>3045</v>
      </c>
      <c r="G57" t="s">
        <v>273</v>
      </c>
    </row>
    <row r="58" spans="1:7" ht="11.25" customHeight="1">
      <c r="A58" t="s">
        <v>14</v>
      </c>
      <c r="B58" t="s">
        <v>3146</v>
      </c>
      <c r="C58" t="s">
        <v>3147</v>
      </c>
      <c r="D58" t="s">
        <v>3152</v>
      </c>
      <c r="E58" t="s">
        <v>3153</v>
      </c>
      <c r="F58" t="s">
        <v>3041</v>
      </c>
      <c r="G58" t="s">
        <v>276</v>
      </c>
    </row>
    <row r="59" spans="1:7" ht="11.25" customHeight="1">
      <c r="A59" t="s">
        <v>14</v>
      </c>
      <c r="B59" t="s">
        <v>3146</v>
      </c>
      <c r="C59" t="s">
        <v>3147</v>
      </c>
      <c r="D59" t="s">
        <v>3154</v>
      </c>
      <c r="E59" t="s">
        <v>3155</v>
      </c>
      <c r="F59" t="s">
        <v>3041</v>
      </c>
      <c r="G59" t="s">
        <v>279</v>
      </c>
    </row>
    <row r="60" spans="1:7" ht="11.25" customHeight="1">
      <c r="A60" t="s">
        <v>14</v>
      </c>
      <c r="B60" t="s">
        <v>3146</v>
      </c>
      <c r="C60" t="s">
        <v>3147</v>
      </c>
      <c r="D60" t="s">
        <v>3156</v>
      </c>
      <c r="E60" t="s">
        <v>3157</v>
      </c>
      <c r="F60" t="s">
        <v>3041</v>
      </c>
      <c r="G60" t="s">
        <v>282</v>
      </c>
    </row>
    <row r="61" spans="1:7" ht="11.25" customHeight="1">
      <c r="A61" t="s">
        <v>14</v>
      </c>
      <c r="B61" t="s">
        <v>3146</v>
      </c>
      <c r="C61" t="s">
        <v>3147</v>
      </c>
      <c r="D61" t="s">
        <v>3158</v>
      </c>
      <c r="E61" t="s">
        <v>3159</v>
      </c>
      <c r="F61" t="s">
        <v>3041</v>
      </c>
      <c r="G61" t="s">
        <v>285</v>
      </c>
    </row>
    <row r="62" spans="1:7" ht="11.25" customHeight="1">
      <c r="A62" t="s">
        <v>14</v>
      </c>
      <c r="B62" t="s">
        <v>3146</v>
      </c>
      <c r="C62" t="s">
        <v>3147</v>
      </c>
      <c r="D62" t="s">
        <v>3160</v>
      </c>
      <c r="E62" t="s">
        <v>3161</v>
      </c>
      <c r="F62" t="s">
        <v>3041</v>
      </c>
      <c r="G62" t="s">
        <v>288</v>
      </c>
    </row>
    <row r="63" spans="1:7" ht="11.25" customHeight="1">
      <c r="A63" t="s">
        <v>14</v>
      </c>
      <c r="B63" t="s">
        <v>3146</v>
      </c>
      <c r="C63" t="s">
        <v>3147</v>
      </c>
      <c r="D63" t="s">
        <v>3162</v>
      </c>
      <c r="E63" t="s">
        <v>3163</v>
      </c>
      <c r="F63" t="s">
        <v>3041</v>
      </c>
      <c r="G63" t="s">
        <v>291</v>
      </c>
    </row>
    <row r="64" spans="1:7" ht="11.25" customHeight="1">
      <c r="A64" t="s">
        <v>14</v>
      </c>
      <c r="B64" t="s">
        <v>3164</v>
      </c>
      <c r="C64" t="s">
        <v>3165</v>
      </c>
      <c r="D64" t="s">
        <v>3166</v>
      </c>
      <c r="E64" t="s">
        <v>3167</v>
      </c>
      <c r="F64" t="s">
        <v>3041</v>
      </c>
      <c r="G64" t="s">
        <v>294</v>
      </c>
    </row>
    <row r="65" spans="1:7" ht="11.25" customHeight="1">
      <c r="A65" t="s">
        <v>14</v>
      </c>
      <c r="B65" t="s">
        <v>3164</v>
      </c>
      <c r="C65" t="s">
        <v>3165</v>
      </c>
      <c r="D65" t="s">
        <v>3168</v>
      </c>
      <c r="E65" t="s">
        <v>3169</v>
      </c>
      <c r="F65" t="s">
        <v>3041</v>
      </c>
      <c r="G65" t="s">
        <v>297</v>
      </c>
    </row>
    <row r="66" spans="1:7" ht="11.25" customHeight="1">
      <c r="A66" t="s">
        <v>14</v>
      </c>
      <c r="B66" t="s">
        <v>3164</v>
      </c>
      <c r="C66" t="s">
        <v>3165</v>
      </c>
      <c r="D66" t="s">
        <v>3170</v>
      </c>
      <c r="E66" t="s">
        <v>3171</v>
      </c>
      <c r="F66" t="s">
        <v>3041</v>
      </c>
      <c r="G66" t="s">
        <v>300</v>
      </c>
    </row>
    <row r="67" spans="1:7" ht="11.25" customHeight="1">
      <c r="A67" t="s">
        <v>14</v>
      </c>
      <c r="B67" t="s">
        <v>3164</v>
      </c>
      <c r="C67" t="s">
        <v>3165</v>
      </c>
      <c r="D67" t="s">
        <v>3164</v>
      </c>
      <c r="E67" t="s">
        <v>3165</v>
      </c>
      <c r="F67" t="s">
        <v>3045</v>
      </c>
      <c r="G67" t="s">
        <v>303</v>
      </c>
    </row>
    <row r="68" spans="1:7" ht="11.25" customHeight="1">
      <c r="A68" t="s">
        <v>14</v>
      </c>
      <c r="B68" t="s">
        <v>3164</v>
      </c>
      <c r="C68" t="s">
        <v>3165</v>
      </c>
      <c r="D68" t="s">
        <v>3172</v>
      </c>
      <c r="E68" t="s">
        <v>3173</v>
      </c>
      <c r="F68" t="s">
        <v>3076</v>
      </c>
      <c r="G68" t="s">
        <v>306</v>
      </c>
    </row>
    <row r="69" spans="1:7" ht="11.25" customHeight="1">
      <c r="A69" t="s">
        <v>14</v>
      </c>
      <c r="B69" t="s">
        <v>3164</v>
      </c>
      <c r="C69" t="s">
        <v>3165</v>
      </c>
      <c r="D69" t="s">
        <v>3174</v>
      </c>
      <c r="E69" t="s">
        <v>3175</v>
      </c>
      <c r="F69" t="s">
        <v>3041</v>
      </c>
      <c r="G69" t="s">
        <v>309</v>
      </c>
    </row>
    <row r="70" spans="1:7" ht="11.25" customHeight="1">
      <c r="A70" t="s">
        <v>14</v>
      </c>
      <c r="B70" t="s">
        <v>3164</v>
      </c>
      <c r="C70" t="s">
        <v>3165</v>
      </c>
      <c r="D70" t="s">
        <v>3176</v>
      </c>
      <c r="E70" t="s">
        <v>3177</v>
      </c>
      <c r="F70" t="s">
        <v>3041</v>
      </c>
      <c r="G70" t="s">
        <v>312</v>
      </c>
    </row>
    <row r="71" spans="1:7" ht="11.25" customHeight="1">
      <c r="A71" t="s">
        <v>14</v>
      </c>
      <c r="B71" t="s">
        <v>3164</v>
      </c>
      <c r="C71" t="s">
        <v>3165</v>
      </c>
      <c r="D71" t="s">
        <v>3178</v>
      </c>
      <c r="E71" t="s">
        <v>3179</v>
      </c>
      <c r="F71" t="s">
        <v>3041</v>
      </c>
      <c r="G71" t="s">
        <v>315</v>
      </c>
    </row>
    <row r="72" spans="1:7" ht="11.25" customHeight="1">
      <c r="A72" t="s">
        <v>14</v>
      </c>
      <c r="B72" t="s">
        <v>3164</v>
      </c>
      <c r="C72" t="s">
        <v>3165</v>
      </c>
      <c r="D72" t="s">
        <v>3180</v>
      </c>
      <c r="E72" t="s">
        <v>3181</v>
      </c>
      <c r="F72" t="s">
        <v>3041</v>
      </c>
      <c r="G72" t="s">
        <v>318</v>
      </c>
    </row>
    <row r="73" spans="1:7" ht="11.25" customHeight="1">
      <c r="A73" t="s">
        <v>14</v>
      </c>
      <c r="B73" t="s">
        <v>3164</v>
      </c>
      <c r="C73" t="s">
        <v>3165</v>
      </c>
      <c r="D73" t="s">
        <v>3182</v>
      </c>
      <c r="E73" t="s">
        <v>3183</v>
      </c>
      <c r="F73" t="s">
        <v>3041</v>
      </c>
      <c r="G73" t="s">
        <v>321</v>
      </c>
    </row>
    <row r="74" spans="1:7" ht="11.25" customHeight="1">
      <c r="A74" t="s">
        <v>14</v>
      </c>
      <c r="B74" t="s">
        <v>3164</v>
      </c>
      <c r="C74" t="s">
        <v>3165</v>
      </c>
      <c r="D74" t="s">
        <v>3184</v>
      </c>
      <c r="E74" t="s">
        <v>3185</v>
      </c>
      <c r="F74" t="s">
        <v>3041</v>
      </c>
      <c r="G74" t="s">
        <v>324</v>
      </c>
    </row>
    <row r="75" spans="1:7" ht="11.25" customHeight="1">
      <c r="A75" t="s">
        <v>14</v>
      </c>
      <c r="B75" t="s">
        <v>3164</v>
      </c>
      <c r="C75" t="s">
        <v>3165</v>
      </c>
      <c r="D75" t="s">
        <v>3186</v>
      </c>
      <c r="E75" t="s">
        <v>3187</v>
      </c>
      <c r="F75" t="s">
        <v>3041</v>
      </c>
      <c r="G75" t="s">
        <v>327</v>
      </c>
    </row>
    <row r="76" spans="1:7" ht="11.25" customHeight="1">
      <c r="A76" t="s">
        <v>14</v>
      </c>
      <c r="B76" t="s">
        <v>3188</v>
      </c>
      <c r="C76" t="s">
        <v>3189</v>
      </c>
      <c r="D76" t="s">
        <v>3190</v>
      </c>
      <c r="E76" t="s">
        <v>3191</v>
      </c>
      <c r="F76" t="s">
        <v>3041</v>
      </c>
      <c r="G76" t="s">
        <v>330</v>
      </c>
    </row>
    <row r="77" spans="1:7" ht="11.25" customHeight="1">
      <c r="A77" t="s">
        <v>14</v>
      </c>
      <c r="B77" t="s">
        <v>3188</v>
      </c>
      <c r="C77" t="s">
        <v>3189</v>
      </c>
      <c r="D77" t="s">
        <v>3192</v>
      </c>
      <c r="E77" t="s">
        <v>3193</v>
      </c>
      <c r="F77" t="s">
        <v>3041</v>
      </c>
      <c r="G77" t="s">
        <v>333</v>
      </c>
    </row>
    <row r="78" spans="1:7" ht="11.25" customHeight="1">
      <c r="A78" t="s">
        <v>14</v>
      </c>
      <c r="B78" t="s">
        <v>3188</v>
      </c>
      <c r="C78" t="s">
        <v>3189</v>
      </c>
      <c r="D78" t="s">
        <v>3188</v>
      </c>
      <c r="E78" t="s">
        <v>3189</v>
      </c>
      <c r="F78" t="s">
        <v>3045</v>
      </c>
      <c r="G78" t="s">
        <v>336</v>
      </c>
    </row>
    <row r="79" spans="1:7" ht="11.25" customHeight="1">
      <c r="A79" t="s">
        <v>14</v>
      </c>
      <c r="B79" t="s">
        <v>3188</v>
      </c>
      <c r="C79" t="s">
        <v>3189</v>
      </c>
      <c r="D79" t="s">
        <v>3194</v>
      </c>
      <c r="E79" t="s">
        <v>3195</v>
      </c>
      <c r="F79" t="s">
        <v>3041</v>
      </c>
      <c r="G79" t="s">
        <v>339</v>
      </c>
    </row>
    <row r="80" spans="1:7" ht="11.25" customHeight="1">
      <c r="A80" t="s">
        <v>14</v>
      </c>
      <c r="B80" t="s">
        <v>3188</v>
      </c>
      <c r="C80" t="s">
        <v>3189</v>
      </c>
      <c r="D80" t="s">
        <v>3196</v>
      </c>
      <c r="E80" t="s">
        <v>3197</v>
      </c>
      <c r="F80" t="s">
        <v>3041</v>
      </c>
      <c r="G80" t="s">
        <v>342</v>
      </c>
    </row>
    <row r="81" spans="1:7" ht="11.25" customHeight="1">
      <c r="A81" t="s">
        <v>14</v>
      </c>
      <c r="B81" t="s">
        <v>3188</v>
      </c>
      <c r="C81" t="s">
        <v>3189</v>
      </c>
      <c r="D81" t="s">
        <v>3198</v>
      </c>
      <c r="E81" t="s">
        <v>3199</v>
      </c>
      <c r="F81" t="s">
        <v>3041</v>
      </c>
      <c r="G81" t="s">
        <v>345</v>
      </c>
    </row>
    <row r="82" spans="1:7" ht="11.25" customHeight="1">
      <c r="A82" t="s">
        <v>14</v>
      </c>
      <c r="B82" t="s">
        <v>3188</v>
      </c>
      <c r="C82" t="s">
        <v>3189</v>
      </c>
      <c r="D82" t="s">
        <v>3200</v>
      </c>
      <c r="E82" t="s">
        <v>3201</v>
      </c>
      <c r="F82" t="s">
        <v>3041</v>
      </c>
      <c r="G82" t="s">
        <v>348</v>
      </c>
    </row>
    <row r="83" spans="1:7" ht="11.25" customHeight="1">
      <c r="A83" t="s">
        <v>14</v>
      </c>
      <c r="B83" t="s">
        <v>3188</v>
      </c>
      <c r="C83" t="s">
        <v>3189</v>
      </c>
      <c r="D83" t="s">
        <v>3202</v>
      </c>
      <c r="E83" t="s">
        <v>3203</v>
      </c>
      <c r="F83" t="s">
        <v>3041</v>
      </c>
      <c r="G83" t="s">
        <v>351</v>
      </c>
    </row>
    <row r="84" spans="1:7" ht="11.25" customHeight="1">
      <c r="A84" t="s">
        <v>14</v>
      </c>
      <c r="B84" t="s">
        <v>3204</v>
      </c>
      <c r="C84" t="s">
        <v>3205</v>
      </c>
      <c r="D84" t="s">
        <v>3206</v>
      </c>
      <c r="E84" t="s">
        <v>3207</v>
      </c>
      <c r="F84" t="s">
        <v>3041</v>
      </c>
      <c r="G84" t="s">
        <v>354</v>
      </c>
    </row>
    <row r="85" spans="1:7" ht="11.25" customHeight="1">
      <c r="A85" t="s">
        <v>14</v>
      </c>
      <c r="B85" t="s">
        <v>3204</v>
      </c>
      <c r="C85" t="s">
        <v>3205</v>
      </c>
      <c r="D85" t="s">
        <v>3208</v>
      </c>
      <c r="E85" t="s">
        <v>3209</v>
      </c>
      <c r="F85" t="s">
        <v>3041</v>
      </c>
      <c r="G85" t="s">
        <v>357</v>
      </c>
    </row>
    <row r="86" spans="1:7" ht="11.25" customHeight="1">
      <c r="A86" t="s">
        <v>14</v>
      </c>
      <c r="B86" t="s">
        <v>3204</v>
      </c>
      <c r="C86" t="s">
        <v>3205</v>
      </c>
      <c r="D86" t="s">
        <v>3194</v>
      </c>
      <c r="E86" t="s">
        <v>3210</v>
      </c>
      <c r="F86" t="s">
        <v>3041</v>
      </c>
      <c r="G86" t="s">
        <v>360</v>
      </c>
    </row>
    <row r="87" spans="1:7" ht="11.25" customHeight="1">
      <c r="A87" t="s">
        <v>14</v>
      </c>
      <c r="B87" t="s">
        <v>3204</v>
      </c>
      <c r="C87" t="s">
        <v>3205</v>
      </c>
      <c r="D87" t="s">
        <v>3211</v>
      </c>
      <c r="E87" t="s">
        <v>3212</v>
      </c>
      <c r="F87" t="s">
        <v>3041</v>
      </c>
      <c r="G87" t="s">
        <v>363</v>
      </c>
    </row>
    <row r="88" spans="1:7" ht="11.25" customHeight="1">
      <c r="A88" t="s">
        <v>14</v>
      </c>
      <c r="B88" t="s">
        <v>3204</v>
      </c>
      <c r="C88" t="s">
        <v>3205</v>
      </c>
      <c r="D88" t="s">
        <v>3213</v>
      </c>
      <c r="E88" t="s">
        <v>3214</v>
      </c>
      <c r="F88" t="s">
        <v>3076</v>
      </c>
      <c r="G88" t="s">
        <v>366</v>
      </c>
    </row>
    <row r="89" spans="1:7" ht="11.25" customHeight="1">
      <c r="A89" t="s">
        <v>14</v>
      </c>
      <c r="B89" t="s">
        <v>3204</v>
      </c>
      <c r="C89" t="s">
        <v>3205</v>
      </c>
      <c r="D89" t="s">
        <v>3204</v>
      </c>
      <c r="E89" t="s">
        <v>3205</v>
      </c>
      <c r="F89" t="s">
        <v>3045</v>
      </c>
      <c r="G89" t="s">
        <v>369</v>
      </c>
    </row>
    <row r="90" spans="1:7" ht="11.25" customHeight="1">
      <c r="A90" t="s">
        <v>14</v>
      </c>
      <c r="B90" t="s">
        <v>3204</v>
      </c>
      <c r="C90" t="s">
        <v>3205</v>
      </c>
      <c r="D90" t="s">
        <v>3215</v>
      </c>
      <c r="E90" t="s">
        <v>3216</v>
      </c>
      <c r="F90" t="s">
        <v>3041</v>
      </c>
      <c r="G90" t="s">
        <v>372</v>
      </c>
    </row>
    <row r="91" spans="1:7" ht="11.25" customHeight="1">
      <c r="A91" t="s">
        <v>14</v>
      </c>
      <c r="B91" t="s">
        <v>3204</v>
      </c>
      <c r="C91" t="s">
        <v>3205</v>
      </c>
      <c r="D91" t="s">
        <v>3217</v>
      </c>
      <c r="E91" t="s">
        <v>3218</v>
      </c>
      <c r="F91" t="s">
        <v>3041</v>
      </c>
      <c r="G91" t="s">
        <v>375</v>
      </c>
    </row>
    <row r="92" spans="1:7" ht="11.25" customHeight="1">
      <c r="A92" t="s">
        <v>14</v>
      </c>
      <c r="B92" t="s">
        <v>3204</v>
      </c>
      <c r="C92" t="s">
        <v>3205</v>
      </c>
      <c r="D92" t="s">
        <v>3219</v>
      </c>
      <c r="E92" t="s">
        <v>3220</v>
      </c>
      <c r="F92" t="s">
        <v>3041</v>
      </c>
      <c r="G92" t="s">
        <v>378</v>
      </c>
    </row>
    <row r="93" spans="1:7" ht="11.25" customHeight="1">
      <c r="A93" t="s">
        <v>14</v>
      </c>
      <c r="B93" t="s">
        <v>3204</v>
      </c>
      <c r="C93" t="s">
        <v>3205</v>
      </c>
      <c r="D93" t="s">
        <v>3221</v>
      </c>
      <c r="E93" t="s">
        <v>3222</v>
      </c>
      <c r="F93" t="s">
        <v>3041</v>
      </c>
      <c r="G93" t="s">
        <v>381</v>
      </c>
    </row>
    <row r="94" spans="1:7" ht="11.25" customHeight="1">
      <c r="A94" t="s">
        <v>14</v>
      </c>
      <c r="B94" t="s">
        <v>3204</v>
      </c>
      <c r="C94" t="s">
        <v>3205</v>
      </c>
      <c r="D94" t="s">
        <v>3223</v>
      </c>
      <c r="E94" t="s">
        <v>3224</v>
      </c>
      <c r="F94" t="s">
        <v>3041</v>
      </c>
      <c r="G94" t="s">
        <v>384</v>
      </c>
    </row>
    <row r="95" spans="1:7" ht="11.25" customHeight="1">
      <c r="A95" t="s">
        <v>14</v>
      </c>
      <c r="B95" t="s">
        <v>3225</v>
      </c>
      <c r="C95" t="s">
        <v>3226</v>
      </c>
      <c r="D95" t="s">
        <v>3227</v>
      </c>
      <c r="E95" t="s">
        <v>3228</v>
      </c>
      <c r="F95" t="s">
        <v>3041</v>
      </c>
      <c r="G95" t="s">
        <v>3229</v>
      </c>
    </row>
    <row r="96" spans="1:7" ht="11.25" customHeight="1">
      <c r="A96" t="s">
        <v>14</v>
      </c>
      <c r="B96" t="s">
        <v>3225</v>
      </c>
      <c r="C96" t="s">
        <v>3226</v>
      </c>
      <c r="D96" t="s">
        <v>3225</v>
      </c>
      <c r="E96" t="s">
        <v>3226</v>
      </c>
      <c r="F96" t="s">
        <v>3045</v>
      </c>
      <c r="G96" t="s">
        <v>3230</v>
      </c>
    </row>
    <row r="97" spans="1:7" ht="11.25" customHeight="1">
      <c r="A97" t="s">
        <v>14</v>
      </c>
      <c r="B97" t="s">
        <v>3225</v>
      </c>
      <c r="C97" t="s">
        <v>3226</v>
      </c>
      <c r="D97" t="s">
        <v>3231</v>
      </c>
      <c r="E97" t="s">
        <v>3232</v>
      </c>
      <c r="F97" t="s">
        <v>3041</v>
      </c>
      <c r="G97" t="s">
        <v>3233</v>
      </c>
    </row>
    <row r="98" spans="1:7" ht="11.25" customHeight="1">
      <c r="A98" t="s">
        <v>14</v>
      </c>
      <c r="B98" t="s">
        <v>3225</v>
      </c>
      <c r="C98" t="s">
        <v>3226</v>
      </c>
      <c r="D98" t="s">
        <v>3234</v>
      </c>
      <c r="E98" t="s">
        <v>3235</v>
      </c>
      <c r="F98" t="s">
        <v>3041</v>
      </c>
      <c r="G98" t="s">
        <v>3236</v>
      </c>
    </row>
    <row r="99" spans="1:7" ht="11.25" customHeight="1">
      <c r="A99" t="s">
        <v>14</v>
      </c>
      <c r="B99" t="s">
        <v>3225</v>
      </c>
      <c r="C99" t="s">
        <v>3226</v>
      </c>
      <c r="D99" t="s">
        <v>3237</v>
      </c>
      <c r="E99" t="s">
        <v>3238</v>
      </c>
      <c r="F99" t="s">
        <v>3041</v>
      </c>
      <c r="G99" t="s">
        <v>3239</v>
      </c>
    </row>
    <row r="100" spans="1:7" ht="11.25" customHeight="1">
      <c r="A100" t="s">
        <v>14</v>
      </c>
      <c r="B100" t="s">
        <v>3225</v>
      </c>
      <c r="C100" t="s">
        <v>3226</v>
      </c>
      <c r="D100" t="s">
        <v>3240</v>
      </c>
      <c r="E100" t="s">
        <v>3241</v>
      </c>
      <c r="F100" t="s">
        <v>3041</v>
      </c>
      <c r="G100" t="s">
        <v>3242</v>
      </c>
    </row>
    <row r="101" spans="1:7" ht="11.25" customHeight="1">
      <c r="A101" t="s">
        <v>14</v>
      </c>
      <c r="B101" t="s">
        <v>3225</v>
      </c>
      <c r="C101" t="s">
        <v>3226</v>
      </c>
      <c r="D101" t="s">
        <v>3243</v>
      </c>
      <c r="E101" t="s">
        <v>3244</v>
      </c>
      <c r="F101" t="s">
        <v>3041</v>
      </c>
      <c r="G101" t="s">
        <v>3245</v>
      </c>
    </row>
    <row r="102" spans="1:7" ht="11.25" customHeight="1">
      <c r="A102" t="s">
        <v>14</v>
      </c>
      <c r="B102" t="s">
        <v>3225</v>
      </c>
      <c r="C102" t="s">
        <v>3226</v>
      </c>
      <c r="D102" t="s">
        <v>3246</v>
      </c>
      <c r="E102" t="s">
        <v>3247</v>
      </c>
      <c r="F102" t="s">
        <v>3041</v>
      </c>
      <c r="G102" t="s">
        <v>3248</v>
      </c>
    </row>
    <row r="103" spans="1:7" ht="11.25" customHeight="1">
      <c r="A103" t="s">
        <v>14</v>
      </c>
      <c r="B103" t="s">
        <v>3249</v>
      </c>
      <c r="C103" t="s">
        <v>3250</v>
      </c>
      <c r="D103" t="s">
        <v>3249</v>
      </c>
      <c r="E103" t="s">
        <v>3250</v>
      </c>
      <c r="F103" t="s">
        <v>3045</v>
      </c>
      <c r="G103" t="s">
        <v>3251</v>
      </c>
    </row>
    <row r="104" spans="1:7" ht="11.25" customHeight="1">
      <c r="A104" t="s">
        <v>14</v>
      </c>
      <c r="B104" t="s">
        <v>3249</v>
      </c>
      <c r="C104" t="s">
        <v>3250</v>
      </c>
      <c r="D104" t="s">
        <v>3252</v>
      </c>
      <c r="E104" t="s">
        <v>3253</v>
      </c>
      <c r="F104" t="s">
        <v>3041</v>
      </c>
      <c r="G104" t="s">
        <v>3254</v>
      </c>
    </row>
    <row r="105" spans="1:7" ht="11.25" customHeight="1">
      <c r="A105" t="s">
        <v>14</v>
      </c>
      <c r="B105" t="s">
        <v>3249</v>
      </c>
      <c r="C105" t="s">
        <v>3250</v>
      </c>
      <c r="D105" t="s">
        <v>3255</v>
      </c>
      <c r="E105" t="s">
        <v>3256</v>
      </c>
      <c r="F105" t="s">
        <v>3041</v>
      </c>
      <c r="G105" t="s">
        <v>3257</v>
      </c>
    </row>
    <row r="106" spans="1:7" ht="11.25" customHeight="1">
      <c r="A106" t="s">
        <v>14</v>
      </c>
      <c r="B106" t="s">
        <v>3249</v>
      </c>
      <c r="C106" t="s">
        <v>3250</v>
      </c>
      <c r="D106" t="s">
        <v>3258</v>
      </c>
      <c r="E106" t="s">
        <v>3259</v>
      </c>
      <c r="F106" t="s">
        <v>3041</v>
      </c>
      <c r="G106" t="s">
        <v>3260</v>
      </c>
    </row>
    <row r="107" spans="1:7" ht="11.25" customHeight="1">
      <c r="A107" t="s">
        <v>14</v>
      </c>
      <c r="B107" t="s">
        <v>3249</v>
      </c>
      <c r="C107" t="s">
        <v>3250</v>
      </c>
      <c r="D107" t="s">
        <v>3261</v>
      </c>
      <c r="E107" t="s">
        <v>3262</v>
      </c>
      <c r="F107" t="s">
        <v>3041</v>
      </c>
      <c r="G107" t="s">
        <v>3263</v>
      </c>
    </row>
    <row r="108" spans="1:7" ht="11.25" customHeight="1">
      <c r="A108" t="s">
        <v>14</v>
      </c>
      <c r="B108" t="s">
        <v>3249</v>
      </c>
      <c r="C108" t="s">
        <v>3250</v>
      </c>
      <c r="D108" t="s">
        <v>3162</v>
      </c>
      <c r="E108" t="s">
        <v>3264</v>
      </c>
      <c r="F108" t="s">
        <v>3041</v>
      </c>
      <c r="G108" t="s">
        <v>3265</v>
      </c>
    </row>
    <row r="109" spans="1:7" ht="11.25" customHeight="1">
      <c r="A109" t="s">
        <v>14</v>
      </c>
      <c r="B109" t="s">
        <v>3266</v>
      </c>
      <c r="C109" t="s">
        <v>3267</v>
      </c>
      <c r="D109" t="s">
        <v>3268</v>
      </c>
      <c r="E109" t="s">
        <v>3269</v>
      </c>
      <c r="F109" t="s">
        <v>3041</v>
      </c>
      <c r="G109" t="s">
        <v>3270</v>
      </c>
    </row>
    <row r="110" spans="1:7" ht="11.25" customHeight="1">
      <c r="A110" t="s">
        <v>14</v>
      </c>
      <c r="B110" t="s">
        <v>3266</v>
      </c>
      <c r="C110" t="s">
        <v>3267</v>
      </c>
      <c r="D110" t="s">
        <v>3271</v>
      </c>
      <c r="E110" t="s">
        <v>3272</v>
      </c>
      <c r="F110" t="s">
        <v>3041</v>
      </c>
      <c r="G110" t="s">
        <v>3273</v>
      </c>
    </row>
    <row r="111" spans="1:7" ht="11.25" customHeight="1">
      <c r="A111" t="s">
        <v>14</v>
      </c>
      <c r="B111" t="s">
        <v>3266</v>
      </c>
      <c r="C111" t="s">
        <v>3267</v>
      </c>
      <c r="D111" t="s">
        <v>3274</v>
      </c>
      <c r="E111" t="s">
        <v>3275</v>
      </c>
      <c r="F111" t="s">
        <v>3041</v>
      </c>
      <c r="G111" t="s">
        <v>3276</v>
      </c>
    </row>
    <row r="112" spans="1:7" ht="11.25" customHeight="1">
      <c r="A112" t="s">
        <v>14</v>
      </c>
      <c r="B112" t="s">
        <v>3266</v>
      </c>
      <c r="C112" t="s">
        <v>3267</v>
      </c>
      <c r="D112" t="s">
        <v>3277</v>
      </c>
      <c r="E112" t="s">
        <v>3278</v>
      </c>
      <c r="F112" t="s">
        <v>3076</v>
      </c>
      <c r="G112" t="s">
        <v>881</v>
      </c>
    </row>
    <row r="113" spans="1:7" ht="11.25" customHeight="1">
      <c r="A113" t="s">
        <v>14</v>
      </c>
      <c r="B113" t="s">
        <v>3266</v>
      </c>
      <c r="C113" t="s">
        <v>3267</v>
      </c>
      <c r="D113" t="s">
        <v>3279</v>
      </c>
      <c r="E113" t="s">
        <v>3280</v>
      </c>
      <c r="F113" t="s">
        <v>3041</v>
      </c>
      <c r="G113" t="s">
        <v>3281</v>
      </c>
    </row>
    <row r="114" spans="1:7" ht="11.25" customHeight="1">
      <c r="A114" t="s">
        <v>14</v>
      </c>
      <c r="B114" t="s">
        <v>3266</v>
      </c>
      <c r="C114" t="s">
        <v>3267</v>
      </c>
      <c r="D114" t="s">
        <v>3282</v>
      </c>
      <c r="E114" t="s">
        <v>3283</v>
      </c>
      <c r="F114" t="s">
        <v>3041</v>
      </c>
      <c r="G114" t="s">
        <v>3284</v>
      </c>
    </row>
    <row r="115" spans="1:7" ht="11.25" customHeight="1">
      <c r="A115" t="s">
        <v>14</v>
      </c>
      <c r="B115" t="s">
        <v>3266</v>
      </c>
      <c r="C115" t="s">
        <v>3267</v>
      </c>
      <c r="D115" t="s">
        <v>3285</v>
      </c>
      <c r="E115" t="s">
        <v>3286</v>
      </c>
      <c r="F115" t="s">
        <v>3041</v>
      </c>
      <c r="G115" t="s">
        <v>3287</v>
      </c>
    </row>
    <row r="116" spans="1:7" ht="11.25" customHeight="1">
      <c r="A116" t="s">
        <v>14</v>
      </c>
      <c r="B116" t="s">
        <v>3266</v>
      </c>
      <c r="C116" t="s">
        <v>3267</v>
      </c>
      <c r="D116" t="s">
        <v>3198</v>
      </c>
      <c r="E116" t="s">
        <v>3288</v>
      </c>
      <c r="F116" t="s">
        <v>3041</v>
      </c>
      <c r="G116" t="s">
        <v>3289</v>
      </c>
    </row>
    <row r="117" spans="1:7" ht="11.25" customHeight="1">
      <c r="A117" t="s">
        <v>14</v>
      </c>
      <c r="B117" t="s">
        <v>3266</v>
      </c>
      <c r="C117" t="s">
        <v>3267</v>
      </c>
      <c r="D117" t="s">
        <v>3290</v>
      </c>
      <c r="E117" t="s">
        <v>3291</v>
      </c>
      <c r="F117" t="s">
        <v>3041</v>
      </c>
      <c r="G117" t="s">
        <v>3292</v>
      </c>
    </row>
    <row r="118" spans="1:7" ht="11.25" customHeight="1">
      <c r="A118" t="s">
        <v>14</v>
      </c>
      <c r="B118" t="s">
        <v>3266</v>
      </c>
      <c r="C118" t="s">
        <v>3267</v>
      </c>
      <c r="D118" t="s">
        <v>3266</v>
      </c>
      <c r="E118" t="s">
        <v>3267</v>
      </c>
      <c r="F118" t="s">
        <v>3045</v>
      </c>
      <c r="G118" t="s">
        <v>3293</v>
      </c>
    </row>
    <row r="119" spans="1:7" ht="11.25" customHeight="1">
      <c r="A119" t="s">
        <v>14</v>
      </c>
      <c r="B119" t="s">
        <v>3266</v>
      </c>
      <c r="C119" t="s">
        <v>3267</v>
      </c>
      <c r="D119" t="s">
        <v>3294</v>
      </c>
      <c r="E119" t="s">
        <v>3295</v>
      </c>
      <c r="F119" t="s">
        <v>3041</v>
      </c>
      <c r="G119" t="s">
        <v>3296</v>
      </c>
    </row>
    <row r="120" spans="1:7" ht="11.25" customHeight="1">
      <c r="A120" t="s">
        <v>14</v>
      </c>
      <c r="B120" t="s">
        <v>3266</v>
      </c>
      <c r="C120" t="s">
        <v>3267</v>
      </c>
      <c r="D120" t="s">
        <v>3297</v>
      </c>
      <c r="E120" t="s">
        <v>3298</v>
      </c>
      <c r="F120" t="s">
        <v>3041</v>
      </c>
      <c r="G120" t="s">
        <v>3299</v>
      </c>
    </row>
    <row r="121" spans="1:7" ht="11.25" customHeight="1">
      <c r="A121" t="s">
        <v>14</v>
      </c>
      <c r="B121" t="s">
        <v>3266</v>
      </c>
      <c r="C121" t="s">
        <v>3267</v>
      </c>
      <c r="D121" t="s">
        <v>3300</v>
      </c>
      <c r="E121" t="s">
        <v>3301</v>
      </c>
      <c r="F121" t="s">
        <v>3041</v>
      </c>
      <c r="G121" t="s">
        <v>3302</v>
      </c>
    </row>
    <row r="122" spans="1:7" ht="11.25" customHeight="1">
      <c r="A122" t="s">
        <v>14</v>
      </c>
      <c r="B122" t="s">
        <v>3266</v>
      </c>
      <c r="C122" t="s">
        <v>3267</v>
      </c>
      <c r="D122" t="s">
        <v>3303</v>
      </c>
      <c r="E122" t="s">
        <v>3304</v>
      </c>
      <c r="F122" t="s">
        <v>3041</v>
      </c>
      <c r="G122" t="s">
        <v>3305</v>
      </c>
    </row>
    <row r="123" spans="1:7" ht="11.25" customHeight="1">
      <c r="A123" t="s">
        <v>14</v>
      </c>
      <c r="B123" t="s">
        <v>3306</v>
      </c>
      <c r="C123" t="s">
        <v>3307</v>
      </c>
      <c r="D123" t="s">
        <v>3308</v>
      </c>
      <c r="E123" t="s">
        <v>3309</v>
      </c>
      <c r="F123" t="s">
        <v>3041</v>
      </c>
      <c r="G123" t="s">
        <v>3310</v>
      </c>
    </row>
    <row r="124" spans="1:7" ht="11.25" customHeight="1">
      <c r="A124" t="s">
        <v>14</v>
      </c>
      <c r="B124" t="s">
        <v>3306</v>
      </c>
      <c r="C124" t="s">
        <v>3307</v>
      </c>
      <c r="D124" t="s">
        <v>3311</v>
      </c>
      <c r="E124" t="s">
        <v>3312</v>
      </c>
      <c r="F124" t="s">
        <v>3041</v>
      </c>
      <c r="G124" t="s">
        <v>3313</v>
      </c>
    </row>
    <row r="125" spans="1:7" ht="11.25" customHeight="1">
      <c r="A125" t="s">
        <v>14</v>
      </c>
      <c r="B125" t="s">
        <v>3306</v>
      </c>
      <c r="C125" t="s">
        <v>3307</v>
      </c>
      <c r="D125" t="s">
        <v>3314</v>
      </c>
      <c r="E125" t="s">
        <v>3315</v>
      </c>
      <c r="F125" t="s">
        <v>3041</v>
      </c>
      <c r="G125" t="s">
        <v>3316</v>
      </c>
    </row>
    <row r="126" spans="1:7" ht="11.25" customHeight="1">
      <c r="A126" t="s">
        <v>14</v>
      </c>
      <c r="B126" t="s">
        <v>3306</v>
      </c>
      <c r="C126" t="s">
        <v>3307</v>
      </c>
      <c r="D126" t="s">
        <v>3317</v>
      </c>
      <c r="E126" t="s">
        <v>3318</v>
      </c>
      <c r="F126" t="s">
        <v>3041</v>
      </c>
      <c r="G126" t="s">
        <v>3319</v>
      </c>
    </row>
    <row r="127" spans="1:7" ht="11.25" customHeight="1">
      <c r="A127" t="s">
        <v>14</v>
      </c>
      <c r="B127" t="s">
        <v>3306</v>
      </c>
      <c r="C127" t="s">
        <v>3307</v>
      </c>
      <c r="D127" t="s">
        <v>3320</v>
      </c>
      <c r="E127" t="s">
        <v>3321</v>
      </c>
      <c r="F127" t="s">
        <v>3041</v>
      </c>
      <c r="G127" t="s">
        <v>3322</v>
      </c>
    </row>
    <row r="128" spans="1:7" ht="11.25" customHeight="1">
      <c r="A128" t="s">
        <v>14</v>
      </c>
      <c r="B128" t="s">
        <v>3306</v>
      </c>
      <c r="C128" t="s">
        <v>3307</v>
      </c>
      <c r="D128" t="s">
        <v>3323</v>
      </c>
      <c r="E128" t="s">
        <v>3324</v>
      </c>
      <c r="F128" t="s">
        <v>3041</v>
      </c>
      <c r="G128" t="s">
        <v>3325</v>
      </c>
    </row>
    <row r="129" spans="1:7" ht="11.25" customHeight="1">
      <c r="A129" t="s">
        <v>14</v>
      </c>
      <c r="B129" t="s">
        <v>3306</v>
      </c>
      <c r="C129" t="s">
        <v>3307</v>
      </c>
      <c r="D129" t="s">
        <v>3326</v>
      </c>
      <c r="E129" t="s">
        <v>3327</v>
      </c>
      <c r="F129" t="s">
        <v>3041</v>
      </c>
      <c r="G129" t="s">
        <v>3328</v>
      </c>
    </row>
    <row r="130" spans="1:7" ht="11.25" customHeight="1">
      <c r="A130" t="s">
        <v>14</v>
      </c>
      <c r="B130" t="s">
        <v>3306</v>
      </c>
      <c r="C130" t="s">
        <v>3307</v>
      </c>
      <c r="D130" t="s">
        <v>3329</v>
      </c>
      <c r="E130" t="s">
        <v>3330</v>
      </c>
      <c r="F130" t="s">
        <v>3041</v>
      </c>
      <c r="G130" t="s">
        <v>3331</v>
      </c>
    </row>
    <row r="131" spans="1:7" ht="11.25" customHeight="1">
      <c r="A131" t="s">
        <v>14</v>
      </c>
      <c r="B131" t="s">
        <v>3306</v>
      </c>
      <c r="C131" t="s">
        <v>3307</v>
      </c>
      <c r="D131" t="s">
        <v>3217</v>
      </c>
      <c r="E131" t="s">
        <v>3332</v>
      </c>
      <c r="F131" t="s">
        <v>3041</v>
      </c>
      <c r="G131" t="s">
        <v>3333</v>
      </c>
    </row>
    <row r="132" spans="1:7" ht="11.25" customHeight="1">
      <c r="A132" t="s">
        <v>14</v>
      </c>
      <c r="B132" t="s">
        <v>3306</v>
      </c>
      <c r="C132" t="s">
        <v>3307</v>
      </c>
      <c r="D132" t="s">
        <v>3306</v>
      </c>
      <c r="E132" t="s">
        <v>3307</v>
      </c>
      <c r="F132" t="s">
        <v>3045</v>
      </c>
      <c r="G132" t="s">
        <v>3334</v>
      </c>
    </row>
    <row r="133" spans="1:7" ht="11.25" customHeight="1">
      <c r="A133" t="s">
        <v>14</v>
      </c>
      <c r="B133" t="s">
        <v>3306</v>
      </c>
      <c r="C133" t="s">
        <v>3307</v>
      </c>
      <c r="D133" t="s">
        <v>3335</v>
      </c>
      <c r="E133" t="s">
        <v>3336</v>
      </c>
      <c r="F133" t="s">
        <v>3041</v>
      </c>
      <c r="G133" t="s">
        <v>3337</v>
      </c>
    </row>
    <row r="134" spans="1:7" ht="11.25" customHeight="1">
      <c r="A134" t="s">
        <v>14</v>
      </c>
      <c r="B134" t="s">
        <v>3306</v>
      </c>
      <c r="C134" t="s">
        <v>3307</v>
      </c>
      <c r="D134" t="s">
        <v>3338</v>
      </c>
      <c r="E134" t="s">
        <v>3339</v>
      </c>
      <c r="F134" t="s">
        <v>3041</v>
      </c>
      <c r="G134" t="s">
        <v>3340</v>
      </c>
    </row>
    <row r="135" spans="1:7" ht="11.25" customHeight="1">
      <c r="A135" t="s">
        <v>14</v>
      </c>
      <c r="B135" t="s">
        <v>3306</v>
      </c>
      <c r="C135" t="s">
        <v>3307</v>
      </c>
      <c r="D135" t="s">
        <v>3341</v>
      </c>
      <c r="E135" t="s">
        <v>3342</v>
      </c>
      <c r="F135" t="s">
        <v>3041</v>
      </c>
      <c r="G135" t="s">
        <v>3343</v>
      </c>
    </row>
    <row r="136" spans="1:7" ht="11.25" customHeight="1">
      <c r="A136" t="s">
        <v>14</v>
      </c>
      <c r="B136" t="s">
        <v>3306</v>
      </c>
      <c r="C136" t="s">
        <v>3307</v>
      </c>
      <c r="D136" t="s">
        <v>3344</v>
      </c>
      <c r="E136" t="s">
        <v>3345</v>
      </c>
      <c r="F136" t="s">
        <v>3041</v>
      </c>
      <c r="G136" t="s">
        <v>3346</v>
      </c>
    </row>
    <row r="137" spans="1:7" ht="11.25" customHeight="1">
      <c r="A137" t="s">
        <v>14</v>
      </c>
      <c r="B137" t="s">
        <v>3306</v>
      </c>
      <c r="C137" t="s">
        <v>3307</v>
      </c>
      <c r="D137" t="s">
        <v>3347</v>
      </c>
      <c r="E137" t="s">
        <v>3348</v>
      </c>
      <c r="F137" t="s">
        <v>3041</v>
      </c>
      <c r="G137" t="s">
        <v>3349</v>
      </c>
    </row>
    <row r="138" spans="1:7" ht="11.25" customHeight="1">
      <c r="A138" t="s">
        <v>14</v>
      </c>
      <c r="B138" t="s">
        <v>3306</v>
      </c>
      <c r="C138" t="s">
        <v>3307</v>
      </c>
      <c r="D138" t="s">
        <v>3350</v>
      </c>
      <c r="E138" t="s">
        <v>3351</v>
      </c>
      <c r="F138" t="s">
        <v>3041</v>
      </c>
      <c r="G138" t="s">
        <v>3352</v>
      </c>
    </row>
    <row r="139" spans="1:7" ht="11.25" customHeight="1">
      <c r="A139" t="s">
        <v>14</v>
      </c>
      <c r="B139" t="s">
        <v>3306</v>
      </c>
      <c r="C139" t="s">
        <v>3307</v>
      </c>
      <c r="D139" t="s">
        <v>3353</v>
      </c>
      <c r="E139" t="s">
        <v>3354</v>
      </c>
      <c r="F139" t="s">
        <v>3041</v>
      </c>
      <c r="G139" t="s">
        <v>3355</v>
      </c>
    </row>
    <row r="140" spans="1:7" ht="11.25" customHeight="1">
      <c r="A140" t="s">
        <v>14</v>
      </c>
      <c r="B140" t="s">
        <v>3356</v>
      </c>
      <c r="C140" t="s">
        <v>3357</v>
      </c>
      <c r="D140" t="s">
        <v>3358</v>
      </c>
      <c r="E140" t="s">
        <v>3359</v>
      </c>
      <c r="F140" t="s">
        <v>3041</v>
      </c>
      <c r="G140" t="s">
        <v>3360</v>
      </c>
    </row>
    <row r="141" spans="1:7" ht="11.25" customHeight="1">
      <c r="A141" t="s">
        <v>14</v>
      </c>
      <c r="B141" t="s">
        <v>3356</v>
      </c>
      <c r="C141" t="s">
        <v>3357</v>
      </c>
      <c r="D141" t="s">
        <v>3361</v>
      </c>
      <c r="E141" t="s">
        <v>3362</v>
      </c>
      <c r="F141" t="s">
        <v>3041</v>
      </c>
      <c r="G141" t="s">
        <v>3363</v>
      </c>
    </row>
    <row r="142" spans="1:7" ht="11.25" customHeight="1">
      <c r="A142" t="s">
        <v>14</v>
      </c>
      <c r="B142" t="s">
        <v>3356</v>
      </c>
      <c r="C142" t="s">
        <v>3357</v>
      </c>
      <c r="D142" t="s">
        <v>3364</v>
      </c>
      <c r="E142" t="s">
        <v>3365</v>
      </c>
      <c r="F142" t="s">
        <v>3041</v>
      </c>
      <c r="G142" t="s">
        <v>3366</v>
      </c>
    </row>
    <row r="143" spans="1:7" ht="11.25" customHeight="1">
      <c r="A143" t="s">
        <v>14</v>
      </c>
      <c r="B143" t="s">
        <v>3356</v>
      </c>
      <c r="C143" t="s">
        <v>3357</v>
      </c>
      <c r="D143" t="s">
        <v>3367</v>
      </c>
      <c r="E143" t="s">
        <v>3368</v>
      </c>
      <c r="F143" t="s">
        <v>3041</v>
      </c>
      <c r="G143" t="s">
        <v>3369</v>
      </c>
    </row>
    <row r="144" spans="1:7" ht="11.25" customHeight="1">
      <c r="A144" t="s">
        <v>14</v>
      </c>
      <c r="B144" t="s">
        <v>3356</v>
      </c>
      <c r="C144" t="s">
        <v>3357</v>
      </c>
      <c r="D144" t="s">
        <v>3370</v>
      </c>
      <c r="E144" t="s">
        <v>3371</v>
      </c>
      <c r="F144" t="s">
        <v>3044</v>
      </c>
      <c r="G144" t="s">
        <v>3372</v>
      </c>
    </row>
    <row r="145" spans="1:7" ht="11.25" customHeight="1">
      <c r="A145" t="s">
        <v>14</v>
      </c>
      <c r="B145" t="s">
        <v>3356</v>
      </c>
      <c r="C145" t="s">
        <v>3357</v>
      </c>
      <c r="D145" t="s">
        <v>3356</v>
      </c>
      <c r="E145" t="s">
        <v>3357</v>
      </c>
      <c r="F145" t="s">
        <v>3045</v>
      </c>
      <c r="G145" t="s">
        <v>3373</v>
      </c>
    </row>
    <row r="146" spans="1:7" ht="11.25" customHeight="1">
      <c r="A146" t="s">
        <v>14</v>
      </c>
      <c r="B146" t="s">
        <v>3356</v>
      </c>
      <c r="C146" t="s">
        <v>3357</v>
      </c>
      <c r="D146" t="s">
        <v>3184</v>
      </c>
      <c r="E146" t="s">
        <v>3374</v>
      </c>
      <c r="F146" t="s">
        <v>3041</v>
      </c>
      <c r="G146" t="s">
        <v>3375</v>
      </c>
    </row>
    <row r="147" spans="1:7" ht="11.25" customHeight="1">
      <c r="A147" t="s">
        <v>14</v>
      </c>
      <c r="B147" t="s">
        <v>3356</v>
      </c>
      <c r="C147" t="s">
        <v>3357</v>
      </c>
      <c r="D147" t="s">
        <v>3376</v>
      </c>
      <c r="E147" t="s">
        <v>3377</v>
      </c>
      <c r="F147" t="s">
        <v>3041</v>
      </c>
      <c r="G147" t="s">
        <v>3378</v>
      </c>
    </row>
    <row r="148" spans="1:7" ht="11.25" customHeight="1">
      <c r="A148" t="s">
        <v>14</v>
      </c>
      <c r="B148" t="s">
        <v>3356</v>
      </c>
      <c r="C148" t="s">
        <v>3357</v>
      </c>
      <c r="D148" t="s">
        <v>3379</v>
      </c>
      <c r="E148" t="s">
        <v>3380</v>
      </c>
      <c r="F148" t="s">
        <v>3041</v>
      </c>
      <c r="G148" t="s">
        <v>3381</v>
      </c>
    </row>
    <row r="149" spans="1:7" ht="11.25" customHeight="1">
      <c r="A149" t="s">
        <v>14</v>
      </c>
      <c r="B149" t="s">
        <v>3382</v>
      </c>
      <c r="C149" t="s">
        <v>3383</v>
      </c>
      <c r="D149" t="s">
        <v>3384</v>
      </c>
      <c r="E149" t="s">
        <v>3385</v>
      </c>
      <c r="F149" t="s">
        <v>3041</v>
      </c>
      <c r="G149" t="s">
        <v>3386</v>
      </c>
    </row>
    <row r="150" spans="1:7" ht="11.25" customHeight="1">
      <c r="A150" t="s">
        <v>14</v>
      </c>
      <c r="B150" t="s">
        <v>3382</v>
      </c>
      <c r="C150" t="s">
        <v>3383</v>
      </c>
      <c r="D150" t="s">
        <v>3387</v>
      </c>
      <c r="E150" t="s">
        <v>3388</v>
      </c>
      <c r="F150" t="s">
        <v>3041</v>
      </c>
      <c r="G150" t="s">
        <v>3389</v>
      </c>
    </row>
    <row r="151" spans="1:7" ht="11.25" customHeight="1">
      <c r="A151" t="s">
        <v>14</v>
      </c>
      <c r="B151" t="s">
        <v>3382</v>
      </c>
      <c r="C151" t="s">
        <v>3383</v>
      </c>
      <c r="D151" t="s">
        <v>3390</v>
      </c>
      <c r="E151" t="s">
        <v>3391</v>
      </c>
      <c r="F151" t="s">
        <v>3041</v>
      </c>
      <c r="G151" t="s">
        <v>3392</v>
      </c>
    </row>
    <row r="152" spans="1:7" ht="11.25" customHeight="1">
      <c r="A152" t="s">
        <v>14</v>
      </c>
      <c r="B152" t="s">
        <v>3382</v>
      </c>
      <c r="C152" t="s">
        <v>3383</v>
      </c>
      <c r="D152" t="s">
        <v>3393</v>
      </c>
      <c r="E152" t="s">
        <v>3394</v>
      </c>
      <c r="F152" t="s">
        <v>3041</v>
      </c>
      <c r="G152" t="s">
        <v>3395</v>
      </c>
    </row>
    <row r="153" spans="1:7" ht="11.25" customHeight="1">
      <c r="A153" t="s">
        <v>14</v>
      </c>
      <c r="B153" t="s">
        <v>3382</v>
      </c>
      <c r="C153" t="s">
        <v>3383</v>
      </c>
      <c r="D153" t="s">
        <v>3396</v>
      </c>
      <c r="E153" t="s">
        <v>3397</v>
      </c>
      <c r="F153" t="s">
        <v>3041</v>
      </c>
      <c r="G153" t="s">
        <v>3398</v>
      </c>
    </row>
    <row r="154" spans="1:7" ht="11.25" customHeight="1">
      <c r="A154" t="s">
        <v>14</v>
      </c>
      <c r="B154" t="s">
        <v>3382</v>
      </c>
      <c r="C154" t="s">
        <v>3383</v>
      </c>
      <c r="D154" t="s">
        <v>3399</v>
      </c>
      <c r="E154" t="s">
        <v>3400</v>
      </c>
      <c r="F154" t="s">
        <v>3041</v>
      </c>
      <c r="G154" t="s">
        <v>3401</v>
      </c>
    </row>
    <row r="155" spans="1:7" ht="11.25" customHeight="1">
      <c r="A155" t="s">
        <v>14</v>
      </c>
      <c r="B155" t="s">
        <v>3382</v>
      </c>
      <c r="C155" t="s">
        <v>3383</v>
      </c>
      <c r="D155" t="s">
        <v>3382</v>
      </c>
      <c r="E155" t="s">
        <v>3383</v>
      </c>
      <c r="F155" t="s">
        <v>3045</v>
      </c>
      <c r="G155" t="s">
        <v>3402</v>
      </c>
    </row>
    <row r="156" spans="1:7" ht="11.25" customHeight="1">
      <c r="A156" t="s">
        <v>14</v>
      </c>
      <c r="B156" t="s">
        <v>3382</v>
      </c>
      <c r="C156" t="s">
        <v>3383</v>
      </c>
      <c r="D156" t="s">
        <v>3403</v>
      </c>
      <c r="E156" t="s">
        <v>3404</v>
      </c>
      <c r="F156" t="s">
        <v>3041</v>
      </c>
      <c r="G156" t="s">
        <v>3405</v>
      </c>
    </row>
    <row r="157" spans="1:7" ht="11.25" customHeight="1">
      <c r="A157" t="s">
        <v>14</v>
      </c>
      <c r="B157" t="s">
        <v>3382</v>
      </c>
      <c r="C157" t="s">
        <v>3383</v>
      </c>
      <c r="D157" t="s">
        <v>3406</v>
      </c>
      <c r="E157" t="s">
        <v>3407</v>
      </c>
      <c r="F157" t="s">
        <v>3041</v>
      </c>
      <c r="G157" t="s">
        <v>3408</v>
      </c>
    </row>
    <row r="158" spans="1:7" ht="11.25" customHeight="1">
      <c r="A158" t="s">
        <v>14</v>
      </c>
      <c r="B158" t="s">
        <v>3382</v>
      </c>
      <c r="C158" t="s">
        <v>3383</v>
      </c>
      <c r="D158" t="s">
        <v>3409</v>
      </c>
      <c r="E158" t="s">
        <v>3410</v>
      </c>
      <c r="F158" t="s">
        <v>3041</v>
      </c>
      <c r="G158" t="s">
        <v>3411</v>
      </c>
    </row>
    <row r="159" spans="1:7" ht="11.25" customHeight="1">
      <c r="A159" t="s">
        <v>14</v>
      </c>
      <c r="B159" t="s">
        <v>3382</v>
      </c>
      <c r="C159" t="s">
        <v>3383</v>
      </c>
      <c r="D159" t="s">
        <v>3412</v>
      </c>
      <c r="E159" t="s">
        <v>3413</v>
      </c>
      <c r="F159" t="s">
        <v>3041</v>
      </c>
      <c r="G159" t="s">
        <v>3414</v>
      </c>
    </row>
    <row r="160" spans="1:7" ht="11.25" customHeight="1">
      <c r="A160" t="s">
        <v>14</v>
      </c>
      <c r="B160" t="s">
        <v>3382</v>
      </c>
      <c r="C160" t="s">
        <v>3383</v>
      </c>
      <c r="D160" t="s">
        <v>3415</v>
      </c>
      <c r="E160" t="s">
        <v>3416</v>
      </c>
      <c r="F160" t="s">
        <v>3041</v>
      </c>
      <c r="G160" t="s">
        <v>3417</v>
      </c>
    </row>
    <row r="161" spans="1:7" ht="11.25" customHeight="1">
      <c r="A161" t="s">
        <v>14</v>
      </c>
      <c r="B161" t="s">
        <v>3382</v>
      </c>
      <c r="C161" t="s">
        <v>3383</v>
      </c>
      <c r="D161" t="s">
        <v>3418</v>
      </c>
      <c r="E161" t="s">
        <v>3419</v>
      </c>
      <c r="F161" t="s">
        <v>3041</v>
      </c>
      <c r="G161" t="s">
        <v>3420</v>
      </c>
    </row>
    <row r="162" spans="1:7" ht="11.25" customHeight="1">
      <c r="A162" t="s">
        <v>14</v>
      </c>
      <c r="B162" t="s">
        <v>3382</v>
      </c>
      <c r="C162" t="s">
        <v>3383</v>
      </c>
      <c r="D162" t="s">
        <v>3421</v>
      </c>
      <c r="E162" t="s">
        <v>3422</v>
      </c>
      <c r="F162" t="s">
        <v>3041</v>
      </c>
      <c r="G162" t="s">
        <v>3423</v>
      </c>
    </row>
    <row r="163" spans="1:7" ht="11.25" customHeight="1">
      <c r="A163" t="s">
        <v>14</v>
      </c>
      <c r="B163" t="s">
        <v>3382</v>
      </c>
      <c r="C163" t="s">
        <v>3383</v>
      </c>
      <c r="D163" t="s">
        <v>3424</v>
      </c>
      <c r="E163" t="s">
        <v>3425</v>
      </c>
      <c r="F163" t="s">
        <v>3041</v>
      </c>
      <c r="G163" t="s">
        <v>3426</v>
      </c>
    </row>
    <row r="164" spans="1:7" ht="11.25" customHeight="1">
      <c r="A164" t="s">
        <v>14</v>
      </c>
      <c r="B164" t="s">
        <v>3427</v>
      </c>
      <c r="C164" t="s">
        <v>3428</v>
      </c>
      <c r="D164" t="s">
        <v>3429</v>
      </c>
      <c r="E164" t="s">
        <v>3430</v>
      </c>
      <c r="F164" t="s">
        <v>3041</v>
      </c>
      <c r="G164" t="s">
        <v>3431</v>
      </c>
    </row>
    <row r="165" spans="1:7" ht="11.25" customHeight="1">
      <c r="A165" t="s">
        <v>14</v>
      </c>
      <c r="B165" t="s">
        <v>3427</v>
      </c>
      <c r="C165" t="s">
        <v>3428</v>
      </c>
      <c r="D165" t="s">
        <v>3432</v>
      </c>
      <c r="E165" t="s">
        <v>3433</v>
      </c>
      <c r="F165" t="s">
        <v>3041</v>
      </c>
      <c r="G165" t="s">
        <v>3434</v>
      </c>
    </row>
    <row r="166" spans="1:7" ht="11.25" customHeight="1">
      <c r="A166" t="s">
        <v>14</v>
      </c>
      <c r="B166" t="s">
        <v>3427</v>
      </c>
      <c r="C166" t="s">
        <v>3428</v>
      </c>
      <c r="D166" t="s">
        <v>3427</v>
      </c>
      <c r="E166" t="s">
        <v>3428</v>
      </c>
      <c r="F166" t="s">
        <v>3045</v>
      </c>
      <c r="G166" t="s">
        <v>3435</v>
      </c>
    </row>
    <row r="167" spans="1:7" ht="11.25" customHeight="1">
      <c r="A167" t="s">
        <v>14</v>
      </c>
      <c r="B167" t="s">
        <v>3427</v>
      </c>
      <c r="C167" t="s">
        <v>3428</v>
      </c>
      <c r="D167" t="s">
        <v>3436</v>
      </c>
      <c r="E167" t="s">
        <v>3437</v>
      </c>
      <c r="F167" t="s">
        <v>3041</v>
      </c>
      <c r="G167" t="s">
        <v>3438</v>
      </c>
    </row>
    <row r="168" spans="1:7" ht="11.25" customHeight="1">
      <c r="A168" t="s">
        <v>14</v>
      </c>
      <c r="B168" t="s">
        <v>3427</v>
      </c>
      <c r="C168" t="s">
        <v>3428</v>
      </c>
      <c r="D168" t="s">
        <v>3439</v>
      </c>
      <c r="E168" t="s">
        <v>3440</v>
      </c>
      <c r="F168" t="s">
        <v>3041</v>
      </c>
      <c r="G168" t="s">
        <v>3441</v>
      </c>
    </row>
    <row r="169" spans="1:7" ht="11.25" customHeight="1">
      <c r="A169" t="s">
        <v>14</v>
      </c>
      <c r="B169" t="s">
        <v>3427</v>
      </c>
      <c r="C169" t="s">
        <v>3428</v>
      </c>
      <c r="D169" t="s">
        <v>3442</v>
      </c>
      <c r="E169" t="s">
        <v>3443</v>
      </c>
      <c r="F169" t="s">
        <v>3041</v>
      </c>
      <c r="G169" t="s">
        <v>3444</v>
      </c>
    </row>
    <row r="170" spans="1:7" ht="11.25" customHeight="1">
      <c r="A170" t="s">
        <v>14</v>
      </c>
      <c r="B170" t="s">
        <v>3427</v>
      </c>
      <c r="C170" t="s">
        <v>3428</v>
      </c>
      <c r="D170" t="s">
        <v>3445</v>
      </c>
      <c r="E170" t="s">
        <v>3446</v>
      </c>
      <c r="F170" t="s">
        <v>3041</v>
      </c>
      <c r="G170" t="s">
        <v>3447</v>
      </c>
    </row>
    <row r="171" spans="1:7" ht="11.25" customHeight="1">
      <c r="A171" t="s">
        <v>14</v>
      </c>
      <c r="B171" t="s">
        <v>3427</v>
      </c>
      <c r="C171" t="s">
        <v>3428</v>
      </c>
      <c r="D171" t="s">
        <v>3448</v>
      </c>
      <c r="E171" t="s">
        <v>3449</v>
      </c>
      <c r="F171" t="s">
        <v>3041</v>
      </c>
      <c r="G171" t="s">
        <v>3450</v>
      </c>
    </row>
    <row r="172" spans="1:7" ht="11.25" customHeight="1">
      <c r="A172" t="s">
        <v>14</v>
      </c>
      <c r="B172" t="s">
        <v>3427</v>
      </c>
      <c r="C172" t="s">
        <v>3428</v>
      </c>
      <c r="D172" t="s">
        <v>3451</v>
      </c>
      <c r="E172" t="s">
        <v>3452</v>
      </c>
      <c r="F172" t="s">
        <v>3076</v>
      </c>
      <c r="G172" t="s">
        <v>3453</v>
      </c>
    </row>
    <row r="173" spans="1:7" ht="11.25" customHeight="1">
      <c r="A173" t="s">
        <v>14</v>
      </c>
      <c r="B173" t="s">
        <v>3454</v>
      </c>
      <c r="C173" t="s">
        <v>3455</v>
      </c>
      <c r="D173" t="s">
        <v>3456</v>
      </c>
      <c r="E173" t="s">
        <v>3457</v>
      </c>
      <c r="F173" t="s">
        <v>3041</v>
      </c>
      <c r="G173" t="s">
        <v>3458</v>
      </c>
    </row>
    <row r="174" spans="1:7" ht="11.25" customHeight="1">
      <c r="A174" t="s">
        <v>14</v>
      </c>
      <c r="B174" t="s">
        <v>3454</v>
      </c>
      <c r="C174" t="s">
        <v>3455</v>
      </c>
      <c r="D174" t="s">
        <v>3459</v>
      </c>
      <c r="E174" t="s">
        <v>3460</v>
      </c>
      <c r="F174" t="s">
        <v>3041</v>
      </c>
      <c r="G174" t="s">
        <v>3461</v>
      </c>
    </row>
    <row r="175" spans="1:7" ht="11.25" customHeight="1">
      <c r="A175" t="s">
        <v>14</v>
      </c>
      <c r="B175" t="s">
        <v>3454</v>
      </c>
      <c r="C175" t="s">
        <v>3455</v>
      </c>
      <c r="D175" t="s">
        <v>3462</v>
      </c>
      <c r="E175" t="s">
        <v>3463</v>
      </c>
      <c r="F175" t="s">
        <v>3041</v>
      </c>
      <c r="G175" t="s">
        <v>3464</v>
      </c>
    </row>
    <row r="176" spans="1:7" ht="11.25" customHeight="1">
      <c r="A176" t="s">
        <v>14</v>
      </c>
      <c r="B176" t="s">
        <v>3454</v>
      </c>
      <c r="C176" t="s">
        <v>3455</v>
      </c>
      <c r="D176" t="s">
        <v>3465</v>
      </c>
      <c r="E176" t="s">
        <v>3466</v>
      </c>
      <c r="F176" t="s">
        <v>3041</v>
      </c>
      <c r="G176" t="s">
        <v>3467</v>
      </c>
    </row>
    <row r="177" spans="1:7" ht="11.25" customHeight="1">
      <c r="A177" t="s">
        <v>14</v>
      </c>
      <c r="B177" t="s">
        <v>3454</v>
      </c>
      <c r="C177" t="s">
        <v>3455</v>
      </c>
      <c r="D177" t="s">
        <v>3468</v>
      </c>
      <c r="E177" t="s">
        <v>3469</v>
      </c>
      <c r="F177" t="s">
        <v>3044</v>
      </c>
      <c r="G177" t="s">
        <v>3470</v>
      </c>
    </row>
    <row r="178" spans="1:7" ht="11.25" customHeight="1">
      <c r="A178" t="s">
        <v>14</v>
      </c>
      <c r="B178" t="s">
        <v>3454</v>
      </c>
      <c r="C178" t="s">
        <v>3455</v>
      </c>
      <c r="D178" t="s">
        <v>3454</v>
      </c>
      <c r="E178" t="s">
        <v>3455</v>
      </c>
      <c r="F178" t="s">
        <v>3045</v>
      </c>
      <c r="G178" t="s">
        <v>3471</v>
      </c>
    </row>
    <row r="179" spans="1:7" ht="11.25" customHeight="1">
      <c r="A179" t="s">
        <v>14</v>
      </c>
      <c r="B179" t="s">
        <v>3454</v>
      </c>
      <c r="C179" t="s">
        <v>3455</v>
      </c>
      <c r="D179" t="s">
        <v>3472</v>
      </c>
      <c r="E179" t="s">
        <v>3473</v>
      </c>
      <c r="F179" t="s">
        <v>3041</v>
      </c>
      <c r="G179" t="s">
        <v>3474</v>
      </c>
    </row>
    <row r="180" spans="1:7" ht="11.25" customHeight="1">
      <c r="A180" t="s">
        <v>14</v>
      </c>
      <c r="B180" t="s">
        <v>3454</v>
      </c>
      <c r="C180" t="s">
        <v>3455</v>
      </c>
      <c r="D180" t="s">
        <v>3475</v>
      </c>
      <c r="E180" t="s">
        <v>3476</v>
      </c>
      <c r="F180" t="s">
        <v>3041</v>
      </c>
      <c r="G180" t="s">
        <v>3477</v>
      </c>
    </row>
    <row r="181" spans="1:7" ht="11.25" customHeight="1">
      <c r="A181" t="s">
        <v>14</v>
      </c>
      <c r="B181" t="s">
        <v>3454</v>
      </c>
      <c r="C181" t="s">
        <v>3455</v>
      </c>
      <c r="D181" t="s">
        <v>3478</v>
      </c>
      <c r="E181" t="s">
        <v>3479</v>
      </c>
      <c r="F181" t="s">
        <v>3041</v>
      </c>
      <c r="G181" t="s">
        <v>3480</v>
      </c>
    </row>
    <row r="182" spans="1:7" ht="11.25" customHeight="1">
      <c r="A182" t="s">
        <v>14</v>
      </c>
      <c r="B182" t="s">
        <v>3481</v>
      </c>
      <c r="C182" t="s">
        <v>3482</v>
      </c>
      <c r="D182" t="s">
        <v>3481</v>
      </c>
      <c r="E182" t="s">
        <v>3482</v>
      </c>
      <c r="F182" t="s">
        <v>3483</v>
      </c>
      <c r="G182" t="s">
        <v>3484</v>
      </c>
    </row>
    <row r="183" spans="1:7" ht="11.25" customHeight="1">
      <c r="A183" t="s">
        <v>14</v>
      </c>
      <c r="B183" t="s">
        <v>3485</v>
      </c>
      <c r="C183" t="s">
        <v>3486</v>
      </c>
      <c r="D183" t="s">
        <v>3487</v>
      </c>
      <c r="E183" t="s">
        <v>3488</v>
      </c>
      <c r="F183" t="s">
        <v>3041</v>
      </c>
      <c r="G183" t="s">
        <v>3489</v>
      </c>
    </row>
    <row r="184" spans="1:7" ht="11.25" customHeight="1">
      <c r="A184" t="s">
        <v>14</v>
      </c>
      <c r="B184" t="s">
        <v>3485</v>
      </c>
      <c r="C184" t="s">
        <v>3486</v>
      </c>
      <c r="D184" t="s">
        <v>3490</v>
      </c>
      <c r="E184" t="s">
        <v>3491</v>
      </c>
      <c r="F184" t="s">
        <v>3041</v>
      </c>
      <c r="G184" t="s">
        <v>3492</v>
      </c>
    </row>
    <row r="185" spans="1:7" ht="11.25" customHeight="1">
      <c r="A185" t="s">
        <v>14</v>
      </c>
      <c r="B185" t="s">
        <v>3485</v>
      </c>
      <c r="C185" t="s">
        <v>3486</v>
      </c>
      <c r="D185" t="s">
        <v>3493</v>
      </c>
      <c r="E185" t="s">
        <v>3494</v>
      </c>
      <c r="F185" t="s">
        <v>3041</v>
      </c>
      <c r="G185" t="s">
        <v>3495</v>
      </c>
    </row>
    <row r="186" spans="1:7" ht="11.25" customHeight="1">
      <c r="A186" t="s">
        <v>14</v>
      </c>
      <c r="B186" t="s">
        <v>3485</v>
      </c>
      <c r="C186" t="s">
        <v>3486</v>
      </c>
      <c r="D186" t="s">
        <v>3496</v>
      </c>
      <c r="E186" t="s">
        <v>3497</v>
      </c>
      <c r="F186" t="s">
        <v>3076</v>
      </c>
      <c r="G186" t="s">
        <v>3498</v>
      </c>
    </row>
    <row r="187" spans="1:7" ht="11.25" customHeight="1">
      <c r="A187" t="s">
        <v>14</v>
      </c>
      <c r="B187" t="s">
        <v>3485</v>
      </c>
      <c r="C187" t="s">
        <v>3486</v>
      </c>
      <c r="D187" t="s">
        <v>3499</v>
      </c>
      <c r="E187" t="s">
        <v>3500</v>
      </c>
      <c r="F187" t="s">
        <v>3041</v>
      </c>
      <c r="G187" t="s">
        <v>3501</v>
      </c>
    </row>
    <row r="188" spans="1:7" ht="11.25" customHeight="1">
      <c r="A188" t="s">
        <v>14</v>
      </c>
      <c r="B188" t="s">
        <v>3485</v>
      </c>
      <c r="C188" t="s">
        <v>3486</v>
      </c>
      <c r="D188" t="s">
        <v>3502</v>
      </c>
      <c r="E188" t="s">
        <v>3503</v>
      </c>
      <c r="F188" t="s">
        <v>3041</v>
      </c>
      <c r="G188" t="s">
        <v>3504</v>
      </c>
    </row>
    <row r="189" spans="1:7" ht="11.25" customHeight="1">
      <c r="A189" t="s">
        <v>14</v>
      </c>
      <c r="B189" t="s">
        <v>3485</v>
      </c>
      <c r="C189" t="s">
        <v>3486</v>
      </c>
      <c r="D189" t="s">
        <v>3505</v>
      </c>
      <c r="E189" t="s">
        <v>3506</v>
      </c>
      <c r="F189" t="s">
        <v>3041</v>
      </c>
      <c r="G189" t="s">
        <v>3507</v>
      </c>
    </row>
    <row r="190" spans="1:7" ht="11.25" customHeight="1">
      <c r="A190" t="s">
        <v>14</v>
      </c>
      <c r="B190" t="s">
        <v>3485</v>
      </c>
      <c r="C190" t="s">
        <v>3486</v>
      </c>
      <c r="D190" t="s">
        <v>3508</v>
      </c>
      <c r="E190" t="s">
        <v>3509</v>
      </c>
      <c r="F190" t="s">
        <v>3041</v>
      </c>
      <c r="G190" t="s">
        <v>3510</v>
      </c>
    </row>
    <row r="191" spans="1:7" ht="11.25" customHeight="1">
      <c r="A191" t="s">
        <v>14</v>
      </c>
      <c r="B191" t="s">
        <v>3485</v>
      </c>
      <c r="C191" t="s">
        <v>3486</v>
      </c>
      <c r="D191" t="s">
        <v>3511</v>
      </c>
      <c r="E191" t="s">
        <v>3512</v>
      </c>
      <c r="F191" t="s">
        <v>3041</v>
      </c>
      <c r="G191" t="s">
        <v>3513</v>
      </c>
    </row>
    <row r="192" spans="1:7" ht="11.25" customHeight="1">
      <c r="A192" t="s">
        <v>14</v>
      </c>
      <c r="B192" t="s">
        <v>3485</v>
      </c>
      <c r="C192" t="s">
        <v>3486</v>
      </c>
      <c r="D192" t="s">
        <v>3514</v>
      </c>
      <c r="E192" t="s">
        <v>3515</v>
      </c>
      <c r="F192" t="s">
        <v>3041</v>
      </c>
      <c r="G192" t="s">
        <v>3516</v>
      </c>
    </row>
    <row r="193" spans="1:7" ht="11.25" customHeight="1">
      <c r="A193" t="s">
        <v>14</v>
      </c>
      <c r="B193" t="s">
        <v>3485</v>
      </c>
      <c r="C193" t="s">
        <v>3486</v>
      </c>
      <c r="D193" t="s">
        <v>3485</v>
      </c>
      <c r="E193" t="s">
        <v>3486</v>
      </c>
      <c r="F193" t="s">
        <v>3045</v>
      </c>
      <c r="G193" t="s">
        <v>3517</v>
      </c>
    </row>
    <row r="194" spans="1:7" ht="11.25" customHeight="1">
      <c r="A194" t="s">
        <v>14</v>
      </c>
      <c r="B194" t="s">
        <v>3485</v>
      </c>
      <c r="C194" t="s">
        <v>3486</v>
      </c>
      <c r="D194" t="s">
        <v>3518</v>
      </c>
      <c r="E194" t="s">
        <v>3519</v>
      </c>
      <c r="F194" t="s">
        <v>3041</v>
      </c>
      <c r="G194" t="s">
        <v>3520</v>
      </c>
    </row>
    <row r="195" spans="1:7" ht="11.25" customHeight="1">
      <c r="A195" t="s">
        <v>14</v>
      </c>
      <c r="B195" t="s">
        <v>3485</v>
      </c>
      <c r="C195" t="s">
        <v>3486</v>
      </c>
      <c r="D195" t="s">
        <v>3521</v>
      </c>
      <c r="E195" t="s">
        <v>3522</v>
      </c>
      <c r="F195" t="s">
        <v>3041</v>
      </c>
      <c r="G195" t="s">
        <v>3523</v>
      </c>
    </row>
    <row r="196" spans="1:7" ht="11.25" customHeight="1">
      <c r="A196" t="s">
        <v>14</v>
      </c>
      <c r="B196" t="s">
        <v>3485</v>
      </c>
      <c r="C196" t="s">
        <v>3486</v>
      </c>
      <c r="D196" t="s">
        <v>3524</v>
      </c>
      <c r="E196" t="s">
        <v>3525</v>
      </c>
      <c r="F196" t="s">
        <v>3041</v>
      </c>
      <c r="G196" t="s">
        <v>3526</v>
      </c>
    </row>
    <row r="197" spans="1:7" ht="11.25" customHeight="1">
      <c r="A197" t="s">
        <v>14</v>
      </c>
      <c r="B197" t="s">
        <v>3485</v>
      </c>
      <c r="C197" t="s">
        <v>3486</v>
      </c>
      <c r="D197" t="s">
        <v>3527</v>
      </c>
      <c r="E197" t="s">
        <v>3528</v>
      </c>
      <c r="F197" t="s">
        <v>3041</v>
      </c>
      <c r="G197" t="s">
        <v>3529</v>
      </c>
    </row>
    <row r="198" spans="1:7" ht="11.25" customHeight="1">
      <c r="A198" t="s">
        <v>14</v>
      </c>
      <c r="B198" t="s">
        <v>3485</v>
      </c>
      <c r="C198" t="s">
        <v>3486</v>
      </c>
      <c r="D198" t="s">
        <v>3530</v>
      </c>
      <c r="E198" t="s">
        <v>3531</v>
      </c>
      <c r="F198" t="s">
        <v>3041</v>
      </c>
      <c r="G198" t="s">
        <v>3532</v>
      </c>
    </row>
    <row r="199" spans="1:7" ht="11.25" customHeight="1">
      <c r="A199" t="s">
        <v>14</v>
      </c>
      <c r="B199" t="s">
        <v>3485</v>
      </c>
      <c r="C199" t="s">
        <v>3486</v>
      </c>
      <c r="D199" t="s">
        <v>3533</v>
      </c>
      <c r="E199" t="s">
        <v>3534</v>
      </c>
      <c r="F199" t="s">
        <v>3041</v>
      </c>
      <c r="G199" t="s">
        <v>3535</v>
      </c>
    </row>
    <row r="200" spans="1:7" ht="11.25" customHeight="1">
      <c r="A200" t="s">
        <v>14</v>
      </c>
      <c r="B200" t="s">
        <v>3485</v>
      </c>
      <c r="C200" t="s">
        <v>3486</v>
      </c>
      <c r="D200" t="s">
        <v>3536</v>
      </c>
      <c r="E200" t="s">
        <v>3537</v>
      </c>
      <c r="F200" t="s">
        <v>3041</v>
      </c>
      <c r="G200" t="s">
        <v>3538</v>
      </c>
    </row>
    <row r="201" spans="1:7" ht="11.25" customHeight="1">
      <c r="A201" t="s">
        <v>14</v>
      </c>
      <c r="B201" t="s">
        <v>3539</v>
      </c>
      <c r="C201" t="s">
        <v>3540</v>
      </c>
      <c r="D201" t="s">
        <v>3122</v>
      </c>
      <c r="E201" t="s">
        <v>3541</v>
      </c>
      <c r="F201" t="s">
        <v>3041</v>
      </c>
      <c r="G201" t="s">
        <v>3542</v>
      </c>
    </row>
    <row r="202" spans="1:7" ht="11.25" customHeight="1">
      <c r="A202" t="s">
        <v>14</v>
      </c>
      <c r="B202" t="s">
        <v>3539</v>
      </c>
      <c r="C202" t="s">
        <v>3540</v>
      </c>
      <c r="D202" t="s">
        <v>3543</v>
      </c>
      <c r="E202" t="s">
        <v>3544</v>
      </c>
      <c r="F202" t="s">
        <v>3041</v>
      </c>
      <c r="G202" t="s">
        <v>3545</v>
      </c>
    </row>
    <row r="203" spans="1:7" ht="11.25" customHeight="1">
      <c r="A203" t="s">
        <v>14</v>
      </c>
      <c r="B203" t="s">
        <v>3539</v>
      </c>
      <c r="C203" t="s">
        <v>3540</v>
      </c>
      <c r="D203" t="s">
        <v>3546</v>
      </c>
      <c r="E203" t="s">
        <v>3547</v>
      </c>
      <c r="F203" t="s">
        <v>3041</v>
      </c>
      <c r="G203" t="s">
        <v>3548</v>
      </c>
    </row>
    <row r="204" spans="1:7" ht="11.25" customHeight="1">
      <c r="A204" t="s">
        <v>14</v>
      </c>
      <c r="B204" t="s">
        <v>3539</v>
      </c>
      <c r="C204" t="s">
        <v>3540</v>
      </c>
      <c r="D204" t="s">
        <v>3549</v>
      </c>
      <c r="E204" t="s">
        <v>3550</v>
      </c>
      <c r="F204" t="s">
        <v>3041</v>
      </c>
      <c r="G204" t="s">
        <v>3551</v>
      </c>
    </row>
    <row r="205" spans="1:7" ht="11.25" customHeight="1">
      <c r="A205" t="s">
        <v>14</v>
      </c>
      <c r="B205" t="s">
        <v>3539</v>
      </c>
      <c r="C205" t="s">
        <v>3540</v>
      </c>
      <c r="D205" t="s">
        <v>3552</v>
      </c>
      <c r="E205" t="s">
        <v>3553</v>
      </c>
      <c r="F205" t="s">
        <v>3041</v>
      </c>
      <c r="G205" t="s">
        <v>3554</v>
      </c>
    </row>
    <row r="206" spans="1:7" ht="11.25" customHeight="1">
      <c r="A206" t="s">
        <v>14</v>
      </c>
      <c r="B206" t="s">
        <v>3539</v>
      </c>
      <c r="C206" t="s">
        <v>3540</v>
      </c>
      <c r="D206" t="s">
        <v>3555</v>
      </c>
      <c r="E206" t="s">
        <v>3556</v>
      </c>
      <c r="F206" t="s">
        <v>3041</v>
      </c>
      <c r="G206" t="s">
        <v>3557</v>
      </c>
    </row>
    <row r="207" spans="1:7" ht="11.25" customHeight="1">
      <c r="A207" t="s">
        <v>14</v>
      </c>
      <c r="B207" t="s">
        <v>3539</v>
      </c>
      <c r="C207" t="s">
        <v>3540</v>
      </c>
      <c r="D207" t="s">
        <v>3558</v>
      </c>
      <c r="E207" t="s">
        <v>3559</v>
      </c>
      <c r="F207" t="s">
        <v>3041</v>
      </c>
      <c r="G207" t="s">
        <v>3560</v>
      </c>
    </row>
    <row r="208" spans="1:7" ht="11.25" customHeight="1">
      <c r="A208" t="s">
        <v>14</v>
      </c>
      <c r="B208" t="s">
        <v>3539</v>
      </c>
      <c r="C208" t="s">
        <v>3540</v>
      </c>
      <c r="D208" t="s">
        <v>3561</v>
      </c>
      <c r="E208" t="s">
        <v>3562</v>
      </c>
      <c r="F208" t="s">
        <v>3041</v>
      </c>
      <c r="G208" t="s">
        <v>3563</v>
      </c>
    </row>
    <row r="209" spans="1:7" ht="11.25" customHeight="1">
      <c r="A209" t="s">
        <v>14</v>
      </c>
      <c r="B209" t="s">
        <v>3539</v>
      </c>
      <c r="C209" t="s">
        <v>3540</v>
      </c>
      <c r="D209" t="s">
        <v>3564</v>
      </c>
      <c r="E209" t="s">
        <v>3565</v>
      </c>
      <c r="F209" t="s">
        <v>3041</v>
      </c>
      <c r="G209" t="s">
        <v>3566</v>
      </c>
    </row>
    <row r="210" spans="1:7" ht="11.25" customHeight="1">
      <c r="A210" t="s">
        <v>14</v>
      </c>
      <c r="B210" t="s">
        <v>3539</v>
      </c>
      <c r="C210" t="s">
        <v>3540</v>
      </c>
      <c r="D210" t="s">
        <v>3180</v>
      </c>
      <c r="E210" t="s">
        <v>3567</v>
      </c>
      <c r="F210" t="s">
        <v>3041</v>
      </c>
      <c r="G210" t="s">
        <v>3568</v>
      </c>
    </row>
    <row r="211" spans="1:7" ht="11.25" customHeight="1">
      <c r="A211" t="s">
        <v>14</v>
      </c>
      <c r="B211" t="s">
        <v>3539</v>
      </c>
      <c r="C211" t="s">
        <v>3540</v>
      </c>
      <c r="D211" t="s">
        <v>3539</v>
      </c>
      <c r="E211" t="s">
        <v>3540</v>
      </c>
      <c r="F211" t="s">
        <v>3045</v>
      </c>
      <c r="G211" t="s">
        <v>3569</v>
      </c>
    </row>
    <row r="212" spans="1:7" ht="11.25" customHeight="1">
      <c r="A212" t="s">
        <v>14</v>
      </c>
      <c r="B212" t="s">
        <v>3539</v>
      </c>
      <c r="C212" t="s">
        <v>3540</v>
      </c>
      <c r="D212" t="s">
        <v>3570</v>
      </c>
      <c r="E212" t="s">
        <v>3571</v>
      </c>
      <c r="F212" t="s">
        <v>3076</v>
      </c>
      <c r="G212" t="s">
        <v>3572</v>
      </c>
    </row>
    <row r="213" spans="1:7" ht="11.25" customHeight="1">
      <c r="A213" t="s">
        <v>14</v>
      </c>
      <c r="B213" t="s">
        <v>3539</v>
      </c>
      <c r="C213" t="s">
        <v>3540</v>
      </c>
      <c r="D213" t="s">
        <v>3573</v>
      </c>
      <c r="E213" t="s">
        <v>3574</v>
      </c>
      <c r="F213" t="s">
        <v>3041</v>
      </c>
      <c r="G213" t="s">
        <v>3575</v>
      </c>
    </row>
    <row r="214" spans="1:7" ht="11.25" customHeight="1">
      <c r="A214" t="s">
        <v>14</v>
      </c>
      <c r="B214" t="s">
        <v>3539</v>
      </c>
      <c r="C214" t="s">
        <v>3540</v>
      </c>
      <c r="D214" t="s">
        <v>3576</v>
      </c>
      <c r="E214" t="s">
        <v>3577</v>
      </c>
      <c r="F214" t="s">
        <v>3041</v>
      </c>
      <c r="G214" t="s">
        <v>3578</v>
      </c>
    </row>
    <row r="215" spans="1:7" ht="11.25" customHeight="1">
      <c r="A215" t="s">
        <v>14</v>
      </c>
      <c r="B215" t="s">
        <v>3539</v>
      </c>
      <c r="C215" t="s">
        <v>3540</v>
      </c>
      <c r="D215" t="s">
        <v>3579</v>
      </c>
      <c r="E215" t="s">
        <v>3580</v>
      </c>
      <c r="F215" t="s">
        <v>3041</v>
      </c>
      <c r="G215" t="s">
        <v>3581</v>
      </c>
    </row>
    <row r="216" spans="1:7" ht="11.25" customHeight="1">
      <c r="A216" t="s">
        <v>14</v>
      </c>
      <c r="B216" t="s">
        <v>3582</v>
      </c>
      <c r="C216" t="s">
        <v>3583</v>
      </c>
      <c r="D216" t="s">
        <v>3584</v>
      </c>
      <c r="E216" t="s">
        <v>3585</v>
      </c>
      <c r="F216" t="s">
        <v>3041</v>
      </c>
      <c r="G216" t="s">
        <v>3586</v>
      </c>
    </row>
    <row r="217" spans="1:7" ht="11.25" customHeight="1">
      <c r="A217" t="s">
        <v>14</v>
      </c>
      <c r="B217" t="s">
        <v>3582</v>
      </c>
      <c r="C217" t="s">
        <v>3583</v>
      </c>
      <c r="D217" t="s">
        <v>3587</v>
      </c>
      <c r="E217" t="s">
        <v>3588</v>
      </c>
      <c r="F217" t="s">
        <v>3076</v>
      </c>
      <c r="G217" t="s">
        <v>3589</v>
      </c>
    </row>
    <row r="218" spans="1:7" ht="11.25" customHeight="1">
      <c r="A218" t="s">
        <v>14</v>
      </c>
      <c r="B218" t="s">
        <v>3582</v>
      </c>
      <c r="C218" t="s">
        <v>3583</v>
      </c>
      <c r="D218" t="s">
        <v>3590</v>
      </c>
      <c r="E218" t="s">
        <v>3591</v>
      </c>
      <c r="F218" t="s">
        <v>3041</v>
      </c>
      <c r="G218" t="s">
        <v>3592</v>
      </c>
    </row>
    <row r="219" spans="1:7" ht="11.25" customHeight="1">
      <c r="A219" t="s">
        <v>14</v>
      </c>
      <c r="B219" t="s">
        <v>3582</v>
      </c>
      <c r="C219" t="s">
        <v>3583</v>
      </c>
      <c r="D219" t="s">
        <v>3593</v>
      </c>
      <c r="E219" t="s">
        <v>3594</v>
      </c>
      <c r="F219" t="s">
        <v>3041</v>
      </c>
      <c r="G219" t="s">
        <v>3595</v>
      </c>
    </row>
    <row r="220" spans="1:7" ht="11.25" customHeight="1">
      <c r="A220" t="s">
        <v>14</v>
      </c>
      <c r="B220" t="s">
        <v>3582</v>
      </c>
      <c r="C220" t="s">
        <v>3583</v>
      </c>
      <c r="D220" t="s">
        <v>3596</v>
      </c>
      <c r="E220" t="s">
        <v>3597</v>
      </c>
      <c r="F220" t="s">
        <v>3041</v>
      </c>
      <c r="G220" t="s">
        <v>3598</v>
      </c>
    </row>
    <row r="221" spans="1:7" ht="11.25" customHeight="1">
      <c r="A221" t="s">
        <v>14</v>
      </c>
      <c r="B221" t="s">
        <v>3582</v>
      </c>
      <c r="C221" t="s">
        <v>3583</v>
      </c>
      <c r="D221" t="s">
        <v>3341</v>
      </c>
      <c r="E221" t="s">
        <v>3599</v>
      </c>
      <c r="F221" t="s">
        <v>3041</v>
      </c>
      <c r="G221" t="s">
        <v>3600</v>
      </c>
    </row>
    <row r="222" spans="1:7" ht="11.25" customHeight="1">
      <c r="A222" t="s">
        <v>14</v>
      </c>
      <c r="B222" t="s">
        <v>3582</v>
      </c>
      <c r="C222" t="s">
        <v>3583</v>
      </c>
      <c r="D222" t="s">
        <v>3601</v>
      </c>
      <c r="E222" t="s">
        <v>3602</v>
      </c>
      <c r="F222" t="s">
        <v>3041</v>
      </c>
      <c r="G222" t="s">
        <v>3603</v>
      </c>
    </row>
    <row r="223" spans="1:7" ht="11.25" customHeight="1">
      <c r="A223" t="s">
        <v>14</v>
      </c>
      <c r="B223" t="s">
        <v>3582</v>
      </c>
      <c r="C223" t="s">
        <v>3583</v>
      </c>
      <c r="D223" t="s">
        <v>3582</v>
      </c>
      <c r="E223" t="s">
        <v>3583</v>
      </c>
      <c r="F223" t="s">
        <v>3045</v>
      </c>
      <c r="G223" t="s">
        <v>3604</v>
      </c>
    </row>
    <row r="224" spans="1:7" ht="11.25" customHeight="1">
      <c r="A224" t="s">
        <v>14</v>
      </c>
      <c r="B224" t="s">
        <v>3582</v>
      </c>
      <c r="C224" t="s">
        <v>3583</v>
      </c>
      <c r="D224" t="s">
        <v>3605</v>
      </c>
      <c r="E224" t="s">
        <v>3606</v>
      </c>
      <c r="F224" t="s">
        <v>3041</v>
      </c>
      <c r="G224" t="s">
        <v>3607</v>
      </c>
    </row>
    <row r="225" spans="1:7" ht="11.25" customHeight="1">
      <c r="A225" t="s">
        <v>14</v>
      </c>
      <c r="B225" t="s">
        <v>3608</v>
      </c>
      <c r="C225" t="s">
        <v>3609</v>
      </c>
      <c r="D225" t="s">
        <v>3610</v>
      </c>
      <c r="E225" t="s">
        <v>3611</v>
      </c>
      <c r="F225" t="s">
        <v>3041</v>
      </c>
      <c r="G225" t="s">
        <v>3612</v>
      </c>
    </row>
    <row r="226" spans="1:7" ht="11.25" customHeight="1">
      <c r="A226" t="s">
        <v>14</v>
      </c>
      <c r="B226" t="s">
        <v>3608</v>
      </c>
      <c r="C226" t="s">
        <v>3609</v>
      </c>
      <c r="D226" t="s">
        <v>3613</v>
      </c>
      <c r="E226" t="s">
        <v>3614</v>
      </c>
      <c r="F226" t="s">
        <v>3041</v>
      </c>
      <c r="G226" t="s">
        <v>3615</v>
      </c>
    </row>
    <row r="227" spans="1:7" ht="11.25" customHeight="1">
      <c r="A227" t="s">
        <v>14</v>
      </c>
      <c r="B227" t="s">
        <v>3608</v>
      </c>
      <c r="C227" t="s">
        <v>3609</v>
      </c>
      <c r="D227" t="s">
        <v>3616</v>
      </c>
      <c r="E227" t="s">
        <v>3617</v>
      </c>
      <c r="F227" t="s">
        <v>3041</v>
      </c>
      <c r="G227" t="s">
        <v>3618</v>
      </c>
    </row>
    <row r="228" spans="1:7" ht="11.25" customHeight="1">
      <c r="A228" t="s">
        <v>14</v>
      </c>
      <c r="B228" t="s">
        <v>3608</v>
      </c>
      <c r="C228" t="s">
        <v>3609</v>
      </c>
      <c r="D228" t="s">
        <v>3619</v>
      </c>
      <c r="E228" t="s">
        <v>3620</v>
      </c>
      <c r="F228" t="s">
        <v>3041</v>
      </c>
      <c r="G228" t="s">
        <v>3621</v>
      </c>
    </row>
    <row r="229" spans="1:7" ht="11.25" customHeight="1">
      <c r="A229" t="s">
        <v>14</v>
      </c>
      <c r="B229" t="s">
        <v>3608</v>
      </c>
      <c r="C229" t="s">
        <v>3609</v>
      </c>
      <c r="D229" t="s">
        <v>3622</v>
      </c>
      <c r="E229" t="s">
        <v>3623</v>
      </c>
      <c r="F229" t="s">
        <v>3041</v>
      </c>
      <c r="G229" t="s">
        <v>3624</v>
      </c>
    </row>
    <row r="230" spans="1:7" ht="11.25" customHeight="1">
      <c r="A230" t="s">
        <v>14</v>
      </c>
      <c r="B230" t="s">
        <v>3608</v>
      </c>
      <c r="C230" t="s">
        <v>3609</v>
      </c>
      <c r="D230" t="s">
        <v>3625</v>
      </c>
      <c r="E230" t="s">
        <v>3626</v>
      </c>
      <c r="F230" t="s">
        <v>3041</v>
      </c>
      <c r="G230" t="s">
        <v>3627</v>
      </c>
    </row>
    <row r="231" spans="1:7" ht="11.25" customHeight="1">
      <c r="A231" t="s">
        <v>14</v>
      </c>
      <c r="B231" t="s">
        <v>3608</v>
      </c>
      <c r="C231" t="s">
        <v>3609</v>
      </c>
      <c r="D231" t="s">
        <v>3608</v>
      </c>
      <c r="E231" t="s">
        <v>3609</v>
      </c>
      <c r="F231" t="s">
        <v>3045</v>
      </c>
      <c r="G231" t="s">
        <v>3628</v>
      </c>
    </row>
    <row r="232" spans="1:7" ht="11.25" customHeight="1">
      <c r="A232" t="s">
        <v>14</v>
      </c>
      <c r="B232" t="s">
        <v>3608</v>
      </c>
      <c r="C232" t="s">
        <v>3609</v>
      </c>
      <c r="D232" t="s">
        <v>3629</v>
      </c>
      <c r="E232" t="s">
        <v>3630</v>
      </c>
      <c r="F232" t="s">
        <v>3041</v>
      </c>
      <c r="G232" t="s">
        <v>3631</v>
      </c>
    </row>
    <row r="233" spans="1:7" ht="11.25" customHeight="1">
      <c r="A233" t="s">
        <v>14</v>
      </c>
      <c r="B233" t="s">
        <v>3632</v>
      </c>
      <c r="C233" t="s">
        <v>3633</v>
      </c>
      <c r="D233" t="s">
        <v>3634</v>
      </c>
      <c r="E233" t="s">
        <v>3635</v>
      </c>
      <c r="F233" t="s">
        <v>3041</v>
      </c>
      <c r="G233" t="s">
        <v>3636</v>
      </c>
    </row>
    <row r="234" spans="1:7" ht="11.25" customHeight="1">
      <c r="A234" t="s">
        <v>14</v>
      </c>
      <c r="B234" t="s">
        <v>3632</v>
      </c>
      <c r="C234" t="s">
        <v>3633</v>
      </c>
      <c r="D234" t="s">
        <v>3637</v>
      </c>
      <c r="E234" t="s">
        <v>3638</v>
      </c>
      <c r="F234" t="s">
        <v>3041</v>
      </c>
      <c r="G234" t="s">
        <v>3639</v>
      </c>
    </row>
    <row r="235" spans="1:7" ht="11.25" customHeight="1">
      <c r="A235" t="s">
        <v>14</v>
      </c>
      <c r="B235" t="s">
        <v>3632</v>
      </c>
      <c r="C235" t="s">
        <v>3633</v>
      </c>
      <c r="D235" t="s">
        <v>3640</v>
      </c>
      <c r="E235" t="s">
        <v>3641</v>
      </c>
      <c r="F235" t="s">
        <v>3041</v>
      </c>
      <c r="G235" t="s">
        <v>3642</v>
      </c>
    </row>
    <row r="236" spans="1:7" ht="11.25" customHeight="1">
      <c r="A236" t="s">
        <v>14</v>
      </c>
      <c r="B236" t="s">
        <v>3632</v>
      </c>
      <c r="C236" t="s">
        <v>3633</v>
      </c>
      <c r="D236" t="s">
        <v>3643</v>
      </c>
      <c r="E236" t="s">
        <v>3644</v>
      </c>
      <c r="F236" t="s">
        <v>3041</v>
      </c>
      <c r="G236" t="s">
        <v>3645</v>
      </c>
    </row>
    <row r="237" spans="1:7" ht="11.25" customHeight="1">
      <c r="A237" t="s">
        <v>14</v>
      </c>
      <c r="B237" t="s">
        <v>3632</v>
      </c>
      <c r="C237" t="s">
        <v>3633</v>
      </c>
      <c r="D237" t="s">
        <v>3646</v>
      </c>
      <c r="E237" t="s">
        <v>3647</v>
      </c>
      <c r="F237" t="s">
        <v>3041</v>
      </c>
      <c r="G237" t="s">
        <v>3648</v>
      </c>
    </row>
    <row r="238" spans="1:7" ht="11.25" customHeight="1">
      <c r="A238" t="s">
        <v>14</v>
      </c>
      <c r="B238" t="s">
        <v>3632</v>
      </c>
      <c r="C238" t="s">
        <v>3633</v>
      </c>
      <c r="D238" t="s">
        <v>3341</v>
      </c>
      <c r="E238" t="s">
        <v>3649</v>
      </c>
      <c r="F238" t="s">
        <v>3041</v>
      </c>
      <c r="G238" t="s">
        <v>3650</v>
      </c>
    </row>
    <row r="239" spans="1:7" ht="11.25" customHeight="1">
      <c r="A239" t="s">
        <v>14</v>
      </c>
      <c r="B239" t="s">
        <v>3632</v>
      </c>
      <c r="C239" t="s">
        <v>3633</v>
      </c>
      <c r="D239" t="s">
        <v>3651</v>
      </c>
      <c r="E239" t="s">
        <v>3652</v>
      </c>
      <c r="F239" t="s">
        <v>3041</v>
      </c>
      <c r="G239" t="s">
        <v>3653</v>
      </c>
    </row>
    <row r="240" spans="1:7" ht="11.25" customHeight="1">
      <c r="A240" t="s">
        <v>14</v>
      </c>
      <c r="B240" t="s">
        <v>3632</v>
      </c>
      <c r="C240" t="s">
        <v>3633</v>
      </c>
      <c r="D240" t="s">
        <v>3632</v>
      </c>
      <c r="E240" t="s">
        <v>3633</v>
      </c>
      <c r="F240" t="s">
        <v>3045</v>
      </c>
      <c r="G240" t="s">
        <v>3654</v>
      </c>
    </row>
    <row r="241" spans="1:7" ht="11.25" customHeight="1">
      <c r="A241" t="s">
        <v>14</v>
      </c>
      <c r="B241" t="s">
        <v>3632</v>
      </c>
      <c r="C241" t="s">
        <v>3633</v>
      </c>
      <c r="D241" t="s">
        <v>3655</v>
      </c>
      <c r="E241" t="s">
        <v>3656</v>
      </c>
      <c r="F241" t="s">
        <v>3041</v>
      </c>
      <c r="G241" t="s">
        <v>3657</v>
      </c>
    </row>
    <row r="242" spans="1:7" ht="11.25" customHeight="1">
      <c r="A242" t="s">
        <v>14</v>
      </c>
      <c r="B242" t="s">
        <v>3658</v>
      </c>
      <c r="C242" t="s">
        <v>3659</v>
      </c>
      <c r="D242" t="s">
        <v>3660</v>
      </c>
      <c r="E242" t="s">
        <v>3661</v>
      </c>
      <c r="F242" t="s">
        <v>3041</v>
      </c>
      <c r="G242" t="s">
        <v>3662</v>
      </c>
    </row>
    <row r="243" spans="1:7" ht="11.25" customHeight="1">
      <c r="A243" t="s">
        <v>14</v>
      </c>
      <c r="B243" t="s">
        <v>3658</v>
      </c>
      <c r="C243" t="s">
        <v>3659</v>
      </c>
      <c r="D243" t="s">
        <v>3663</v>
      </c>
      <c r="E243" t="s">
        <v>3664</v>
      </c>
      <c r="F243" t="s">
        <v>3041</v>
      </c>
      <c r="G243" t="s">
        <v>3665</v>
      </c>
    </row>
    <row r="244" spans="1:7" ht="11.25" customHeight="1">
      <c r="A244" t="s">
        <v>14</v>
      </c>
      <c r="B244" t="s">
        <v>3658</v>
      </c>
      <c r="C244" t="s">
        <v>3659</v>
      </c>
      <c r="D244" t="s">
        <v>3666</v>
      </c>
      <c r="E244" t="s">
        <v>3667</v>
      </c>
      <c r="F244" t="s">
        <v>3041</v>
      </c>
      <c r="G244" t="s">
        <v>3668</v>
      </c>
    </row>
    <row r="245" spans="1:7" ht="11.25" customHeight="1">
      <c r="A245" t="s">
        <v>14</v>
      </c>
      <c r="B245" t="s">
        <v>3658</v>
      </c>
      <c r="C245" t="s">
        <v>3659</v>
      </c>
      <c r="D245" t="s">
        <v>3669</v>
      </c>
      <c r="E245" t="s">
        <v>3670</v>
      </c>
      <c r="F245" t="s">
        <v>3041</v>
      </c>
      <c r="G245" t="s">
        <v>3671</v>
      </c>
    </row>
    <row r="246" spans="1:7" ht="11.25" customHeight="1">
      <c r="A246" t="s">
        <v>14</v>
      </c>
      <c r="B246" t="s">
        <v>3658</v>
      </c>
      <c r="C246" t="s">
        <v>3659</v>
      </c>
      <c r="D246" t="s">
        <v>3590</v>
      </c>
      <c r="E246" t="s">
        <v>3672</v>
      </c>
      <c r="F246" t="s">
        <v>3041</v>
      </c>
      <c r="G246" t="s">
        <v>3673</v>
      </c>
    </row>
    <row r="247" spans="1:7" ht="11.25" customHeight="1">
      <c r="A247" t="s">
        <v>14</v>
      </c>
      <c r="B247" t="s">
        <v>3658</v>
      </c>
      <c r="C247" t="s">
        <v>3659</v>
      </c>
      <c r="D247" t="s">
        <v>3674</v>
      </c>
      <c r="E247" t="s">
        <v>3675</v>
      </c>
      <c r="F247" t="s">
        <v>3041</v>
      </c>
      <c r="G247" t="s">
        <v>3676</v>
      </c>
    </row>
    <row r="248" spans="1:7" ht="11.25" customHeight="1">
      <c r="A248" t="s">
        <v>14</v>
      </c>
      <c r="B248" t="s">
        <v>3658</v>
      </c>
      <c r="C248" t="s">
        <v>3659</v>
      </c>
      <c r="D248" t="s">
        <v>3677</v>
      </c>
      <c r="E248" t="s">
        <v>3678</v>
      </c>
      <c r="F248" t="s">
        <v>3076</v>
      </c>
      <c r="G248" t="s">
        <v>3679</v>
      </c>
    </row>
    <row r="249" spans="1:7" ht="11.25" customHeight="1">
      <c r="A249" t="s">
        <v>14</v>
      </c>
      <c r="B249" t="s">
        <v>3658</v>
      </c>
      <c r="C249" t="s">
        <v>3659</v>
      </c>
      <c r="D249" t="s">
        <v>3680</v>
      </c>
      <c r="E249" t="s">
        <v>3681</v>
      </c>
      <c r="F249" t="s">
        <v>3041</v>
      </c>
      <c r="G249" t="s">
        <v>3682</v>
      </c>
    </row>
    <row r="250" spans="1:7" ht="11.25" customHeight="1">
      <c r="A250" t="s">
        <v>14</v>
      </c>
      <c r="B250" t="s">
        <v>3658</v>
      </c>
      <c r="C250" t="s">
        <v>3659</v>
      </c>
      <c r="D250" t="s">
        <v>3658</v>
      </c>
      <c r="E250" t="s">
        <v>3659</v>
      </c>
      <c r="F250" t="s">
        <v>3045</v>
      </c>
      <c r="G250" t="s">
        <v>3683</v>
      </c>
    </row>
    <row r="251" spans="1:7" ht="11.25" customHeight="1">
      <c r="A251" t="s">
        <v>14</v>
      </c>
      <c r="B251" t="s">
        <v>3684</v>
      </c>
      <c r="C251" t="s">
        <v>3685</v>
      </c>
      <c r="D251" t="s">
        <v>3686</v>
      </c>
      <c r="E251" t="s">
        <v>3687</v>
      </c>
      <c r="F251" t="s">
        <v>3041</v>
      </c>
      <c r="G251" t="s">
        <v>3688</v>
      </c>
    </row>
    <row r="252" spans="1:7" ht="11.25" customHeight="1">
      <c r="A252" t="s">
        <v>14</v>
      </c>
      <c r="B252" t="s">
        <v>3684</v>
      </c>
      <c r="C252" t="s">
        <v>3685</v>
      </c>
      <c r="D252" t="s">
        <v>3689</v>
      </c>
      <c r="E252" t="s">
        <v>3690</v>
      </c>
      <c r="F252" t="s">
        <v>3041</v>
      </c>
      <c r="G252" t="s">
        <v>3691</v>
      </c>
    </row>
    <row r="253" spans="1:7" ht="11.25" customHeight="1">
      <c r="A253" t="s">
        <v>14</v>
      </c>
      <c r="B253" t="s">
        <v>3684</v>
      </c>
      <c r="C253" t="s">
        <v>3685</v>
      </c>
      <c r="D253" t="s">
        <v>3692</v>
      </c>
      <c r="E253" t="s">
        <v>3693</v>
      </c>
      <c r="F253" t="s">
        <v>3041</v>
      </c>
      <c r="G253" t="s">
        <v>3694</v>
      </c>
    </row>
    <row r="254" spans="1:7" ht="11.25" customHeight="1">
      <c r="A254" t="s">
        <v>14</v>
      </c>
      <c r="B254" t="s">
        <v>3684</v>
      </c>
      <c r="C254" t="s">
        <v>3685</v>
      </c>
      <c r="D254" t="s">
        <v>3695</v>
      </c>
      <c r="E254" t="s">
        <v>3696</v>
      </c>
      <c r="F254" t="s">
        <v>3041</v>
      </c>
      <c r="G254" t="s">
        <v>3697</v>
      </c>
    </row>
    <row r="255" spans="1:7" ht="11.25" customHeight="1">
      <c r="A255" t="s">
        <v>14</v>
      </c>
      <c r="B255" t="s">
        <v>3684</v>
      </c>
      <c r="C255" t="s">
        <v>3685</v>
      </c>
      <c r="D255" t="s">
        <v>3698</v>
      </c>
      <c r="E255" t="s">
        <v>3699</v>
      </c>
      <c r="F255" t="s">
        <v>3041</v>
      </c>
      <c r="G255" t="s">
        <v>3700</v>
      </c>
    </row>
    <row r="256" spans="1:7" ht="11.25" customHeight="1">
      <c r="A256" t="s">
        <v>14</v>
      </c>
      <c r="B256" t="s">
        <v>3684</v>
      </c>
      <c r="C256" t="s">
        <v>3685</v>
      </c>
      <c r="D256" t="s">
        <v>3701</v>
      </c>
      <c r="E256" t="s">
        <v>3702</v>
      </c>
      <c r="F256" t="s">
        <v>3041</v>
      </c>
      <c r="G256" t="s">
        <v>3703</v>
      </c>
    </row>
    <row r="257" spans="1:7" ht="11.25" customHeight="1">
      <c r="A257" t="s">
        <v>14</v>
      </c>
      <c r="B257" t="s">
        <v>3684</v>
      </c>
      <c r="C257" t="s">
        <v>3685</v>
      </c>
      <c r="D257" t="s">
        <v>3704</v>
      </c>
      <c r="E257" t="s">
        <v>3705</v>
      </c>
      <c r="F257" t="s">
        <v>3041</v>
      </c>
      <c r="G257" t="s">
        <v>3706</v>
      </c>
    </row>
    <row r="258" spans="1:7" ht="11.25" customHeight="1">
      <c r="A258" t="s">
        <v>14</v>
      </c>
      <c r="B258" t="s">
        <v>3684</v>
      </c>
      <c r="C258" t="s">
        <v>3685</v>
      </c>
      <c r="D258" t="s">
        <v>3707</v>
      </c>
      <c r="E258" t="s">
        <v>3708</v>
      </c>
      <c r="F258" t="s">
        <v>3041</v>
      </c>
      <c r="G258" t="s">
        <v>3709</v>
      </c>
    </row>
    <row r="259" spans="1:7" ht="11.25" customHeight="1">
      <c r="A259" t="s">
        <v>14</v>
      </c>
      <c r="B259" t="s">
        <v>3684</v>
      </c>
      <c r="C259" t="s">
        <v>3685</v>
      </c>
      <c r="D259" t="s">
        <v>3710</v>
      </c>
      <c r="E259" t="s">
        <v>3711</v>
      </c>
      <c r="F259" t="s">
        <v>3076</v>
      </c>
      <c r="G259" t="s">
        <v>3712</v>
      </c>
    </row>
    <row r="260" spans="1:7" ht="11.25" customHeight="1">
      <c r="A260" t="s">
        <v>14</v>
      </c>
      <c r="B260" t="s">
        <v>3684</v>
      </c>
      <c r="C260" t="s">
        <v>3685</v>
      </c>
      <c r="D260" t="s">
        <v>3684</v>
      </c>
      <c r="E260" t="s">
        <v>3685</v>
      </c>
      <c r="F260" t="s">
        <v>3045</v>
      </c>
      <c r="G260" t="s">
        <v>3713</v>
      </c>
    </row>
    <row r="261" spans="1:7" ht="11.25" customHeight="1">
      <c r="A261" t="s">
        <v>14</v>
      </c>
      <c r="B261" t="s">
        <v>3714</v>
      </c>
      <c r="C261" t="s">
        <v>3715</v>
      </c>
      <c r="D261" t="s">
        <v>3050</v>
      </c>
      <c r="E261" t="s">
        <v>3716</v>
      </c>
      <c r="F261" t="s">
        <v>3041</v>
      </c>
      <c r="G261" t="s">
        <v>3717</v>
      </c>
    </row>
    <row r="262" spans="1:7" ht="11.25" customHeight="1">
      <c r="A262" t="s">
        <v>14</v>
      </c>
      <c r="B262" t="s">
        <v>3714</v>
      </c>
      <c r="C262" t="s">
        <v>3715</v>
      </c>
      <c r="D262" t="s">
        <v>3718</v>
      </c>
      <c r="E262" t="s">
        <v>3719</v>
      </c>
      <c r="F262" t="s">
        <v>3041</v>
      </c>
      <c r="G262" t="s">
        <v>3720</v>
      </c>
    </row>
    <row r="263" spans="1:7" ht="11.25" customHeight="1">
      <c r="A263" t="s">
        <v>14</v>
      </c>
      <c r="B263" t="s">
        <v>3714</v>
      </c>
      <c r="C263" t="s">
        <v>3715</v>
      </c>
      <c r="D263" t="s">
        <v>3721</v>
      </c>
      <c r="E263" t="s">
        <v>3722</v>
      </c>
      <c r="F263" t="s">
        <v>3041</v>
      </c>
      <c r="G263" t="s">
        <v>3723</v>
      </c>
    </row>
    <row r="264" spans="1:7" ht="11.25" customHeight="1">
      <c r="A264" t="s">
        <v>14</v>
      </c>
      <c r="B264" t="s">
        <v>3714</v>
      </c>
      <c r="C264" t="s">
        <v>3715</v>
      </c>
      <c r="D264" t="s">
        <v>3724</v>
      </c>
      <c r="E264" t="s">
        <v>3725</v>
      </c>
      <c r="F264" t="s">
        <v>3041</v>
      </c>
      <c r="G264" t="s">
        <v>3726</v>
      </c>
    </row>
    <row r="265" spans="1:7" ht="11.25" customHeight="1">
      <c r="A265" t="s">
        <v>14</v>
      </c>
      <c r="B265" t="s">
        <v>3714</v>
      </c>
      <c r="C265" t="s">
        <v>3715</v>
      </c>
      <c r="D265" t="s">
        <v>3727</v>
      </c>
      <c r="E265" t="s">
        <v>3728</v>
      </c>
      <c r="F265" t="s">
        <v>3041</v>
      </c>
      <c r="G265" t="s">
        <v>3729</v>
      </c>
    </row>
    <row r="266" spans="1:7" ht="11.25" customHeight="1">
      <c r="A266" t="s">
        <v>14</v>
      </c>
      <c r="B266" t="s">
        <v>3714</v>
      </c>
      <c r="C266" t="s">
        <v>3715</v>
      </c>
      <c r="D266" t="s">
        <v>3730</v>
      </c>
      <c r="E266" t="s">
        <v>3731</v>
      </c>
      <c r="F266" t="s">
        <v>3041</v>
      </c>
      <c r="G266" t="s">
        <v>3732</v>
      </c>
    </row>
    <row r="267" spans="1:7" ht="11.25" customHeight="1">
      <c r="A267" t="s">
        <v>14</v>
      </c>
      <c r="B267" t="s">
        <v>3714</v>
      </c>
      <c r="C267" t="s">
        <v>3715</v>
      </c>
      <c r="D267" t="s">
        <v>3733</v>
      </c>
      <c r="E267" t="s">
        <v>3734</v>
      </c>
      <c r="F267" t="s">
        <v>3041</v>
      </c>
      <c r="G267" t="s">
        <v>3735</v>
      </c>
    </row>
    <row r="268" spans="1:7" ht="11.25" customHeight="1">
      <c r="A268" t="s">
        <v>14</v>
      </c>
      <c r="B268" t="s">
        <v>3714</v>
      </c>
      <c r="C268" t="s">
        <v>3715</v>
      </c>
      <c r="D268" t="s">
        <v>3736</v>
      </c>
      <c r="E268" t="s">
        <v>3737</v>
      </c>
      <c r="F268" t="s">
        <v>3076</v>
      </c>
      <c r="G268" t="s">
        <v>3738</v>
      </c>
    </row>
    <row r="269" spans="1:7" ht="11.25" customHeight="1">
      <c r="A269" t="s">
        <v>14</v>
      </c>
      <c r="B269" t="s">
        <v>3714</v>
      </c>
      <c r="C269" t="s">
        <v>3715</v>
      </c>
      <c r="D269" t="s">
        <v>3714</v>
      </c>
      <c r="E269" t="s">
        <v>3715</v>
      </c>
      <c r="F269" t="s">
        <v>3045</v>
      </c>
      <c r="G269" t="s">
        <v>3739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56A96-F72F-00FD-2689-F78F5FE883DE}">
  <sheetPr>
    <tabColor rgb="FFFFCC99"/>
  </sheetPr>
  <dimension ref="A1:C3"/>
  <sheetViews>
    <sheetView showGridLines="0" workbookViewId="0"/>
  </sheetViews>
  <sheetFormatPr defaultColWidth="9.140625" defaultRowHeight="11.25" customHeight="1"/>
  <cols>
    <col min="1" max="1" width="9.140625" style="1961"/>
    <col min="2" max="2" width="84.28515625" style="1961" customWidth="1"/>
    <col min="3" max="3" width="9.140625" style="1961"/>
  </cols>
  <sheetData>
    <row r="1" spans="1:3" ht="11.25" customHeight="1">
      <c r="A1" s="716" t="s">
        <v>3773</v>
      </c>
      <c r="B1" s="716" t="s">
        <v>3774</v>
      </c>
      <c r="C1" s="716" t="s">
        <v>1526</v>
      </c>
    </row>
    <row r="2" spans="1:3" ht="11.25" customHeight="1">
      <c r="A2" s="716">
        <v>4189678</v>
      </c>
      <c r="B2" s="716" t="s">
        <v>3775</v>
      </c>
      <c r="C2" s="716" t="s">
        <v>3776</v>
      </c>
    </row>
    <row r="3" spans="1:3" ht="11.25" customHeight="1">
      <c r="A3" s="716">
        <v>4190415</v>
      </c>
      <c r="B3" s="716" t="s">
        <v>3777</v>
      </c>
      <c r="C3" s="716" t="s">
        <v>3776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6E624-BA69-FC58-2A6C-C8B9C639374A}">
  <sheetPr>
    <tabColor rgb="FFFFCC99"/>
  </sheetPr>
  <dimension ref="A1:E8"/>
  <sheetViews>
    <sheetView showGridLines="0" workbookViewId="0"/>
  </sheetViews>
  <sheetFormatPr defaultColWidth="9.140625" defaultRowHeight="15" customHeight="1"/>
  <cols>
    <col min="1" max="1" width="38.42578125" style="1959" customWidth="1"/>
    <col min="2" max="5" width="9.140625" style="1959"/>
  </cols>
  <sheetData>
    <row r="1" spans="1:5" ht="15" customHeight="1">
      <c r="A1" s="80" t="s">
        <v>3778</v>
      </c>
      <c r="B1" s="80" t="s">
        <v>3779</v>
      </c>
      <c r="C1" s="80"/>
      <c r="D1" s="80"/>
      <c r="E1" s="80"/>
    </row>
    <row r="2" spans="1:5" ht="15" customHeight="1">
      <c r="A2" s="80"/>
      <c r="B2" s="80"/>
      <c r="C2" s="80"/>
      <c r="D2" s="80"/>
      <c r="E2" s="80"/>
    </row>
    <row r="3" spans="1:5" ht="15" customHeight="1">
      <c r="A3" s="80"/>
      <c r="B3" s="80"/>
      <c r="C3" s="80"/>
      <c r="D3" s="80"/>
      <c r="E3" s="80"/>
    </row>
    <row r="4" spans="1:5" ht="15" customHeight="1">
      <c r="A4" s="80"/>
      <c r="B4" s="80"/>
      <c r="C4" s="80"/>
      <c r="D4" s="80"/>
      <c r="E4" s="80"/>
    </row>
    <row r="5" spans="1:5" ht="15" customHeight="1">
      <c r="A5" s="80"/>
      <c r="B5" s="80"/>
      <c r="C5" s="80"/>
      <c r="D5" s="80"/>
      <c r="E5" s="80"/>
    </row>
    <row r="6" spans="1:5" ht="15" customHeight="1">
      <c r="A6" s="80"/>
      <c r="B6" s="80"/>
      <c r="C6" s="80"/>
      <c r="D6" s="80"/>
      <c r="E6" s="80"/>
    </row>
    <row r="7" spans="1:5" ht="15" customHeight="1">
      <c r="A7" s="80"/>
      <c r="B7" s="80"/>
      <c r="C7" s="80"/>
      <c r="D7" s="80"/>
      <c r="E7" s="80"/>
    </row>
    <row r="8" spans="1:5" ht="15" customHeight="1">
      <c r="A8" s="80"/>
      <c r="B8" s="80"/>
      <c r="C8" s="80"/>
      <c r="D8" s="80"/>
      <c r="E8" s="8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FE117-8385-B60D-1A82-99885429D2BB}">
  <sheetPr>
    <tabColor rgb="FFFFCC99"/>
  </sheetPr>
  <dimension ref="A1:B15"/>
  <sheetViews>
    <sheetView workbookViewId="0"/>
  </sheetViews>
  <sheetFormatPr defaultRowHeight="11.25" customHeight="1"/>
  <sheetData>
    <row r="1" spans="1:2" ht="11.25" customHeight="1">
      <c r="A1" t="s">
        <v>3780</v>
      </c>
      <c r="B1" t="b">
        <v>1</v>
      </c>
    </row>
    <row r="2" spans="1:2" ht="11.25" customHeight="1">
      <c r="A2" t="s">
        <v>3781</v>
      </c>
      <c r="B2" t="b">
        <v>0</v>
      </c>
    </row>
    <row r="3" spans="1:2" ht="11.25" customHeight="1">
      <c r="A3" t="s">
        <v>3782</v>
      </c>
      <c r="B3" t="b">
        <v>1</v>
      </c>
    </row>
    <row r="4" spans="1:2" ht="11.25" customHeight="1">
      <c r="A4" t="s">
        <v>3783</v>
      </c>
      <c r="B4" t="b">
        <v>0</v>
      </c>
    </row>
    <row r="5" spans="1:2" ht="11.25" customHeight="1">
      <c r="A5" t="s">
        <v>3784</v>
      </c>
      <c r="B5" t="b">
        <v>0</v>
      </c>
    </row>
    <row r="6" spans="1:2" ht="11.25" customHeight="1">
      <c r="A6" t="s">
        <v>3785</v>
      </c>
      <c r="B6" t="b">
        <v>0</v>
      </c>
    </row>
    <row r="7" spans="1:2" ht="11.25" customHeight="1">
      <c r="A7" t="s">
        <v>3786</v>
      </c>
      <c r="B7" t="b">
        <v>0</v>
      </c>
    </row>
    <row r="8" spans="1:2" ht="11.25" customHeight="1">
      <c r="A8" t="s">
        <v>3787</v>
      </c>
      <c r="B8" t="b">
        <v>0</v>
      </c>
    </row>
    <row r="9" spans="1:2" ht="11.25" customHeight="1">
      <c r="A9" t="s">
        <v>3788</v>
      </c>
      <c r="B9" t="b">
        <v>0</v>
      </c>
    </row>
    <row r="10" spans="1:2" ht="11.25" customHeight="1">
      <c r="A10" t="s">
        <v>3789</v>
      </c>
      <c r="B10" t="b">
        <v>0</v>
      </c>
    </row>
    <row r="11" spans="1:2" ht="11.25" customHeight="1">
      <c r="A11" t="s">
        <v>3790</v>
      </c>
      <c r="B11" t="b">
        <v>1</v>
      </c>
    </row>
    <row r="12" spans="1:2" ht="11.25" customHeight="1">
      <c r="A12" t="s">
        <v>3791</v>
      </c>
      <c r="B12" t="b">
        <v>0</v>
      </c>
    </row>
    <row r="13" spans="1:2" ht="11.25" customHeight="1">
      <c r="A13" t="s">
        <v>3792</v>
      </c>
      <c r="B13" t="b">
        <v>0</v>
      </c>
    </row>
    <row r="14" spans="1:2" ht="11.25" customHeight="1">
      <c r="A14" t="s">
        <v>3793</v>
      </c>
      <c r="B14" t="b">
        <v>0</v>
      </c>
    </row>
    <row r="15" spans="1:2" ht="11.25" customHeight="1">
      <c r="A15" t="s">
        <v>3794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93A53-30F4-B33B-DA5D-88674314D69D}">
  <sheetPr>
    <tabColor rgb="FFFFCC99"/>
  </sheetPr>
  <dimension ref="A1"/>
  <sheetViews>
    <sheetView showGridLines="0" workbookViewId="0"/>
  </sheetViews>
  <sheetFormatPr defaultColWidth="9.140625" defaultRowHeight="12.75" customHeight="1"/>
  <cols>
    <col min="1" max="1" width="9.140625" style="1960"/>
  </cols>
  <sheetData>
    <row r="1" spans="1:1" ht="12.75" customHeight="1">
      <c r="A1" s="2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875DF-5522-ED25-4059-06575BD6AC74}">
  <sheetPr>
    <tabColor rgb="FFFFCC99"/>
  </sheetPr>
  <dimension ref="A1:B253"/>
  <sheetViews>
    <sheetView showGridLines="0" workbookViewId="0"/>
  </sheetViews>
  <sheetFormatPr defaultColWidth="9.140625" defaultRowHeight="11.25" customHeight="1"/>
  <cols>
    <col min="1" max="1" width="36.28515625" style="1962" customWidth="1"/>
    <col min="2" max="2" width="21.140625" style="1962" customWidth="1"/>
  </cols>
  <sheetData>
    <row r="1" spans="1:2" ht="11.25" customHeight="1">
      <c r="A1" s="3" t="s">
        <v>3795</v>
      </c>
      <c r="B1" s="3" t="s">
        <v>3796</v>
      </c>
    </row>
    <row r="2" spans="1:2" ht="11.25" customHeight="1">
      <c r="A2" s="1" t="s">
        <v>3797</v>
      </c>
      <c r="B2" s="1" t="s">
        <v>3798</v>
      </c>
    </row>
    <row r="3" spans="1:2" ht="11.25" customHeight="1">
      <c r="A3" s="1" t="s">
        <v>3799</v>
      </c>
      <c r="B3" s="1" t="s">
        <v>3800</v>
      </c>
    </row>
    <row r="4" spans="1:2" ht="11.25" customHeight="1">
      <c r="A4" s="1" t="s">
        <v>3801</v>
      </c>
      <c r="B4" s="1" t="s">
        <v>3802</v>
      </c>
    </row>
    <row r="5" spans="1:2" ht="11.25" customHeight="1">
      <c r="A5" s="1" t="s">
        <v>3803</v>
      </c>
      <c r="B5" s="1" t="s">
        <v>3804</v>
      </c>
    </row>
    <row r="6" spans="1:2" ht="11.25" customHeight="1">
      <c r="A6" s="1" t="s">
        <v>3805</v>
      </c>
      <c r="B6" s="1" t="s">
        <v>3806</v>
      </c>
    </row>
    <row r="7" spans="1:2" ht="11.25" customHeight="1">
      <c r="A7" s="1" t="s">
        <v>3807</v>
      </c>
      <c r="B7" s="1" t="s">
        <v>3808</v>
      </c>
    </row>
    <row r="8" spans="1:2" ht="11.25" customHeight="1">
      <c r="A8" s="1" t="s">
        <v>3809</v>
      </c>
      <c r="B8" s="1" t="s">
        <v>3810</v>
      </c>
    </row>
    <row r="9" spans="1:2" ht="11.25" customHeight="1">
      <c r="A9" s="1" t="s">
        <v>3811</v>
      </c>
      <c r="B9" s="1" t="s">
        <v>3812</v>
      </c>
    </row>
    <row r="10" spans="1:2" ht="11.25" customHeight="1">
      <c r="A10" s="1" t="s">
        <v>3813</v>
      </c>
      <c r="B10" s="1" t="s">
        <v>3814</v>
      </c>
    </row>
    <row r="11" spans="1:2" ht="11.25" customHeight="1">
      <c r="A11" s="1" t="s">
        <v>3815</v>
      </c>
      <c r="B11" s="1" t="s">
        <v>3816</v>
      </c>
    </row>
    <row r="12" spans="1:2" ht="11.25" customHeight="1">
      <c r="A12" s="1" t="s">
        <v>3817</v>
      </c>
      <c r="B12" s="1" t="s">
        <v>3818</v>
      </c>
    </row>
    <row r="13" spans="1:2" ht="11.25" customHeight="1">
      <c r="A13" s="1" t="s">
        <v>3819</v>
      </c>
      <c r="B13" s="1" t="s">
        <v>3820</v>
      </c>
    </row>
    <row r="14" spans="1:2" ht="11.25" customHeight="1">
      <c r="A14" s="1" t="s">
        <v>3821</v>
      </c>
      <c r="B14" s="1" t="s">
        <v>3822</v>
      </c>
    </row>
    <row r="15" spans="1:2" ht="11.25" customHeight="1">
      <c r="A15" s="1" t="s">
        <v>3823</v>
      </c>
      <c r="B15" s="1" t="s">
        <v>3824</v>
      </c>
    </row>
    <row r="16" spans="1:2" ht="11.25" customHeight="1">
      <c r="A16" s="1" t="s">
        <v>3825</v>
      </c>
      <c r="B16" s="1" t="s">
        <v>3826</v>
      </c>
    </row>
    <row r="17" spans="1:2" ht="11.25" customHeight="1">
      <c r="A17" s="1" t="s">
        <v>3827</v>
      </c>
      <c r="B17" s="1" t="s">
        <v>3828</v>
      </c>
    </row>
    <row r="18" spans="1:2" ht="11.25" customHeight="1">
      <c r="A18" s="1" t="s">
        <v>3829</v>
      </c>
      <c r="B18" s="1" t="s">
        <v>3830</v>
      </c>
    </row>
    <row r="19" spans="1:2" ht="11.25" customHeight="1">
      <c r="A19" s="1" t="s">
        <v>3831</v>
      </c>
      <c r="B19" s="1" t="s">
        <v>3832</v>
      </c>
    </row>
    <row r="20" spans="1:2" ht="11.25" customHeight="1">
      <c r="A20" s="1" t="s">
        <v>3833</v>
      </c>
      <c r="B20" s="1" t="s">
        <v>3834</v>
      </c>
    </row>
    <row r="21" spans="1:2" ht="11.25" customHeight="1">
      <c r="A21" s="1" t="s">
        <v>3835</v>
      </c>
      <c r="B21" s="1" t="s">
        <v>3836</v>
      </c>
    </row>
    <row r="22" spans="1:2" ht="11.25" customHeight="1">
      <c r="A22" s="1" t="s">
        <v>3837</v>
      </c>
      <c r="B22" s="1" t="s">
        <v>3838</v>
      </c>
    </row>
    <row r="23" spans="1:2" ht="11.25" customHeight="1">
      <c r="A23" s="1" t="s">
        <v>3839</v>
      </c>
      <c r="B23" s="1" t="s">
        <v>3840</v>
      </c>
    </row>
    <row r="24" spans="1:2" ht="11.25" customHeight="1">
      <c r="A24" s="1" t="s">
        <v>3841</v>
      </c>
      <c r="B24" s="1" t="s">
        <v>3842</v>
      </c>
    </row>
    <row r="25" spans="1:2" ht="11.25" customHeight="1">
      <c r="A25" s="1" t="s">
        <v>3843</v>
      </c>
      <c r="B25" s="1" t="s">
        <v>3844</v>
      </c>
    </row>
    <row r="26" spans="1:2" ht="11.25" customHeight="1">
      <c r="A26" s="1" t="s">
        <v>3845</v>
      </c>
      <c r="B26" s="1" t="s">
        <v>3846</v>
      </c>
    </row>
    <row r="27" spans="1:2" ht="11.25" customHeight="1">
      <c r="A27" s="1" t="s">
        <v>3847</v>
      </c>
      <c r="B27" s="1" t="s">
        <v>3848</v>
      </c>
    </row>
    <row r="28" spans="1:2" ht="11.25" customHeight="1">
      <c r="A28" s="1" t="s">
        <v>3849</v>
      </c>
      <c r="B28" s="1" t="s">
        <v>3850</v>
      </c>
    </row>
    <row r="29" spans="1:2" ht="11.25" customHeight="1">
      <c r="A29" s="1" t="s">
        <v>3851</v>
      </c>
      <c r="B29" s="1" t="s">
        <v>3852</v>
      </c>
    </row>
    <row r="30" spans="1:2" ht="11.25" customHeight="1">
      <c r="A30" s="1" t="s">
        <v>3853</v>
      </c>
      <c r="B30" s="1" t="s">
        <v>3854</v>
      </c>
    </row>
    <row r="31" spans="1:2" ht="11.25" customHeight="1">
      <c r="A31" s="1" t="s">
        <v>3855</v>
      </c>
      <c r="B31" s="1" t="s">
        <v>3856</v>
      </c>
    </row>
    <row r="32" spans="1:2" ht="11.25" customHeight="1">
      <c r="A32" s="1" t="s">
        <v>3857</v>
      </c>
      <c r="B32" s="1" t="s">
        <v>3858</v>
      </c>
    </row>
    <row r="33" spans="1:2" ht="11.25" customHeight="1">
      <c r="A33" s="1" t="s">
        <v>3859</v>
      </c>
      <c r="B33" s="1" t="s">
        <v>3860</v>
      </c>
    </row>
    <row r="34" spans="1:2" ht="11.25" customHeight="1">
      <c r="A34" s="1" t="s">
        <v>3861</v>
      </c>
      <c r="B34" s="1" t="s">
        <v>3862</v>
      </c>
    </row>
    <row r="35" spans="1:2" ht="11.25" customHeight="1">
      <c r="A35" s="1" t="s">
        <v>3863</v>
      </c>
      <c r="B35" s="1" t="s">
        <v>3864</v>
      </c>
    </row>
    <row r="36" spans="1:2" ht="11.25" customHeight="1">
      <c r="A36" s="1" t="s">
        <v>3865</v>
      </c>
      <c r="B36" s="1" t="s">
        <v>3866</v>
      </c>
    </row>
    <row r="37" spans="1:2" ht="11.25" customHeight="1">
      <c r="A37" s="1" t="s">
        <v>3867</v>
      </c>
      <c r="B37" s="1" t="s">
        <v>3868</v>
      </c>
    </row>
    <row r="38" spans="1:2" ht="11.25" customHeight="1">
      <c r="A38" s="1" t="s">
        <v>3869</v>
      </c>
      <c r="B38" s="1" t="s">
        <v>3870</v>
      </c>
    </row>
    <row r="39" spans="1:2" ht="11.25" customHeight="1">
      <c r="A39" s="1" t="s">
        <v>3871</v>
      </c>
      <c r="B39" s="1" t="s">
        <v>3872</v>
      </c>
    </row>
    <row r="40" spans="1:2" ht="11.25" customHeight="1">
      <c r="A40" s="1" t="s">
        <v>3873</v>
      </c>
      <c r="B40" s="1" t="s">
        <v>3874</v>
      </c>
    </row>
    <row r="41" spans="1:2" ht="11.25" customHeight="1">
      <c r="A41" s="1" t="s">
        <v>3875</v>
      </c>
      <c r="B41" s="1" t="s">
        <v>3876</v>
      </c>
    </row>
    <row r="42" spans="1:2" ht="11.25" customHeight="1">
      <c r="A42" s="1" t="s">
        <v>3877</v>
      </c>
      <c r="B42" s="1" t="s">
        <v>3878</v>
      </c>
    </row>
    <row r="43" spans="1:2" ht="11.25" customHeight="1">
      <c r="A43" s="1" t="s">
        <v>3879</v>
      </c>
      <c r="B43" s="1" t="s">
        <v>3880</v>
      </c>
    </row>
    <row r="44" spans="1:2" ht="11.25" customHeight="1">
      <c r="A44" s="1" t="s">
        <v>3881</v>
      </c>
      <c r="B44" s="1" t="s">
        <v>3882</v>
      </c>
    </row>
    <row r="45" spans="1:2" ht="11.25" customHeight="1">
      <c r="A45" s="1" t="s">
        <v>3883</v>
      </c>
      <c r="B45" s="1" t="s">
        <v>3884</v>
      </c>
    </row>
    <row r="46" spans="1:2" ht="11.25" customHeight="1">
      <c r="A46" s="1" t="s">
        <v>3885</v>
      </c>
      <c r="B46" s="1" t="s">
        <v>3886</v>
      </c>
    </row>
    <row r="47" spans="1:2" ht="11.25" customHeight="1">
      <c r="A47" s="1" t="s">
        <v>3887</v>
      </c>
      <c r="B47" s="1" t="s">
        <v>3888</v>
      </c>
    </row>
    <row r="48" spans="1:2" ht="11.25" customHeight="1">
      <c r="A48" s="1" t="s">
        <v>3889</v>
      </c>
      <c r="B48" s="1" t="s">
        <v>3890</v>
      </c>
    </row>
    <row r="49" spans="1:2" ht="11.25" customHeight="1">
      <c r="A49" s="1" t="s">
        <v>3891</v>
      </c>
      <c r="B49" s="1" t="s">
        <v>3892</v>
      </c>
    </row>
    <row r="50" spans="1:2" ht="11.25" customHeight="1">
      <c r="A50" s="1" t="s">
        <v>3893</v>
      </c>
      <c r="B50" s="1" t="s">
        <v>3894</v>
      </c>
    </row>
    <row r="51" spans="1:2" ht="11.25" customHeight="1">
      <c r="A51" s="1" t="s">
        <v>3895</v>
      </c>
      <c r="B51" s="1" t="s">
        <v>3896</v>
      </c>
    </row>
    <row r="52" spans="1:2" ht="11.25" customHeight="1">
      <c r="A52" s="1" t="s">
        <v>3897</v>
      </c>
      <c r="B52" s="1" t="s">
        <v>3898</v>
      </c>
    </row>
    <row r="53" spans="1:2" ht="11.25" customHeight="1">
      <c r="A53" s="1" t="s">
        <v>3899</v>
      </c>
      <c r="B53" s="1" t="s">
        <v>3900</v>
      </c>
    </row>
    <row r="54" spans="1:2" ht="11.25" customHeight="1">
      <c r="A54" s="1" t="s">
        <v>3901</v>
      </c>
      <c r="B54" s="1" t="s">
        <v>3902</v>
      </c>
    </row>
    <row r="55" spans="1:2" ht="11.25" customHeight="1">
      <c r="A55" s="1" t="s">
        <v>3903</v>
      </c>
      <c r="B55" s="1" t="s">
        <v>3904</v>
      </c>
    </row>
    <row r="56" spans="1:2" ht="11.25" customHeight="1">
      <c r="A56" s="1" t="s">
        <v>3905</v>
      </c>
      <c r="B56" s="1" t="s">
        <v>3906</v>
      </c>
    </row>
    <row r="57" spans="1:2" ht="11.25" customHeight="1">
      <c r="A57" s="1" t="s">
        <v>3907</v>
      </c>
      <c r="B57" s="1" t="s">
        <v>3908</v>
      </c>
    </row>
    <row r="58" spans="1:2" ht="11.25" customHeight="1">
      <c r="A58" s="1" t="s">
        <v>3909</v>
      </c>
      <c r="B58" s="1" t="s">
        <v>3910</v>
      </c>
    </row>
    <row r="59" spans="1:2" ht="11.25" customHeight="1">
      <c r="A59" s="1" t="s">
        <v>3911</v>
      </c>
      <c r="B59" s="1" t="s">
        <v>3912</v>
      </c>
    </row>
    <row r="60" spans="1:2" ht="11.25" customHeight="1">
      <c r="A60" s="1" t="s">
        <v>3913</v>
      </c>
      <c r="B60" s="1" t="s">
        <v>3914</v>
      </c>
    </row>
    <row r="61" spans="1:2" ht="11.25" customHeight="1">
      <c r="A61" s="1"/>
      <c r="B61" s="1" t="s">
        <v>3915</v>
      </c>
    </row>
    <row r="62" spans="1:2" ht="11.25" customHeight="1">
      <c r="A62" s="1"/>
      <c r="B62" s="1" t="s">
        <v>3916</v>
      </c>
    </row>
    <row r="63" spans="1:2" ht="11.25" customHeight="1">
      <c r="A63" s="1"/>
      <c r="B63" s="1" t="s">
        <v>3917</v>
      </c>
    </row>
    <row r="64" spans="1:2" ht="11.25" customHeight="1">
      <c r="A64" s="1"/>
      <c r="B64" s="1" t="s">
        <v>3918</v>
      </c>
    </row>
    <row r="65" spans="1:2" ht="11.25" customHeight="1">
      <c r="A65" s="1"/>
      <c r="B65" s="1" t="s">
        <v>3919</v>
      </c>
    </row>
    <row r="66" spans="1:2" ht="11.25" customHeight="1">
      <c r="A66" s="1"/>
      <c r="B66" s="1" t="s">
        <v>3920</v>
      </c>
    </row>
    <row r="67" spans="1:2" ht="11.25" customHeight="1">
      <c r="A67" s="1"/>
      <c r="B67" s="1" t="s">
        <v>3921</v>
      </c>
    </row>
    <row r="68" spans="1:2" ht="11.25" customHeight="1">
      <c r="A68" s="1"/>
      <c r="B68" s="1" t="s">
        <v>3922</v>
      </c>
    </row>
    <row r="69" spans="1:2" ht="11.25" customHeight="1">
      <c r="A69" s="1"/>
      <c r="B69" s="1" t="s">
        <v>3923</v>
      </c>
    </row>
    <row r="70" spans="1:2" ht="11.25" customHeight="1">
      <c r="A70" s="1"/>
      <c r="B70" s="1" t="s">
        <v>3924</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1081F-1A82-2A2C-7BCB-F8CF773E4518}">
  <sheetPr>
    <tabColor rgb="FFFFCC99"/>
  </sheetPr>
  <dimension ref="A1:D36"/>
  <sheetViews>
    <sheetView showGridLines="0" workbookViewId="0"/>
  </sheetViews>
  <sheetFormatPr defaultColWidth="9.140625" defaultRowHeight="11.25" customHeight="1"/>
  <cols>
    <col min="1" max="1" width="3.7109375" style="1962" customWidth="1"/>
    <col min="2" max="2" width="90.7109375" style="1962" customWidth="1"/>
    <col min="3" max="4" width="9.140625" style="1962"/>
  </cols>
  <sheetData>
    <row r="1" spans="2:4" ht="11.25" customHeight="1">
      <c r="B1" s="22" t="s">
        <v>3925</v>
      </c>
    </row>
    <row r="2" spans="2:4" ht="90" customHeight="1">
      <c r="B2" s="23" t="s">
        <v>3926</v>
      </c>
    </row>
    <row r="3" spans="2:4" ht="67.5" customHeight="1">
      <c r="B3" s="23" t="s">
        <v>3927</v>
      </c>
    </row>
    <row r="4" spans="2:4" ht="33.75" customHeight="1">
      <c r="B4" s="23" t="s">
        <v>3928</v>
      </c>
    </row>
    <row r="5" spans="2:4" ht="11.25" customHeight="1">
      <c r="B5" s="23" t="s">
        <v>3929</v>
      </c>
    </row>
    <row r="6" spans="2:4" ht="22.5" customHeight="1">
      <c r="B6" s="23" t="s">
        <v>3930</v>
      </c>
    </row>
    <row r="7" spans="2:4" ht="22.5" customHeight="1">
      <c r="B7" s="23" t="s">
        <v>3931</v>
      </c>
    </row>
    <row r="8" spans="2:4" ht="22.5" customHeight="1">
      <c r="B8" s="23" t="s">
        <v>3932</v>
      </c>
    </row>
    <row r="9" spans="2:4" ht="22.5" customHeight="1">
      <c r="B9" s="23" t="s">
        <v>3933</v>
      </c>
    </row>
    <row r="10" spans="2:4" ht="56.25" customHeight="1">
      <c r="B10" s="23" t="s">
        <v>3934</v>
      </c>
    </row>
    <row r="11" spans="2:4" ht="12.75" customHeight="1">
      <c r="B11" s="77" t="s">
        <v>3935</v>
      </c>
    </row>
    <row r="12" spans="2:4" ht="11.25" customHeight="1">
      <c r="B12" s="22" t="s">
        <v>3936</v>
      </c>
    </row>
    <row r="13" spans="2:4" ht="22.5" customHeight="1">
      <c r="B13" s="23" t="s">
        <v>3937</v>
      </c>
    </row>
    <row r="14" spans="2:4" ht="67.5" customHeight="1">
      <c r="B14" s="23" t="s">
        <v>3938</v>
      </c>
    </row>
    <row r="15" spans="2:4" ht="22.5" customHeight="1">
      <c r="B15" s="23" t="s">
        <v>3939</v>
      </c>
    </row>
    <row r="16" spans="2:4" ht="11.25" customHeight="1">
      <c r="B16" s="22" t="s">
        <v>3940</v>
      </c>
      <c r="D16" s="29"/>
    </row>
    <row r="17" spans="1:2" ht="33.75" customHeight="1">
      <c r="B17" s="23" t="s">
        <v>3941</v>
      </c>
    </row>
    <row r="18" spans="1:2" ht="33.75" customHeight="1">
      <c r="B18" s="23" t="s">
        <v>3942</v>
      </c>
    </row>
    <row r="19" spans="1:2" ht="11.25" customHeight="1">
      <c r="B19" s="23" t="s">
        <v>3943</v>
      </c>
    </row>
    <row r="20" spans="1:2" ht="33.75" customHeight="1">
      <c r="B20" s="23" t="s">
        <v>3944</v>
      </c>
    </row>
    <row r="21" spans="1:2" ht="11.25" customHeight="1">
      <c r="B21" s="22" t="s">
        <v>3945</v>
      </c>
    </row>
    <row r="22" spans="1:2" ht="11.25" customHeight="1">
      <c r="B22" s="23" t="s">
        <v>3946</v>
      </c>
    </row>
    <row r="24" spans="1:2" ht="22.5" customHeight="1">
      <c r="B24" s="79" t="s">
        <v>3947</v>
      </c>
    </row>
    <row r="26" spans="1:2" ht="11.25" customHeight="1">
      <c r="B26" s="22" t="s">
        <v>3948</v>
      </c>
    </row>
    <row r="27" spans="1:2" ht="22.5" customHeight="1">
      <c r="B27" s="78" t="s">
        <v>658</v>
      </c>
    </row>
    <row r="28" spans="1:2" ht="56.25" customHeight="1">
      <c r="B28" s="78" t="s">
        <v>3949</v>
      </c>
    </row>
    <row r="29" spans="1:2" ht="11.25" customHeight="1">
      <c r="B29" s="126" t="s">
        <v>3950</v>
      </c>
    </row>
    <row r="30" spans="1:2" ht="22.5" customHeight="1">
      <c r="B30" s="78" t="s">
        <v>3951</v>
      </c>
    </row>
    <row r="32" spans="1:2" ht="11.25" customHeight="1">
      <c r="A32"/>
      <c r="B32" s="105" t="s">
        <v>3952</v>
      </c>
    </row>
    <row r="33" spans="1:2" ht="14.25" customHeight="1">
      <c r="A33" s="106">
        <v>1</v>
      </c>
      <c r="B33" s="107" t="s">
        <v>3953</v>
      </c>
    </row>
    <row r="34" spans="1:2" ht="14.25" customHeight="1">
      <c r="A34" s="106">
        <v>2</v>
      </c>
      <c r="B34" s="107" t="s">
        <v>3954</v>
      </c>
    </row>
    <row r="35" spans="1:2" ht="11.25" customHeight="1">
      <c r="B35" s="105" t="s">
        <v>3955</v>
      </c>
    </row>
    <row r="36" spans="1:2" ht="11.25" customHeight="1">
      <c r="B36" s="107" t="s">
        <v>3956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FA165-2DB3-4A81-6C2E-6E5F5289EB9A}">
  <sheetPr>
    <tabColor theme="3" tint="0.59999389629810485"/>
  </sheetPr>
  <dimension ref="A1:U17"/>
  <sheetViews>
    <sheetView showGridLines="0" topLeftCell="C5" zoomScale="90" workbookViewId="0"/>
  </sheetViews>
  <sheetFormatPr defaultColWidth="10.5703125" defaultRowHeight="14.25" customHeight="1"/>
  <cols>
    <col min="1" max="1" width="9.140625" style="1926" hidden="1" customWidth="1"/>
    <col min="2" max="2" width="9.140625" style="1910" hidden="1" customWidth="1"/>
    <col min="3" max="3" width="3.7109375" style="1940" customWidth="1"/>
    <col min="4" max="4" width="5.5703125" style="1910" customWidth="1"/>
    <col min="5" max="5" width="38.140625" style="1910" customWidth="1"/>
    <col min="6" max="7" width="3.7109375" style="1910" customWidth="1"/>
    <col min="8" max="8" width="38.28515625" style="1910" customWidth="1"/>
    <col min="9" max="9" width="35.7109375" style="1910" customWidth="1"/>
    <col min="10" max="10" width="103.7109375" style="1910" customWidth="1"/>
    <col min="11" max="11" width="3.7109375" style="1932" customWidth="1"/>
    <col min="12" max="14" width="10.5703125" style="1866"/>
    <col min="15" max="15" width="13.7109375" style="1866" customWidth="1"/>
    <col min="16" max="16" width="15.42578125" style="1866" customWidth="1"/>
    <col min="17" max="17" width="16.28515625" style="1866" customWidth="1"/>
    <col min="18" max="21" width="10.5703125" style="1866"/>
  </cols>
  <sheetData>
    <row r="1" spans="1:21" ht="14.25" hidden="1" customHeight="1">
      <c r="E1" s="319"/>
      <c r="F1" s="319"/>
      <c r="G1" s="319"/>
      <c r="H1" s="3506" t="s">
        <v>614</v>
      </c>
      <c r="I1" s="3506"/>
    </row>
    <row r="2" spans="1:21" s="1910" customFormat="1" ht="14.25" hidden="1" customHeight="1">
      <c r="C2" s="1464"/>
      <c r="D2" s="3510" t="s">
        <v>106</v>
      </c>
      <c r="E2" s="3512"/>
      <c r="F2" s="1470"/>
      <c r="G2" s="1465" t="s">
        <v>106</v>
      </c>
      <c r="H2" s="1468"/>
      <c r="I2" s="1466"/>
      <c r="L2" s="1467"/>
      <c r="M2" s="1467"/>
      <c r="N2" s="1467"/>
      <c r="O2" s="1467" t="s">
        <v>644</v>
      </c>
      <c r="P2" s="1467"/>
      <c r="Q2" s="1467"/>
      <c r="R2" s="1469" t="s">
        <v>643</v>
      </c>
      <c r="S2" s="1469" t="s">
        <v>643</v>
      </c>
      <c r="T2" s="1467"/>
      <c r="U2" s="1467"/>
    </row>
    <row r="3" spans="1:21" s="1910" customFormat="1" ht="14.25" hidden="1" customHeight="1">
      <c r="C3" s="1464"/>
      <c r="D3" s="3511"/>
      <c r="E3" s="3513"/>
      <c r="F3" s="312"/>
      <c r="G3" s="746"/>
      <c r="H3" s="746" t="s">
        <v>645</v>
      </c>
      <c r="I3" s="224"/>
      <c r="L3" s="1467"/>
      <c r="M3" s="1467"/>
      <c r="N3" s="1467"/>
      <c r="O3" s="1467"/>
      <c r="P3" s="1467"/>
      <c r="Q3" s="1467"/>
      <c r="R3" s="1469"/>
      <c r="S3" s="1469"/>
      <c r="T3" s="1467"/>
      <c r="U3" s="1467"/>
    </row>
    <row r="4" spans="1:21" ht="14.25" hidden="1" customHeight="1"/>
    <row r="5" spans="1:21" s="1831" customFormat="1" ht="6" customHeight="1">
      <c r="C5" s="591"/>
      <c r="D5" s="592"/>
      <c r="E5" s="592"/>
      <c r="F5" s="592"/>
      <c r="G5" s="592"/>
      <c r="H5" s="592" t="s">
        <v>618</v>
      </c>
      <c r="I5" s="592"/>
      <c r="J5" s="592"/>
      <c r="L5" s="1460"/>
      <c r="M5" s="1460"/>
      <c r="N5" s="1460"/>
      <c r="O5" s="1460"/>
      <c r="P5" s="1460"/>
      <c r="Q5" s="1460"/>
      <c r="R5" s="1460"/>
      <c r="S5" s="1460"/>
      <c r="T5" s="1460"/>
      <c r="U5" s="1460"/>
    </row>
    <row r="6" spans="1:21" ht="27.75" customHeight="1">
      <c r="C6" s="1371"/>
      <c r="D6" s="3509" t="s">
        <v>646</v>
      </c>
      <c r="E6" s="3509"/>
      <c r="F6" s="3509"/>
      <c r="G6" s="3509"/>
      <c r="H6" s="3509"/>
      <c r="I6" s="3509"/>
      <c r="J6" s="389"/>
      <c r="K6" s="1461"/>
    </row>
    <row r="7" spans="1:21" ht="17.25" customHeight="1">
      <c r="C7" s="1371"/>
      <c r="D7" s="3480" t="str">
        <f>IF(org=0,"Не определено",org)</f>
        <v>АО "Орелгортеплоэнерго"</v>
      </c>
      <c r="E7" s="3480"/>
      <c r="F7" s="3480"/>
      <c r="G7" s="3480"/>
      <c r="H7" s="3480"/>
      <c r="I7" s="3480"/>
      <c r="J7" s="389"/>
      <c r="K7" s="1461"/>
    </row>
    <row r="8" spans="1:21" s="1832" customFormat="1" ht="6" customHeight="1">
      <c r="A8" s="1459"/>
      <c r="C8" s="384"/>
      <c r="D8" s="383"/>
      <c r="E8" s="383"/>
      <c r="F8" s="383"/>
      <c r="G8" s="383"/>
      <c r="H8" s="383"/>
      <c r="I8" s="383"/>
      <c r="J8" s="383"/>
      <c r="L8" s="1460"/>
      <c r="M8" s="1460"/>
      <c r="N8" s="1460"/>
      <c r="O8" s="1460"/>
      <c r="P8" s="1460"/>
      <c r="Q8" s="1460"/>
      <c r="R8" s="1460"/>
      <c r="S8" s="1460"/>
      <c r="T8" s="1460"/>
      <c r="U8" s="1460"/>
    </row>
    <row r="9" spans="1:21" s="1832" customFormat="1" ht="6" customHeight="1">
      <c r="A9" s="1459"/>
      <c r="C9" s="384"/>
      <c r="D9" s="383"/>
      <c r="E9" s="383"/>
      <c r="F9" s="383"/>
      <c r="G9" s="383"/>
      <c r="H9" s="383"/>
      <c r="I9" s="383"/>
      <c r="J9" s="383"/>
      <c r="L9" s="1467"/>
      <c r="M9" s="1467"/>
      <c r="N9" s="1467"/>
      <c r="O9" s="1467"/>
      <c r="P9" s="1467"/>
      <c r="Q9" s="1467"/>
      <c r="R9" s="1467"/>
      <c r="S9" s="1467"/>
      <c r="T9" s="1467"/>
      <c r="U9" s="1467"/>
    </row>
    <row r="10" spans="1:21" ht="14.25" customHeight="1">
      <c r="C10" s="1371"/>
      <c r="D10" s="3494" t="s">
        <v>560</v>
      </c>
      <c r="E10" s="3507"/>
      <c r="F10" s="3507"/>
      <c r="G10" s="3507"/>
      <c r="H10" s="3507"/>
      <c r="I10" s="3507"/>
      <c r="J10" s="3456" t="s">
        <v>561</v>
      </c>
    </row>
    <row r="11" spans="1:21" ht="25.5" customHeight="1">
      <c r="C11" s="1371"/>
      <c r="D11" s="3401" t="s">
        <v>85</v>
      </c>
      <c r="E11" s="3456" t="s">
        <v>102</v>
      </c>
      <c r="F11" s="3459" t="s">
        <v>85</v>
      </c>
      <c r="G11" s="3460"/>
      <c r="H11" s="3458" t="s">
        <v>647</v>
      </c>
      <c r="I11" s="3458" t="s">
        <v>648</v>
      </c>
      <c r="J11" s="3456"/>
    </row>
    <row r="12" spans="1:21" ht="14.25" customHeight="1">
      <c r="C12" s="1371"/>
      <c r="D12" s="3401"/>
      <c r="E12" s="3456"/>
      <c r="F12" s="3464"/>
      <c r="G12" s="3465"/>
      <c r="H12" s="3514"/>
      <c r="I12" s="3514"/>
      <c r="J12" s="3456"/>
    </row>
    <row r="13" spans="1:21" s="1838" customFormat="1" ht="11.25" hidden="1" customHeight="1">
      <c r="C13" s="396"/>
      <c r="D13" s="397" t="s">
        <v>638</v>
      </c>
      <c r="E13" s="397"/>
      <c r="F13" s="397"/>
      <c r="G13" s="397"/>
      <c r="H13" s="395"/>
      <c r="I13" s="395"/>
      <c r="J13" s="339"/>
      <c r="L13" s="1460"/>
      <c r="M13" s="1460"/>
      <c r="N13" s="1460"/>
      <c r="O13" s="1460"/>
      <c r="P13" s="1460"/>
      <c r="Q13" s="1460"/>
      <c r="R13" s="1460"/>
      <c r="S13" s="1460"/>
      <c r="T13" s="1460"/>
      <c r="U13" s="1460"/>
    </row>
    <row r="14" spans="1:21" ht="14.25" customHeight="1">
      <c r="A14" s="1457"/>
      <c r="C14" s="1371"/>
      <c r="D14" s="3510" t="s">
        <v>106</v>
      </c>
      <c r="E14" s="3512"/>
      <c r="F14" s="1463"/>
      <c r="G14" s="1462" t="s">
        <v>106</v>
      </c>
      <c r="H14" s="1468"/>
      <c r="I14" s="1466"/>
      <c r="J14" s="3445" t="s">
        <v>649</v>
      </c>
      <c r="K14" s="1457"/>
      <c r="R14" s="398" t="s">
        <v>643</v>
      </c>
      <c r="S14" s="398" t="s">
        <v>643</v>
      </c>
    </row>
    <row r="15" spans="1:21" ht="14.25" customHeight="1">
      <c r="A15" s="1457"/>
      <c r="C15" s="1371"/>
      <c r="D15" s="3511"/>
      <c r="E15" s="3513"/>
      <c r="F15" s="312"/>
      <c r="G15" s="746"/>
      <c r="H15" s="746" t="s">
        <v>645</v>
      </c>
      <c r="I15" s="224"/>
      <c r="J15" s="3446"/>
      <c r="K15" s="1457"/>
      <c r="R15" s="398"/>
      <c r="S15" s="398"/>
    </row>
    <row r="16" spans="1:21" ht="14.25" customHeight="1">
      <c r="A16" s="1457"/>
      <c r="C16" s="1371"/>
      <c r="D16" s="312"/>
      <c r="E16" s="746" t="s">
        <v>389</v>
      </c>
      <c r="F16" s="224"/>
      <c r="G16" s="224"/>
      <c r="H16" s="313"/>
      <c r="I16" s="313"/>
      <c r="J16" s="3447"/>
      <c r="K16" s="1457"/>
    </row>
    <row r="17" spans="11:11" ht="14.25" customHeight="1">
      <c r="K17" s="1457"/>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87</vt:i4>
      </vt:variant>
      <vt:variant>
        <vt:lpstr>Именованные диапазоны</vt:lpstr>
      </vt:variant>
      <vt:variant>
        <vt:i4>2602</vt:i4>
      </vt:variant>
    </vt:vector>
  </HeadingPairs>
  <TitlesOfParts>
    <vt:vector size="26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B_FHD_diff_100</vt:lpstr>
      <vt:lpstr>B_FHD_diff_101</vt:lpstr>
      <vt:lpstr>B_FHD_diff_102</vt:lpstr>
      <vt:lpstr>B_FHD_diff_103</vt:lpstr>
      <vt:lpstr>B_FHD_diff_104</vt:lpstr>
      <vt:lpstr>B_FHD_diff_105</vt:lpstr>
      <vt:lpstr>B_FHD_diff_106</vt:lpstr>
      <vt:lpstr>B_FHD_diff_107</vt:lpstr>
      <vt:lpstr>B_FHD_diff_108</vt:lpstr>
      <vt:lpstr>B_FHD_diff_109</vt:lpstr>
      <vt:lpstr>B_FHD_diff_110</vt:lpstr>
      <vt:lpstr>B_FHD_diff_111</vt:lpstr>
      <vt:lpstr>B_FHD_diff_112</vt:lpstr>
      <vt:lpstr>B_FHD_diff_113</vt:lpstr>
      <vt:lpstr>B_FHD_diff_114</vt:lpstr>
      <vt:lpstr>B_FHD_diff_115</vt:lpstr>
      <vt:lpstr>B_FHD_diff_116</vt:lpstr>
      <vt:lpstr>B_FHD_diff_117</vt:lpstr>
      <vt:lpstr>B_FHD_diff_118</vt:lpstr>
      <vt:lpstr>B_FHD_diff_119</vt:lpstr>
      <vt:lpstr>B_FHD_diff_120</vt:lpstr>
      <vt:lpstr>B_FHD_diff_121</vt:lpstr>
      <vt:lpstr>B_FHD_diff_122</vt:lpstr>
      <vt:lpstr>B_FHD_diff_123</vt:lpstr>
      <vt:lpstr>B_FHD_diff_124</vt:lpstr>
      <vt:lpstr>B_FHD_diff_125</vt:lpstr>
      <vt:lpstr>B_FHD_diff_126</vt:lpstr>
      <vt:lpstr>B_FHD_diff_127</vt:lpstr>
      <vt:lpstr>B_FHD_diff_128</vt:lpstr>
      <vt:lpstr>B_FHD_diff_129</vt:lpstr>
      <vt:lpstr>B_FHD_diff_130</vt:lpstr>
      <vt:lpstr>B_FHD_diff_131</vt:lpstr>
      <vt:lpstr>B_FHD_diff_132</vt:lpstr>
      <vt:lpstr>B_FHD_diff_133</vt:lpstr>
      <vt:lpstr>B_FHD_diff_134</vt:lpstr>
      <vt:lpstr>B_FHD_diff_135</vt:lpstr>
      <vt:lpstr>B_FHD_diff_136</vt:lpstr>
      <vt:lpstr>B_FHD_diff_137</vt:lpstr>
      <vt:lpstr>B_FHD_diff_138</vt:lpstr>
      <vt:lpstr>B_FHD_diff_139</vt:lpstr>
      <vt:lpstr>B_FHD_diff_140</vt:lpstr>
      <vt:lpstr>B_FHD_diff_141</vt:lpstr>
      <vt:lpstr>B_FHD_diff_142</vt:lpstr>
      <vt:lpstr>B_FHD_diff_143</vt:lpstr>
      <vt:lpstr>B_FHD_diff_144</vt:lpstr>
      <vt:lpstr>B_FHD_diff_145</vt:lpstr>
      <vt:lpstr>B_FHD_diff_146</vt:lpstr>
      <vt:lpstr>B_FHD_diff_147</vt:lpstr>
      <vt:lpstr>B_FHD_diff_148</vt:lpstr>
      <vt:lpstr>B_FHD_diff_149</vt:lpstr>
      <vt:lpstr>B_FHD_diff_150</vt:lpstr>
      <vt:lpstr>B_FHD_diff_151</vt:lpstr>
      <vt:lpstr>B_FHD_diff_152</vt:lpstr>
      <vt:lpstr>B_FHD_diff_153</vt:lpstr>
      <vt:lpstr>B_FHD_diff_154</vt:lpstr>
      <vt:lpstr>B_FHD_diff_155</vt:lpstr>
      <vt:lpstr>B_FHD_diff_156</vt:lpstr>
      <vt:lpstr>B_FHD_diff_157</vt:lpstr>
      <vt:lpstr>B_FHD_diff_66</vt:lpstr>
      <vt:lpstr>B_FHD_diff_67</vt:lpstr>
      <vt:lpstr>B_FHD_diff_68</vt:lpstr>
      <vt:lpstr>B_FHD_diff_69</vt:lpstr>
      <vt:lpstr>B_FHD_diff_70</vt:lpstr>
      <vt:lpstr>B_FHD_diff_71</vt:lpstr>
      <vt:lpstr>B_FHD_diff_72</vt:lpstr>
      <vt:lpstr>B_FHD_diff_73</vt:lpstr>
      <vt:lpstr>B_FHD_diff_74</vt:lpstr>
      <vt:lpstr>B_FHD_diff_75</vt:lpstr>
      <vt:lpstr>B_FHD_diff_76</vt:lpstr>
      <vt:lpstr>B_FHD_diff_77</vt:lpstr>
      <vt:lpstr>B_FHD_diff_78</vt:lpstr>
      <vt:lpstr>B_FHD_diff_79</vt:lpstr>
      <vt:lpstr>B_FHD_diff_80</vt:lpstr>
      <vt:lpstr>B_FHD_diff_81</vt:lpstr>
      <vt:lpstr>B_FHD_diff_82</vt:lpstr>
      <vt:lpstr>B_FHD_diff_83</vt:lpstr>
      <vt:lpstr>B_FHD_diff_84</vt:lpstr>
      <vt:lpstr>B_FHD_diff_85</vt:lpstr>
      <vt:lpstr>B_FHD_diff_86</vt:lpstr>
      <vt:lpstr>B_FHD_diff_87</vt:lpstr>
      <vt:lpstr>B_FHD_diff_88</vt:lpstr>
      <vt:lpstr>B_FHD_diff_89</vt:lpstr>
      <vt:lpstr>B_FHD_diff_90</vt:lpstr>
      <vt:lpstr>B_FHD_diff_91</vt:lpstr>
      <vt:lpstr>B_FHD_diff_92</vt:lpstr>
      <vt:lpstr>B_FHD_diff_93</vt:lpstr>
      <vt:lpstr>B_FHD_diff_94</vt:lpstr>
      <vt:lpstr>B_FHD_diff_95</vt:lpstr>
      <vt:lpstr>B_FHD_diff_96</vt:lpstr>
      <vt:lpstr>B_FHD_diff_97</vt:lpstr>
      <vt:lpstr>B_FHD_diff_98</vt:lpstr>
      <vt:lpstr>B_FHD_diff_99</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B_FHD20_diff_100</vt:lpstr>
      <vt:lpstr>B_FHD20_diff_101</vt:lpstr>
      <vt:lpstr>B_FHD20_diff_102</vt:lpstr>
      <vt:lpstr>B_FHD20_diff_103</vt:lpstr>
      <vt:lpstr>B_FHD20_diff_104</vt:lpstr>
      <vt:lpstr>B_FHD20_diff_105</vt:lpstr>
      <vt:lpstr>B_FHD20_diff_106</vt:lpstr>
      <vt:lpstr>B_FHD20_diff_107</vt:lpstr>
      <vt:lpstr>B_FHD20_diff_108</vt:lpstr>
      <vt:lpstr>B_FHD20_diff_109</vt:lpstr>
      <vt:lpstr>B_FHD20_diff_110</vt:lpstr>
      <vt:lpstr>B_FHD20_diff_111</vt:lpstr>
      <vt:lpstr>B_FHD20_diff_112</vt:lpstr>
      <vt:lpstr>B_FHD20_diff_113</vt:lpstr>
      <vt:lpstr>B_FHD20_diff_114</vt:lpstr>
      <vt:lpstr>B_FHD20_diff_115</vt:lpstr>
      <vt:lpstr>B_FHD20_diff_116</vt:lpstr>
      <vt:lpstr>B_FHD20_diff_117</vt:lpstr>
      <vt:lpstr>B_FHD20_diff_118</vt:lpstr>
      <vt:lpstr>B_FHD20_diff_119</vt:lpstr>
      <vt:lpstr>B_FHD20_diff_120</vt:lpstr>
      <vt:lpstr>B_FHD20_diff_121</vt:lpstr>
      <vt:lpstr>B_FHD20_diff_122</vt:lpstr>
      <vt:lpstr>B_FHD20_diff_123</vt:lpstr>
      <vt:lpstr>B_FHD20_diff_124</vt:lpstr>
      <vt:lpstr>B_FHD20_diff_125</vt:lpstr>
      <vt:lpstr>B_FHD20_diff_126</vt:lpstr>
      <vt:lpstr>B_FHD20_diff_127</vt:lpstr>
      <vt:lpstr>B_FHD20_diff_128</vt:lpstr>
      <vt:lpstr>B_FHD20_diff_129</vt:lpstr>
      <vt:lpstr>B_FHD20_diff_130</vt:lpstr>
      <vt:lpstr>B_FHD20_diff_131</vt:lpstr>
      <vt:lpstr>B_FHD20_diff_132</vt:lpstr>
      <vt:lpstr>B_FHD20_diff_133</vt:lpstr>
      <vt:lpstr>B_FHD20_diff_134</vt:lpstr>
      <vt:lpstr>B_FHD20_diff_135</vt:lpstr>
      <vt:lpstr>B_FHD20_diff_136</vt:lpstr>
      <vt:lpstr>B_FHD20_diff_137</vt:lpstr>
      <vt:lpstr>B_FHD20_diff_138</vt:lpstr>
      <vt:lpstr>B_FHD20_diff_139</vt:lpstr>
      <vt:lpstr>B_FHD20_diff_140</vt:lpstr>
      <vt:lpstr>B_FHD20_diff_141</vt:lpstr>
      <vt:lpstr>B_FHD20_diff_142</vt:lpstr>
      <vt:lpstr>B_FHD20_diff_143</vt:lpstr>
      <vt:lpstr>B_FHD20_diff_144</vt:lpstr>
      <vt:lpstr>B_FHD20_diff_145</vt:lpstr>
      <vt:lpstr>B_FHD20_diff_146</vt:lpstr>
      <vt:lpstr>B_FHD20_diff_147</vt:lpstr>
      <vt:lpstr>B_FHD20_diff_148</vt:lpstr>
      <vt:lpstr>B_FHD20_diff_149</vt:lpstr>
      <vt:lpstr>B_FHD20_diff_150</vt:lpstr>
      <vt:lpstr>B_FHD20_diff_151</vt:lpstr>
      <vt:lpstr>B_FHD20_diff_152</vt:lpstr>
      <vt:lpstr>B_FHD20_diff_153</vt:lpstr>
      <vt:lpstr>B_FHD20_diff_154</vt:lpstr>
      <vt:lpstr>B_FHD20_diff_155</vt:lpstr>
      <vt:lpstr>B_FHD20_diff_156</vt:lpstr>
      <vt:lpstr>B_FHD20_diff_157</vt:lpstr>
      <vt:lpstr>B_FHD20_diff_66</vt:lpstr>
      <vt:lpstr>B_FHD20_diff_67</vt:lpstr>
      <vt:lpstr>B_FHD20_diff_68</vt:lpstr>
      <vt:lpstr>B_FHD20_diff_69</vt:lpstr>
      <vt:lpstr>B_FHD20_diff_70</vt:lpstr>
      <vt:lpstr>B_FHD20_diff_71</vt:lpstr>
      <vt:lpstr>B_FHD20_diff_72</vt:lpstr>
      <vt:lpstr>B_FHD20_diff_73</vt:lpstr>
      <vt:lpstr>B_FHD20_diff_74</vt:lpstr>
      <vt:lpstr>B_FHD20_diff_75</vt:lpstr>
      <vt:lpstr>B_FHD20_diff_76</vt:lpstr>
      <vt:lpstr>B_FHD20_diff_77</vt:lpstr>
      <vt:lpstr>B_FHD20_diff_78</vt:lpstr>
      <vt:lpstr>B_FHD20_diff_79</vt:lpstr>
      <vt:lpstr>B_FHD20_diff_80</vt:lpstr>
      <vt:lpstr>B_FHD20_diff_81</vt:lpstr>
      <vt:lpstr>B_FHD20_diff_82</vt:lpstr>
      <vt:lpstr>B_FHD20_diff_83</vt:lpstr>
      <vt:lpstr>B_FHD20_diff_84</vt:lpstr>
      <vt:lpstr>B_FHD20_diff_85</vt:lpstr>
      <vt:lpstr>B_FHD20_diff_86</vt:lpstr>
      <vt:lpstr>B_FHD20_diff_87</vt:lpstr>
      <vt:lpstr>B_FHD20_diff_88</vt:lpstr>
      <vt:lpstr>B_FHD20_diff_89</vt:lpstr>
      <vt:lpstr>B_FHD20_diff_90</vt:lpstr>
      <vt:lpstr>B_FHD20_diff_91</vt:lpstr>
      <vt:lpstr>B_FHD20_diff_92</vt:lpstr>
      <vt:lpstr>B_FHD20_diff_93</vt:lpstr>
      <vt:lpstr>B_FHD20_diff_94</vt:lpstr>
      <vt:lpstr>B_FHD20_diff_95</vt:lpstr>
      <vt:lpstr>B_FHD20_diff_96</vt:lpstr>
      <vt:lpstr>B_FHD20_diff_97</vt:lpstr>
      <vt:lpstr>B_FHD20_diff_98</vt:lpstr>
      <vt:lpstr>B_FHD20_diff_99</vt:lpstr>
      <vt:lpstr>B_FHD20_FLAG_FHD</vt:lpstr>
      <vt:lpstr>B_FHD20_NUMBER_COLUMN_MARKER</vt:lpstr>
      <vt:lpstr>B_FHD20_PART_COLUMN_MARKER</vt:lpstr>
      <vt:lpstr>B_KNE_diff_1</vt:lpstr>
      <vt:lpstr>B_KNE_diff_100</vt:lpstr>
      <vt:lpstr>B_KNE_diff_101</vt:lpstr>
      <vt:lpstr>B_KNE_diff_102</vt:lpstr>
      <vt:lpstr>B_KNE_diff_103</vt:lpstr>
      <vt:lpstr>B_KNE_diff_104</vt:lpstr>
      <vt:lpstr>B_KNE_diff_105</vt:lpstr>
      <vt:lpstr>B_KNE_diff_106</vt:lpstr>
      <vt:lpstr>B_KNE_diff_107</vt:lpstr>
      <vt:lpstr>B_KNE_diff_108</vt:lpstr>
      <vt:lpstr>B_KNE_diff_109</vt:lpstr>
      <vt:lpstr>B_KNE_diff_110</vt:lpstr>
      <vt:lpstr>B_KNE_diff_111</vt:lpstr>
      <vt:lpstr>B_KNE_diff_112</vt:lpstr>
      <vt:lpstr>B_KNE_diff_113</vt:lpstr>
      <vt:lpstr>B_KNE_diff_114</vt:lpstr>
      <vt:lpstr>B_KNE_diff_115</vt:lpstr>
      <vt:lpstr>B_KNE_diff_116</vt:lpstr>
      <vt:lpstr>B_KNE_diff_117</vt:lpstr>
      <vt:lpstr>B_KNE_diff_118</vt:lpstr>
      <vt:lpstr>B_KNE_diff_119</vt:lpstr>
      <vt:lpstr>B_KNE_diff_120</vt:lpstr>
      <vt:lpstr>B_KNE_diff_121</vt:lpstr>
      <vt:lpstr>B_KNE_diff_122</vt:lpstr>
      <vt:lpstr>B_KNE_diff_123</vt:lpstr>
      <vt:lpstr>B_KNE_diff_124</vt:lpstr>
      <vt:lpstr>B_KNE_diff_125</vt:lpstr>
      <vt:lpstr>B_KNE_diff_126</vt:lpstr>
      <vt:lpstr>B_KNE_diff_127</vt:lpstr>
      <vt:lpstr>B_KNE_diff_128</vt:lpstr>
      <vt:lpstr>B_KNE_diff_129</vt:lpstr>
      <vt:lpstr>B_KNE_diff_130</vt:lpstr>
      <vt:lpstr>B_KNE_diff_131</vt:lpstr>
      <vt:lpstr>B_KNE_diff_132</vt:lpstr>
      <vt:lpstr>B_KNE_diff_133</vt:lpstr>
      <vt:lpstr>B_KNE_diff_134</vt:lpstr>
      <vt:lpstr>B_KNE_diff_135</vt:lpstr>
      <vt:lpstr>B_KNE_diff_136</vt:lpstr>
      <vt:lpstr>B_KNE_diff_137</vt:lpstr>
      <vt:lpstr>B_KNE_diff_138</vt:lpstr>
      <vt:lpstr>B_KNE_diff_139</vt:lpstr>
      <vt:lpstr>B_KNE_diff_140</vt:lpstr>
      <vt:lpstr>B_KNE_diff_141</vt:lpstr>
      <vt:lpstr>B_KNE_diff_142</vt:lpstr>
      <vt:lpstr>B_KNE_diff_143</vt:lpstr>
      <vt:lpstr>B_KNE_diff_144</vt:lpstr>
      <vt:lpstr>B_KNE_diff_145</vt:lpstr>
      <vt:lpstr>B_KNE_diff_146</vt:lpstr>
      <vt:lpstr>B_KNE_diff_147</vt:lpstr>
      <vt:lpstr>B_KNE_diff_148</vt:lpstr>
      <vt:lpstr>B_KNE_diff_149</vt:lpstr>
      <vt:lpstr>B_KNE_diff_150</vt:lpstr>
      <vt:lpstr>B_KNE_diff_151</vt:lpstr>
      <vt:lpstr>B_KNE_diff_152</vt:lpstr>
      <vt:lpstr>B_KNE_diff_153</vt:lpstr>
      <vt:lpstr>B_KNE_diff_154</vt:lpstr>
      <vt:lpstr>B_KNE_diff_155</vt:lpstr>
      <vt:lpstr>B_KNE_diff_156</vt:lpstr>
      <vt:lpstr>B_KNE_diff_157</vt:lpstr>
      <vt:lpstr>B_KNE_diff_66</vt:lpstr>
      <vt:lpstr>B_KNE_diff_67</vt:lpstr>
      <vt:lpstr>B_KNE_diff_68</vt:lpstr>
      <vt:lpstr>B_KNE_diff_69</vt:lpstr>
      <vt:lpstr>B_KNE_diff_70</vt:lpstr>
      <vt:lpstr>B_KNE_diff_71</vt:lpstr>
      <vt:lpstr>B_KNE_diff_72</vt:lpstr>
      <vt:lpstr>B_KNE_diff_73</vt:lpstr>
      <vt:lpstr>B_KNE_diff_74</vt:lpstr>
      <vt:lpstr>B_KNE_diff_75</vt:lpstr>
      <vt:lpstr>B_KNE_diff_76</vt:lpstr>
      <vt:lpstr>B_KNE_diff_77</vt:lpstr>
      <vt:lpstr>B_KNE_diff_78</vt:lpstr>
      <vt:lpstr>B_KNE_diff_79</vt:lpstr>
      <vt:lpstr>B_KNE_diff_80</vt:lpstr>
      <vt:lpstr>B_KNE_diff_81</vt:lpstr>
      <vt:lpstr>B_KNE_diff_82</vt:lpstr>
      <vt:lpstr>B_KNE_diff_83</vt:lpstr>
      <vt:lpstr>B_KNE_diff_84</vt:lpstr>
      <vt:lpstr>B_KNE_diff_85</vt:lpstr>
      <vt:lpstr>B_KNE_diff_86</vt:lpstr>
      <vt:lpstr>B_KNE_diff_87</vt:lpstr>
      <vt:lpstr>B_KNE_diff_88</vt:lpstr>
      <vt:lpstr>B_KNE_diff_89</vt:lpstr>
      <vt:lpstr>B_KNE_diff_90</vt:lpstr>
      <vt:lpstr>B_KNE_diff_91</vt:lpstr>
      <vt:lpstr>B_KNE_diff_92</vt:lpstr>
      <vt:lpstr>B_KNE_diff_93</vt:lpstr>
      <vt:lpstr>B_KNE_diff_94</vt:lpstr>
      <vt:lpstr>B_KNE_diff_95</vt:lpstr>
      <vt:lpstr>B_KNE_diff_96</vt:lpstr>
      <vt:lpstr>B_KNE_diff_97</vt:lpstr>
      <vt:lpstr>B_KNE_diff_98</vt:lpstr>
      <vt:lpstr>B_KNE_diff_99</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Q_Limit_diff_100</vt:lpstr>
      <vt:lpstr>Q_Limit_diff_101</vt:lpstr>
      <vt:lpstr>Q_Limit_diff_102</vt:lpstr>
      <vt:lpstr>Q_Limit_diff_103</vt:lpstr>
      <vt:lpstr>Q_Limit_diff_104</vt:lpstr>
      <vt:lpstr>Q_Limit_diff_105</vt:lpstr>
      <vt:lpstr>Q_Limit_diff_106</vt:lpstr>
      <vt:lpstr>Q_Limit_diff_107</vt:lpstr>
      <vt:lpstr>Q_Limit_diff_108</vt:lpstr>
      <vt:lpstr>Q_Limit_diff_109</vt:lpstr>
      <vt:lpstr>Q_Limit_diff_110</vt:lpstr>
      <vt:lpstr>Q_Limit_diff_111</vt:lpstr>
      <vt:lpstr>Q_Limit_diff_112</vt:lpstr>
      <vt:lpstr>Q_Limit_diff_113</vt:lpstr>
      <vt:lpstr>Q_Limit_diff_114</vt:lpstr>
      <vt:lpstr>Q_Limit_diff_115</vt:lpstr>
      <vt:lpstr>Q_Limit_diff_116</vt:lpstr>
      <vt:lpstr>Q_Limit_diff_117</vt:lpstr>
      <vt:lpstr>Q_Limit_diff_118</vt:lpstr>
      <vt:lpstr>Q_Limit_diff_119</vt:lpstr>
      <vt:lpstr>Q_Limit_diff_120</vt:lpstr>
      <vt:lpstr>Q_Limit_diff_121</vt:lpstr>
      <vt:lpstr>Q_Limit_diff_122</vt:lpstr>
      <vt:lpstr>Q_Limit_diff_123</vt:lpstr>
      <vt:lpstr>Q_Limit_diff_124</vt:lpstr>
      <vt:lpstr>Q_Limit_diff_125</vt:lpstr>
      <vt:lpstr>Q_Limit_diff_126</vt:lpstr>
      <vt:lpstr>Q_Limit_diff_127</vt:lpstr>
      <vt:lpstr>Q_Limit_diff_128</vt:lpstr>
      <vt:lpstr>Q_Limit_diff_129</vt:lpstr>
      <vt:lpstr>Q_Limit_diff_130</vt:lpstr>
      <vt:lpstr>Q_Limit_diff_131</vt:lpstr>
      <vt:lpstr>Q_Limit_diff_132</vt:lpstr>
      <vt:lpstr>Q_Limit_diff_133</vt:lpstr>
      <vt:lpstr>Q_Limit_diff_134</vt:lpstr>
      <vt:lpstr>Q_Limit_diff_135</vt:lpstr>
      <vt:lpstr>Q_Limit_diff_136</vt:lpstr>
      <vt:lpstr>Q_Limit_diff_137</vt:lpstr>
      <vt:lpstr>Q_Limit_diff_138</vt:lpstr>
      <vt:lpstr>Q_Limit_diff_139</vt:lpstr>
      <vt:lpstr>Q_Limit_diff_140</vt:lpstr>
      <vt:lpstr>Q_Limit_diff_141</vt:lpstr>
      <vt:lpstr>Q_Limit_diff_142</vt:lpstr>
      <vt:lpstr>Q_Limit_diff_143</vt:lpstr>
      <vt:lpstr>Q_Limit_diff_144</vt:lpstr>
      <vt:lpstr>Q_Limit_diff_145</vt:lpstr>
      <vt:lpstr>Q_Limit_diff_146</vt:lpstr>
      <vt:lpstr>Q_Limit_diff_147</vt:lpstr>
      <vt:lpstr>Q_Limit_diff_148</vt:lpstr>
      <vt:lpstr>Q_Limit_diff_149</vt:lpstr>
      <vt:lpstr>Q_Limit_diff_150</vt:lpstr>
      <vt:lpstr>Q_Limit_diff_151</vt:lpstr>
      <vt:lpstr>Q_Limit_diff_152</vt:lpstr>
      <vt:lpstr>Q_Limit_diff_153</vt:lpstr>
      <vt:lpstr>Q_Limit_diff_154</vt:lpstr>
      <vt:lpstr>Q_Limit_diff_155</vt:lpstr>
      <vt:lpstr>Q_Limit_diff_156</vt:lpstr>
      <vt:lpstr>Q_Limit_diff_157</vt:lpstr>
      <vt:lpstr>Q_Limit_diff_66</vt:lpstr>
      <vt:lpstr>Q_Limit_diff_67</vt:lpstr>
      <vt:lpstr>Q_Limit_diff_68</vt:lpstr>
      <vt:lpstr>Q_Limit_diff_69</vt:lpstr>
      <vt:lpstr>Q_Limit_diff_70</vt:lpstr>
      <vt:lpstr>Q_Limit_diff_71</vt:lpstr>
      <vt:lpstr>Q_Limit_diff_72</vt:lpstr>
      <vt:lpstr>Q_Limit_diff_73</vt:lpstr>
      <vt:lpstr>Q_Limit_diff_74</vt:lpstr>
      <vt:lpstr>Q_Limit_diff_75</vt:lpstr>
      <vt:lpstr>Q_Limit_diff_76</vt:lpstr>
      <vt:lpstr>Q_Limit_diff_77</vt:lpstr>
      <vt:lpstr>Q_Limit_diff_78</vt:lpstr>
      <vt:lpstr>Q_Limit_diff_79</vt:lpstr>
      <vt:lpstr>Q_Limit_diff_80</vt:lpstr>
      <vt:lpstr>Q_Limit_diff_81</vt:lpstr>
      <vt:lpstr>Q_Limit_diff_82</vt:lpstr>
      <vt:lpstr>Q_Limit_diff_83</vt:lpstr>
      <vt:lpstr>Q_Limit_diff_84</vt:lpstr>
      <vt:lpstr>Q_Limit_diff_85</vt:lpstr>
      <vt:lpstr>Q_Limit_diff_86</vt:lpstr>
      <vt:lpstr>Q_Limit_diff_87</vt:lpstr>
      <vt:lpstr>Q_Limit_diff_88</vt:lpstr>
      <vt:lpstr>Q_Limit_diff_89</vt:lpstr>
      <vt:lpstr>Q_Limit_diff_90</vt:lpstr>
      <vt:lpstr>Q_Limit_diff_91</vt:lpstr>
      <vt:lpstr>Q_Limit_diff_92</vt:lpstr>
      <vt:lpstr>Q_Limit_diff_93</vt:lpstr>
      <vt:lpstr>Q_Limit_diff_94</vt:lpstr>
      <vt:lpstr>Q_Limit_diff_95</vt:lpstr>
      <vt:lpstr>Q_Limit_diff_96</vt:lpstr>
      <vt:lpstr>Q_Limit_diff_97</vt:lpstr>
      <vt:lpstr>Q_Limit_diff_98</vt:lpstr>
      <vt:lpstr>Q_Limit_diff_99</vt:lpstr>
      <vt:lpstr>Q_LIMIT_p3</vt:lpstr>
      <vt:lpstr>Q_LIMIT_p4</vt:lpstr>
      <vt:lpstr>Q_PH_diff_1</vt:lpstr>
      <vt:lpstr>Q_PH_diff_100</vt:lpstr>
      <vt:lpstr>Q_PH_diff_101</vt:lpstr>
      <vt:lpstr>Q_PH_diff_102</vt:lpstr>
      <vt:lpstr>Q_PH_diff_103</vt:lpstr>
      <vt:lpstr>Q_PH_diff_104</vt:lpstr>
      <vt:lpstr>Q_PH_diff_105</vt:lpstr>
      <vt:lpstr>Q_PH_diff_106</vt:lpstr>
      <vt:lpstr>Q_PH_diff_107</vt:lpstr>
      <vt:lpstr>Q_PH_diff_108</vt:lpstr>
      <vt:lpstr>Q_PH_diff_109</vt:lpstr>
      <vt:lpstr>Q_PH_diff_110</vt:lpstr>
      <vt:lpstr>Q_PH_diff_111</vt:lpstr>
      <vt:lpstr>Q_PH_diff_112</vt:lpstr>
      <vt:lpstr>Q_PH_diff_113</vt:lpstr>
      <vt:lpstr>Q_PH_diff_114</vt:lpstr>
      <vt:lpstr>Q_PH_diff_115</vt:lpstr>
      <vt:lpstr>Q_PH_diff_116</vt:lpstr>
      <vt:lpstr>Q_PH_diff_117</vt:lpstr>
      <vt:lpstr>Q_PH_diff_118</vt:lpstr>
      <vt:lpstr>Q_PH_diff_119</vt:lpstr>
      <vt:lpstr>Q_PH_diff_120</vt:lpstr>
      <vt:lpstr>Q_PH_diff_121</vt:lpstr>
      <vt:lpstr>Q_PH_diff_122</vt:lpstr>
      <vt:lpstr>Q_PH_diff_123</vt:lpstr>
      <vt:lpstr>Q_PH_diff_124</vt:lpstr>
      <vt:lpstr>Q_PH_diff_125</vt:lpstr>
      <vt:lpstr>Q_PH_diff_126</vt:lpstr>
      <vt:lpstr>Q_PH_diff_127</vt:lpstr>
      <vt:lpstr>Q_PH_diff_128</vt:lpstr>
      <vt:lpstr>Q_PH_diff_129</vt:lpstr>
      <vt:lpstr>Q_PH_diff_130</vt:lpstr>
      <vt:lpstr>Q_PH_diff_131</vt:lpstr>
      <vt:lpstr>Q_PH_diff_132</vt:lpstr>
      <vt:lpstr>Q_PH_diff_133</vt:lpstr>
      <vt:lpstr>Q_PH_diff_134</vt:lpstr>
      <vt:lpstr>Q_PH_diff_135</vt:lpstr>
      <vt:lpstr>Q_PH_diff_136</vt:lpstr>
      <vt:lpstr>Q_PH_diff_137</vt:lpstr>
      <vt:lpstr>Q_PH_diff_138</vt:lpstr>
      <vt:lpstr>Q_PH_diff_139</vt:lpstr>
      <vt:lpstr>Q_PH_diff_140</vt:lpstr>
      <vt:lpstr>Q_PH_diff_141</vt:lpstr>
      <vt:lpstr>Q_PH_diff_142</vt:lpstr>
      <vt:lpstr>Q_PH_diff_143</vt:lpstr>
      <vt:lpstr>Q_PH_diff_144</vt:lpstr>
      <vt:lpstr>Q_PH_diff_145</vt:lpstr>
      <vt:lpstr>Q_PH_diff_146</vt:lpstr>
      <vt:lpstr>Q_PH_diff_147</vt:lpstr>
      <vt:lpstr>Q_PH_diff_148</vt:lpstr>
      <vt:lpstr>Q_PH_diff_149</vt:lpstr>
      <vt:lpstr>Q_PH_diff_150</vt:lpstr>
      <vt:lpstr>Q_PH_diff_151</vt:lpstr>
      <vt:lpstr>Q_PH_diff_152</vt:lpstr>
      <vt:lpstr>Q_PH_diff_153</vt:lpstr>
      <vt:lpstr>Q_PH_diff_154</vt:lpstr>
      <vt:lpstr>Q_PH_diff_155</vt:lpstr>
      <vt:lpstr>Q_PH_diff_156</vt:lpstr>
      <vt:lpstr>Q_PH_diff_157</vt:lpstr>
      <vt:lpstr>Q_PH_diff_66</vt:lpstr>
      <vt:lpstr>Q_PH_diff_67</vt:lpstr>
      <vt:lpstr>Q_PH_diff_68</vt:lpstr>
      <vt:lpstr>Q_PH_diff_69</vt:lpstr>
      <vt:lpstr>Q_PH_diff_70</vt:lpstr>
      <vt:lpstr>Q_PH_diff_71</vt:lpstr>
      <vt:lpstr>Q_PH_diff_72</vt:lpstr>
      <vt:lpstr>Q_PH_diff_73</vt:lpstr>
      <vt:lpstr>Q_PH_diff_74</vt:lpstr>
      <vt:lpstr>Q_PH_diff_75</vt:lpstr>
      <vt:lpstr>Q_PH_diff_76</vt:lpstr>
      <vt:lpstr>Q_PH_diff_77</vt:lpstr>
      <vt:lpstr>Q_PH_diff_78</vt:lpstr>
      <vt:lpstr>Q_PH_diff_79</vt:lpstr>
      <vt:lpstr>Q_PH_diff_80</vt:lpstr>
      <vt:lpstr>Q_PH_diff_81</vt:lpstr>
      <vt:lpstr>Q_PH_diff_82</vt:lpstr>
      <vt:lpstr>Q_PH_diff_83</vt:lpstr>
      <vt:lpstr>Q_PH_diff_84</vt:lpstr>
      <vt:lpstr>Q_PH_diff_85</vt:lpstr>
      <vt:lpstr>Q_PH_diff_86</vt:lpstr>
      <vt:lpstr>Q_PH_diff_87</vt:lpstr>
      <vt:lpstr>Q_PH_diff_88</vt:lpstr>
      <vt:lpstr>Q_PH_diff_89</vt:lpstr>
      <vt:lpstr>Q_PH_diff_90</vt:lpstr>
      <vt:lpstr>Q_PH_diff_91</vt:lpstr>
      <vt:lpstr>Q_PH_diff_92</vt:lpstr>
      <vt:lpstr>Q_PH_diff_93</vt:lpstr>
      <vt:lpstr>Q_PH_diff_94</vt:lpstr>
      <vt:lpstr>Q_PH_diff_95</vt:lpstr>
      <vt:lpstr>Q_PH_diff_96</vt:lpstr>
      <vt:lpstr>Q_PH_diff_97</vt:lpstr>
      <vt:lpstr>Q_PH_diff_98</vt:lpstr>
      <vt:lpstr>Q_PH_diff_99</vt:lpstr>
      <vt:lpstr>Q_TP_COUNT_REFUSAL</vt:lpstr>
      <vt:lpstr>Q_TP_diff_1</vt:lpstr>
      <vt:lpstr>Q_TP_diff_100</vt:lpstr>
      <vt:lpstr>Q_TP_diff_101</vt:lpstr>
      <vt:lpstr>Q_TP_diff_102</vt:lpstr>
      <vt:lpstr>Q_TP_diff_103</vt:lpstr>
      <vt:lpstr>Q_TP_diff_104</vt:lpstr>
      <vt:lpstr>Q_TP_diff_105</vt:lpstr>
      <vt:lpstr>Q_TP_diff_106</vt:lpstr>
      <vt:lpstr>Q_TP_diff_107</vt:lpstr>
      <vt:lpstr>Q_TP_diff_108</vt:lpstr>
      <vt:lpstr>Q_TP_diff_109</vt:lpstr>
      <vt:lpstr>Q_TP_diff_110</vt:lpstr>
      <vt:lpstr>Q_TP_diff_111</vt:lpstr>
      <vt:lpstr>Q_TP_diff_112</vt:lpstr>
      <vt:lpstr>Q_TP_diff_113</vt:lpstr>
      <vt:lpstr>Q_TP_diff_114</vt:lpstr>
      <vt:lpstr>Q_TP_diff_115</vt:lpstr>
      <vt:lpstr>Q_TP_diff_116</vt:lpstr>
      <vt:lpstr>Q_TP_diff_117</vt:lpstr>
      <vt:lpstr>Q_TP_diff_118</vt:lpstr>
      <vt:lpstr>Q_TP_diff_119</vt:lpstr>
      <vt:lpstr>Q_TP_diff_120</vt:lpstr>
      <vt:lpstr>Q_TP_diff_121</vt:lpstr>
      <vt:lpstr>Q_TP_diff_122</vt:lpstr>
      <vt:lpstr>Q_TP_diff_123</vt:lpstr>
      <vt:lpstr>Q_TP_diff_124</vt:lpstr>
      <vt:lpstr>Q_TP_diff_125</vt:lpstr>
      <vt:lpstr>Q_TP_diff_126</vt:lpstr>
      <vt:lpstr>Q_TP_diff_127</vt:lpstr>
      <vt:lpstr>Q_TP_diff_128</vt:lpstr>
      <vt:lpstr>Q_TP_diff_129</vt:lpstr>
      <vt:lpstr>Q_TP_diff_130</vt:lpstr>
      <vt:lpstr>Q_TP_diff_131</vt:lpstr>
      <vt:lpstr>Q_TP_diff_132</vt:lpstr>
      <vt:lpstr>Q_TP_diff_133</vt:lpstr>
      <vt:lpstr>Q_TP_diff_134</vt:lpstr>
      <vt:lpstr>Q_TP_diff_135</vt:lpstr>
      <vt:lpstr>Q_TP_diff_136</vt:lpstr>
      <vt:lpstr>Q_TP_diff_137</vt:lpstr>
      <vt:lpstr>Q_TP_diff_138</vt:lpstr>
      <vt:lpstr>Q_TP_diff_139</vt:lpstr>
      <vt:lpstr>Q_TP_diff_140</vt:lpstr>
      <vt:lpstr>Q_TP_diff_141</vt:lpstr>
      <vt:lpstr>Q_TP_diff_142</vt:lpstr>
      <vt:lpstr>Q_TP_diff_143</vt:lpstr>
      <vt:lpstr>Q_TP_diff_144</vt:lpstr>
      <vt:lpstr>Q_TP_diff_145</vt:lpstr>
      <vt:lpstr>Q_TP_diff_146</vt:lpstr>
      <vt:lpstr>Q_TP_diff_147</vt:lpstr>
      <vt:lpstr>Q_TP_diff_148</vt:lpstr>
      <vt:lpstr>Q_TP_diff_149</vt:lpstr>
      <vt:lpstr>Q_TP_diff_150</vt:lpstr>
      <vt:lpstr>Q_TP_diff_151</vt:lpstr>
      <vt:lpstr>Q_TP_diff_152</vt:lpstr>
      <vt:lpstr>Q_TP_diff_153</vt:lpstr>
      <vt:lpstr>Q_TP_diff_154</vt:lpstr>
      <vt:lpstr>Q_TP_diff_155</vt:lpstr>
      <vt:lpstr>Q_TP_diff_156</vt:lpstr>
      <vt:lpstr>Q_TP_diff_157</vt:lpstr>
      <vt:lpstr>Q_TP_diff_66</vt:lpstr>
      <vt:lpstr>Q_TP_diff_67</vt:lpstr>
      <vt:lpstr>Q_TP_diff_68</vt:lpstr>
      <vt:lpstr>Q_TP_diff_69</vt:lpstr>
      <vt:lpstr>Q_TP_diff_70</vt:lpstr>
      <vt:lpstr>Q_TP_diff_71</vt:lpstr>
      <vt:lpstr>Q_TP_diff_72</vt:lpstr>
      <vt:lpstr>Q_TP_diff_73</vt:lpstr>
      <vt:lpstr>Q_TP_diff_74</vt:lpstr>
      <vt:lpstr>Q_TP_diff_75</vt:lpstr>
      <vt:lpstr>Q_TP_diff_76</vt:lpstr>
      <vt:lpstr>Q_TP_diff_77</vt:lpstr>
      <vt:lpstr>Q_TP_diff_78</vt:lpstr>
      <vt:lpstr>Q_TP_diff_79</vt:lpstr>
      <vt:lpstr>Q_TP_diff_80</vt:lpstr>
      <vt:lpstr>Q_TP_diff_81</vt:lpstr>
      <vt:lpstr>Q_TP_diff_82</vt:lpstr>
      <vt:lpstr>Q_TP_diff_83</vt:lpstr>
      <vt:lpstr>Q_TP_diff_84</vt:lpstr>
      <vt:lpstr>Q_TP_diff_85</vt:lpstr>
      <vt:lpstr>Q_TP_diff_86</vt:lpstr>
      <vt:lpstr>Q_TP_diff_87</vt:lpstr>
      <vt:lpstr>Q_TP_diff_88</vt:lpstr>
      <vt:lpstr>Q_TP_diff_89</vt:lpstr>
      <vt:lpstr>Q_TP_diff_90</vt:lpstr>
      <vt:lpstr>Q_TP_diff_91</vt:lpstr>
      <vt:lpstr>Q_TP_diff_92</vt:lpstr>
      <vt:lpstr>Q_TP_diff_93</vt:lpstr>
      <vt:lpstr>Q_TP_diff_94</vt:lpstr>
      <vt:lpstr>Q_TP_diff_95</vt:lpstr>
      <vt:lpstr>Q_TP_diff_96</vt:lpstr>
      <vt:lpstr>Q_TP_diff_97</vt:lpstr>
      <vt:lpstr>Q_TP_diff_98</vt:lpstr>
      <vt:lpstr>Q_TP_diff_99</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Admin</cp:lastModifiedBy>
  <cp:lastPrinted>2013-08-29T08:11:20Z</cp:lastPrinted>
  <dcterms:created xsi:type="dcterms:W3CDTF">2004-05-21T07:18:45Z</dcterms:created>
  <dcterms:modified xsi:type="dcterms:W3CDTF">2024-01-29T14:18:27Z</dcterms:modified>
</cp:coreProperties>
</file>